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-python\"/>
    </mc:Choice>
  </mc:AlternateContent>
  <xr:revisionPtr revIDLastSave="0" documentId="13_ncr:1_{7839DD4D-6DC9-4FF3-B580-BDD2BC343A6A}" xr6:coauthVersionLast="47" xr6:coauthVersionMax="47" xr10:uidLastSave="{00000000-0000-0000-0000-000000000000}"/>
  <bookViews>
    <workbookView xWindow="13395" yWindow="0" windowWidth="15405" windowHeight="15600" firstSheet="4" activeTab="5" xr2:uid="{F4861128-A186-49E5-918A-C8C1B9913296}"/>
  </bookViews>
  <sheets>
    <sheet name="Visão Global" sheetId="6" r:id="rId1"/>
    <sheet name="Resumo | Onshore" sheetId="7" r:id="rId2"/>
    <sheet name="Resumo por Classes | Onshore" sheetId="5" r:id="rId3"/>
    <sheet name="Resumo Carteira | Onshore" sheetId="1" r:id="rId4"/>
    <sheet name="Carteira Atualizada" sheetId="9" r:id="rId5"/>
    <sheet name="Dados" sheetId="2" r:id="rId6"/>
    <sheet name="Informações Complementares" sheetId="3" r:id="rId7"/>
    <sheet name="BancoDeDados" sheetId="8" r:id="rId8"/>
  </sheets>
  <definedNames>
    <definedName name="_xlnm._FilterDatabase" localSheetId="7" hidden="1">BancoDeDados!$B$2:$V$2</definedName>
    <definedName name="SegmentaçãodeDados_Custódia">#N/A</definedName>
    <definedName name="SegmentaçãodeDados_Nomenclatura_Classe">#N/A</definedName>
  </definedNames>
  <calcPr calcId="191029"/>
  <pivotCaches>
    <pivotCache cacheId="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/>
  <c r="B35" i="2"/>
  <c r="B33" i="2"/>
  <c r="B43" i="2"/>
  <c r="C43" i="2"/>
  <c r="R43" i="2"/>
  <c r="S43" i="2"/>
  <c r="T43" i="2"/>
  <c r="Y43" i="2" a="1"/>
  <c r="Y43" i="2" s="1"/>
  <c r="Z43" i="2" s="1"/>
  <c r="AL43" i="2"/>
  <c r="AM43" i="2"/>
  <c r="AV43" i="2"/>
  <c r="AW43" i="2"/>
  <c r="AX43" i="2"/>
  <c r="AY43" i="2"/>
  <c r="BM43" i="2"/>
  <c r="B42" i="2"/>
  <c r="C42" i="2"/>
  <c r="R42" i="2"/>
  <c r="S42" i="2"/>
  <c r="T42" i="2"/>
  <c r="Y42" i="2" a="1"/>
  <c r="Y42" i="2" s="1"/>
  <c r="Z42" i="2" s="1"/>
  <c r="AL42" i="2"/>
  <c r="AM42" i="2"/>
  <c r="AV42" i="2"/>
  <c r="AW42" i="2"/>
  <c r="AX42" i="2"/>
  <c r="AY42" i="2"/>
  <c r="BM42" i="2"/>
  <c r="P9" i="7"/>
  <c r="N9" i="7"/>
  <c r="AF7" i="3"/>
  <c r="AF8" i="3"/>
  <c r="B23" i="2"/>
  <c r="B24" i="2"/>
  <c r="C23" i="2"/>
  <c r="C24" i="2"/>
  <c r="R23" i="2"/>
  <c r="R24" i="2"/>
  <c r="S23" i="2"/>
  <c r="S24" i="2"/>
  <c r="T23" i="2"/>
  <c r="T24" i="2"/>
  <c r="Y23" i="2" a="1"/>
  <c r="Y23" i="2" s="1"/>
  <c r="Y24" i="2" a="1"/>
  <c r="Y24" i="2" s="1"/>
  <c r="AL23" i="2"/>
  <c r="AL24" i="2"/>
  <c r="AM23" i="2"/>
  <c r="AM24" i="2"/>
  <c r="AX23" i="2"/>
  <c r="AX24" i="2"/>
  <c r="AY23" i="2"/>
  <c r="AY24" i="2"/>
  <c r="BM23" i="2"/>
  <c r="BM24" i="2"/>
  <c r="BO23" i="2" a="1"/>
  <c r="BO23" i="2" s="1"/>
  <c r="AX26" i="2"/>
  <c r="AF9" i="3"/>
  <c r="B26" i="2"/>
  <c r="B41" i="2"/>
  <c r="C26" i="2"/>
  <c r="C41" i="2"/>
  <c r="R26" i="2"/>
  <c r="R41" i="2"/>
  <c r="S26" i="2"/>
  <c r="S41" i="2"/>
  <c r="T26" i="2"/>
  <c r="T41" i="2"/>
  <c r="Y26" i="2" a="1"/>
  <c r="Y26" i="2" s="1"/>
  <c r="Y41" i="2" a="1"/>
  <c r="Y41" i="2" s="1"/>
  <c r="AL26" i="2"/>
  <c r="AL41" i="2"/>
  <c r="AM26" i="2"/>
  <c r="AM41" i="2"/>
  <c r="AX41" i="2"/>
  <c r="AY26" i="2"/>
  <c r="AY41" i="2"/>
  <c r="BM26" i="2"/>
  <c r="BM41" i="2"/>
  <c r="BO41" i="2" a="1"/>
  <c r="BO41" i="2" s="1"/>
  <c r="AF10" i="3"/>
  <c r="AF11" i="3"/>
  <c r="AT42" i="2" l="1"/>
  <c r="AA42" i="2"/>
  <c r="BA43" i="2"/>
  <c r="BC43" i="2"/>
  <c r="AA43" i="2"/>
  <c r="AT43" i="2"/>
  <c r="W43" i="2"/>
  <c r="BA42" i="2"/>
  <c r="BC42" i="2"/>
  <c r="W42" i="2"/>
  <c r="AA23" i="2"/>
  <c r="AW23" i="2" s="1"/>
  <c r="BQ23" i="2" s="1"/>
  <c r="BT23" i="2" s="1"/>
  <c r="AA24" i="2"/>
  <c r="AW24" i="2" s="1"/>
  <c r="BC24" i="2" s="1"/>
  <c r="Z24" i="2"/>
  <c r="AV24" i="2" s="1"/>
  <c r="Z23" i="2"/>
  <c r="AV23" i="2" s="1"/>
  <c r="AA41" i="2"/>
  <c r="AW41" i="2" s="1"/>
  <c r="BA41" i="2" s="1"/>
  <c r="Z26" i="2"/>
  <c r="AV26" i="2" s="1"/>
  <c r="AA26" i="2"/>
  <c r="AW26" i="2" s="1"/>
  <c r="W26" i="2" s="1"/>
  <c r="Z41" i="2"/>
  <c r="AV41" i="2" s="1"/>
  <c r="B25" i="2"/>
  <c r="C25" i="2"/>
  <c r="R25" i="2"/>
  <c r="S25" i="2"/>
  <c r="T25" i="2"/>
  <c r="Y25" i="2" a="1"/>
  <c r="Y25" i="2" s="1"/>
  <c r="Z25" i="2" s="1"/>
  <c r="AV25" i="2" s="1"/>
  <c r="AL25" i="2"/>
  <c r="AM25" i="2"/>
  <c r="AX25" i="2"/>
  <c r="AY25" i="2"/>
  <c r="BM25" i="2"/>
  <c r="W11" i="2"/>
  <c r="W8" i="2"/>
  <c r="W36" i="2"/>
  <c r="G10" i="6"/>
  <c r="G3" i="6"/>
  <c r="L44" i="1"/>
  <c r="M44" i="1" s="1"/>
  <c r="B9" i="2"/>
  <c r="B6" i="2"/>
  <c r="B7" i="2"/>
  <c r="B12" i="2"/>
  <c r="B11" i="2"/>
  <c r="B8" i="2"/>
  <c r="B36" i="2"/>
  <c r="B13" i="2"/>
  <c r="B14" i="2"/>
  <c r="B15" i="2"/>
  <c r="B16" i="2"/>
  <c r="B17" i="2"/>
  <c r="B19" i="2"/>
  <c r="B20" i="2"/>
  <c r="B21" i="2"/>
  <c r="B22" i="2"/>
  <c r="B27" i="2"/>
  <c r="B28" i="2"/>
  <c r="B31" i="2"/>
  <c r="B32" i="2"/>
  <c r="B39" i="2"/>
  <c r="B40" i="2"/>
  <c r="B34" i="2"/>
  <c r="B10" i="2"/>
  <c r="B37" i="2"/>
  <c r="B18" i="2"/>
  <c r="B29" i="2"/>
  <c r="B30" i="2"/>
  <c r="C9" i="2"/>
  <c r="C6" i="2"/>
  <c r="C7" i="2"/>
  <c r="C12" i="2"/>
  <c r="C11" i="2"/>
  <c r="C8" i="2"/>
  <c r="C36" i="2"/>
  <c r="C13" i="2"/>
  <c r="C14" i="2"/>
  <c r="C15" i="2"/>
  <c r="C16" i="2"/>
  <c r="C17" i="2"/>
  <c r="C19" i="2"/>
  <c r="C20" i="2"/>
  <c r="C21" i="2"/>
  <c r="C22" i="2"/>
  <c r="C27" i="2"/>
  <c r="C28" i="2"/>
  <c r="C31" i="2"/>
  <c r="C32" i="2"/>
  <c r="C35" i="2"/>
  <c r="C38" i="2"/>
  <c r="C39" i="2"/>
  <c r="C40" i="2"/>
  <c r="C34" i="2"/>
  <c r="C10" i="2"/>
  <c r="C37" i="2"/>
  <c r="C18" i="2"/>
  <c r="C29" i="2"/>
  <c r="C30" i="2"/>
  <c r="C33" i="2"/>
  <c r="R9" i="2"/>
  <c r="AA9" i="2" s="1"/>
  <c r="AW9" i="2" s="1"/>
  <c r="R6" i="2"/>
  <c r="R7" i="2"/>
  <c r="AA7" i="2" s="1"/>
  <c r="AW7" i="2" s="1"/>
  <c r="R12" i="2"/>
  <c r="R11" i="2"/>
  <c r="AA11" i="2" s="1"/>
  <c r="AW11" i="2" s="1"/>
  <c r="R8" i="2"/>
  <c r="AA8" i="2" s="1"/>
  <c r="AW8" i="2" s="1"/>
  <c r="R36" i="2"/>
  <c r="AA36" i="2" s="1"/>
  <c r="R13" i="2"/>
  <c r="R14" i="2"/>
  <c r="R15" i="2"/>
  <c r="R16" i="2"/>
  <c r="R17" i="2"/>
  <c r="R19" i="2"/>
  <c r="R20" i="2"/>
  <c r="R21" i="2"/>
  <c r="R22" i="2"/>
  <c r="R27" i="2"/>
  <c r="R28" i="2"/>
  <c r="R31" i="2"/>
  <c r="R32" i="2"/>
  <c r="R35" i="2"/>
  <c r="R38" i="2"/>
  <c r="R39" i="2"/>
  <c r="R40" i="2"/>
  <c r="R34" i="2"/>
  <c r="AA34" i="2" s="1"/>
  <c r="AW34" i="2" s="1"/>
  <c r="R10" i="2"/>
  <c r="R37" i="2"/>
  <c r="AA37" i="2" s="1"/>
  <c r="AW37" i="2" s="1"/>
  <c r="R18" i="2"/>
  <c r="R29" i="2"/>
  <c r="R30" i="2"/>
  <c r="R33" i="2"/>
  <c r="S9" i="2"/>
  <c r="S6" i="2"/>
  <c r="S7" i="2"/>
  <c r="S12" i="2"/>
  <c r="S11" i="2"/>
  <c r="S8" i="2"/>
  <c r="S36" i="2"/>
  <c r="S13" i="2"/>
  <c r="S14" i="2"/>
  <c r="S15" i="2"/>
  <c r="S16" i="2"/>
  <c r="S17" i="2"/>
  <c r="S19" i="2"/>
  <c r="S20" i="2"/>
  <c r="S21" i="2"/>
  <c r="S22" i="2"/>
  <c r="S27" i="2"/>
  <c r="S28" i="2"/>
  <c r="S31" i="2"/>
  <c r="S32" i="2"/>
  <c r="S35" i="2"/>
  <c r="S38" i="2"/>
  <c r="S39" i="2"/>
  <c r="S40" i="2"/>
  <c r="S34" i="2"/>
  <c r="S10" i="2"/>
  <c r="S37" i="2"/>
  <c r="S18" i="2"/>
  <c r="S29" i="2"/>
  <c r="S30" i="2"/>
  <c r="S33" i="2"/>
  <c r="T9" i="2"/>
  <c r="T6" i="2"/>
  <c r="T7" i="2"/>
  <c r="T12" i="2"/>
  <c r="T11" i="2"/>
  <c r="T8" i="2"/>
  <c r="T36" i="2"/>
  <c r="T13" i="2"/>
  <c r="T14" i="2"/>
  <c r="T15" i="2"/>
  <c r="T16" i="2"/>
  <c r="T17" i="2"/>
  <c r="T19" i="2"/>
  <c r="T20" i="2"/>
  <c r="T21" i="2"/>
  <c r="T22" i="2"/>
  <c r="T27" i="2"/>
  <c r="T28" i="2"/>
  <c r="T31" i="2"/>
  <c r="T32" i="2"/>
  <c r="T35" i="2"/>
  <c r="T38" i="2"/>
  <c r="T39" i="2"/>
  <c r="T40" i="2"/>
  <c r="T34" i="2"/>
  <c r="T10" i="2"/>
  <c r="T37" i="2"/>
  <c r="T18" i="2"/>
  <c r="T29" i="2"/>
  <c r="T30" i="2"/>
  <c r="T33" i="2"/>
  <c r="U9" i="2"/>
  <c r="U6" i="2"/>
  <c r="U7" i="2"/>
  <c r="U12" i="2"/>
  <c r="U11" i="2"/>
  <c r="U8" i="2"/>
  <c r="U36" i="2"/>
  <c r="U34" i="2"/>
  <c r="U37" i="2"/>
  <c r="Y9" i="2" a="1"/>
  <c r="Y9" i="2" s="1"/>
  <c r="Y6" i="2" a="1"/>
  <c r="Y6" i="2" s="1"/>
  <c r="Y7" i="2" a="1"/>
  <c r="Y7" i="2" s="1"/>
  <c r="Y12" i="2" a="1"/>
  <c r="Y12" i="2" s="1"/>
  <c r="Y11" i="2" a="1"/>
  <c r="Y11" i="2" s="1"/>
  <c r="Y8" i="2" a="1"/>
  <c r="Y8" i="2" s="1"/>
  <c r="Y36" i="2" a="1"/>
  <c r="Y36" i="2" s="1"/>
  <c r="Z36" i="2" s="1"/>
  <c r="Y13" i="2" a="1"/>
  <c r="Y13" i="2" s="1"/>
  <c r="Y14" i="2" a="1"/>
  <c r="Y14" i="2" s="1"/>
  <c r="Y15" i="2" a="1"/>
  <c r="Y15" i="2" s="1"/>
  <c r="Z15" i="2" s="1"/>
  <c r="Y16" i="2" a="1"/>
  <c r="Y16" i="2" s="1"/>
  <c r="Y17" i="2" a="1"/>
  <c r="Y17" i="2" s="1"/>
  <c r="Y19" i="2" a="1"/>
  <c r="Y19" i="2" s="1"/>
  <c r="Y20" i="2" a="1"/>
  <c r="Y20" i="2" s="1"/>
  <c r="Y21" i="2" a="1"/>
  <c r="Y21" i="2" s="1"/>
  <c r="Y22" i="2" a="1"/>
  <c r="Y22" i="2" s="1"/>
  <c r="Y27" i="2" a="1"/>
  <c r="Y27" i="2" s="1"/>
  <c r="Z27" i="2" s="1"/>
  <c r="Y28" i="2" a="1"/>
  <c r="Y28" i="2" s="1"/>
  <c r="Y31" i="2" a="1"/>
  <c r="Y31" i="2" s="1"/>
  <c r="Y32" i="2" a="1"/>
  <c r="Y32" i="2" s="1"/>
  <c r="Y35" i="2" a="1"/>
  <c r="Y35" i="2" s="1"/>
  <c r="Z35" i="2" s="1"/>
  <c r="Y38" i="2" a="1"/>
  <c r="Y38" i="2" s="1"/>
  <c r="Y39" i="2" a="1"/>
  <c r="Y39" i="2" s="1"/>
  <c r="Y40" i="2" a="1"/>
  <c r="Y40" i="2" s="1"/>
  <c r="Y34" i="2" a="1"/>
  <c r="Y34" i="2" s="1"/>
  <c r="Y10" i="2" a="1"/>
  <c r="Y10" i="2" s="1"/>
  <c r="Z10" i="2" s="1"/>
  <c r="AV10" i="2" s="1"/>
  <c r="Y37" i="2" a="1"/>
  <c r="Y37" i="2" s="1"/>
  <c r="Y18" i="2" a="1"/>
  <c r="Y18" i="2" s="1"/>
  <c r="Y29" i="2" a="1"/>
  <c r="Y29" i="2" s="1"/>
  <c r="Y30" i="2" a="1"/>
  <c r="Y30" i="2" s="1"/>
  <c r="Y33" i="2" a="1"/>
  <c r="Y33" i="2" s="1"/>
  <c r="AL9" i="2"/>
  <c r="AL6" i="2"/>
  <c r="AL7" i="2"/>
  <c r="AL12" i="2"/>
  <c r="AL11" i="2"/>
  <c r="AL8" i="2"/>
  <c r="AL36" i="2"/>
  <c r="AL13" i="2"/>
  <c r="AL14" i="2"/>
  <c r="AL15" i="2"/>
  <c r="AL16" i="2"/>
  <c r="AL17" i="2"/>
  <c r="AL19" i="2"/>
  <c r="AL20" i="2"/>
  <c r="AL21" i="2"/>
  <c r="AL22" i="2"/>
  <c r="AL27" i="2"/>
  <c r="AL28" i="2"/>
  <c r="AL31" i="2"/>
  <c r="AL32" i="2"/>
  <c r="AL35" i="2"/>
  <c r="AL38" i="2"/>
  <c r="AL39" i="2"/>
  <c r="AL40" i="2"/>
  <c r="AL34" i="2"/>
  <c r="AL10" i="2"/>
  <c r="AL37" i="2"/>
  <c r="AL18" i="2"/>
  <c r="AL29" i="2"/>
  <c r="AL30" i="2"/>
  <c r="AL33" i="2"/>
  <c r="AM9" i="2"/>
  <c r="AM6" i="2"/>
  <c r="AM7" i="2"/>
  <c r="AM12" i="2"/>
  <c r="AM11" i="2"/>
  <c r="AM8" i="2"/>
  <c r="AM36" i="2"/>
  <c r="AM13" i="2"/>
  <c r="AM14" i="2"/>
  <c r="AM15" i="2"/>
  <c r="AM16" i="2"/>
  <c r="AM17" i="2"/>
  <c r="AM19" i="2"/>
  <c r="AM20" i="2"/>
  <c r="AM21" i="2"/>
  <c r="AM22" i="2"/>
  <c r="AM27" i="2"/>
  <c r="AM28" i="2"/>
  <c r="AM31" i="2"/>
  <c r="AM32" i="2"/>
  <c r="AM35" i="2"/>
  <c r="AM38" i="2"/>
  <c r="AM39" i="2"/>
  <c r="AM40" i="2"/>
  <c r="AM34" i="2"/>
  <c r="AM10" i="2"/>
  <c r="AM37" i="2"/>
  <c r="AM18" i="2"/>
  <c r="AM29" i="2"/>
  <c r="AM30" i="2"/>
  <c r="AM33" i="2"/>
  <c r="AV36" i="2"/>
  <c r="AW36" i="2"/>
  <c r="AX9" i="2"/>
  <c r="AX6" i="2"/>
  <c r="AX7" i="2"/>
  <c r="AX12" i="2"/>
  <c r="AX11" i="2"/>
  <c r="AX8" i="2"/>
  <c r="AX36" i="2"/>
  <c r="AX13" i="2"/>
  <c r="AX14" i="2"/>
  <c r="AX15" i="2"/>
  <c r="AX16" i="2"/>
  <c r="AX17" i="2"/>
  <c r="AX19" i="2"/>
  <c r="AX20" i="2"/>
  <c r="AX21" i="2"/>
  <c r="AX22" i="2"/>
  <c r="AX27" i="2"/>
  <c r="AX28" i="2"/>
  <c r="AX31" i="2"/>
  <c r="AX32" i="2"/>
  <c r="AX35" i="2"/>
  <c r="AX38" i="2"/>
  <c r="AX39" i="2"/>
  <c r="AX40" i="2"/>
  <c r="AX34" i="2"/>
  <c r="AX10" i="2"/>
  <c r="AX37" i="2"/>
  <c r="AX18" i="2"/>
  <c r="AX29" i="2"/>
  <c r="AX30" i="2"/>
  <c r="AX33" i="2"/>
  <c r="AY9" i="2"/>
  <c r="AY6" i="2"/>
  <c r="AY7" i="2"/>
  <c r="AY12" i="2"/>
  <c r="AY11" i="2"/>
  <c r="AY8" i="2"/>
  <c r="AY36" i="2"/>
  <c r="AY13" i="2"/>
  <c r="AY14" i="2"/>
  <c r="AY15" i="2"/>
  <c r="AY16" i="2"/>
  <c r="AY17" i="2"/>
  <c r="AY19" i="2"/>
  <c r="AY20" i="2"/>
  <c r="AY21" i="2"/>
  <c r="AY22" i="2"/>
  <c r="AY27" i="2"/>
  <c r="AY28" i="2"/>
  <c r="AY31" i="2"/>
  <c r="AY32" i="2"/>
  <c r="AY35" i="2"/>
  <c r="AY38" i="2"/>
  <c r="AY39" i="2"/>
  <c r="AY40" i="2"/>
  <c r="AY34" i="2"/>
  <c r="AY10" i="2"/>
  <c r="AY37" i="2"/>
  <c r="AY18" i="2"/>
  <c r="AY29" i="2"/>
  <c r="AY30" i="2"/>
  <c r="AY33" i="2"/>
  <c r="BM9" i="2"/>
  <c r="BM6" i="2"/>
  <c r="BM7" i="2"/>
  <c r="BM12" i="2"/>
  <c r="BM11" i="2"/>
  <c r="BM8" i="2"/>
  <c r="BM36" i="2"/>
  <c r="BM13" i="2"/>
  <c r="BM14" i="2"/>
  <c r="BM15" i="2"/>
  <c r="BM16" i="2"/>
  <c r="BM17" i="2"/>
  <c r="BM19" i="2"/>
  <c r="BM20" i="2"/>
  <c r="BM21" i="2"/>
  <c r="BM22" i="2"/>
  <c r="BM27" i="2"/>
  <c r="BM28" i="2"/>
  <c r="BM31" i="2"/>
  <c r="BM32" i="2"/>
  <c r="BM35" i="2"/>
  <c r="BM38" i="2"/>
  <c r="BM39" i="2"/>
  <c r="BM40" i="2"/>
  <c r="BM34" i="2"/>
  <c r="BM10" i="2"/>
  <c r="BM37" i="2"/>
  <c r="BM18" i="2"/>
  <c r="BM29" i="2"/>
  <c r="BM30" i="2"/>
  <c r="BM33" i="2"/>
  <c r="BO9" i="2" a="1"/>
  <c r="BO9" i="2" s="1"/>
  <c r="BO6" i="2" a="1"/>
  <c r="BO6" i="2" s="1"/>
  <c r="BO7" i="2" a="1"/>
  <c r="BO7" i="2" s="1"/>
  <c r="BO12" i="2" a="1"/>
  <c r="BO12" i="2" s="1"/>
  <c r="BO11" i="2" a="1"/>
  <c r="BO11" i="2" s="1"/>
  <c r="BO8" i="2" a="1"/>
  <c r="BO8" i="2" s="1"/>
  <c r="BO36" i="2" a="1"/>
  <c r="BO36" i="2" s="1"/>
  <c r="BO14" i="2" a="1"/>
  <c r="BO14" i="2" s="1"/>
  <c r="BO16" i="2" a="1"/>
  <c r="BO16" i="2" s="1"/>
  <c r="BO20" i="2" a="1"/>
  <c r="BO20" i="2" s="1"/>
  <c r="BO21" i="2" a="1"/>
  <c r="BO21" i="2" s="1"/>
  <c r="BO22" i="2" a="1"/>
  <c r="BO22" i="2" s="1"/>
  <c r="BO28" i="2" a="1"/>
  <c r="BO28" i="2" s="1"/>
  <c r="BO31" i="2" a="1"/>
  <c r="BO31" i="2" s="1"/>
  <c r="BO32" i="2" a="1"/>
  <c r="BO32" i="2" s="1"/>
  <c r="BO34" i="2" a="1"/>
  <c r="BO34" i="2" s="1"/>
  <c r="BO37" i="2" a="1"/>
  <c r="BO37" i="2" s="1"/>
  <c r="BC23" i="2" l="1"/>
  <c r="AT23" i="2"/>
  <c r="W23" i="2"/>
  <c r="BA23" i="2"/>
  <c r="AT24" i="2"/>
  <c r="BA24" i="2"/>
  <c r="W24" i="2"/>
  <c r="W41" i="2"/>
  <c r="AT41" i="2"/>
  <c r="BC41" i="2"/>
  <c r="BQ41" i="2"/>
  <c r="BT41" i="2" s="1"/>
  <c r="AT26" i="2"/>
  <c r="BC26" i="2"/>
  <c r="BA26" i="2"/>
  <c r="I43" i="8"/>
  <c r="H44" i="8"/>
  <c r="L44" i="8"/>
  <c r="K45" i="8"/>
  <c r="J46" i="8"/>
  <c r="I47" i="8"/>
  <c r="H48" i="8"/>
  <c r="L48" i="8"/>
  <c r="K49" i="8"/>
  <c r="J50" i="8"/>
  <c r="I51" i="8"/>
  <c r="H52" i="8"/>
  <c r="L52" i="8"/>
  <c r="K53" i="8"/>
  <c r="J54" i="8"/>
  <c r="I55" i="8"/>
  <c r="H56" i="8"/>
  <c r="L56" i="8"/>
  <c r="K57" i="8"/>
  <c r="J58" i="8"/>
  <c r="I59" i="8"/>
  <c r="H60" i="8"/>
  <c r="L60" i="8"/>
  <c r="K61" i="8"/>
  <c r="J62" i="8"/>
  <c r="I63" i="8"/>
  <c r="H64" i="8"/>
  <c r="L64" i="8"/>
  <c r="K65" i="8"/>
  <c r="J66" i="8"/>
  <c r="I67" i="8"/>
  <c r="H68" i="8"/>
  <c r="L68" i="8"/>
  <c r="K69" i="8"/>
  <c r="J70" i="8"/>
  <c r="I71" i="8"/>
  <c r="J43" i="8"/>
  <c r="I44" i="8"/>
  <c r="H45" i="8"/>
  <c r="L45" i="8"/>
  <c r="K46" i="8"/>
  <c r="J47" i="8"/>
  <c r="I48" i="8"/>
  <c r="H49" i="8"/>
  <c r="L49" i="8"/>
  <c r="K50" i="8"/>
  <c r="J51" i="8"/>
  <c r="I52" i="8"/>
  <c r="H53" i="8"/>
  <c r="L53" i="8"/>
  <c r="K54" i="8"/>
  <c r="J55" i="8"/>
  <c r="I56" i="8"/>
  <c r="H57" i="8"/>
  <c r="L57" i="8"/>
  <c r="K58" i="8"/>
  <c r="J59" i="8"/>
  <c r="I60" i="8"/>
  <c r="H61" i="8"/>
  <c r="L61" i="8"/>
  <c r="K62" i="8"/>
  <c r="J63" i="8"/>
  <c r="I64" i="8"/>
  <c r="H65" i="8"/>
  <c r="L65" i="8"/>
  <c r="K66" i="8"/>
  <c r="J67" i="8"/>
  <c r="I68" i="8"/>
  <c r="H69" i="8"/>
  <c r="L69" i="8"/>
  <c r="K70" i="8"/>
  <c r="J71" i="8"/>
  <c r="K43" i="8"/>
  <c r="J44" i="8"/>
  <c r="I45" i="8"/>
  <c r="H46" i="8"/>
  <c r="L46" i="8"/>
  <c r="K47" i="8"/>
  <c r="J48" i="8"/>
  <c r="I49" i="8"/>
  <c r="H50" i="8"/>
  <c r="L50" i="8"/>
  <c r="K51" i="8"/>
  <c r="J52" i="8"/>
  <c r="I53" i="8"/>
  <c r="H54" i="8"/>
  <c r="L54" i="8"/>
  <c r="K55" i="8"/>
  <c r="J56" i="8"/>
  <c r="I57" i="8"/>
  <c r="H58" i="8"/>
  <c r="L58" i="8"/>
  <c r="K59" i="8"/>
  <c r="J60" i="8"/>
  <c r="I61" i="8"/>
  <c r="H62" i="8"/>
  <c r="L62" i="8"/>
  <c r="K63" i="8"/>
  <c r="J64" i="8"/>
  <c r="I65" i="8"/>
  <c r="H66" i="8"/>
  <c r="L66" i="8"/>
  <c r="K67" i="8"/>
  <c r="J68" i="8"/>
  <c r="I69" i="8"/>
  <c r="H70" i="8"/>
  <c r="L70" i="8"/>
  <c r="K71" i="8"/>
  <c r="H43" i="8"/>
  <c r="I46" i="8"/>
  <c r="J49" i="8"/>
  <c r="K52" i="8"/>
  <c r="L55" i="8"/>
  <c r="H59" i="8"/>
  <c r="I62" i="8"/>
  <c r="J65" i="8"/>
  <c r="K68" i="8"/>
  <c r="L71" i="8"/>
  <c r="K72" i="8"/>
  <c r="J73" i="8"/>
  <c r="I74" i="8"/>
  <c r="H75" i="8"/>
  <c r="L75" i="8"/>
  <c r="K76" i="8"/>
  <c r="J77" i="8"/>
  <c r="I78" i="8"/>
  <c r="H79" i="8"/>
  <c r="L79" i="8"/>
  <c r="K80" i="8"/>
  <c r="J81" i="8"/>
  <c r="I82" i="8"/>
  <c r="H83" i="8"/>
  <c r="L83" i="8"/>
  <c r="K84" i="8"/>
  <c r="J85" i="8"/>
  <c r="I86" i="8"/>
  <c r="H87" i="8"/>
  <c r="L87" i="8"/>
  <c r="K88" i="8"/>
  <c r="J89" i="8"/>
  <c r="I90" i="8"/>
  <c r="H91" i="8"/>
  <c r="L91" i="8"/>
  <c r="K92" i="8"/>
  <c r="J93" i="8"/>
  <c r="I94" i="8"/>
  <c r="H95" i="8"/>
  <c r="L95" i="8"/>
  <c r="K96" i="8"/>
  <c r="J97" i="8"/>
  <c r="I98" i="8"/>
  <c r="H99" i="8"/>
  <c r="L99" i="8"/>
  <c r="K100" i="8"/>
  <c r="J101" i="8"/>
  <c r="I102" i="8"/>
  <c r="H103" i="8"/>
  <c r="L103" i="8"/>
  <c r="K104" i="8"/>
  <c r="J105" i="8"/>
  <c r="I106" i="8"/>
  <c r="H107" i="8"/>
  <c r="L107" i="8"/>
  <c r="K108" i="8"/>
  <c r="J109" i="8"/>
  <c r="I110" i="8"/>
  <c r="H111" i="8"/>
  <c r="L111" i="8"/>
  <c r="K112" i="8"/>
  <c r="J113" i="8"/>
  <c r="I114" i="8"/>
  <c r="H115" i="8"/>
  <c r="L115" i="8"/>
  <c r="K116" i="8"/>
  <c r="J117" i="8"/>
  <c r="I118" i="8"/>
  <c r="H119" i="8"/>
  <c r="L119" i="8"/>
  <c r="K120" i="8"/>
  <c r="J121" i="8"/>
  <c r="I122" i="8"/>
  <c r="H123" i="8"/>
  <c r="L123" i="8"/>
  <c r="K124" i="8"/>
  <c r="J125" i="8"/>
  <c r="I126" i="8"/>
  <c r="H127" i="8"/>
  <c r="L127" i="8"/>
  <c r="K128" i="8"/>
  <c r="J129" i="8"/>
  <c r="I130" i="8"/>
  <c r="H131" i="8"/>
  <c r="L131" i="8"/>
  <c r="K132" i="8"/>
  <c r="J133" i="8"/>
  <c r="I134" i="8"/>
  <c r="H135" i="8"/>
  <c r="L135" i="8"/>
  <c r="K136" i="8"/>
  <c r="J137" i="8"/>
  <c r="I138" i="8"/>
  <c r="H139" i="8"/>
  <c r="L139" i="8"/>
  <c r="K140" i="8"/>
  <c r="J141" i="8"/>
  <c r="I142" i="8"/>
  <c r="H143" i="8"/>
  <c r="L143" i="8"/>
  <c r="K144" i="8"/>
  <c r="J145" i="8"/>
  <c r="I146" i="8"/>
  <c r="H147" i="8"/>
  <c r="L147" i="8"/>
  <c r="K148" i="8"/>
  <c r="J149" i="8"/>
  <c r="I150" i="8"/>
  <c r="N44" i="8"/>
  <c r="N48" i="8"/>
  <c r="N52" i="8"/>
  <c r="N56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16" i="8"/>
  <c r="N120" i="8"/>
  <c r="N124" i="8"/>
  <c r="N128" i="8"/>
  <c r="N132" i="8"/>
  <c r="N136" i="8"/>
  <c r="N140" i="8"/>
  <c r="N144" i="8"/>
  <c r="N148" i="8"/>
  <c r="L43" i="8"/>
  <c r="H47" i="8"/>
  <c r="I50" i="8"/>
  <c r="J53" i="8"/>
  <c r="K56" i="8"/>
  <c r="L59" i="8"/>
  <c r="H63" i="8"/>
  <c r="I66" i="8"/>
  <c r="J69" i="8"/>
  <c r="H72" i="8"/>
  <c r="L72" i="8"/>
  <c r="K73" i="8"/>
  <c r="J74" i="8"/>
  <c r="I75" i="8"/>
  <c r="H76" i="8"/>
  <c r="L76" i="8"/>
  <c r="K77" i="8"/>
  <c r="J78" i="8"/>
  <c r="I79" i="8"/>
  <c r="H80" i="8"/>
  <c r="L80" i="8"/>
  <c r="K81" i="8"/>
  <c r="J82" i="8"/>
  <c r="I83" i="8"/>
  <c r="H84" i="8"/>
  <c r="L84" i="8"/>
  <c r="K85" i="8"/>
  <c r="J86" i="8"/>
  <c r="I87" i="8"/>
  <c r="H88" i="8"/>
  <c r="L88" i="8"/>
  <c r="K89" i="8"/>
  <c r="J90" i="8"/>
  <c r="I91" i="8"/>
  <c r="H92" i="8"/>
  <c r="L92" i="8"/>
  <c r="K93" i="8"/>
  <c r="J94" i="8"/>
  <c r="I95" i="8"/>
  <c r="H96" i="8"/>
  <c r="L96" i="8"/>
  <c r="K97" i="8"/>
  <c r="J98" i="8"/>
  <c r="I99" i="8"/>
  <c r="H100" i="8"/>
  <c r="L100" i="8"/>
  <c r="K101" i="8"/>
  <c r="J102" i="8"/>
  <c r="I103" i="8"/>
  <c r="H104" i="8"/>
  <c r="L104" i="8"/>
  <c r="K105" i="8"/>
  <c r="J106" i="8"/>
  <c r="I107" i="8"/>
  <c r="H108" i="8"/>
  <c r="L108" i="8"/>
  <c r="K109" i="8"/>
  <c r="J110" i="8"/>
  <c r="I111" i="8"/>
  <c r="H112" i="8"/>
  <c r="L112" i="8"/>
  <c r="K113" i="8"/>
  <c r="J114" i="8"/>
  <c r="I115" i="8"/>
  <c r="H116" i="8"/>
  <c r="L116" i="8"/>
  <c r="K117" i="8"/>
  <c r="J118" i="8"/>
  <c r="I119" i="8"/>
  <c r="H120" i="8"/>
  <c r="L120" i="8"/>
  <c r="K121" i="8"/>
  <c r="J122" i="8"/>
  <c r="I123" i="8"/>
  <c r="H124" i="8"/>
  <c r="L124" i="8"/>
  <c r="K125" i="8"/>
  <c r="J126" i="8"/>
  <c r="I127" i="8"/>
  <c r="H128" i="8"/>
  <c r="L128" i="8"/>
  <c r="K129" i="8"/>
  <c r="J130" i="8"/>
  <c r="I131" i="8"/>
  <c r="H132" i="8"/>
  <c r="L132" i="8"/>
  <c r="K133" i="8"/>
  <c r="J134" i="8"/>
  <c r="I135" i="8"/>
  <c r="H136" i="8"/>
  <c r="L136" i="8"/>
  <c r="K137" i="8"/>
  <c r="J138" i="8"/>
  <c r="I139" i="8"/>
  <c r="H140" i="8"/>
  <c r="L140" i="8"/>
  <c r="K141" i="8"/>
  <c r="J142" i="8"/>
  <c r="I143" i="8"/>
  <c r="H144" i="8"/>
  <c r="L144" i="8"/>
  <c r="K145" i="8"/>
  <c r="J146" i="8"/>
  <c r="I147" i="8"/>
  <c r="H148" i="8"/>
  <c r="L148" i="8"/>
  <c r="K149" i="8"/>
  <c r="J150" i="8"/>
  <c r="N45" i="8"/>
  <c r="N49" i="8"/>
  <c r="N53" i="8"/>
  <c r="N57" i="8"/>
  <c r="N61" i="8"/>
  <c r="N65" i="8"/>
  <c r="N69" i="8"/>
  <c r="N73" i="8"/>
  <c r="N77" i="8"/>
  <c r="N81" i="8"/>
  <c r="N85" i="8"/>
  <c r="N89" i="8"/>
  <c r="N93" i="8"/>
  <c r="N97" i="8"/>
  <c r="N101" i="8"/>
  <c r="N105" i="8"/>
  <c r="N109" i="8"/>
  <c r="N113" i="8"/>
  <c r="N117" i="8"/>
  <c r="N121" i="8"/>
  <c r="N125" i="8"/>
  <c r="N129" i="8"/>
  <c r="N133" i="8"/>
  <c r="N137" i="8"/>
  <c r="N141" i="8"/>
  <c r="N145" i="8"/>
  <c r="N149" i="8"/>
  <c r="K44" i="8"/>
  <c r="L47" i="8"/>
  <c r="H51" i="8"/>
  <c r="I54" i="8"/>
  <c r="J57" i="8"/>
  <c r="K60" i="8"/>
  <c r="L63" i="8"/>
  <c r="H67" i="8"/>
  <c r="I70" i="8"/>
  <c r="I72" i="8"/>
  <c r="H73" i="8"/>
  <c r="L73" i="8"/>
  <c r="K74" i="8"/>
  <c r="J75" i="8"/>
  <c r="I76" i="8"/>
  <c r="H77" i="8"/>
  <c r="L77" i="8"/>
  <c r="K78" i="8"/>
  <c r="J79" i="8"/>
  <c r="I80" i="8"/>
  <c r="H81" i="8"/>
  <c r="L81" i="8"/>
  <c r="K82" i="8"/>
  <c r="J83" i="8"/>
  <c r="I84" i="8"/>
  <c r="H85" i="8"/>
  <c r="L85" i="8"/>
  <c r="K86" i="8"/>
  <c r="J87" i="8"/>
  <c r="I88" i="8"/>
  <c r="H89" i="8"/>
  <c r="L89" i="8"/>
  <c r="K90" i="8"/>
  <c r="J91" i="8"/>
  <c r="I92" i="8"/>
  <c r="H93" i="8"/>
  <c r="L93" i="8"/>
  <c r="K94" i="8"/>
  <c r="J95" i="8"/>
  <c r="I96" i="8"/>
  <c r="H97" i="8"/>
  <c r="L97" i="8"/>
  <c r="K98" i="8"/>
  <c r="J99" i="8"/>
  <c r="I100" i="8"/>
  <c r="H101" i="8"/>
  <c r="L101" i="8"/>
  <c r="K102" i="8"/>
  <c r="J103" i="8"/>
  <c r="I104" i="8"/>
  <c r="H105" i="8"/>
  <c r="L105" i="8"/>
  <c r="K106" i="8"/>
  <c r="J107" i="8"/>
  <c r="I108" i="8"/>
  <c r="H109" i="8"/>
  <c r="L109" i="8"/>
  <c r="K110" i="8"/>
  <c r="J111" i="8"/>
  <c r="I112" i="8"/>
  <c r="H113" i="8"/>
  <c r="L113" i="8"/>
  <c r="K114" i="8"/>
  <c r="J115" i="8"/>
  <c r="I116" i="8"/>
  <c r="H117" i="8"/>
  <c r="L117" i="8"/>
  <c r="K118" i="8"/>
  <c r="J119" i="8"/>
  <c r="I120" i="8"/>
  <c r="H121" i="8"/>
  <c r="L121" i="8"/>
  <c r="K122" i="8"/>
  <c r="J123" i="8"/>
  <c r="I124" i="8"/>
  <c r="H125" i="8"/>
  <c r="L125" i="8"/>
  <c r="K126" i="8"/>
  <c r="J127" i="8"/>
  <c r="I128" i="8"/>
  <c r="H129" i="8"/>
  <c r="L129" i="8"/>
  <c r="K130" i="8"/>
  <c r="J131" i="8"/>
  <c r="I132" i="8"/>
  <c r="H133" i="8"/>
  <c r="L133" i="8"/>
  <c r="K134" i="8"/>
  <c r="J135" i="8"/>
  <c r="I136" i="8"/>
  <c r="H137" i="8"/>
  <c r="L137" i="8"/>
  <c r="K138" i="8"/>
  <c r="J139" i="8"/>
  <c r="I140" i="8"/>
  <c r="H141" i="8"/>
  <c r="L141" i="8"/>
  <c r="K142" i="8"/>
  <c r="J143" i="8"/>
  <c r="I144" i="8"/>
  <c r="H145" i="8"/>
  <c r="L145" i="8"/>
  <c r="K146" i="8"/>
  <c r="J147" i="8"/>
  <c r="I148" i="8"/>
  <c r="H149" i="8"/>
  <c r="L149" i="8"/>
  <c r="K150" i="8"/>
  <c r="N46" i="8"/>
  <c r="N50" i="8"/>
  <c r="N54" i="8"/>
  <c r="N58" i="8"/>
  <c r="N62" i="8"/>
  <c r="N66" i="8"/>
  <c r="N70" i="8"/>
  <c r="N74" i="8"/>
  <c r="N78" i="8"/>
  <c r="N82" i="8"/>
  <c r="N86" i="8"/>
  <c r="N90" i="8"/>
  <c r="N94" i="8"/>
  <c r="N98" i="8"/>
  <c r="N102" i="8"/>
  <c r="N106" i="8"/>
  <c r="N110" i="8"/>
  <c r="N114" i="8"/>
  <c r="N118" i="8"/>
  <c r="N122" i="8"/>
  <c r="N126" i="8"/>
  <c r="N130" i="8"/>
  <c r="N134" i="8"/>
  <c r="N138" i="8"/>
  <c r="N142" i="8"/>
  <c r="N146" i="8"/>
  <c r="N150" i="8"/>
  <c r="J45" i="8"/>
  <c r="K48" i="8"/>
  <c r="L51" i="8"/>
  <c r="H55" i="8"/>
  <c r="I58" i="8"/>
  <c r="J61" i="8"/>
  <c r="K64" i="8"/>
  <c r="L67" i="8"/>
  <c r="H71" i="8"/>
  <c r="J72" i="8"/>
  <c r="I73" i="8"/>
  <c r="H74" i="8"/>
  <c r="L74" i="8"/>
  <c r="K75" i="8"/>
  <c r="J76" i="8"/>
  <c r="I77" i="8"/>
  <c r="H78" i="8"/>
  <c r="L78" i="8"/>
  <c r="K79" i="8"/>
  <c r="J80" i="8"/>
  <c r="I81" i="8"/>
  <c r="H82" i="8"/>
  <c r="L82" i="8"/>
  <c r="K83" i="8"/>
  <c r="J84" i="8"/>
  <c r="I85" i="8"/>
  <c r="H86" i="8"/>
  <c r="L86" i="8"/>
  <c r="K87" i="8"/>
  <c r="J88" i="8"/>
  <c r="I89" i="8"/>
  <c r="H90" i="8"/>
  <c r="L90" i="8"/>
  <c r="K91" i="8"/>
  <c r="J92" i="8"/>
  <c r="I93" i="8"/>
  <c r="H94" i="8"/>
  <c r="L94" i="8"/>
  <c r="K95" i="8"/>
  <c r="J96" i="8"/>
  <c r="I97" i="8"/>
  <c r="H98" i="8"/>
  <c r="L98" i="8"/>
  <c r="K99" i="8"/>
  <c r="J100" i="8"/>
  <c r="I101" i="8"/>
  <c r="H102" i="8"/>
  <c r="L102" i="8"/>
  <c r="K103" i="8"/>
  <c r="J104" i="8"/>
  <c r="I105" i="8"/>
  <c r="H106" i="8"/>
  <c r="L106" i="8"/>
  <c r="K107" i="8"/>
  <c r="J108" i="8"/>
  <c r="I109" i="8"/>
  <c r="H110" i="8"/>
  <c r="L110" i="8"/>
  <c r="K111" i="8"/>
  <c r="J112" i="8"/>
  <c r="I113" i="8"/>
  <c r="H114" i="8"/>
  <c r="L114" i="8"/>
  <c r="K115" i="8"/>
  <c r="J116" i="8"/>
  <c r="I117" i="8"/>
  <c r="H118" i="8"/>
  <c r="L118" i="8"/>
  <c r="K119" i="8"/>
  <c r="J120" i="8"/>
  <c r="I121" i="8"/>
  <c r="H122" i="8"/>
  <c r="L122" i="8"/>
  <c r="K123" i="8"/>
  <c r="L126" i="8"/>
  <c r="H130" i="8"/>
  <c r="I133" i="8"/>
  <c r="J136" i="8"/>
  <c r="K139" i="8"/>
  <c r="L142" i="8"/>
  <c r="H146" i="8"/>
  <c r="I149" i="8"/>
  <c r="N43" i="8"/>
  <c r="N59" i="8"/>
  <c r="N75" i="8"/>
  <c r="N91" i="8"/>
  <c r="N107" i="8"/>
  <c r="N123" i="8"/>
  <c r="N139" i="8"/>
  <c r="J124" i="8"/>
  <c r="K127" i="8"/>
  <c r="L130" i="8"/>
  <c r="H134" i="8"/>
  <c r="I137" i="8"/>
  <c r="J140" i="8"/>
  <c r="K143" i="8"/>
  <c r="L146" i="8"/>
  <c r="H150" i="8"/>
  <c r="N47" i="8"/>
  <c r="N63" i="8"/>
  <c r="N79" i="8"/>
  <c r="N95" i="8"/>
  <c r="N111" i="8"/>
  <c r="N127" i="8"/>
  <c r="N143" i="8"/>
  <c r="I125" i="8"/>
  <c r="J128" i="8"/>
  <c r="K131" i="8"/>
  <c r="L134" i="8"/>
  <c r="H138" i="8"/>
  <c r="I141" i="8"/>
  <c r="J144" i="8"/>
  <c r="K147" i="8"/>
  <c r="L150" i="8"/>
  <c r="N51" i="8"/>
  <c r="N67" i="8"/>
  <c r="N83" i="8"/>
  <c r="N99" i="8"/>
  <c r="N115" i="8"/>
  <c r="N131" i="8"/>
  <c r="N147" i="8"/>
  <c r="H126" i="8"/>
  <c r="I129" i="8"/>
  <c r="J132" i="8"/>
  <c r="K135" i="8"/>
  <c r="L138" i="8"/>
  <c r="H142" i="8"/>
  <c r="I145" i="8"/>
  <c r="J148" i="8"/>
  <c r="N55" i="8"/>
  <c r="N71" i="8"/>
  <c r="N87" i="8"/>
  <c r="N103" i="8"/>
  <c r="N119" i="8"/>
  <c r="N135" i="8"/>
  <c r="F14" i="1" a="1"/>
  <c r="AA6" i="2"/>
  <c r="AW6" i="2" s="1"/>
  <c r="Z38" i="2"/>
  <c r="AV38" i="2" s="1"/>
  <c r="Z33" i="2"/>
  <c r="AV33" i="2" s="1"/>
  <c r="Z37" i="2"/>
  <c r="AV37" i="2" s="1"/>
  <c r="AT37" i="2" s="1"/>
  <c r="Z19" i="2"/>
  <c r="AV19" i="2" s="1"/>
  <c r="Z14" i="2"/>
  <c r="AV14" i="2" s="1"/>
  <c r="Z11" i="2"/>
  <c r="AV11" i="2" s="1"/>
  <c r="AT11" i="2" s="1"/>
  <c r="Z9" i="2"/>
  <c r="AV9" i="2" s="1"/>
  <c r="AT9" i="2" s="1"/>
  <c r="Z18" i="2"/>
  <c r="AV18" i="2" s="1"/>
  <c r="Z28" i="2"/>
  <c r="AV28" i="2" s="1"/>
  <c r="Z6" i="2"/>
  <c r="AV6" i="2" s="1"/>
  <c r="Z30" i="2"/>
  <c r="AV30" i="2" s="1"/>
  <c r="Z40" i="2"/>
  <c r="AV40" i="2" s="1"/>
  <c r="Z32" i="2"/>
  <c r="AV32" i="2" s="1"/>
  <c r="Z22" i="2"/>
  <c r="AV22" i="2" s="1"/>
  <c r="Z17" i="2"/>
  <c r="AV17" i="2" s="1"/>
  <c r="Z13" i="2"/>
  <c r="AV13" i="2" s="1"/>
  <c r="Z12" i="2"/>
  <c r="AV12" i="2" s="1"/>
  <c r="Z34" i="2"/>
  <c r="AV34" i="2" s="1"/>
  <c r="AT34" i="2" s="1"/>
  <c r="Z20" i="2"/>
  <c r="AV20" i="2" s="1"/>
  <c r="Z8" i="2"/>
  <c r="AV8" i="2" s="1"/>
  <c r="AT8" i="2" s="1"/>
  <c r="Z29" i="2"/>
  <c r="AV29" i="2" s="1"/>
  <c r="Z39" i="2"/>
  <c r="AV39" i="2" s="1"/>
  <c r="Z31" i="2"/>
  <c r="AV31" i="2" s="1"/>
  <c r="Z21" i="2"/>
  <c r="AV21" i="2" s="1"/>
  <c r="Z16" i="2"/>
  <c r="AV16" i="2" s="1"/>
  <c r="Z7" i="2"/>
  <c r="AV7" i="2" s="1"/>
  <c r="AT7" i="2" s="1"/>
  <c r="AA25" i="2"/>
  <c r="AW25" i="2" s="1"/>
  <c r="BC25" i="2" s="1"/>
  <c r="W37" i="2"/>
  <c r="W7" i="2"/>
  <c r="W34" i="2"/>
  <c r="AA40" i="2"/>
  <c r="AW40" i="2" s="1"/>
  <c r="W40" i="2" s="1"/>
  <c r="AA19" i="2"/>
  <c r="AW19" i="2" s="1"/>
  <c r="BC19" i="2" s="1"/>
  <c r="AA14" i="2"/>
  <c r="AW14" i="2" s="1"/>
  <c r="W14" i="2" s="1"/>
  <c r="W9" i="2"/>
  <c r="P44" i="1"/>
  <c r="BQ37" i="2"/>
  <c r="BS37" i="2" s="1"/>
  <c r="BQ9" i="2"/>
  <c r="BT9" i="2" s="1"/>
  <c r="BQ8" i="2"/>
  <c r="BT8" i="2" s="1"/>
  <c r="AV15" i="2"/>
  <c r="AA15" i="2"/>
  <c r="AW15" i="2" s="1"/>
  <c r="BC15" i="2" s="1"/>
  <c r="AT36" i="2"/>
  <c r="BA8" i="2"/>
  <c r="BQ11" i="2"/>
  <c r="BT11" i="2" s="1"/>
  <c r="AA32" i="2"/>
  <c r="AW32" i="2" s="1"/>
  <c r="W32" i="2" s="1"/>
  <c r="BC8" i="2"/>
  <c r="AA22" i="2"/>
  <c r="AW22" i="2" s="1"/>
  <c r="BQ22" i="2" s="1"/>
  <c r="BA9" i="2"/>
  <c r="AV35" i="2"/>
  <c r="AA35" i="2"/>
  <c r="AW35" i="2" s="1"/>
  <c r="W35" i="2" s="1"/>
  <c r="AA27" i="2"/>
  <c r="AW27" i="2" s="1"/>
  <c r="W27" i="2" s="1"/>
  <c r="AV27" i="2"/>
  <c r="AA33" i="2"/>
  <c r="AW33" i="2" s="1"/>
  <c r="W33" i="2" s="1"/>
  <c r="AA29" i="2"/>
  <c r="AW29" i="2" s="1"/>
  <c r="W29" i="2" s="1"/>
  <c r="AA10" i="2"/>
  <c r="AW10" i="2" s="1"/>
  <c r="AT10" i="2" s="1"/>
  <c r="AA38" i="2"/>
  <c r="AW38" i="2" s="1"/>
  <c r="BC38" i="2" s="1"/>
  <c r="AA28" i="2"/>
  <c r="AW28" i="2" s="1"/>
  <c r="AA20" i="2"/>
  <c r="AW20" i="2" s="1"/>
  <c r="BA20" i="2" s="1"/>
  <c r="AA16" i="2"/>
  <c r="AW16" i="2" s="1"/>
  <c r="BA16" i="2" s="1"/>
  <c r="BC11" i="2"/>
  <c r="BC9" i="2"/>
  <c r="AA18" i="2"/>
  <c r="AW18" i="2" s="1"/>
  <c r="W18" i="2" s="1"/>
  <c r="BA11" i="2"/>
  <c r="BA37" i="2"/>
  <c r="AU9" i="2"/>
  <c r="AA31" i="2"/>
  <c r="AW31" i="2" s="1"/>
  <c r="BQ31" i="2" s="1"/>
  <c r="AA12" i="2"/>
  <c r="AW12" i="2" s="1"/>
  <c r="W12" i="2" s="1"/>
  <c r="BA34" i="2"/>
  <c r="BC34" i="2"/>
  <c r="AU34" i="2"/>
  <c r="BQ34" i="2"/>
  <c r="AU36" i="2"/>
  <c r="BA36" i="2"/>
  <c r="BQ36" i="2"/>
  <c r="BC36" i="2"/>
  <c r="BC7" i="2"/>
  <c r="BA7" i="2"/>
  <c r="BQ7" i="2"/>
  <c r="AU8" i="2"/>
  <c r="AA30" i="2"/>
  <c r="AW30" i="2" s="1"/>
  <c r="W30" i="2" s="1"/>
  <c r="AA21" i="2"/>
  <c r="AW21" i="2" s="1"/>
  <c r="BQ21" i="2" s="1"/>
  <c r="AA13" i="2"/>
  <c r="AW13" i="2" s="1"/>
  <c r="AA39" i="2"/>
  <c r="AW39" i="2" s="1"/>
  <c r="BC39" i="2" s="1"/>
  <c r="AA17" i="2"/>
  <c r="AW17" i="2" s="1"/>
  <c r="AU37" i="2"/>
  <c r="BC37" i="2"/>
  <c r="AU7" i="2"/>
  <c r="AU11" i="2"/>
  <c r="AS43" i="2" l="1"/>
  <c r="AS42" i="2"/>
  <c r="W6" i="2"/>
  <c r="AS23" i="2"/>
  <c r="AS24" i="2"/>
  <c r="BQ6" i="2"/>
  <c r="BA6" i="2"/>
  <c r="AU6" i="2"/>
  <c r="BC6" i="2"/>
  <c r="AT6" i="2"/>
  <c r="F14" i="1"/>
  <c r="S16" i="1"/>
  <c r="L16" i="1"/>
  <c r="M16" i="1" s="1"/>
  <c r="P15" i="1"/>
  <c r="H15" i="1"/>
  <c r="P16" i="1"/>
  <c r="J16" i="1"/>
  <c r="O15" i="1"/>
  <c r="Q15" i="1" s="1"/>
  <c r="O16" i="1"/>
  <c r="Q16" i="1" s="1"/>
  <c r="H16" i="1"/>
  <c r="L15" i="1"/>
  <c r="M15" i="1" s="1"/>
  <c r="S15" i="1"/>
  <c r="J15" i="1"/>
  <c r="AS41" i="2"/>
  <c r="AS26" i="2"/>
  <c r="AT25" i="2"/>
  <c r="BA25" i="2"/>
  <c r="W25" i="2"/>
  <c r="AT28" i="2"/>
  <c r="AT19" i="2"/>
  <c r="BQ14" i="2"/>
  <c r="BT14" i="2" s="1"/>
  <c r="AT14" i="2"/>
  <c r="BC14" i="2"/>
  <c r="BA14" i="2"/>
  <c r="BA30" i="2"/>
  <c r="BC29" i="2"/>
  <c r="BA29" i="2"/>
  <c r="BT37" i="2"/>
  <c r="BA19" i="2"/>
  <c r="AT22" i="2"/>
  <c r="AT40" i="2"/>
  <c r="BC40" i="2"/>
  <c r="AT29" i="2"/>
  <c r="BA40" i="2"/>
  <c r="BC18" i="2"/>
  <c r="W19" i="2"/>
  <c r="BA15" i="2"/>
  <c r="BA33" i="2"/>
  <c r="AT33" i="2"/>
  <c r="BC16" i="2"/>
  <c r="W16" i="2"/>
  <c r="BA18" i="2"/>
  <c r="W15" i="2"/>
  <c r="BA22" i="2"/>
  <c r="W22" i="2"/>
  <c r="W39" i="2"/>
  <c r="AT32" i="2"/>
  <c r="AT30" i="2"/>
  <c r="BC30" i="2"/>
  <c r="BA32" i="2"/>
  <c r="W20" i="2"/>
  <c r="BA13" i="2"/>
  <c r="W13" i="2"/>
  <c r="BA17" i="2"/>
  <c r="W17" i="2"/>
  <c r="BC33" i="2"/>
  <c r="AT18" i="2"/>
  <c r="W21" i="2"/>
  <c r="W38" i="2"/>
  <c r="W31" i="2"/>
  <c r="W10" i="2"/>
  <c r="W28" i="2"/>
  <c r="BC32" i="2"/>
  <c r="BC12" i="2"/>
  <c r="BA10" i="2"/>
  <c r="AT21" i="2"/>
  <c r="BC31" i="2"/>
  <c r="AT15" i="2"/>
  <c r="BC10" i="2"/>
  <c r="BA31" i="2"/>
  <c r="BQ28" i="2"/>
  <c r="BT28" i="2" s="1"/>
  <c r="AT31" i="2"/>
  <c r="BC28" i="2"/>
  <c r="BQ32" i="2"/>
  <c r="BT32" i="2" s="1"/>
  <c r="BA27" i="2"/>
  <c r="AT39" i="2"/>
  <c r="BC27" i="2"/>
  <c r="AT27" i="2"/>
  <c r="BC20" i="2"/>
  <c r="BQ20" i="2"/>
  <c r="BA28" i="2"/>
  <c r="BC22" i="2"/>
  <c r="AT20" i="2"/>
  <c r="AT13" i="2"/>
  <c r="BC13" i="2"/>
  <c r="O44" i="1"/>
  <c r="BT21" i="2"/>
  <c r="BT31" i="2"/>
  <c r="BA12" i="2"/>
  <c r="AU12" i="2"/>
  <c r="BQ16" i="2"/>
  <c r="BT16" i="2" s="1"/>
  <c r="AT16" i="2"/>
  <c r="BA38" i="2"/>
  <c r="BA35" i="2"/>
  <c r="BC35" i="2"/>
  <c r="BA39" i="2"/>
  <c r="BQ12" i="2"/>
  <c r="BA21" i="2"/>
  <c r="BC17" i="2"/>
  <c r="AT38" i="2"/>
  <c r="AT35" i="2"/>
  <c r="AT12" i="2"/>
  <c r="BC21" i="2"/>
  <c r="AT17" i="2"/>
  <c r="BS9" i="2"/>
  <c r="BS11" i="2"/>
  <c r="BS8" i="2"/>
  <c r="BH8" i="2"/>
  <c r="BH11" i="2"/>
  <c r="BT22" i="2"/>
  <c r="BS36" i="2"/>
  <c r="BT36" i="2"/>
  <c r="BS7" i="2"/>
  <c r="BT7" i="2"/>
  <c r="BH7" i="2"/>
  <c r="BS34" i="2"/>
  <c r="BT34" i="2"/>
  <c r="BH36" i="2"/>
  <c r="BH43" i="2" l="1"/>
  <c r="BJ43" i="2"/>
  <c r="BF43" i="2"/>
  <c r="BD43" i="2"/>
  <c r="BJ42" i="2"/>
  <c r="BH42" i="2"/>
  <c r="BF42" i="2"/>
  <c r="BD42" i="2"/>
  <c r="BS6" i="2"/>
  <c r="BH24" i="2"/>
  <c r="BJ24" i="2"/>
  <c r="BJ23" i="2"/>
  <c r="BH6" i="2"/>
  <c r="BD23" i="2"/>
  <c r="BF23" i="2"/>
  <c r="BD24" i="2"/>
  <c r="BF24" i="2"/>
  <c r="BH23" i="2"/>
  <c r="BT6" i="2"/>
  <c r="BH9" i="2"/>
  <c r="BF41" i="2"/>
  <c r="BF26" i="2"/>
  <c r="BH41" i="2"/>
  <c r="BD41" i="2"/>
  <c r="BH26" i="2"/>
  <c r="BJ26" i="2"/>
  <c r="BJ41" i="2"/>
  <c r="BD26" i="2"/>
  <c r="BF25" i="2"/>
  <c r="BH25" i="2"/>
  <c r="BH38" i="2"/>
  <c r="BF12" i="2"/>
  <c r="BF11" i="2"/>
  <c r="BH40" i="2"/>
  <c r="BH33" i="2"/>
  <c r="BH27" i="2"/>
  <c r="BH39" i="2"/>
  <c r="BF10" i="2"/>
  <c r="BT20" i="2"/>
  <c r="BH22" i="2"/>
  <c r="BF32" i="2"/>
  <c r="BF28" i="2"/>
  <c r="BF35" i="2"/>
  <c r="BF29" i="2"/>
  <c r="BH10" i="2"/>
  <c r="BF7" i="2"/>
  <c r="BF21" i="2"/>
  <c r="BH31" i="2"/>
  <c r="BF22" i="2"/>
  <c r="BH12" i="2"/>
  <c r="BH35" i="2"/>
  <c r="BF37" i="2"/>
  <c r="BH21" i="2"/>
  <c r="BF30" i="2"/>
  <c r="BF17" i="2"/>
  <c r="BF6" i="2"/>
  <c r="BH19" i="2"/>
  <c r="BF16" i="2"/>
  <c r="BF20" i="2"/>
  <c r="BF39" i="2"/>
  <c r="BF13" i="2"/>
  <c r="BF34" i="2"/>
  <c r="BH30" i="2"/>
  <c r="BH17" i="2"/>
  <c r="BF8" i="2"/>
  <c r="BF14" i="2"/>
  <c r="BF19" i="2"/>
  <c r="BF27" i="2"/>
  <c r="BF18" i="2"/>
  <c r="BH18" i="2"/>
  <c r="BH20" i="2"/>
  <c r="BF40" i="2"/>
  <c r="BF33" i="2"/>
  <c r="BH32" i="2"/>
  <c r="BF38" i="2"/>
  <c r="BH16" i="2"/>
  <c r="BH29" i="2"/>
  <c r="BH13" i="2"/>
  <c r="BH28" i="2"/>
  <c r="BF31" i="2"/>
  <c r="BF15" i="2"/>
  <c r="BH14" i="2"/>
  <c r="BH15" i="2"/>
  <c r="BT12" i="2"/>
  <c r="BS12" i="2"/>
  <c r="P68" i="1" l="1"/>
  <c r="O68" i="1"/>
  <c r="L68" i="1"/>
  <c r="M68" i="1" s="1"/>
  <c r="L63" i="1"/>
  <c r="M63" i="1" s="1"/>
  <c r="P59" i="1"/>
  <c r="O59" i="1"/>
  <c r="L59" i="1"/>
  <c r="M59" i="1" s="1"/>
  <c r="P51" i="1"/>
  <c r="O51" i="1"/>
  <c r="L51" i="1"/>
  <c r="M51" i="1" s="1"/>
  <c r="P33" i="1"/>
  <c r="O33" i="1"/>
  <c r="L33" i="1"/>
  <c r="M33" i="1" s="1"/>
  <c r="AS25" i="2"/>
  <c r="BJ25" i="2" l="1"/>
  <c r="P63" i="1"/>
  <c r="O63" i="1"/>
  <c r="Q63" i="1" s="1"/>
  <c r="Q44" i="1"/>
  <c r="L58" i="1"/>
  <c r="M58" i="1" s="1"/>
  <c r="B17" i="5" a="1"/>
  <c r="B17" i="5" s="1"/>
  <c r="C17" i="5" s="1"/>
  <c r="O43" i="1"/>
  <c r="Q43" i="1" s="1"/>
  <c r="D16" i="5"/>
  <c r="L67" i="1"/>
  <c r="M67" i="1" s="1"/>
  <c r="P67" i="1"/>
  <c r="L43" i="1"/>
  <c r="M43" i="1" s="1"/>
  <c r="P43" i="1"/>
  <c r="O67" i="1"/>
  <c r="Q67" i="1" s="1"/>
  <c r="AS8" i="2"/>
  <c r="AS35" i="2"/>
  <c r="AS6" i="2"/>
  <c r="AS15" i="2"/>
  <c r="AS27" i="2"/>
  <c r="AS18" i="2"/>
  <c r="AS32" i="2"/>
  <c r="AS11" i="2"/>
  <c r="AS33" i="2"/>
  <c r="AS19" i="2"/>
  <c r="AS34" i="2"/>
  <c r="AS20" i="2"/>
  <c r="AS9" i="2"/>
  <c r="AS37" i="2"/>
  <c r="AS21" i="2"/>
  <c r="AS28" i="2"/>
  <c r="AS29" i="2"/>
  <c r="AS16" i="2"/>
  <c r="AS7" i="2"/>
  <c r="AS40" i="2"/>
  <c r="AS17" i="2"/>
  <c r="AS22" i="2"/>
  <c r="AS39" i="2"/>
  <c r="AS13" i="2"/>
  <c r="AS10" i="2"/>
  <c r="AS38" i="2"/>
  <c r="AS36" i="2"/>
  <c r="AS14" i="2"/>
  <c r="AS30" i="2"/>
  <c r="AS31" i="2"/>
  <c r="AS12" i="2"/>
  <c r="Q33" i="1"/>
  <c r="O58" i="1"/>
  <c r="Q58" i="1" s="1"/>
  <c r="Q68" i="1"/>
  <c r="Q51" i="1"/>
  <c r="P58" i="1"/>
  <c r="Q59" i="1"/>
  <c r="BD25" i="2"/>
  <c r="F45" i="1" l="1" a="1"/>
  <c r="BH34" i="2"/>
  <c r="BH37" i="2"/>
  <c r="BF9" i="2"/>
  <c r="BF36" i="2"/>
  <c r="BD22" i="2"/>
  <c r="BD32" i="2"/>
  <c r="BD9" i="2"/>
  <c r="BD19" i="2"/>
  <c r="BD27" i="2"/>
  <c r="BD14" i="2"/>
  <c r="BD40" i="2"/>
  <c r="BD6" i="2"/>
  <c r="BD15" i="2"/>
  <c r="BD33" i="2"/>
  <c r="BD18" i="2"/>
  <c r="BD8" i="2"/>
  <c r="BD11" i="2"/>
  <c r="BD35" i="2"/>
  <c r="BD29" i="2"/>
  <c r="BD20" i="2"/>
  <c r="BD38" i="2"/>
  <c r="BD34" i="2"/>
  <c r="BD39" i="2"/>
  <c r="BD37" i="2"/>
  <c r="BD12" i="2"/>
  <c r="BD31" i="2"/>
  <c r="BD30" i="2"/>
  <c r="BD36" i="2"/>
  <c r="BD16" i="2"/>
  <c r="BD28" i="2"/>
  <c r="BD7" i="2"/>
  <c r="BD17" i="2"/>
  <c r="BD10" i="2"/>
  <c r="BD13" i="2"/>
  <c r="BD21" i="2"/>
  <c r="BJ29" i="2"/>
  <c r="BJ7" i="2"/>
  <c r="BJ17" i="2"/>
  <c r="BJ28" i="2"/>
  <c r="BJ32" i="2"/>
  <c r="BJ35" i="2"/>
  <c r="BJ8" i="2"/>
  <c r="BJ39" i="2"/>
  <c r="BJ16" i="2"/>
  <c r="BJ27" i="2"/>
  <c r="BJ18" i="2"/>
  <c r="BJ31" i="2"/>
  <c r="BJ13" i="2"/>
  <c r="BJ34" i="2"/>
  <c r="BJ14" i="2"/>
  <c r="BJ40" i="2"/>
  <c r="BJ9" i="2"/>
  <c r="BJ37" i="2"/>
  <c r="BJ15" i="2"/>
  <c r="BJ22" i="2"/>
  <c r="BJ11" i="2"/>
  <c r="BJ38" i="2"/>
  <c r="BJ12" i="2"/>
  <c r="BJ6" i="2"/>
  <c r="BJ36" i="2"/>
  <c r="BJ30" i="2"/>
  <c r="BJ20" i="2"/>
  <c r="BJ21" i="2"/>
  <c r="BJ10" i="2"/>
  <c r="BJ33" i="2"/>
  <c r="BJ19" i="2"/>
  <c r="F64" i="1" a="1"/>
  <c r="F34" i="1" a="1"/>
  <c r="F60" i="1" a="1"/>
  <c r="F52" i="1" a="1"/>
  <c r="F69" i="1" a="1"/>
  <c r="F45" i="1" l="1"/>
  <c r="H45" i="1" s="1"/>
  <c r="P48" i="1"/>
  <c r="H48" i="1"/>
  <c r="L47" i="1"/>
  <c r="M47" i="1" s="1"/>
  <c r="O49" i="1"/>
  <c r="Q49" i="1" s="1"/>
  <c r="J46" i="1"/>
  <c r="J48" i="1"/>
  <c r="O47" i="1"/>
  <c r="Q47" i="1" s="1"/>
  <c r="L46" i="1"/>
  <c r="M46" i="1" s="1"/>
  <c r="O48" i="1"/>
  <c r="Q48" i="1" s="1"/>
  <c r="J47" i="1"/>
  <c r="L49" i="1"/>
  <c r="M49" i="1" s="1"/>
  <c r="P46" i="1"/>
  <c r="H46" i="1"/>
  <c r="P49" i="1"/>
  <c r="L48" i="1"/>
  <c r="M48" i="1" s="1"/>
  <c r="P47" i="1"/>
  <c r="H47" i="1"/>
  <c r="J49" i="1"/>
  <c r="O46" i="1"/>
  <c r="Q46" i="1" s="1"/>
  <c r="H49" i="1"/>
  <c r="F69" i="1"/>
  <c r="P69" i="1" s="1"/>
  <c r="F60" i="1"/>
  <c r="J60" i="1" s="1"/>
  <c r="H61" i="1"/>
  <c r="L61" i="1"/>
  <c r="M61" i="1" s="1"/>
  <c r="O61" i="1"/>
  <c r="Q61" i="1" s="1"/>
  <c r="P61" i="1"/>
  <c r="J61" i="1"/>
  <c r="S61" i="1"/>
  <c r="F64" i="1"/>
  <c r="S64" i="1" s="1"/>
  <c r="L65" i="1"/>
  <c r="M65" i="1" s="1"/>
  <c r="H65" i="1"/>
  <c r="O65" i="1"/>
  <c r="Q65" i="1" s="1"/>
  <c r="P65" i="1"/>
  <c r="S65" i="1"/>
  <c r="J65" i="1"/>
  <c r="F34" i="1"/>
  <c r="H34" i="1" s="1"/>
  <c r="H35" i="1"/>
  <c r="O36" i="1"/>
  <c r="Q36" i="1" s="1"/>
  <c r="L35" i="1"/>
  <c r="M35" i="1" s="1"/>
  <c r="H38" i="1"/>
  <c r="O35" i="1"/>
  <c r="Q35" i="1" s="1"/>
  <c r="J38" i="1"/>
  <c r="J37" i="1"/>
  <c r="H36" i="1"/>
  <c r="O38" i="1"/>
  <c r="Q38" i="1" s="1"/>
  <c r="J36" i="1"/>
  <c r="P38" i="1"/>
  <c r="L37" i="1"/>
  <c r="M37" i="1" s="1"/>
  <c r="P37" i="1"/>
  <c r="P35" i="1"/>
  <c r="H37" i="1"/>
  <c r="J35" i="1"/>
  <c r="P36" i="1"/>
  <c r="L38" i="1"/>
  <c r="M38" i="1" s="1"/>
  <c r="L36" i="1"/>
  <c r="M36" i="1" s="1"/>
  <c r="O37" i="1"/>
  <c r="Q37" i="1" s="1"/>
  <c r="F52" i="1"/>
  <c r="L52" i="1" s="1"/>
  <c r="M52" i="1" s="1"/>
  <c r="J55" i="1"/>
  <c r="P54" i="1"/>
  <c r="L54" i="1"/>
  <c r="M54" i="1" s="1"/>
  <c r="H55" i="1"/>
  <c r="L53" i="1"/>
  <c r="M53" i="1" s="1"/>
  <c r="L55" i="1"/>
  <c r="M55" i="1" s="1"/>
  <c r="J53" i="1"/>
  <c r="L56" i="1"/>
  <c r="M56" i="1" s="1"/>
  <c r="O54" i="1"/>
  <c r="Q54" i="1" s="1"/>
  <c r="O56" i="1"/>
  <c r="Q56" i="1" s="1"/>
  <c r="H53" i="1"/>
  <c r="P53" i="1"/>
  <c r="P56" i="1"/>
  <c r="P55" i="1"/>
  <c r="H54" i="1"/>
  <c r="O53" i="1"/>
  <c r="Q53" i="1" s="1"/>
  <c r="H56" i="1"/>
  <c r="O55" i="1"/>
  <c r="Q55" i="1" s="1"/>
  <c r="J56" i="1"/>
  <c r="J54" i="1"/>
  <c r="BI7" i="2" a="1"/>
  <c r="BI7" i="2" s="1"/>
  <c r="S68" i="1" s="1"/>
  <c r="BI8" i="2" a="1"/>
  <c r="BI8" i="2" s="1"/>
  <c r="BI34" i="2" a="1"/>
  <c r="BI34" i="2" s="1"/>
  <c r="S63" i="1" s="1"/>
  <c r="BI9" i="2" a="1"/>
  <c r="BI9" i="2" s="1"/>
  <c r="BI6" i="2" a="1"/>
  <c r="BI6" i="2" s="1"/>
  <c r="BI11" i="2" a="1"/>
  <c r="BI11" i="2" s="1"/>
  <c r="BI36" i="2" a="1"/>
  <c r="BI36" i="2" s="1"/>
  <c r="BI37" i="2" a="1"/>
  <c r="BI37" i="2" s="1"/>
  <c r="BG9" i="2" a="1"/>
  <c r="BG9" i="2" s="1"/>
  <c r="BG36" i="2" a="1"/>
  <c r="BG36" i="2" s="1"/>
  <c r="P16" i="7" a="1"/>
  <c r="P16" i="7" s="1"/>
  <c r="P15" i="7" a="1"/>
  <c r="P15" i="7" s="1"/>
  <c r="N16" i="7" a="1"/>
  <c r="N16" i="7" s="1"/>
  <c r="X29" i="5"/>
  <c r="X28" i="5"/>
  <c r="X27" i="5"/>
  <c r="X26" i="5"/>
  <c r="X25" i="5"/>
  <c r="X24" i="5"/>
  <c r="X21" i="5"/>
  <c r="X22" i="5"/>
  <c r="X23" i="5"/>
  <c r="X19" i="5"/>
  <c r="X18" i="5"/>
  <c r="J45" i="1" l="1"/>
  <c r="L45" i="1"/>
  <c r="M45" i="1" s="1"/>
  <c r="P45" i="1"/>
  <c r="O45" i="1"/>
  <c r="Q45" i="1" s="1"/>
  <c r="H69" i="1"/>
  <c r="J69" i="1"/>
  <c r="L69" i="1"/>
  <c r="M69" i="1" s="1"/>
  <c r="S69" i="1"/>
  <c r="O69" i="1"/>
  <c r="Q69" i="1" s="1"/>
  <c r="S59" i="1"/>
  <c r="J34" i="1"/>
  <c r="L34" i="1"/>
  <c r="M34" i="1" s="1"/>
  <c r="S60" i="1"/>
  <c r="O60" i="1"/>
  <c r="Q60" i="1" s="1"/>
  <c r="P34" i="1"/>
  <c r="H60" i="1"/>
  <c r="P60" i="1"/>
  <c r="L60" i="1"/>
  <c r="M60" i="1" s="1"/>
  <c r="O34" i="1"/>
  <c r="Q34" i="1" s="1"/>
  <c r="P52" i="1"/>
  <c r="H64" i="1"/>
  <c r="L64" i="1"/>
  <c r="M64" i="1" s="1"/>
  <c r="O64" i="1"/>
  <c r="Q64" i="1" s="1"/>
  <c r="P64" i="1"/>
  <c r="J64" i="1"/>
  <c r="J52" i="1"/>
  <c r="H52" i="1"/>
  <c r="O52" i="1"/>
  <c r="Q52" i="1" s="1"/>
  <c r="G5" i="9" a="1"/>
  <c r="G5" i="9" s="1"/>
  <c r="L5" i="9" a="1"/>
  <c r="L5" i="9" s="1"/>
  <c r="E5" i="9" a="1"/>
  <c r="E5" i="9" s="1"/>
  <c r="I5" i="9" a="1"/>
  <c r="I5" i="9" s="1"/>
  <c r="D5" i="9" a="1"/>
  <c r="D5" i="9" s="1"/>
  <c r="H5" i="9" a="1"/>
  <c r="H5" i="9" s="1"/>
  <c r="X16" i="5"/>
  <c r="X17" i="5"/>
  <c r="X15" i="5"/>
  <c r="X20" i="5"/>
  <c r="X14" i="5"/>
  <c r="BK11" i="2" l="1" a="1"/>
  <c r="BK11" i="2" s="1"/>
  <c r="BK34" i="2" a="1"/>
  <c r="BK34" i="2" s="1"/>
  <c r="BK9" i="2" a="1"/>
  <c r="BK9" i="2" s="1"/>
  <c r="BK37" i="2" a="1"/>
  <c r="BK37" i="2" s="1"/>
  <c r="BK6" i="2" a="1"/>
  <c r="BK6" i="2" s="1"/>
  <c r="BK7" i="2" a="1"/>
  <c r="BK7" i="2" s="1"/>
  <c r="S67" i="1" s="1"/>
  <c r="BK8" i="2" a="1"/>
  <c r="BK8" i="2" s="1"/>
  <c r="BK36" i="2" a="1"/>
  <c r="BK36" i="2" s="1"/>
  <c r="X10" i="5"/>
  <c r="X11" i="5"/>
  <c r="X13" i="5"/>
  <c r="X12" i="5"/>
  <c r="S58" i="1" l="1"/>
  <c r="AF12" i="3"/>
  <c r="U22" i="6"/>
  <c r="T22" i="6"/>
  <c r="L19" i="1"/>
  <c r="M19" i="1" s="1"/>
  <c r="E4" i="3"/>
  <c r="E5" i="3"/>
  <c r="E6" i="3"/>
  <c r="E7" i="3"/>
  <c r="E8" i="3"/>
  <c r="E9" i="3"/>
  <c r="E10" i="3"/>
  <c r="E11" i="3"/>
  <c r="E13" i="3"/>
  <c r="E16" i="3"/>
  <c r="E17" i="3"/>
  <c r="E19" i="3"/>
  <c r="E20" i="3"/>
  <c r="E21" i="3"/>
  <c r="E22" i="3"/>
  <c r="E14" i="3"/>
  <c r="F14" i="7" a="1"/>
  <c r="F14" i="7" s="1"/>
  <c r="N14" i="7" a="1"/>
  <c r="N14" i="7" s="1"/>
  <c r="P14" i="7" a="1"/>
  <c r="P14" i="7" s="1"/>
  <c r="N15" i="7" a="1"/>
  <c r="N15" i="7" s="1"/>
  <c r="X3" i="3"/>
  <c r="N18" i="7" a="1"/>
  <c r="N18" i="7" s="1"/>
  <c r="P18" i="7" a="1"/>
  <c r="P18" i="7" s="1"/>
  <c r="B2" i="9"/>
  <c r="BO43" i="2" s="1" a="1"/>
  <c r="BO43" i="2" s="1"/>
  <c r="BQ43" i="2" s="1"/>
  <c r="L2" i="9"/>
  <c r="BT43" i="2" l="1"/>
  <c r="BO24" i="2" a="1"/>
  <c r="BO24" i="2" s="1"/>
  <c r="BQ24" i="2" s="1"/>
  <c r="BT24" i="2" s="1"/>
  <c r="BO42" i="2" a="1"/>
  <c r="BO42" i="2" s="1"/>
  <c r="BQ42" i="2" s="1"/>
  <c r="BO25" i="2" a="1"/>
  <c r="BO25" i="2" s="1"/>
  <c r="BQ25" i="2" s="1"/>
  <c r="BT25" i="2" s="1"/>
  <c r="BO26" i="2" a="1"/>
  <c r="BO26" i="2" s="1"/>
  <c r="BQ26" i="2" s="1"/>
  <c r="B68" i="1"/>
  <c r="BO13" i="2" a="1"/>
  <c r="BO13" i="2" s="1"/>
  <c r="BQ13" i="2" s="1"/>
  <c r="BO27" i="2" a="1"/>
  <c r="BO27" i="2" s="1"/>
  <c r="BQ27" i="2" s="1"/>
  <c r="BO39" i="2" a="1"/>
  <c r="BO39" i="2" s="1"/>
  <c r="BQ39" i="2" s="1"/>
  <c r="BO18" i="2" a="1"/>
  <c r="BO18" i="2" s="1"/>
  <c r="BQ18" i="2" s="1"/>
  <c r="BO38" i="2" a="1"/>
  <c r="BO38" i="2" s="1"/>
  <c r="BQ38" i="2" s="1"/>
  <c r="BO17" i="2" a="1"/>
  <c r="BO17" i="2" s="1"/>
  <c r="BQ17" i="2" s="1"/>
  <c r="BO35" i="2" a="1"/>
  <c r="BO35" i="2" s="1"/>
  <c r="BQ35" i="2" s="1"/>
  <c r="BO40" i="2" a="1"/>
  <c r="BO40" i="2" s="1"/>
  <c r="BQ40" i="2" s="1"/>
  <c r="BO10" i="2" a="1"/>
  <c r="BO10" i="2" s="1"/>
  <c r="BQ10" i="2" s="1"/>
  <c r="BO33" i="2" a="1"/>
  <c r="BO33" i="2" s="1"/>
  <c r="BQ33" i="2" s="1"/>
  <c r="BO15" i="2" a="1"/>
  <c r="BO15" i="2" s="1"/>
  <c r="BQ15" i="2" s="1"/>
  <c r="BO19" i="2" a="1"/>
  <c r="BO19" i="2" s="1"/>
  <c r="BQ19" i="2" s="1"/>
  <c r="BO29" i="2" a="1"/>
  <c r="BO29" i="2" s="1"/>
  <c r="BQ29" i="2" s="1"/>
  <c r="BO30" i="2" a="1"/>
  <c r="BO30" i="2" s="1"/>
  <c r="BQ30" i="2" s="1"/>
  <c r="P14" i="1"/>
  <c r="J14" i="1"/>
  <c r="O14" i="1"/>
  <c r="H14" i="1"/>
  <c r="L14" i="1"/>
  <c r="M14" i="1" s="1"/>
  <c r="P19" i="1"/>
  <c r="BR43" i="2" l="1"/>
  <c r="BT42" i="2"/>
  <c r="BR42" i="2"/>
  <c r="BR23" i="2"/>
  <c r="BR24" i="2"/>
  <c r="BR26" i="2"/>
  <c r="BT26" i="2"/>
  <c r="BR41" i="2"/>
  <c r="BR25" i="2"/>
  <c r="BT19" i="2"/>
  <c r="BR19" i="2"/>
  <c r="BT40" i="2"/>
  <c r="BR40" i="2"/>
  <c r="BT18" i="2"/>
  <c r="BR18" i="2"/>
  <c r="BT30" i="2"/>
  <c r="BR30" i="2"/>
  <c r="BT15" i="2"/>
  <c r="BR15" i="2"/>
  <c r="BT35" i="2"/>
  <c r="BR35" i="2"/>
  <c r="BT39" i="2"/>
  <c r="BR39" i="2"/>
  <c r="BT33" i="2"/>
  <c r="BR33" i="2"/>
  <c r="BT17" i="2"/>
  <c r="BR17" i="2"/>
  <c r="BT27" i="2"/>
  <c r="BR27" i="2"/>
  <c r="BT29" i="2"/>
  <c r="BR29" i="2"/>
  <c r="BT10" i="2"/>
  <c r="BR10" i="2"/>
  <c r="BT38" i="2"/>
  <c r="BR38" i="2"/>
  <c r="BT13" i="2"/>
  <c r="BR22" i="2"/>
  <c r="BR14" i="2"/>
  <c r="BR28" i="2"/>
  <c r="BR20" i="2"/>
  <c r="BR31" i="2"/>
  <c r="BR32" i="2"/>
  <c r="BR21" i="2"/>
  <c r="BR16" i="2"/>
  <c r="BR36" i="2"/>
  <c r="BR37" i="2"/>
  <c r="BR9" i="2"/>
  <c r="BR11" i="2"/>
  <c r="BR7" i="2"/>
  <c r="BR34" i="2"/>
  <c r="BR8" i="2"/>
  <c r="BR6" i="2"/>
  <c r="BR12" i="2"/>
  <c r="BR13" i="2"/>
  <c r="K5" i="9" a="1"/>
  <c r="K5" i="9" s="1"/>
  <c r="S14" i="1"/>
  <c r="E15" i="3"/>
  <c r="B59" i="1" s="1"/>
  <c r="Q14" i="1"/>
  <c r="E12" i="3"/>
  <c r="B13" i="1" s="1"/>
  <c r="E23" i="3"/>
  <c r="O19" i="1"/>
  <c r="BU43" i="2" l="1"/>
  <c r="BU42" i="2"/>
  <c r="BU23" i="2"/>
  <c r="BU24" i="2"/>
  <c r="BU26" i="2"/>
  <c r="BU41" i="2"/>
  <c r="BU25" i="2"/>
  <c r="B33" i="1"/>
  <c r="B44" i="1"/>
  <c r="BU6" i="2"/>
  <c r="BU22" i="2"/>
  <c r="BU37" i="2"/>
  <c r="BU12" i="2"/>
  <c r="BU36" i="2"/>
  <c r="BU7" i="2"/>
  <c r="BU8" i="2"/>
  <c r="BU31" i="2"/>
  <c r="BU11" i="2"/>
  <c r="BU21" i="2"/>
  <c r="BU13" i="2"/>
  <c r="BU9" i="2"/>
  <c r="BU34" i="2"/>
  <c r="BU16" i="2"/>
  <c r="BU14" i="2"/>
  <c r="BU32" i="2"/>
  <c r="BU20" i="2"/>
  <c r="BU28" i="2"/>
  <c r="BU35" i="2"/>
  <c r="BU27" i="2"/>
  <c r="BU39" i="2"/>
  <c r="BU18" i="2"/>
  <c r="BU29" i="2"/>
  <c r="BU33" i="2"/>
  <c r="BU30" i="2"/>
  <c r="BU19" i="2"/>
  <c r="BU38" i="2"/>
  <c r="BU10" i="2"/>
  <c r="BU17" i="2"/>
  <c r="BU15" i="2"/>
  <c r="BU40" i="2"/>
  <c r="M5" i="9" a="1"/>
  <c r="M5" i="9" s="1"/>
  <c r="E25" i="3"/>
  <c r="E24" i="3"/>
  <c r="E3" i="8" a="1"/>
  <c r="E3" i="8" s="1"/>
  <c r="D3" i="8" a="1"/>
  <c r="D3" i="8" s="1"/>
  <c r="G3" i="8" a="1"/>
  <c r="G3" i="8" s="1"/>
  <c r="B19" i="1" l="1"/>
  <c r="B51" i="1"/>
  <c r="S3" i="8" a="1"/>
  <c r="S3" i="8" s="1"/>
  <c r="N8" i="7" l="1" a="1"/>
  <c r="N8" i="7" s="1"/>
  <c r="M3" i="8" a="1"/>
  <c r="M3" i="8" s="1"/>
  <c r="B3" i="8" l="1" a="1"/>
  <c r="B3" i="8" s="1"/>
  <c r="P3" i="8" a="1"/>
  <c r="Q3" i="8" a="1"/>
  <c r="Q3" i="8" s="1"/>
  <c r="AF25" i="3"/>
  <c r="AF26" i="3"/>
  <c r="AF27" i="3"/>
  <c r="AF28" i="3"/>
  <c r="AF29" i="3"/>
  <c r="AF30" i="3"/>
  <c r="AF31" i="3"/>
  <c r="AF32" i="3"/>
  <c r="AF33" i="3"/>
  <c r="P3" i="8" l="1"/>
  <c r="L13" i="1"/>
  <c r="M13" i="1" s="1"/>
  <c r="D5" i="6" l="1"/>
  <c r="D11" i="6" l="1"/>
  <c r="S18" i="6" l="1" a="1"/>
  <c r="S18" i="6" s="1"/>
  <c r="B6" i="6" a="1"/>
  <c r="D10" i="6"/>
  <c r="X17" i="6"/>
  <c r="U8" i="5" a="1"/>
  <c r="U8" i="5" s="1"/>
  <c r="P12" i="7" a="1"/>
  <c r="P12" i="7" s="1"/>
  <c r="P11" i="7" a="1"/>
  <c r="P11" i="7" s="1"/>
  <c r="P10" i="7" a="1"/>
  <c r="P10" i="7" s="1"/>
  <c r="N12" i="7" a="1"/>
  <c r="N12" i="7" s="1"/>
  <c r="N11" i="7" a="1"/>
  <c r="N11" i="7" s="1"/>
  <c r="N10" i="7" a="1"/>
  <c r="N10" i="7" s="1"/>
  <c r="P8" i="7" a="1"/>
  <c r="P8" i="7" s="1"/>
  <c r="D33" i="6" s="1"/>
  <c r="AT45" i="3"/>
  <c r="AT34" i="3" s="1"/>
  <c r="G8" i="6" l="1"/>
  <c r="D8" i="6"/>
  <c r="E8" i="6" s="1"/>
  <c r="U21" i="6"/>
  <c r="T21" i="6"/>
  <c r="O3" i="8" a="1"/>
  <c r="G7" i="6"/>
  <c r="D7" i="6"/>
  <c r="E7" i="6" s="1"/>
  <c r="P5" i="1"/>
  <c r="H5" i="1"/>
  <c r="L4" i="1"/>
  <c r="M4" i="1" s="1"/>
  <c r="P3" i="1"/>
  <c r="H3" i="1"/>
  <c r="L2" i="1"/>
  <c r="M2" i="1" s="1"/>
  <c r="O5" i="1"/>
  <c r="J4" i="1"/>
  <c r="O3" i="1"/>
  <c r="J2" i="1"/>
  <c r="L5" i="1"/>
  <c r="M5" i="1" s="1"/>
  <c r="P4" i="1"/>
  <c r="H4" i="1"/>
  <c r="L3" i="1"/>
  <c r="M3" i="1" s="1"/>
  <c r="P2" i="1"/>
  <c r="H2" i="1"/>
  <c r="J5" i="1"/>
  <c r="O4" i="1"/>
  <c r="J3" i="1"/>
  <c r="O2" i="1"/>
  <c r="D3" i="6"/>
  <c r="T17" i="6" s="1"/>
  <c r="P13" i="1"/>
  <c r="U17" i="6"/>
  <c r="G13" i="6"/>
  <c r="H11" i="6"/>
  <c r="B6" i="6"/>
  <c r="T20" i="6"/>
  <c r="U20" i="6"/>
  <c r="T18" i="6"/>
  <c r="T19" i="6"/>
  <c r="AU34" i="3"/>
  <c r="AV34" i="3" s="1"/>
  <c r="AW34" i="3"/>
  <c r="AX34" i="3" s="1"/>
  <c r="AT40" i="3"/>
  <c r="AY40" i="3" s="1"/>
  <c r="AY45" i="3"/>
  <c r="AT43" i="3"/>
  <c r="AT38" i="3"/>
  <c r="AY38" i="3" s="1"/>
  <c r="AT35" i="3"/>
  <c r="AT37" i="3"/>
  <c r="AW45" i="3"/>
  <c r="AT44" i="3"/>
  <c r="AY44" i="3" s="1"/>
  <c r="AT41" i="3"/>
  <c r="AT36" i="3"/>
  <c r="AY36" i="3" s="1"/>
  <c r="AU45" i="3"/>
  <c r="AT42" i="3"/>
  <c r="AY42" i="3" s="1"/>
  <c r="AT39" i="3"/>
  <c r="AY34" i="3"/>
  <c r="J42" i="8" l="1"/>
  <c r="I41" i="8"/>
  <c r="H41" i="8"/>
  <c r="H42" i="8"/>
  <c r="L41" i="8"/>
  <c r="L42" i="8"/>
  <c r="N41" i="8"/>
  <c r="J41" i="8"/>
  <c r="K41" i="8"/>
  <c r="K42" i="8"/>
  <c r="N42" i="8"/>
  <c r="I42" i="8"/>
  <c r="O3" i="8"/>
  <c r="H4" i="8"/>
  <c r="L4" i="8"/>
  <c r="K5" i="8"/>
  <c r="J6" i="8"/>
  <c r="I7" i="8"/>
  <c r="H8" i="8"/>
  <c r="L8" i="8"/>
  <c r="K9" i="8"/>
  <c r="J10" i="8"/>
  <c r="I11" i="8"/>
  <c r="H12" i="8"/>
  <c r="L12" i="8"/>
  <c r="K13" i="8"/>
  <c r="J14" i="8"/>
  <c r="I15" i="8"/>
  <c r="H16" i="8"/>
  <c r="L16" i="8"/>
  <c r="K17" i="8"/>
  <c r="J18" i="8"/>
  <c r="I19" i="8"/>
  <c r="H20" i="8"/>
  <c r="L20" i="8"/>
  <c r="K21" i="8"/>
  <c r="J22" i="8"/>
  <c r="I23" i="8"/>
  <c r="H24" i="8"/>
  <c r="L24" i="8"/>
  <c r="K25" i="8"/>
  <c r="J26" i="8"/>
  <c r="I27" i="8"/>
  <c r="H28" i="8"/>
  <c r="L28" i="8"/>
  <c r="K29" i="8"/>
  <c r="J30" i="8"/>
  <c r="I31" i="8"/>
  <c r="H32" i="8"/>
  <c r="L32" i="8"/>
  <c r="K33" i="8"/>
  <c r="J34" i="8"/>
  <c r="I35" i="8"/>
  <c r="H36" i="8"/>
  <c r="L36" i="8"/>
  <c r="K37" i="8"/>
  <c r="J38" i="8"/>
  <c r="I39" i="8"/>
  <c r="H40" i="8"/>
  <c r="L40" i="8"/>
  <c r="I4" i="8"/>
  <c r="H5" i="8"/>
  <c r="L5" i="8"/>
  <c r="K6" i="8"/>
  <c r="J7" i="8"/>
  <c r="I8" i="8"/>
  <c r="H9" i="8"/>
  <c r="L9" i="8"/>
  <c r="K10" i="8"/>
  <c r="J11" i="8"/>
  <c r="I12" i="8"/>
  <c r="H13" i="8"/>
  <c r="L13" i="8"/>
  <c r="K14" i="8"/>
  <c r="J15" i="8"/>
  <c r="I16" i="8"/>
  <c r="H17" i="8"/>
  <c r="L17" i="8"/>
  <c r="K18" i="8"/>
  <c r="J19" i="8"/>
  <c r="I20" i="8"/>
  <c r="H21" i="8"/>
  <c r="L21" i="8"/>
  <c r="K22" i="8"/>
  <c r="J23" i="8"/>
  <c r="I24" i="8"/>
  <c r="H25" i="8"/>
  <c r="L25" i="8"/>
  <c r="K26" i="8"/>
  <c r="J27" i="8"/>
  <c r="I28" i="8"/>
  <c r="H29" i="8"/>
  <c r="L29" i="8"/>
  <c r="K30" i="8"/>
  <c r="J31" i="8"/>
  <c r="I32" i="8"/>
  <c r="H33" i="8"/>
  <c r="L33" i="8"/>
  <c r="K34" i="8"/>
  <c r="J35" i="8"/>
  <c r="I36" i="8"/>
  <c r="H37" i="8"/>
  <c r="L37" i="8"/>
  <c r="K38" i="8"/>
  <c r="J39" i="8"/>
  <c r="I40" i="8"/>
  <c r="J4" i="8"/>
  <c r="I5" i="8"/>
  <c r="H6" i="8"/>
  <c r="L6" i="8"/>
  <c r="K7" i="8"/>
  <c r="J8" i="8"/>
  <c r="I9" i="8"/>
  <c r="H10" i="8"/>
  <c r="L10" i="8"/>
  <c r="K11" i="8"/>
  <c r="J12" i="8"/>
  <c r="I13" i="8"/>
  <c r="H14" i="8"/>
  <c r="L14" i="8"/>
  <c r="K15" i="8"/>
  <c r="J16" i="8"/>
  <c r="I17" i="8"/>
  <c r="H18" i="8"/>
  <c r="L18" i="8"/>
  <c r="K19" i="8"/>
  <c r="J20" i="8"/>
  <c r="I21" i="8"/>
  <c r="H22" i="8"/>
  <c r="L22" i="8"/>
  <c r="K23" i="8"/>
  <c r="J24" i="8"/>
  <c r="I25" i="8"/>
  <c r="H26" i="8"/>
  <c r="L26" i="8"/>
  <c r="K27" i="8"/>
  <c r="J28" i="8"/>
  <c r="I29" i="8"/>
  <c r="H30" i="8"/>
  <c r="L30" i="8"/>
  <c r="K31" i="8"/>
  <c r="J32" i="8"/>
  <c r="I33" i="8"/>
  <c r="H34" i="8"/>
  <c r="L34" i="8"/>
  <c r="K35" i="8"/>
  <c r="J36" i="8"/>
  <c r="I37" i="8"/>
  <c r="H38" i="8"/>
  <c r="L38" i="8"/>
  <c r="K39" i="8"/>
  <c r="J40" i="8"/>
  <c r="K4" i="8"/>
  <c r="L7" i="8"/>
  <c r="H11" i="8"/>
  <c r="I14" i="8"/>
  <c r="J17" i="8"/>
  <c r="K20" i="8"/>
  <c r="L23" i="8"/>
  <c r="H27" i="8"/>
  <c r="I30" i="8"/>
  <c r="J33" i="8"/>
  <c r="K36" i="8"/>
  <c r="L39" i="8"/>
  <c r="N4" i="8"/>
  <c r="N8" i="8"/>
  <c r="N12" i="8"/>
  <c r="N16" i="8"/>
  <c r="N20" i="8"/>
  <c r="N24" i="8"/>
  <c r="N28" i="8"/>
  <c r="N32" i="8"/>
  <c r="N36" i="8"/>
  <c r="N40" i="8"/>
  <c r="J5" i="8"/>
  <c r="K8" i="8"/>
  <c r="L11" i="8"/>
  <c r="H15" i="8"/>
  <c r="I18" i="8"/>
  <c r="J21" i="8"/>
  <c r="K24" i="8"/>
  <c r="L27" i="8"/>
  <c r="H31" i="8"/>
  <c r="I34" i="8"/>
  <c r="J37" i="8"/>
  <c r="K40" i="8"/>
  <c r="N5" i="8"/>
  <c r="N9" i="8"/>
  <c r="N13" i="8"/>
  <c r="N17" i="8"/>
  <c r="N21" i="8"/>
  <c r="N25" i="8"/>
  <c r="N29" i="8"/>
  <c r="N33" i="8"/>
  <c r="N37" i="8"/>
  <c r="I6" i="8"/>
  <c r="J9" i="8"/>
  <c r="K12" i="8"/>
  <c r="L15" i="8"/>
  <c r="H19" i="8"/>
  <c r="I22" i="8"/>
  <c r="J25" i="8"/>
  <c r="K28" i="8"/>
  <c r="L31" i="8"/>
  <c r="H35" i="8"/>
  <c r="I38" i="8"/>
  <c r="N6" i="8"/>
  <c r="N10" i="8"/>
  <c r="N14" i="8"/>
  <c r="N18" i="8"/>
  <c r="N22" i="8"/>
  <c r="N26" i="8"/>
  <c r="N30" i="8"/>
  <c r="N34" i="8"/>
  <c r="N38" i="8"/>
  <c r="H7" i="8"/>
  <c r="I10" i="8"/>
  <c r="J13" i="8"/>
  <c r="K16" i="8"/>
  <c r="L19" i="8"/>
  <c r="H23" i="8"/>
  <c r="I26" i="8"/>
  <c r="J29" i="8"/>
  <c r="K32" i="8"/>
  <c r="L35" i="8"/>
  <c r="H39" i="8"/>
  <c r="N11" i="8"/>
  <c r="N27" i="8"/>
  <c r="N15" i="8"/>
  <c r="N31" i="8"/>
  <c r="N19" i="8"/>
  <c r="N35" i="8"/>
  <c r="N7" i="8"/>
  <c r="N23" i="8"/>
  <c r="N39" i="8"/>
  <c r="T15" i="6"/>
  <c r="W22" i="6" s="1"/>
  <c r="Q19" i="1"/>
  <c r="B2" i="7"/>
  <c r="Q5" i="1"/>
  <c r="Q2" i="1"/>
  <c r="Q3" i="1"/>
  <c r="Q4" i="1"/>
  <c r="W17" i="6"/>
  <c r="D13" i="6"/>
  <c r="D12" i="6" s="1"/>
  <c r="E11" i="6"/>
  <c r="O13" i="1"/>
  <c r="R3" i="8" a="1"/>
  <c r="R3" i="8" s="1"/>
  <c r="C1" i="5"/>
  <c r="D6" i="6"/>
  <c r="E6" i="6" s="1"/>
  <c r="X8" i="5"/>
  <c r="U19" i="6"/>
  <c r="AU36" i="3"/>
  <c r="AW36" i="3"/>
  <c r="AW37" i="3"/>
  <c r="AU37" i="3"/>
  <c r="AY37" i="3"/>
  <c r="AW39" i="3"/>
  <c r="AU39" i="3"/>
  <c r="AY39" i="3"/>
  <c r="AW41" i="3"/>
  <c r="AY41" i="3"/>
  <c r="AU41" i="3"/>
  <c r="AW35" i="3"/>
  <c r="AX35" i="3" s="1"/>
  <c r="AY35" i="3"/>
  <c r="AU35" i="3"/>
  <c r="AV35" i="3" s="1"/>
  <c r="AU40" i="3"/>
  <c r="AW40" i="3"/>
  <c r="AU42" i="3"/>
  <c r="AW42" i="3"/>
  <c r="AU44" i="3"/>
  <c r="AW44" i="3"/>
  <c r="AU38" i="3"/>
  <c r="AW38" i="3"/>
  <c r="AW43" i="3"/>
  <c r="AY43" i="3"/>
  <c r="AU43" i="3"/>
  <c r="L3" i="8" l="1"/>
  <c r="H3" i="8"/>
  <c r="K3" i="8"/>
  <c r="J3" i="8"/>
  <c r="I3" i="8"/>
  <c r="N3" i="8"/>
  <c r="W19" i="6"/>
  <c r="E18" i="3"/>
  <c r="B63" i="1" s="1"/>
  <c r="F20" i="1" a="1"/>
  <c r="K2" i="9"/>
  <c r="W20" i="6"/>
  <c r="W21" i="6"/>
  <c r="W18" i="6"/>
  <c r="AV36" i="3"/>
  <c r="AV37" i="3" s="1"/>
  <c r="AV38" i="3" s="1"/>
  <c r="AV39" i="3" s="1"/>
  <c r="AV40" i="3" s="1"/>
  <c r="AV41" i="3" s="1"/>
  <c r="AV42" i="3" s="1"/>
  <c r="AV43" i="3" s="1"/>
  <c r="AV44" i="3" s="1"/>
  <c r="AV45" i="3" s="1"/>
  <c r="AX36" i="3"/>
  <c r="AX37" i="3" s="1"/>
  <c r="AX38" i="3" s="1"/>
  <c r="AX39" i="3" s="1"/>
  <c r="AX40" i="3" s="1"/>
  <c r="AX41" i="3" s="1"/>
  <c r="AX42" i="3" s="1"/>
  <c r="AX43" i="3" s="1"/>
  <c r="AX44" i="3" s="1"/>
  <c r="AX45" i="3" s="1"/>
  <c r="L31" i="1" l="1"/>
  <c r="M31" i="1" s="1"/>
  <c r="P31" i="1"/>
  <c r="J31" i="1"/>
  <c r="O31" i="1"/>
  <c r="Q31" i="1" s="1"/>
  <c r="H31" i="1"/>
  <c r="L30" i="1"/>
  <c r="M30" i="1" s="1"/>
  <c r="O30" i="1"/>
  <c r="Q30" i="1" s="1"/>
  <c r="P30" i="1"/>
  <c r="J30" i="1"/>
  <c r="H30" i="1"/>
  <c r="L29" i="1"/>
  <c r="M29" i="1" s="1"/>
  <c r="P29" i="1"/>
  <c r="J29" i="1"/>
  <c r="O29" i="1"/>
  <c r="Q29" i="1" s="1"/>
  <c r="H29" i="1"/>
  <c r="L27" i="1"/>
  <c r="M27" i="1" s="1"/>
  <c r="H28" i="1"/>
  <c r="J27" i="1"/>
  <c r="J28" i="1"/>
  <c r="P27" i="1"/>
  <c r="O27" i="1"/>
  <c r="Q27" i="1" s="1"/>
  <c r="H27" i="1"/>
  <c r="P28" i="1"/>
  <c r="O28" i="1"/>
  <c r="Q28" i="1" s="1"/>
  <c r="L28" i="1"/>
  <c r="M28" i="1" s="1"/>
  <c r="L25" i="1"/>
  <c r="M25" i="1" s="1"/>
  <c r="O24" i="1"/>
  <c r="Q24" i="1" s="1"/>
  <c r="P25" i="1"/>
  <c r="J24" i="1"/>
  <c r="H26" i="1"/>
  <c r="J26" i="1"/>
  <c r="L26" i="1"/>
  <c r="M26" i="1" s="1"/>
  <c r="O25" i="1"/>
  <c r="Q25" i="1" s="1"/>
  <c r="P24" i="1"/>
  <c r="O26" i="1"/>
  <c r="Q26" i="1" s="1"/>
  <c r="H25" i="1"/>
  <c r="P26" i="1"/>
  <c r="H24" i="1"/>
  <c r="L24" i="1"/>
  <c r="M24" i="1" s="1"/>
  <c r="J25" i="1"/>
  <c r="F20" i="1"/>
  <c r="H22" i="1"/>
  <c r="L22" i="1"/>
  <c r="M22" i="1" s="1"/>
  <c r="P22" i="1"/>
  <c r="J22" i="1"/>
  <c r="O22" i="1"/>
  <c r="Q22" i="1" s="1"/>
  <c r="O23" i="1"/>
  <c r="Q23" i="1" s="1"/>
  <c r="H23" i="1"/>
  <c r="L23" i="1"/>
  <c r="M23" i="1" s="1"/>
  <c r="J23" i="1"/>
  <c r="P23" i="1"/>
  <c r="L21" i="1"/>
  <c r="M21" i="1" s="1"/>
  <c r="P21" i="1"/>
  <c r="J21" i="1"/>
  <c r="O21" i="1"/>
  <c r="Q21" i="1" s="1"/>
  <c r="H21" i="1"/>
  <c r="AL36" i="3"/>
  <c r="AK36" i="3"/>
  <c r="AJ36" i="3"/>
  <c r="AF13" i="3" l="1"/>
  <c r="AF14" i="3"/>
  <c r="AF15" i="3"/>
  <c r="AF16" i="3"/>
  <c r="AF17" i="3"/>
  <c r="AF18" i="3"/>
  <c r="AF19" i="3"/>
  <c r="AF20" i="3"/>
  <c r="AF21" i="3"/>
  <c r="AF22" i="3"/>
  <c r="AF23" i="3"/>
  <c r="D11" i="7" l="1"/>
  <c r="D8" i="7"/>
  <c r="B2" i="2"/>
  <c r="B11" i="7" s="1"/>
  <c r="H10" i="5"/>
  <c r="K5" i="5"/>
  <c r="H5" i="5" s="1"/>
  <c r="F7" i="5" a="1"/>
  <c r="L71" i="1"/>
  <c r="F8" i="1"/>
  <c r="O42" i="1" l="1"/>
  <c r="L42" i="1" s="1"/>
  <c r="S42" i="1"/>
  <c r="K9" i="5"/>
  <c r="H9" i="5"/>
  <c r="I9" i="5" s="1"/>
  <c r="L9" i="5"/>
  <c r="H8" i="5"/>
  <c r="I8" i="5" s="1"/>
  <c r="L8" i="5"/>
  <c r="K8" i="5"/>
  <c r="F7" i="5"/>
  <c r="H7" i="5" s="1"/>
  <c r="O11" i="1"/>
  <c r="L11" i="1" s="1"/>
  <c r="J6" i="7"/>
  <c r="B9" i="7"/>
  <c r="B8" i="7"/>
  <c r="B10" i="7"/>
  <c r="S11" i="1"/>
  <c r="J16" i="7" l="1"/>
  <c r="S71" i="1"/>
  <c r="A1" i="8" s="1"/>
  <c r="W71" i="1"/>
  <c r="D2" i="7"/>
  <c r="J14" i="7"/>
  <c r="J15" i="7"/>
  <c r="J18" i="7"/>
  <c r="D14" i="7"/>
  <c r="J8" i="7"/>
  <c r="J12" i="7"/>
  <c r="J11" i="7"/>
  <c r="J10" i="7"/>
  <c r="L6" i="7"/>
  <c r="H6" i="7"/>
  <c r="J9" i="7" l="1"/>
  <c r="H16" i="7"/>
  <c r="H15" i="7"/>
  <c r="H14" i="7"/>
  <c r="H18" i="7"/>
  <c r="D10" i="7"/>
  <c r="H8" i="7"/>
  <c r="H12" i="7"/>
  <c r="H11" i="7"/>
  <c r="H10" i="7"/>
  <c r="D9" i="7"/>
  <c r="B3" i="2"/>
  <c r="N3" i="3"/>
  <c r="AF24" i="3"/>
  <c r="L14" i="7" s="1" a="1"/>
  <c r="L14" i="7" s="1"/>
  <c r="AE3" i="3"/>
  <c r="AD3" i="3"/>
  <c r="AC3" i="3"/>
  <c r="AB3" i="3"/>
  <c r="AA3" i="3"/>
  <c r="Z3" i="3"/>
  <c r="Z5" i="3" a="1"/>
  <c r="Z5" i="3" s="1"/>
  <c r="I9" i="3"/>
  <c r="I8" i="3"/>
  <c r="L9" i="3"/>
  <c r="J9" i="3"/>
  <c r="H9" i="3"/>
  <c r="L8" i="3"/>
  <c r="J8" i="3"/>
  <c r="H8" i="3"/>
  <c r="G4" i="3" a="1"/>
  <c r="AI4" i="3" a="1"/>
  <c r="AO4" i="3" a="1"/>
  <c r="AY27" i="3"/>
  <c r="AX27" i="3"/>
  <c r="AW27" i="3"/>
  <c r="AV27" i="3"/>
  <c r="AY26" i="3"/>
  <c r="AX26" i="3"/>
  <c r="AW26" i="3"/>
  <c r="AV26" i="3"/>
  <c r="AY25" i="3"/>
  <c r="AX25" i="3"/>
  <c r="AW25" i="3"/>
  <c r="AV25" i="3"/>
  <c r="AY24" i="3"/>
  <c r="AX24" i="3"/>
  <c r="AW24" i="3"/>
  <c r="AV24" i="3"/>
  <c r="AY23" i="3"/>
  <c r="AX23" i="3"/>
  <c r="AW23" i="3"/>
  <c r="AV23" i="3"/>
  <c r="AY22" i="3"/>
  <c r="AX22" i="3"/>
  <c r="AW22" i="3"/>
  <c r="AV22" i="3"/>
  <c r="AY21" i="3"/>
  <c r="AX21" i="3"/>
  <c r="AW21" i="3"/>
  <c r="AV21" i="3"/>
  <c r="AY20" i="3"/>
  <c r="AX20" i="3"/>
  <c r="AW20" i="3"/>
  <c r="AV20" i="3"/>
  <c r="AY19" i="3"/>
  <c r="AX19" i="3"/>
  <c r="AW19" i="3"/>
  <c r="AV19" i="3"/>
  <c r="AY18" i="3"/>
  <c r="AX18" i="3"/>
  <c r="AW18" i="3"/>
  <c r="AV18" i="3"/>
  <c r="AY17" i="3"/>
  <c r="AX17" i="3"/>
  <c r="AW17" i="3"/>
  <c r="AV17" i="3"/>
  <c r="AY16" i="3"/>
  <c r="AX16" i="3"/>
  <c r="AW16" i="3"/>
  <c r="AV16" i="3"/>
  <c r="AY15" i="3"/>
  <c r="AX15" i="3"/>
  <c r="AW15" i="3"/>
  <c r="AV15" i="3"/>
  <c r="AY14" i="3"/>
  <c r="AX14" i="3"/>
  <c r="AW14" i="3"/>
  <c r="AV14" i="3"/>
  <c r="AY13" i="3"/>
  <c r="AX13" i="3"/>
  <c r="AW13" i="3"/>
  <c r="AV13" i="3"/>
  <c r="AY12" i="3"/>
  <c r="AX12" i="3"/>
  <c r="AW12" i="3"/>
  <c r="AV12" i="3"/>
  <c r="AY11" i="3"/>
  <c r="AX11" i="3"/>
  <c r="AW11" i="3"/>
  <c r="AV11" i="3"/>
  <c r="AY10" i="3"/>
  <c r="AX10" i="3"/>
  <c r="AW10" i="3"/>
  <c r="AV10" i="3"/>
  <c r="AS27" i="3"/>
  <c r="AR27" i="3"/>
  <c r="AQ27" i="3"/>
  <c r="AP27" i="3"/>
  <c r="AS26" i="3"/>
  <c r="AR26" i="3"/>
  <c r="AQ26" i="3"/>
  <c r="AP26" i="3"/>
  <c r="AS25" i="3"/>
  <c r="AR25" i="3"/>
  <c r="AQ25" i="3"/>
  <c r="AP25" i="3"/>
  <c r="AS24" i="3"/>
  <c r="AR24" i="3"/>
  <c r="AQ24" i="3"/>
  <c r="AP24" i="3"/>
  <c r="AS23" i="3"/>
  <c r="AR23" i="3"/>
  <c r="AQ23" i="3"/>
  <c r="AP23" i="3"/>
  <c r="AS22" i="3"/>
  <c r="AR22" i="3"/>
  <c r="AQ22" i="3"/>
  <c r="AP22" i="3"/>
  <c r="AS21" i="3"/>
  <c r="AR21" i="3"/>
  <c r="AQ21" i="3"/>
  <c r="AP21" i="3"/>
  <c r="AS20" i="3"/>
  <c r="AR20" i="3"/>
  <c r="AQ20" i="3"/>
  <c r="AP20" i="3"/>
  <c r="AS19" i="3"/>
  <c r="AR19" i="3"/>
  <c r="AQ19" i="3"/>
  <c r="AP19" i="3"/>
  <c r="AS18" i="3"/>
  <c r="AR18" i="3"/>
  <c r="AQ18" i="3"/>
  <c r="AP18" i="3"/>
  <c r="AS17" i="3"/>
  <c r="AR17" i="3"/>
  <c r="AQ17" i="3"/>
  <c r="AP17" i="3"/>
  <c r="AS16" i="3"/>
  <c r="AR16" i="3"/>
  <c r="AQ16" i="3"/>
  <c r="AP16" i="3"/>
  <c r="AS15" i="3"/>
  <c r="AR15" i="3"/>
  <c r="AQ15" i="3"/>
  <c r="AP15" i="3"/>
  <c r="AS14" i="3"/>
  <c r="AR14" i="3"/>
  <c r="AQ14" i="3"/>
  <c r="AP14" i="3"/>
  <c r="AS13" i="3"/>
  <c r="AR13" i="3"/>
  <c r="AQ13" i="3"/>
  <c r="AP13" i="3"/>
  <c r="AS12" i="3"/>
  <c r="AR12" i="3"/>
  <c r="AQ12" i="3"/>
  <c r="AP12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M27" i="3"/>
  <c r="AK27" i="3"/>
  <c r="AJ27" i="3"/>
  <c r="AM26" i="3"/>
  <c r="AK26" i="3"/>
  <c r="AJ26" i="3"/>
  <c r="AM25" i="3"/>
  <c r="AK25" i="3"/>
  <c r="AJ25" i="3"/>
  <c r="AM24" i="3"/>
  <c r="AK24" i="3"/>
  <c r="AJ24" i="3"/>
  <c r="AM23" i="3"/>
  <c r="AK23" i="3"/>
  <c r="AJ23" i="3"/>
  <c r="AM22" i="3"/>
  <c r="AK22" i="3"/>
  <c r="AJ22" i="3"/>
  <c r="AM21" i="3"/>
  <c r="AK21" i="3"/>
  <c r="AJ21" i="3"/>
  <c r="AM20" i="3"/>
  <c r="AK20" i="3"/>
  <c r="AJ20" i="3"/>
  <c r="AM19" i="3"/>
  <c r="AK19" i="3"/>
  <c r="AJ19" i="3"/>
  <c r="AM18" i="3"/>
  <c r="AK18" i="3"/>
  <c r="AJ18" i="3"/>
  <c r="AM17" i="3"/>
  <c r="AK17" i="3"/>
  <c r="AJ17" i="3"/>
  <c r="AM16" i="3"/>
  <c r="AK16" i="3"/>
  <c r="AJ16" i="3"/>
  <c r="AM15" i="3"/>
  <c r="AK15" i="3"/>
  <c r="AJ15" i="3"/>
  <c r="AM14" i="3"/>
  <c r="AK14" i="3"/>
  <c r="AJ14" i="3"/>
  <c r="AM13" i="3"/>
  <c r="AK13" i="3"/>
  <c r="AJ13" i="3"/>
  <c r="AM12" i="3"/>
  <c r="AK12" i="3"/>
  <c r="AJ12" i="3"/>
  <c r="AM11" i="3"/>
  <c r="AK11" i="3"/>
  <c r="AJ11" i="3"/>
  <c r="AM10" i="3"/>
  <c r="AK10" i="3"/>
  <c r="AJ10" i="3"/>
  <c r="AM9" i="3"/>
  <c r="AK9" i="3"/>
  <c r="AJ9" i="3"/>
  <c r="AM8" i="3"/>
  <c r="AK8" i="3"/>
  <c r="AJ8" i="3"/>
  <c r="F3" i="8" a="1"/>
  <c r="F3" i="8" s="1"/>
  <c r="V3" i="8" a="1"/>
  <c r="V3" i="8" s="1"/>
  <c r="U43" i="2" l="1"/>
  <c r="U42" i="2"/>
  <c r="H9" i="7"/>
  <c r="U23" i="2"/>
  <c r="U24" i="2"/>
  <c r="U25" i="2"/>
  <c r="AU25" i="2" s="1"/>
  <c r="U41" i="2"/>
  <c r="U26" i="2"/>
  <c r="L16" i="7" a="1"/>
  <c r="L16" i="7" s="1"/>
  <c r="U16" i="2"/>
  <c r="U20" i="2"/>
  <c r="U28" i="2"/>
  <c r="U38" i="2"/>
  <c r="U10" i="2"/>
  <c r="U29" i="2"/>
  <c r="U13" i="2"/>
  <c r="U17" i="2"/>
  <c r="U21" i="2"/>
  <c r="U31" i="2"/>
  <c r="U39" i="2"/>
  <c r="U30" i="2"/>
  <c r="U14" i="2"/>
  <c r="U19" i="2"/>
  <c r="U22" i="2"/>
  <c r="U32" i="2"/>
  <c r="U40" i="2"/>
  <c r="U33" i="2"/>
  <c r="U15" i="2"/>
  <c r="U27" i="2"/>
  <c r="U35" i="2"/>
  <c r="U18" i="2"/>
  <c r="G4" i="3"/>
  <c r="I4" i="3" s="1"/>
  <c r="J7" i="3"/>
  <c r="I7" i="3"/>
  <c r="H7" i="3"/>
  <c r="AI4" i="3"/>
  <c r="AK4" i="3" s="1"/>
  <c r="AM7" i="3"/>
  <c r="AJ7" i="3"/>
  <c r="AK7" i="3"/>
  <c r="L15" i="7" a="1"/>
  <c r="L15" i="7" s="1"/>
  <c r="L18" i="7" a="1"/>
  <c r="L18" i="7" s="1"/>
  <c r="L7" i="3"/>
  <c r="S8" i="5" a="1"/>
  <c r="S8" i="5" s="1"/>
  <c r="B14" i="5" a="1"/>
  <c r="D7" i="5"/>
  <c r="B8" i="5" a="1"/>
  <c r="B8" i="5" s="1"/>
  <c r="C8" i="5" s="1"/>
  <c r="D9" i="5"/>
  <c r="D13" i="5"/>
  <c r="L12" i="1"/>
  <c r="M12" i="1" s="1"/>
  <c r="P12" i="1"/>
  <c r="O12" i="1"/>
  <c r="L8" i="7" a="1"/>
  <c r="L8" i="7" s="1"/>
  <c r="L12" i="7" a="1"/>
  <c r="L12" i="7" s="1"/>
  <c r="L10" i="7" a="1"/>
  <c r="L10" i="7" s="1"/>
  <c r="L11" i="7" a="1"/>
  <c r="L11" i="7" s="1"/>
  <c r="AK6" i="3"/>
  <c r="AJ6" i="3"/>
  <c r="AP10" i="3"/>
  <c r="AP11" i="3"/>
  <c r="AQ11" i="3"/>
  <c r="AS11" i="3"/>
  <c r="AQ10" i="3"/>
  <c r="AQ9" i="3"/>
  <c r="AO4" i="3"/>
  <c r="AQ4" i="3" s="1"/>
  <c r="AQ8" i="3"/>
  <c r="AQ7" i="3"/>
  <c r="H6" i="3"/>
  <c r="I6" i="3"/>
  <c r="B12" i="7"/>
  <c r="B13" i="7"/>
  <c r="B14" i="7"/>
  <c r="B15" i="7"/>
  <c r="L10" i="5"/>
  <c r="L7" i="5"/>
  <c r="B10" i="5" a="1"/>
  <c r="C12" i="5" s="1"/>
  <c r="P71" i="1"/>
  <c r="U71" i="1" s="1"/>
  <c r="L18" i="1"/>
  <c r="M18" i="1" s="1"/>
  <c r="P18" i="1"/>
  <c r="D15" i="7"/>
  <c r="H5" i="3"/>
  <c r="I5" i="3"/>
  <c r="AJ5" i="3"/>
  <c r="AU4" i="3" a="1"/>
  <c r="AQ6" i="3"/>
  <c r="AK5" i="3"/>
  <c r="AQ5" i="3"/>
  <c r="AU42" i="2" l="1"/>
  <c r="BS42" i="2"/>
  <c r="AU43" i="2"/>
  <c r="BS43" i="2"/>
  <c r="L9" i="7"/>
  <c r="AU24" i="2"/>
  <c r="BS24" i="2"/>
  <c r="AU23" i="2"/>
  <c r="BS23" i="2"/>
  <c r="BS25" i="2"/>
  <c r="AU41" i="2"/>
  <c r="BS41" i="2"/>
  <c r="AU26" i="2"/>
  <c r="BS26" i="2"/>
  <c r="AU15" i="2"/>
  <c r="BS15" i="2"/>
  <c r="AU32" i="2"/>
  <c r="BS32" i="2"/>
  <c r="AU30" i="2"/>
  <c r="BS30" i="2"/>
  <c r="AU17" i="2"/>
  <c r="BS17" i="2"/>
  <c r="AU38" i="2"/>
  <c r="BS38" i="2"/>
  <c r="AU35" i="2"/>
  <c r="BS35" i="2"/>
  <c r="AU33" i="2"/>
  <c r="BS33" i="2"/>
  <c r="BS22" i="2"/>
  <c r="AU22" i="2"/>
  <c r="AU39" i="2"/>
  <c r="BS39" i="2"/>
  <c r="AU13" i="2"/>
  <c r="BS13" i="2"/>
  <c r="AU28" i="2"/>
  <c r="BS28" i="2"/>
  <c r="AU27" i="2"/>
  <c r="BS27" i="2"/>
  <c r="AU19" i="2"/>
  <c r="BS19" i="2"/>
  <c r="AU31" i="2"/>
  <c r="BS31" i="2"/>
  <c r="AU29" i="2"/>
  <c r="BS29" i="2"/>
  <c r="AU20" i="2"/>
  <c r="BS20" i="2"/>
  <c r="AU18" i="2"/>
  <c r="BS18" i="2"/>
  <c r="AU40" i="2"/>
  <c r="BS40" i="2"/>
  <c r="AU14" i="2"/>
  <c r="BS14" i="2"/>
  <c r="AU21" i="2"/>
  <c r="BS21" i="2"/>
  <c r="AU10" i="2"/>
  <c r="BS10" i="2"/>
  <c r="AU16" i="2"/>
  <c r="BS16" i="2"/>
  <c r="C15" i="5"/>
  <c r="AV9" i="3"/>
  <c r="AW8" i="3"/>
  <c r="AV8" i="3"/>
  <c r="AW9" i="3"/>
  <c r="B14" i="5"/>
  <c r="C14" i="5" s="1"/>
  <c r="Q13" i="1"/>
  <c r="Q12" i="1"/>
  <c r="G5" i="6"/>
  <c r="G6" i="6"/>
  <c r="AP6" i="3"/>
  <c r="AW7" i="3"/>
  <c r="AV7" i="3"/>
  <c r="AP9" i="3"/>
  <c r="AP8" i="3"/>
  <c r="AP7" i="3"/>
  <c r="AU4" i="3"/>
  <c r="AV4" i="3" s="1"/>
  <c r="AV6" i="3"/>
  <c r="AW6" i="3"/>
  <c r="U18" i="6"/>
  <c r="U15" i="6" s="1"/>
  <c r="X22" i="6" s="1"/>
  <c r="Y5" i="5"/>
  <c r="X9" i="5"/>
  <c r="D12" i="7"/>
  <c r="C18" i="5"/>
  <c r="B10" i="5"/>
  <c r="C10" i="5" s="1"/>
  <c r="C11" i="5"/>
  <c r="K7" i="5"/>
  <c r="K10" i="5"/>
  <c r="AP5" i="3"/>
  <c r="O71" i="1"/>
  <c r="O18" i="1"/>
  <c r="Q18" i="1" s="1"/>
  <c r="AP4" i="3"/>
  <c r="AJ4" i="3"/>
  <c r="H4" i="3"/>
  <c r="H11" i="3" s="1"/>
  <c r="V3" i="3" s="1"/>
  <c r="D13" i="7"/>
  <c r="I11" i="3"/>
  <c r="W3" i="3" s="1"/>
  <c r="AV5" i="3"/>
  <c r="AW5" i="3"/>
  <c r="S3" i="1" l="1"/>
  <c r="S2" i="1"/>
  <c r="S4" i="1"/>
  <c r="S5" i="1"/>
  <c r="BK43" i="2" a="1"/>
  <c r="BK43" i="2" s="1"/>
  <c r="BI43" i="2" a="1"/>
  <c r="BI43" i="2" s="1"/>
  <c r="BG43" i="2" a="1"/>
  <c r="BG43" i="2" s="1"/>
  <c r="BE43" i="2"/>
  <c r="BI42" i="2" a="1"/>
  <c r="BI42" i="2" s="1"/>
  <c r="BK42" i="2" a="1"/>
  <c r="BK42" i="2" s="1"/>
  <c r="BG42" i="2" a="1"/>
  <c r="BG42" i="2" s="1"/>
  <c r="S31" i="1"/>
  <c r="BE42" i="2"/>
  <c r="S48" i="1"/>
  <c r="BE24" i="2"/>
  <c r="BE23" i="2"/>
  <c r="BI24" i="2" a="1"/>
  <c r="BI24" i="2" s="1"/>
  <c r="BK23" i="2" a="1"/>
  <c r="BK23" i="2" s="1"/>
  <c r="BK24" i="2" a="1"/>
  <c r="BK24" i="2" s="1"/>
  <c r="BI23" i="2" a="1"/>
  <c r="BI23" i="2" s="1"/>
  <c r="BG24" i="2" a="1"/>
  <c r="BG24" i="2" s="1"/>
  <c r="BG23" i="2" a="1"/>
  <c r="BG23" i="2" s="1"/>
  <c r="S24" i="1"/>
  <c r="S46" i="1"/>
  <c r="S30" i="1"/>
  <c r="S49" i="1"/>
  <c r="S47" i="1"/>
  <c r="S26" i="1"/>
  <c r="S29" i="1"/>
  <c r="BI26" i="2" a="1"/>
  <c r="BI26" i="2" s="1"/>
  <c r="BE41" i="2"/>
  <c r="BE26" i="2"/>
  <c r="BK26" i="2" a="1"/>
  <c r="BK26" i="2" s="1"/>
  <c r="BK41" i="2" a="1"/>
  <c r="BK41" i="2" s="1"/>
  <c r="BI41" i="2" a="1"/>
  <c r="BI41" i="2" s="1"/>
  <c r="BG26" i="2" a="1"/>
  <c r="BG26" i="2" s="1"/>
  <c r="BG41" i="2" a="1"/>
  <c r="BG41" i="2" s="1"/>
  <c r="BI25" i="2" a="1"/>
  <c r="BI25" i="2" s="1"/>
  <c r="BK25" i="2" a="1"/>
  <c r="BK25" i="2" s="1"/>
  <c r="BE25" i="2"/>
  <c r="BG25" i="2" a="1"/>
  <c r="BG25" i="2" s="1"/>
  <c r="S22" i="1"/>
  <c r="S25" i="1"/>
  <c r="S52" i="1"/>
  <c r="S35" i="1"/>
  <c r="S53" i="1"/>
  <c r="S36" i="1"/>
  <c r="S37" i="1"/>
  <c r="S34" i="1"/>
  <c r="S55" i="1"/>
  <c r="S45" i="1"/>
  <c r="S56" i="1"/>
  <c r="S27" i="1"/>
  <c r="BG10" i="2" a="1"/>
  <c r="BG10" i="2" s="1"/>
  <c r="BG12" i="2" a="1"/>
  <c r="BG12" i="2" s="1"/>
  <c r="BG11" i="2" a="1"/>
  <c r="BG11" i="2" s="1"/>
  <c r="S28" i="1"/>
  <c r="S38" i="1"/>
  <c r="BI28" i="2" a="1"/>
  <c r="BI28" i="2" s="1"/>
  <c r="BI21" i="2" a="1"/>
  <c r="BI21" i="2" s="1"/>
  <c r="BI20" i="2" a="1"/>
  <c r="BI20" i="2" s="1"/>
  <c r="BI31" i="2" a="1"/>
  <c r="BI31" i="2" s="1"/>
  <c r="BI32" i="2" a="1"/>
  <c r="BI32" i="2" s="1"/>
  <c r="BI16" i="2" a="1"/>
  <c r="BI16" i="2" s="1"/>
  <c r="BI12" i="2" a="1"/>
  <c r="BI12" i="2" s="1"/>
  <c r="BI14" i="2" a="1"/>
  <c r="BI14" i="2" s="1"/>
  <c r="BI22" i="2" a="1"/>
  <c r="BI22" i="2" s="1"/>
  <c r="BI33" i="2" a="1"/>
  <c r="BI33" i="2" s="1"/>
  <c r="BI39" i="2" a="1"/>
  <c r="BI39" i="2" s="1"/>
  <c r="BG8" i="2" a="1"/>
  <c r="BG8" i="2" s="1"/>
  <c r="BG20" i="2" a="1"/>
  <c r="BG20" i="2" s="1"/>
  <c r="BG15" i="2" a="1"/>
  <c r="BG15" i="2" s="1"/>
  <c r="BG13" i="2" a="1"/>
  <c r="BG13" i="2" s="1"/>
  <c r="BG14" i="2" a="1"/>
  <c r="BG14" i="2" s="1"/>
  <c r="BG7" i="2" a="1"/>
  <c r="BG7" i="2" s="1"/>
  <c r="BG37" i="2" a="1"/>
  <c r="BG37" i="2" s="1"/>
  <c r="BG35" i="2" a="1"/>
  <c r="BG35" i="2" s="1"/>
  <c r="BG31" i="2" a="1"/>
  <c r="BG31" i="2" s="1"/>
  <c r="BG30" i="2" a="1"/>
  <c r="BG30" i="2" s="1"/>
  <c r="BG19" i="2" a="1"/>
  <c r="BG19" i="2" s="1"/>
  <c r="BG28" i="2" a="1"/>
  <c r="BG28" i="2" s="1"/>
  <c r="BG16" i="2" a="1"/>
  <c r="BG16" i="2" s="1"/>
  <c r="BI38" i="2" a="1"/>
  <c r="BI38" i="2" s="1"/>
  <c r="BG38" i="2" a="1"/>
  <c r="BG38" i="2" s="1"/>
  <c r="BG6" i="2" a="1"/>
  <c r="BG6" i="2" s="1"/>
  <c r="BG27" i="2" a="1"/>
  <c r="BG27" i="2" s="1"/>
  <c r="BG18" i="2" a="1"/>
  <c r="BG18" i="2" s="1"/>
  <c r="BG39" i="2" a="1"/>
  <c r="BG39" i="2" s="1"/>
  <c r="BG40" i="2" a="1"/>
  <c r="BG40" i="2" s="1"/>
  <c r="BG21" i="2" a="1"/>
  <c r="BG21" i="2" s="1"/>
  <c r="BG22" i="2" a="1"/>
  <c r="BG22" i="2" s="1"/>
  <c r="S54" i="1"/>
  <c r="BI40" i="2" a="1"/>
  <c r="BI40" i="2" s="1"/>
  <c r="BI27" i="2" a="1"/>
  <c r="BI27" i="2" s="1"/>
  <c r="BG17" i="2" a="1"/>
  <c r="BG17" i="2" s="1"/>
  <c r="BG32" i="2" a="1"/>
  <c r="BG32" i="2" s="1"/>
  <c r="BG33" i="2" a="1"/>
  <c r="BG33" i="2" s="1"/>
  <c r="BG29" i="2" a="1"/>
  <c r="BG29" i="2" s="1"/>
  <c r="BG34" i="2" a="1"/>
  <c r="BG34" i="2" s="1"/>
  <c r="BK14" i="2" a="1"/>
  <c r="BK14" i="2" s="1"/>
  <c r="BK31" i="2" a="1"/>
  <c r="BK31" i="2" s="1"/>
  <c r="BK38" i="2" a="1"/>
  <c r="BK38" i="2" s="1"/>
  <c r="BK12" i="2" a="1"/>
  <c r="BK12" i="2" s="1"/>
  <c r="BK16" i="2" a="1"/>
  <c r="BK16" i="2" s="1"/>
  <c r="BK40" i="2" a="1"/>
  <c r="BK40" i="2" s="1"/>
  <c r="BK19" i="2" a="1"/>
  <c r="BK19" i="2" s="1"/>
  <c r="BK10" i="2" a="1"/>
  <c r="BK10" i="2" s="1"/>
  <c r="S43" i="1" s="1"/>
  <c r="BK39" i="2" a="1"/>
  <c r="BK39" i="2" s="1"/>
  <c r="BK29" i="2" a="1"/>
  <c r="BK29" i="2" s="1"/>
  <c r="BK33" i="2" a="1"/>
  <c r="BK33" i="2" s="1"/>
  <c r="BK15" i="2" a="1"/>
  <c r="BK15" i="2" s="1"/>
  <c r="BK32" i="2" a="1"/>
  <c r="BK32" i="2" s="1"/>
  <c r="BK30" i="2" a="1"/>
  <c r="BK30" i="2" s="1"/>
  <c r="BK27" i="2" a="1"/>
  <c r="BK27" i="2" s="1"/>
  <c r="BK28" i="2" a="1"/>
  <c r="BK28" i="2" s="1"/>
  <c r="BK35" i="2" a="1"/>
  <c r="BK35" i="2" s="1"/>
  <c r="BK21" i="2" a="1"/>
  <c r="BK21" i="2" s="1"/>
  <c r="BK20" i="2" a="1"/>
  <c r="BK20" i="2" s="1"/>
  <c r="BK13" i="2" a="1"/>
  <c r="BK13" i="2" s="1"/>
  <c r="BK18" i="2" a="1"/>
  <c r="BK18" i="2" s="1"/>
  <c r="BK17" i="2" a="1"/>
  <c r="BK17" i="2" s="1"/>
  <c r="BK22" i="2" a="1"/>
  <c r="BK22" i="2" s="1"/>
  <c r="BE8" i="2"/>
  <c r="BE22" i="2"/>
  <c r="BE17" i="2"/>
  <c r="BE30" i="2"/>
  <c r="BE14" i="2"/>
  <c r="BE19" i="2"/>
  <c r="BE10" i="2"/>
  <c r="BE34" i="2"/>
  <c r="BE29" i="2"/>
  <c r="BE7" i="2"/>
  <c r="BE20" i="2"/>
  <c r="BE18" i="2"/>
  <c r="BE31" i="2"/>
  <c r="BE13" i="2"/>
  <c r="BE33" i="2"/>
  <c r="BE16" i="2"/>
  <c r="BE35" i="2"/>
  <c r="BE36" i="2"/>
  <c r="BE32" i="2"/>
  <c r="BE15" i="2"/>
  <c r="BE21" i="2"/>
  <c r="BE28" i="2"/>
  <c r="BE27" i="2"/>
  <c r="BE39" i="2"/>
  <c r="BE9" i="2"/>
  <c r="BE12" i="2"/>
  <c r="BE6" i="2"/>
  <c r="BE37" i="2"/>
  <c r="BE11" i="2"/>
  <c r="BE40" i="2"/>
  <c r="BE38" i="2"/>
  <c r="BI29" i="2" a="1"/>
  <c r="BI29" i="2" s="1"/>
  <c r="BI17" i="2" a="1"/>
  <c r="BI17" i="2" s="1"/>
  <c r="BI35" i="2" a="1"/>
  <c r="BI35" i="2" s="1"/>
  <c r="BI15" i="2" a="1"/>
  <c r="BI15" i="2" s="1"/>
  <c r="BI30" i="2" a="1"/>
  <c r="BI30" i="2" s="1"/>
  <c r="BI19" i="2" a="1"/>
  <c r="BI19" i="2" s="1"/>
  <c r="BI10" i="2" a="1"/>
  <c r="BI10" i="2" s="1"/>
  <c r="BI13" i="2" a="1"/>
  <c r="BI13" i="2" s="1"/>
  <c r="BI18" i="2" a="1"/>
  <c r="BI18" i="2" s="1"/>
  <c r="D17" i="5"/>
  <c r="N5" i="9" a="1"/>
  <c r="N5" i="9" s="1"/>
  <c r="H8" i="6"/>
  <c r="M9" i="5"/>
  <c r="Y24" i="5"/>
  <c r="Y28" i="5"/>
  <c r="Y26" i="5"/>
  <c r="Y25" i="5"/>
  <c r="Y27" i="5"/>
  <c r="Y29" i="5"/>
  <c r="Y20" i="5"/>
  <c r="Y12" i="5"/>
  <c r="Y23" i="5"/>
  <c r="Y21" i="5"/>
  <c r="Y19" i="5"/>
  <c r="Y13" i="5"/>
  <c r="Y11" i="5"/>
  <c r="Y22" i="5"/>
  <c r="Y15" i="5"/>
  <c r="Y16" i="5"/>
  <c r="Y17" i="5"/>
  <c r="Y18" i="5"/>
  <c r="Y14" i="5"/>
  <c r="Y10" i="5"/>
  <c r="AL4" i="3"/>
  <c r="AL7" i="3"/>
  <c r="S23" i="1"/>
  <c r="S21" i="1"/>
  <c r="N2" i="9"/>
  <c r="U3" i="8" a="1"/>
  <c r="U3" i="8" s="1"/>
  <c r="H7" i="6"/>
  <c r="D12" i="5"/>
  <c r="D15" i="5"/>
  <c r="M8" i="5"/>
  <c r="AX8" i="3"/>
  <c r="AX9" i="3"/>
  <c r="T3" i="8" a="1"/>
  <c r="T3" i="8" s="1"/>
  <c r="C2" i="5"/>
  <c r="D14" i="5"/>
  <c r="D8" i="5"/>
  <c r="J6" i="3"/>
  <c r="Y8" i="5"/>
  <c r="Z8" i="5" s="1"/>
  <c r="H6" i="6"/>
  <c r="G11" i="6"/>
  <c r="G12" i="6" s="1"/>
  <c r="AX7" i="3"/>
  <c r="AR11" i="3"/>
  <c r="AR7" i="3"/>
  <c r="AW4" i="3"/>
  <c r="AR10" i="3"/>
  <c r="AX6" i="3"/>
  <c r="AR8" i="3"/>
  <c r="AR9" i="3"/>
  <c r="AL6" i="3"/>
  <c r="AR6" i="3"/>
  <c r="Y9" i="5"/>
  <c r="D11" i="5"/>
  <c r="D10" i="5"/>
  <c r="AR4" i="3"/>
  <c r="AR5" i="3"/>
  <c r="M7" i="5"/>
  <c r="I7" i="5"/>
  <c r="AL5" i="3"/>
  <c r="AX4" i="3"/>
  <c r="AX5" i="3"/>
  <c r="S33" i="1" l="1"/>
  <c r="S51" i="1"/>
  <c r="S44" i="1"/>
  <c r="S19" i="1"/>
  <c r="AY9" i="3"/>
  <c r="AS10" i="3"/>
  <c r="S12" i="1"/>
  <c r="Z9" i="5"/>
  <c r="Z10" i="5" s="1"/>
  <c r="Z11" i="5" s="1"/>
  <c r="Z12" i="5" s="1"/>
  <c r="Z13" i="5" s="1"/>
  <c r="Z14" i="5" s="1"/>
  <c r="Z15" i="5" s="1"/>
  <c r="S13" i="1"/>
  <c r="J5" i="3"/>
  <c r="X20" i="6"/>
  <c r="X21" i="6"/>
  <c r="X19" i="6"/>
  <c r="X18" i="6"/>
  <c r="AD2" i="2"/>
  <c r="J4" i="3"/>
  <c r="Z16" i="5" l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L5" i="3"/>
  <c r="AM5" i="3"/>
  <c r="AM6" i="3"/>
  <c r="L6" i="3"/>
  <c r="AY7" i="3"/>
  <c r="AY8" i="3"/>
  <c r="AM4" i="3"/>
  <c r="K11" i="3"/>
  <c r="Y3" i="3" s="1"/>
  <c r="AS9" i="3"/>
  <c r="AS7" i="3"/>
  <c r="AS8" i="3"/>
  <c r="S18" i="1"/>
  <c r="AY6" i="3"/>
  <c r="AS6" i="3"/>
  <c r="AY4" i="3"/>
  <c r="AY5" i="3"/>
  <c r="AS5" i="3"/>
  <c r="L4" i="3"/>
  <c r="J11" i="3"/>
  <c r="AS4" i="3"/>
  <c r="L11" i="3" l="1"/>
  <c r="P20" i="1"/>
  <c r="O20" i="1" l="1"/>
  <c r="Q20" i="1" s="1"/>
  <c r="H20" i="1"/>
  <c r="L20" i="1"/>
  <c r="J20" i="1"/>
  <c r="S20" i="1"/>
  <c r="M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<sst xmlns="http://schemas.openxmlformats.org/spreadsheetml/2006/main" count="849" uniqueCount="321">
  <si>
    <t>Custódia</t>
  </si>
  <si>
    <t>Tipo do Ativo</t>
  </si>
  <si>
    <t>Emissor</t>
  </si>
  <si>
    <t>Complemento</t>
  </si>
  <si>
    <t>Vencimento</t>
  </si>
  <si>
    <t>Remuneração</t>
  </si>
  <si>
    <t>Ativo</t>
  </si>
  <si>
    <t>Subclasse</t>
  </si>
  <si>
    <t>Taxa</t>
  </si>
  <si>
    <t>Liquidez</t>
  </si>
  <si>
    <t>IR</t>
  </si>
  <si>
    <t>Coluna1</t>
  </si>
  <si>
    <t>-</t>
  </si>
  <si>
    <t>Saldo Líquido | Mês Anterior</t>
  </si>
  <si>
    <t>Saldo Bruto | Mês Anterior</t>
  </si>
  <si>
    <t>IR &amp; IOF | Mês Anterior</t>
  </si>
  <si>
    <t>Movimentaçao | Mês Anterior</t>
  </si>
  <si>
    <t>IR Pago | Mês Anterior</t>
  </si>
  <si>
    <t>Peso | Mês Anterior</t>
  </si>
  <si>
    <t>--</t>
  </si>
  <si>
    <t>Saldo Líquido | Mês Atual</t>
  </si>
  <si>
    <t>IR &amp; IOF | Mês Atual</t>
  </si>
  <si>
    <t>Movimentaçao | Mês Atual</t>
  </si>
  <si>
    <t>IR Pago | Mês Atual</t>
  </si>
  <si>
    <t>Peso | Mês Atual</t>
  </si>
  <si>
    <t>Aplicações</t>
  </si>
  <si>
    <t>Resgates</t>
  </si>
  <si>
    <t>Juros / Dividendos</t>
  </si>
  <si>
    <t>Demais</t>
  </si>
  <si>
    <t>---</t>
  </si>
  <si>
    <t>Saldo Corrigido</t>
  </si>
  <si>
    <t>Peso Corrigido | Carteira</t>
  </si>
  <si>
    <t>Peso Corrigido | SubClasse</t>
  </si>
  <si>
    <t>Peso Corrigido | Custódia</t>
  </si>
  <si>
    <t>Peso Corrigido | Classe</t>
  </si>
  <si>
    <t>Performance Classe</t>
  </si>
  <si>
    <t>Performance Carteira</t>
  </si>
  <si>
    <t>Performance Custódia</t>
  </si>
  <si>
    <t>Performance SubClasse</t>
  </si>
  <si>
    <t>Performance | Mês Atual</t>
  </si>
  <si>
    <t>Mês</t>
  </si>
  <si>
    <t>Conta Corrente</t>
  </si>
  <si>
    <t>Prefixado</t>
  </si>
  <si>
    <t>Classe</t>
  </si>
  <si>
    <t>COE</t>
  </si>
  <si>
    <t>Alternativos</t>
  </si>
  <si>
    <t>Ação</t>
  </si>
  <si>
    <t>Bolsa de Valores</t>
  </si>
  <si>
    <t>Fundo Imobiliário</t>
  </si>
  <si>
    <t>BDR</t>
  </si>
  <si>
    <t>ETF</t>
  </si>
  <si>
    <t>Corrente, Poupança e Empréstimo</t>
  </si>
  <si>
    <t>Renda Fixa</t>
  </si>
  <si>
    <t>Multimercado</t>
  </si>
  <si>
    <t>Participação</t>
  </si>
  <si>
    <t>Derivativos</t>
  </si>
  <si>
    <t>Opções</t>
  </si>
  <si>
    <t>Previdência</t>
  </si>
  <si>
    <t>Inflação</t>
  </si>
  <si>
    <t>Pós-Fixado</t>
  </si>
  <si>
    <t>Fundo Agro</t>
  </si>
  <si>
    <t>Consórcio</t>
  </si>
  <si>
    <t>Empréstimo</t>
  </si>
  <si>
    <t>SubClasse</t>
  </si>
  <si>
    <t>Saldo Bruto | Relatório</t>
  </si>
  <si>
    <t>Saldo Líquido | Relatório</t>
  </si>
  <si>
    <t>Taxa | Esperada</t>
  </si>
  <si>
    <t>Saldo Líquido Esperado</t>
  </si>
  <si>
    <t>Saldo Bruto Esperado</t>
  </si>
  <si>
    <t>-----</t>
  </si>
  <si>
    <t>Tabela IR para relatório</t>
  </si>
  <si>
    <t>Período</t>
  </si>
  <si>
    <t>Saldo Bruto</t>
  </si>
  <si>
    <t>Movimentação</t>
  </si>
  <si>
    <t>Peso</t>
  </si>
  <si>
    <t>Performance</t>
  </si>
  <si>
    <t>Peso Corrigido</t>
  </si>
  <si>
    <t xml:space="preserve">Performance Relório </t>
  </si>
  <si>
    <t>Performance United</t>
  </si>
  <si>
    <t>Total</t>
  </si>
  <si>
    <t>Dias Úteis</t>
  </si>
  <si>
    <t>CDI</t>
  </si>
  <si>
    <t>IPCA</t>
  </si>
  <si>
    <t>Ibovespa</t>
  </si>
  <si>
    <t>Dólar PTAX</t>
  </si>
  <si>
    <t>IPCA Cálculo</t>
  </si>
  <si>
    <t>Bco. 2</t>
  </si>
  <si>
    <t>Bco. 1</t>
  </si>
  <si>
    <t>Bco. 3</t>
  </si>
  <si>
    <t>Bco. 4</t>
  </si>
  <si>
    <t>Bco. 5</t>
  </si>
  <si>
    <t>Bco. 6</t>
  </si>
  <si>
    <t>Cliente?</t>
  </si>
  <si>
    <t>Ano</t>
  </si>
  <si>
    <t>Sim</t>
  </si>
  <si>
    <t>Liq. Diária</t>
  </si>
  <si>
    <t>Gross-Up</t>
  </si>
  <si>
    <t>Saldo Bruto | Mês Atual</t>
  </si>
  <si>
    <t>Perf. Aproximada</t>
  </si>
  <si>
    <t>Titular</t>
  </si>
  <si>
    <t>Classe de Ativos</t>
  </si>
  <si>
    <t>Saldo</t>
  </si>
  <si>
    <t>Perf. (%)</t>
  </si>
  <si>
    <t>(%)</t>
  </si>
  <si>
    <t>Onshore</t>
  </si>
  <si>
    <t>Patrimônio (BRL)</t>
  </si>
  <si>
    <t>% Benchmark</t>
  </si>
  <si>
    <t>Carteira</t>
  </si>
  <si>
    <t>Rentabilidade</t>
  </si>
  <si>
    <t>12M</t>
  </si>
  <si>
    <t>United MFO</t>
  </si>
  <si>
    <t>Por Instituição</t>
  </si>
  <si>
    <t>Perf.</t>
  </si>
  <si>
    <t>PL</t>
  </si>
  <si>
    <t>CDI A.</t>
  </si>
  <si>
    <t>Distribuição por Classe de Ativos (BRL - %)</t>
  </si>
  <si>
    <t>Liquidez do Portfólio(BRL -%)</t>
  </si>
  <si>
    <t>P. A.</t>
  </si>
  <si>
    <t>Total Geral</t>
  </si>
  <si>
    <t>Soma de Saldo Bruto | Mês Atual</t>
  </si>
  <si>
    <t>Rótulos de Coluna</t>
  </si>
  <si>
    <t>Onshore - Alocações (BRL)</t>
  </si>
  <si>
    <t>Onshore - Resumo por Classes (BRL)</t>
  </si>
  <si>
    <t>Resumo dos Resultados (BRL)</t>
  </si>
  <si>
    <t>Gráfico SubClasse</t>
  </si>
  <si>
    <t>Gráfico Liquidez</t>
  </si>
  <si>
    <t>Gráficos PL e Perf X CDI</t>
  </si>
  <si>
    <t>Resumo (BRL)</t>
  </si>
  <si>
    <t>Part. (%)</t>
  </si>
  <si>
    <t>Total Onshore</t>
  </si>
  <si>
    <t>Rent. (%)</t>
  </si>
  <si>
    <t>Total (BRL)</t>
  </si>
  <si>
    <t>Total (USD)</t>
  </si>
  <si>
    <t>USD (Ref. BCB)</t>
  </si>
  <si>
    <t>Ações</t>
  </si>
  <si>
    <t>Contagem</t>
  </si>
  <si>
    <t>Acumulado</t>
  </si>
  <si>
    <t>D+0</t>
  </si>
  <si>
    <t>Ordem (1 ou -1)</t>
  </si>
  <si>
    <t>Qtd de Ativos</t>
  </si>
  <si>
    <t>Ativos na lista (=azul)</t>
  </si>
  <si>
    <t>Imposto Pago</t>
  </si>
  <si>
    <t>"Isento"</t>
  </si>
  <si>
    <t>Nomenclatura</t>
  </si>
  <si>
    <t>Bolsa - Ação</t>
  </si>
  <si>
    <t>Fundos - Alternativo</t>
  </si>
  <si>
    <t>Bolsa - BDR</t>
  </si>
  <si>
    <t>Bolsa - ETF</t>
  </si>
  <si>
    <t>Bolsa - Fundo Agro</t>
  </si>
  <si>
    <t>Bolsa - Fundo Imobiliário</t>
  </si>
  <si>
    <t>Fundos - Multimercado</t>
  </si>
  <si>
    <t>Fundos - Participação</t>
  </si>
  <si>
    <t>Fundos - Renda Fixa</t>
  </si>
  <si>
    <t>Fundos - Ação</t>
  </si>
  <si>
    <t>Alternativos - COE</t>
  </si>
  <si>
    <t>Opções - Derivativos</t>
  </si>
  <si>
    <t>Renda Fixa - Inflação</t>
  </si>
  <si>
    <t>Renda Fixa - Pós-Fixado</t>
  </si>
  <si>
    <t>Renda Fixa - Prefixado</t>
  </si>
  <si>
    <t>Nomenclatura Ativo</t>
  </si>
  <si>
    <t>Nomenclatura Classe</t>
  </si>
  <si>
    <t>Data</t>
  </si>
  <si>
    <t>Cliente</t>
  </si>
  <si>
    <t>"%" ou "+"</t>
  </si>
  <si>
    <t>Check</t>
  </si>
  <si>
    <t>Histórico 12M</t>
  </si>
  <si>
    <t>Criptomoeda</t>
  </si>
  <si>
    <t>Alternativos - Cripto</t>
  </si>
  <si>
    <t>Ticker do Ativo</t>
  </si>
  <si>
    <t>Cashback</t>
  </si>
  <si>
    <t>"Código / CNPJ"</t>
  </si>
  <si>
    <t>"Sim"</t>
  </si>
  <si>
    <t>Peso (%)</t>
  </si>
  <si>
    <t>Coluna2</t>
  </si>
  <si>
    <t>Apagar Linha</t>
  </si>
  <si>
    <t>Estruturado</t>
  </si>
  <si>
    <t>Rótulos de Linha</t>
  </si>
  <si>
    <t>Opções - Estruturado</t>
  </si>
  <si>
    <t>Resumo por Classes</t>
  </si>
  <si>
    <t>Código do Ativo</t>
  </si>
  <si>
    <t>Ativo Cliente</t>
  </si>
  <si>
    <t>ea</t>
  </si>
  <si>
    <t>Dias</t>
  </si>
  <si>
    <t>Taxa RF / FI</t>
  </si>
  <si>
    <t>Movimentações</t>
  </si>
  <si>
    <t>Saldo Atualizado</t>
  </si>
  <si>
    <t>Peso Atualizado</t>
  </si>
  <si>
    <t>Performance Atualizado</t>
  </si>
  <si>
    <t>Saldo Corrigido Atualizado</t>
  </si>
  <si>
    <t>Peso Corrigido Atualizado</t>
  </si>
  <si>
    <t>Movimentações Atualizadas</t>
  </si>
  <si>
    <t>Código</t>
  </si>
  <si>
    <t>TickerExcel</t>
  </si>
  <si>
    <t>"Não"</t>
  </si>
  <si>
    <t>Fundos de Investimento</t>
  </si>
  <si>
    <t>Poupança</t>
  </si>
  <si>
    <t>S. Atual</t>
  </si>
  <si>
    <t>S. Esperado</t>
  </si>
  <si>
    <t>Lista?</t>
  </si>
  <si>
    <t>Retorno Acumulado e Mensalizado (12 Meses/BRL - %)</t>
  </si>
  <si>
    <t xml:space="preserve">     Distribuição por Instituição (BRL)</t>
  </si>
  <si>
    <t>Evolução Patrimonial (12 Meses; R$MM)</t>
  </si>
  <si>
    <t>Resultado Acumulado em 12 Meses (BRL - % )</t>
  </si>
  <si>
    <t>BTG</t>
  </si>
  <si>
    <t>BTG CDB Plus FI RF CP</t>
  </si>
  <si>
    <t>BTLG11</t>
  </si>
  <si>
    <t>CDB</t>
  </si>
  <si>
    <t>Conta Corrente -</t>
  </si>
  <si>
    <t>Bradesco</t>
  </si>
  <si>
    <t>XP</t>
  </si>
  <si>
    <t>CRA</t>
  </si>
  <si>
    <t>BTG Commodities</t>
  </si>
  <si>
    <t>BTG Pactual</t>
  </si>
  <si>
    <t>Camil</t>
  </si>
  <si>
    <t>Engelhart CTP</t>
  </si>
  <si>
    <t>FS Agrisolutions</t>
  </si>
  <si>
    <t>Klabin</t>
  </si>
  <si>
    <t>Raízen</t>
  </si>
  <si>
    <t>São Martinho</t>
  </si>
  <si>
    <t>CRI</t>
  </si>
  <si>
    <t>Automob</t>
  </si>
  <si>
    <t>Cyrella</t>
  </si>
  <si>
    <t>Localiza</t>
  </si>
  <si>
    <t>MRV</t>
  </si>
  <si>
    <t>Deb.</t>
  </si>
  <si>
    <t>Enauta</t>
  </si>
  <si>
    <t>Paranaguá</t>
  </si>
  <si>
    <t>Via Brasil</t>
  </si>
  <si>
    <t>Éxes FIC FIM</t>
  </si>
  <si>
    <t>LIG</t>
  </si>
  <si>
    <t>Quantitas Galápagos FIM</t>
  </si>
  <si>
    <t>Dasa</t>
  </si>
  <si>
    <t>3R Petroleum</t>
  </si>
  <si>
    <t>GCA</t>
  </si>
  <si>
    <t>Isento</t>
  </si>
  <si>
    <t>D+32</t>
  </si>
  <si>
    <t>D+2</t>
  </si>
  <si>
    <t>D+90</t>
  </si>
  <si>
    <t>CRA024000B8</t>
  </si>
  <si>
    <t>24A2715837</t>
  </si>
  <si>
    <t>24A2721829</t>
  </si>
  <si>
    <t>RRRP13</t>
  </si>
  <si>
    <t xml:space="preserve">101,50% CDI </t>
  </si>
  <si>
    <t>12,79%aa</t>
  </si>
  <si>
    <t>109% CDI</t>
  </si>
  <si>
    <t>11,96%aa</t>
  </si>
  <si>
    <t>101% CDI</t>
  </si>
  <si>
    <t>13,58%aa</t>
  </si>
  <si>
    <t>12,45%aa</t>
  </si>
  <si>
    <t>98% CDI</t>
  </si>
  <si>
    <t>100% CDI</t>
  </si>
  <si>
    <t>IPCA+ 8,15%aa</t>
  </si>
  <si>
    <t>99% CDI</t>
  </si>
  <si>
    <t>13,97%aa</t>
  </si>
  <si>
    <t>IPCA+ 9,46%aa</t>
  </si>
  <si>
    <t>IPCA+ 5,40%aa</t>
  </si>
  <si>
    <t>IPCA+ 8,90%aa</t>
  </si>
  <si>
    <t>13,90%aa</t>
  </si>
  <si>
    <t>13,20%aa</t>
  </si>
  <si>
    <t>12,30%aa</t>
  </si>
  <si>
    <t>12,85%aa</t>
  </si>
  <si>
    <t>IPCA+ 7,60%aa</t>
  </si>
  <si>
    <t>%</t>
  </si>
  <si>
    <t>PASN12</t>
  </si>
  <si>
    <t>22L2288690</t>
  </si>
  <si>
    <t>VBRR11</t>
  </si>
  <si>
    <t>ENAT11</t>
  </si>
  <si>
    <t>CRA02300HWK</t>
  </si>
  <si>
    <t>CRA02300S37</t>
  </si>
  <si>
    <t>CRA023003UY</t>
  </si>
  <si>
    <t>CRA0230020A</t>
  </si>
  <si>
    <t>ENAT32</t>
  </si>
  <si>
    <t>CRA019001E6</t>
  </si>
  <si>
    <t>CRA019000RT</t>
  </si>
  <si>
    <t>17K0231156</t>
  </si>
  <si>
    <t>CRA019003V2</t>
  </si>
  <si>
    <t>19E0967202</t>
  </si>
  <si>
    <t>CRA01900133</t>
  </si>
  <si>
    <t>CRA02300HWH</t>
  </si>
  <si>
    <t>09.636.393/0001-07</t>
  </si>
  <si>
    <t>38.065.069/0001-76</t>
  </si>
  <si>
    <t>27.928.186/0001-08</t>
  </si>
  <si>
    <t>27.717.359/0001-30</t>
  </si>
  <si>
    <t>LIG02200RY9</t>
  </si>
  <si>
    <t>BNP Paribas Match DI FIRF</t>
  </si>
  <si>
    <t>100,40% CDI</t>
  </si>
  <si>
    <t>98,50% CDI</t>
  </si>
  <si>
    <t>Vicunha Textil</t>
  </si>
  <si>
    <t>12,90%aa</t>
  </si>
  <si>
    <t>CRA0240020B</t>
  </si>
  <si>
    <t>Bradesco Liq. Diária</t>
  </si>
  <si>
    <t>Allos</t>
  </si>
  <si>
    <t>11,67%aa</t>
  </si>
  <si>
    <t>24D0006603</t>
  </si>
  <si>
    <t>LCA</t>
  </si>
  <si>
    <t>Bco. ABC</t>
  </si>
  <si>
    <t>96% CDI</t>
  </si>
  <si>
    <t>24D03080808</t>
  </si>
  <si>
    <t>São Salvador</t>
  </si>
  <si>
    <t>106,50% CDI</t>
  </si>
  <si>
    <t>CRA024004MP</t>
  </si>
  <si>
    <t>12,33%aa</t>
  </si>
  <si>
    <t>CRA024004MQ</t>
  </si>
  <si>
    <t>B8</t>
  </si>
  <si>
    <t>Ok</t>
  </si>
  <si>
    <t>Eco Sec.</t>
  </si>
  <si>
    <t>15,00%aa</t>
  </si>
  <si>
    <t>CRA0240066D</t>
  </si>
  <si>
    <t>Compra</t>
  </si>
  <si>
    <t>+</t>
  </si>
  <si>
    <t>Venda ou Vencimento</t>
  </si>
  <si>
    <t>IR e IOF</t>
  </si>
  <si>
    <t>Juros e Amortizações e Rendimentos</t>
  </si>
  <si>
    <t>Crédito CC</t>
  </si>
  <si>
    <t>Débito CC</t>
  </si>
  <si>
    <t>Fs Bio</t>
  </si>
  <si>
    <t>CDI+ 2,75%aa</t>
  </si>
  <si>
    <t>CRA022001E1</t>
  </si>
  <si>
    <t>2.75%</t>
  </si>
  <si>
    <t>isento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</si>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</sst>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[$-416]mmm\-yy;@"/>
    <numFmt numFmtId="165" formatCode="0.0%"/>
    <numFmt numFmtId="166" formatCode="_-[$USD]\ * #,##0.00_-;\-[$USD]\ * #,##0.00_-;_-[$USD]\ * &quot;-&quot;??_-;_-@_-"/>
    <numFmt numFmtId="167" formatCode="_-[$USD]\ * #,##0.0000_-;\-[$USD]\ * #,##0.0000_-;_-[$USD]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4345A"/>
      <name val="Gotham"/>
      <family val="3"/>
    </font>
    <font>
      <sz val="11"/>
      <color theme="1"/>
      <name val="Gotham"/>
      <family val="3"/>
    </font>
    <font>
      <b/>
      <sz val="11"/>
      <color rgb="FF04345A"/>
      <name val="Gotham"/>
      <family val="3"/>
    </font>
    <font>
      <b/>
      <sz val="10"/>
      <color theme="0"/>
      <name val="Gotham"/>
      <family val="3"/>
    </font>
    <font>
      <sz val="9"/>
      <color rgb="FF04345A"/>
      <name val="Gotham"/>
      <family val="3"/>
    </font>
    <font>
      <sz val="9"/>
      <color rgb="FF04345A"/>
      <name val="Gotham Book"/>
    </font>
    <font>
      <sz val="9"/>
      <color theme="1"/>
      <name val="Gotham"/>
      <family val="3"/>
    </font>
    <font>
      <sz val="11"/>
      <color rgb="FF04345A"/>
      <name val="Gotham"/>
      <family val="3"/>
    </font>
    <font>
      <sz val="11"/>
      <color rgb="FF04345A"/>
      <name val="Gotham Book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11"/>
      <color rgb="FF04345A"/>
      <name val="Calibri"/>
      <family val="2"/>
      <scheme val="minor"/>
    </font>
    <font>
      <b/>
      <sz val="9"/>
      <color theme="0"/>
      <name val="Gotham"/>
      <family val="3"/>
    </font>
    <font>
      <sz val="8"/>
      <color rgb="FF04345A"/>
      <name val="Gotham Book"/>
    </font>
    <font>
      <sz val="10"/>
      <color theme="1"/>
      <name val="Gotham"/>
      <family val="3"/>
    </font>
    <font>
      <b/>
      <sz val="10"/>
      <color rgb="FF04345A"/>
      <name val="Gotham"/>
      <family val="3"/>
    </font>
    <font>
      <sz val="11"/>
      <color theme="0"/>
      <name val="Calibri"/>
      <family val="2"/>
      <scheme val="minor"/>
    </font>
    <font>
      <b/>
      <sz val="8"/>
      <color rgb="FF04345A"/>
      <name val="Gotham"/>
      <family val="3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Gotham"/>
      <family val="3"/>
    </font>
    <font>
      <b/>
      <sz val="11"/>
      <color theme="1"/>
      <name val="Gotham"/>
      <family val="3"/>
    </font>
    <font>
      <sz val="8"/>
      <name val="Calibri"/>
      <family val="2"/>
      <scheme val="minor"/>
    </font>
    <font>
      <b/>
      <sz val="12"/>
      <color theme="0"/>
      <name val="Gotham"/>
      <family val="3"/>
    </font>
    <font>
      <sz val="12"/>
      <color theme="1"/>
      <name val="Calibri"/>
      <family val="2"/>
      <scheme val="minor"/>
    </font>
    <font>
      <sz val="9"/>
      <color rgb="FF04345A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CF2F8"/>
        <bgColor indexed="64"/>
      </patternFill>
    </fill>
    <fill>
      <patternFill patternType="solid">
        <fgColor rgb="FF075BA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4345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Dashed">
        <color rgb="FFFD9F02"/>
      </left>
      <right style="mediumDashed">
        <color rgb="FFFD9F02"/>
      </right>
      <top/>
      <bottom/>
      <diagonal/>
    </border>
    <border>
      <left style="mediumDashed">
        <color rgb="FFFD9F02"/>
      </left>
      <right style="mediumDashed">
        <color rgb="FFFD9F02"/>
      </right>
      <top style="mediumDashed">
        <color rgb="FFFD9F02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D9F02"/>
      </left>
      <right style="mediumDashed">
        <color rgb="FFFD9F02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FD9F02"/>
      </top>
      <bottom/>
      <diagonal/>
    </border>
    <border>
      <left/>
      <right/>
      <top/>
      <bottom style="thin">
        <color rgb="FF04345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4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0" fontId="4" fillId="4" borderId="0" xfId="2" applyNumberFormat="1" applyFont="1" applyFill="1" applyAlignment="1">
      <alignment horizontal="center" vertical="center"/>
    </xf>
    <xf numFmtId="44" fontId="9" fillId="2" borderId="0" xfId="0" applyNumberFormat="1" applyFont="1" applyFill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44" fontId="9" fillId="2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10" fontId="3" fillId="8" borderId="0" xfId="0" applyNumberFormat="1" applyFont="1" applyFill="1" applyAlignment="1">
      <alignment horizontal="center"/>
    </xf>
    <xf numFmtId="165" fontId="0" fillId="0" borderId="0" xfId="2" applyNumberFormat="1" applyFont="1"/>
    <xf numFmtId="0" fontId="0" fillId="10" borderId="0" xfId="0" applyFill="1"/>
    <xf numFmtId="44" fontId="0" fillId="0" borderId="0" xfId="1" applyFont="1" applyFill="1"/>
    <xf numFmtId="44" fontId="0" fillId="10" borderId="0" xfId="1" applyFont="1" applyFill="1"/>
    <xf numFmtId="10" fontId="0" fillId="0" borderId="0" xfId="2" applyNumberFormat="1" applyFont="1" applyFill="1"/>
    <xf numFmtId="10" fontId="0" fillId="10" borderId="0" xfId="2" applyNumberFormat="1" applyFont="1" applyFill="1"/>
    <xf numFmtId="0" fontId="2" fillId="11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12" borderId="0" xfId="0" applyFill="1"/>
    <xf numFmtId="44" fontId="3" fillId="8" borderId="0" xfId="0" applyNumberFormat="1" applyFont="1" applyFill="1" applyAlignment="1">
      <alignment horizontal="center"/>
    </xf>
    <xf numFmtId="10" fontId="3" fillId="8" borderId="0" xfId="2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center"/>
    </xf>
    <xf numFmtId="44" fontId="0" fillId="14" borderId="0" xfId="0" applyNumberFormat="1" applyFill="1" applyAlignment="1">
      <alignment horizontal="center"/>
    </xf>
    <xf numFmtId="10" fontId="0" fillId="14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10" borderId="0" xfId="2" applyNumberFormat="1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3" fillId="9" borderId="0" xfId="0" quotePrefix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14" fillId="8" borderId="2" xfId="0" applyFont="1" applyFill="1" applyBorder="1" applyAlignment="1">
      <alignment horizontal="center"/>
    </xf>
    <xf numFmtId="17" fontId="14" fillId="8" borderId="3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44" fontId="13" fillId="0" borderId="0" xfId="0" applyNumberFormat="1" applyFont="1" applyAlignment="1">
      <alignment horizontal="center"/>
    </xf>
    <xf numFmtId="44" fontId="13" fillId="0" borderId="0" xfId="1" applyFont="1" applyAlignment="1">
      <alignment horizontal="center"/>
    </xf>
    <xf numFmtId="0" fontId="14" fillId="8" borderId="0" xfId="0" applyFont="1" applyFill="1" applyAlignment="1">
      <alignment horizontal="center"/>
    </xf>
    <xf numFmtId="10" fontId="14" fillId="8" borderId="0" xfId="2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44" fontId="4" fillId="16" borderId="0" xfId="0" applyNumberFormat="1" applyFont="1" applyFill="1" applyAlignment="1">
      <alignment horizontal="center" vertical="center"/>
    </xf>
    <xf numFmtId="165" fontId="4" fillId="16" borderId="0" xfId="2" applyNumberFormat="1" applyFont="1" applyFill="1" applyAlignment="1">
      <alignment horizontal="center" vertical="center"/>
    </xf>
    <xf numFmtId="10" fontId="4" fillId="16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65" fontId="9" fillId="2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44" fontId="9" fillId="17" borderId="0" xfId="0" applyNumberFormat="1" applyFont="1" applyFill="1" applyAlignment="1">
      <alignment horizontal="center" vertical="center"/>
    </xf>
    <xf numFmtId="165" fontId="9" fillId="17" borderId="0" xfId="2" applyNumberFormat="1" applyFont="1" applyFill="1" applyAlignment="1">
      <alignment horizontal="center" vertical="center"/>
    </xf>
    <xf numFmtId="10" fontId="9" fillId="17" borderId="0" xfId="2" applyNumberFormat="1" applyFont="1" applyFill="1" applyAlignment="1">
      <alignment horizontal="center" vertical="center"/>
    </xf>
    <xf numFmtId="165" fontId="9" fillId="17" borderId="0" xfId="2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5" fontId="4" fillId="4" borderId="0" xfId="2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4" fontId="17" fillId="3" borderId="0" xfId="0" applyNumberFormat="1" applyFont="1" applyFill="1" applyAlignment="1">
      <alignment horizontal="center" vertical="center"/>
    </xf>
    <xf numFmtId="9" fontId="17" fillId="3" borderId="0" xfId="2" applyFont="1" applyFill="1" applyAlignment="1">
      <alignment horizontal="center" vertical="center"/>
    </xf>
    <xf numFmtId="10" fontId="17" fillId="3" borderId="0" xfId="2" applyNumberFormat="1" applyFont="1" applyFill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44" fontId="9" fillId="17" borderId="0" xfId="1" applyFont="1" applyFill="1" applyBorder="1" applyAlignment="1">
      <alignment horizontal="center" vertical="center"/>
    </xf>
    <xf numFmtId="0" fontId="19" fillId="0" borderId="0" xfId="0" applyFont="1"/>
    <xf numFmtId="0" fontId="8" fillId="0" borderId="0" xfId="0" applyFont="1"/>
    <xf numFmtId="165" fontId="9" fillId="17" borderId="0" xfId="2" applyNumberFormat="1" applyFont="1" applyFill="1" applyBorder="1" applyAlignment="1">
      <alignment vertical="center"/>
    </xf>
    <xf numFmtId="165" fontId="9" fillId="17" borderId="7" xfId="2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4" fontId="17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4" fontId="4" fillId="4" borderId="0" xfId="1" applyFont="1" applyFill="1" applyAlignment="1">
      <alignment vertical="center"/>
    </xf>
    <xf numFmtId="44" fontId="9" fillId="17" borderId="0" xfId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0" fontId="9" fillId="2" borderId="8" xfId="2" applyNumberFormat="1" applyFont="1" applyFill="1" applyBorder="1" applyAlignment="1">
      <alignment horizontal="center" vertical="center"/>
    </xf>
    <xf numFmtId="10" fontId="4" fillId="4" borderId="8" xfId="2" applyNumberFormat="1" applyFont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10" fontId="4" fillId="18" borderId="0" xfId="2" applyNumberFormat="1" applyFont="1" applyFill="1" applyAlignment="1">
      <alignment horizontal="center" vertical="center"/>
    </xf>
    <xf numFmtId="10" fontId="4" fillId="18" borderId="8" xfId="2" applyNumberFormat="1" applyFont="1" applyFill="1" applyBorder="1" applyAlignment="1">
      <alignment horizontal="center" vertical="center"/>
    </xf>
    <xf numFmtId="0" fontId="9" fillId="17" borderId="0" xfId="0" applyFont="1" applyFill="1" applyAlignment="1">
      <alignment vertical="center"/>
    </xf>
    <xf numFmtId="10" fontId="9" fillId="17" borderId="8" xfId="2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44" fontId="4" fillId="4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16" fillId="0" borderId="0" xfId="0" applyFont="1"/>
    <xf numFmtId="0" fontId="9" fillId="2" borderId="12" xfId="0" applyFont="1" applyFill="1" applyBorder="1" applyAlignment="1">
      <alignment horizontal="left" vertical="center"/>
    </xf>
    <xf numFmtId="44" fontId="9" fillId="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12" borderId="0" xfId="0" applyNumberFormat="1" applyFont="1" applyFill="1" applyAlignment="1">
      <alignment horizontal="center"/>
    </xf>
    <xf numFmtId="10" fontId="0" fillId="12" borderId="0" xfId="2" applyNumberFormat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164" fontId="7" fillId="3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10" fontId="4" fillId="18" borderId="10" xfId="2" applyNumberFormat="1" applyFont="1" applyFill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4" fillId="18" borderId="11" xfId="2" applyNumberFormat="1" applyFont="1" applyFill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44" fontId="5" fillId="0" borderId="1" xfId="0" applyNumberFormat="1" applyFont="1" applyBorder="1"/>
    <xf numFmtId="10" fontId="5" fillId="0" borderId="1" xfId="2" applyNumberFormat="1" applyFont="1" applyBorder="1"/>
    <xf numFmtId="44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0" fontId="9" fillId="0" borderId="14" xfId="2" applyNumberFormat="1" applyFont="1" applyBorder="1" applyAlignment="1">
      <alignment horizontal="center" vertical="center"/>
    </xf>
    <xf numFmtId="44" fontId="5" fillId="0" borderId="0" xfId="0" applyNumberFormat="1" applyFont="1"/>
    <xf numFmtId="10" fontId="5" fillId="0" borderId="0" xfId="2" applyNumberFormat="1" applyFont="1"/>
    <xf numFmtId="10" fontId="6" fillId="0" borderId="0" xfId="2" applyNumberFormat="1" applyFont="1" applyAlignment="1"/>
    <xf numFmtId="0" fontId="22" fillId="0" borderId="0" xfId="0" applyFont="1" applyAlignment="1">
      <alignment vertical="center"/>
    </xf>
    <xf numFmtId="10" fontId="9" fillId="0" borderId="0" xfId="2" applyNumberFormat="1" applyFont="1" applyFill="1" applyAlignment="1">
      <alignment horizontal="center" vertical="center"/>
    </xf>
    <xf numFmtId="164" fontId="21" fillId="20" borderId="0" xfId="0" applyNumberFormat="1" applyFont="1" applyFill="1"/>
    <xf numFmtId="44" fontId="0" fillId="12" borderId="0" xfId="1" applyFont="1" applyFill="1"/>
    <xf numFmtId="10" fontId="0" fillId="12" borderId="0" xfId="2" applyNumberFormat="1" applyFont="1" applyFill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4" fontId="0" fillId="0" borderId="0" xfId="1" applyFont="1" applyFill="1" applyAlignment="1">
      <alignment horizontal="center"/>
    </xf>
    <xf numFmtId="9" fontId="0" fillId="0" borderId="0" xfId="2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9" fontId="0" fillId="10" borderId="0" xfId="2" applyFont="1" applyFill="1" applyAlignment="1">
      <alignment horizontal="center"/>
    </xf>
    <xf numFmtId="10" fontId="3" fillId="8" borderId="15" xfId="2" applyNumberFormat="1" applyFont="1" applyFill="1" applyBorder="1" applyAlignment="1">
      <alignment horizontal="center"/>
    </xf>
    <xf numFmtId="44" fontId="13" fillId="6" borderId="0" xfId="1" applyFont="1" applyFill="1" applyAlignment="1">
      <alignment horizontal="center"/>
    </xf>
    <xf numFmtId="17" fontId="13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/>
    </xf>
    <xf numFmtId="14" fontId="0" fillId="0" borderId="0" xfId="0" applyNumberFormat="1"/>
    <xf numFmtId="10" fontId="13" fillId="15" borderId="0" xfId="2" quotePrefix="1" applyNumberFormat="1" applyFont="1" applyFill="1" applyAlignment="1">
      <alignment horizontal="center"/>
    </xf>
    <xf numFmtId="10" fontId="13" fillId="6" borderId="0" xfId="2" applyNumberFormat="1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/>
    </xf>
    <xf numFmtId="0" fontId="15" fillId="15" borderId="18" xfId="0" applyFont="1" applyFill="1" applyBorder="1" applyAlignment="1">
      <alignment horizontal="center"/>
    </xf>
    <xf numFmtId="44" fontId="15" fillId="15" borderId="19" xfId="1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13" borderId="17" xfId="0" applyFont="1" applyFill="1" applyBorder="1" applyAlignment="1">
      <alignment horizontal="center"/>
    </xf>
    <xf numFmtId="0" fontId="15" fillId="13" borderId="19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10" fontId="14" fillId="0" borderId="0" xfId="2" applyNumberFormat="1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17" fontId="0" fillId="0" borderId="0" xfId="0" applyNumberFormat="1"/>
    <xf numFmtId="10" fontId="3" fillId="0" borderId="16" xfId="2" applyNumberFormat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44" fontId="14" fillId="0" borderId="0" xfId="1" applyFont="1" applyAlignment="1">
      <alignment horizontal="center"/>
    </xf>
    <xf numFmtId="165" fontId="9" fillId="2" borderId="0" xfId="2" applyNumberFormat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/>
    </xf>
    <xf numFmtId="165" fontId="9" fillId="2" borderId="0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Alignment="1">
      <alignment horizontal="center" vertical="center"/>
    </xf>
    <xf numFmtId="10" fontId="9" fillId="0" borderId="8" xfId="2" applyNumberFormat="1" applyFont="1" applyFill="1" applyBorder="1" applyAlignment="1">
      <alignment horizontal="center" vertical="center"/>
    </xf>
    <xf numFmtId="44" fontId="3" fillId="8" borderId="0" xfId="0" applyNumberFormat="1" applyFont="1" applyFill="1"/>
    <xf numFmtId="10" fontId="15" fillId="13" borderId="18" xfId="2" applyNumberFormat="1" applyFont="1" applyFill="1" applyBorder="1" applyAlignment="1">
      <alignment horizontal="center"/>
    </xf>
    <xf numFmtId="10" fontId="13" fillId="0" borderId="0" xfId="2" applyNumberFormat="1" applyFont="1" applyAlignment="1">
      <alignment horizontal="left"/>
    </xf>
    <xf numFmtId="44" fontId="13" fillId="14" borderId="0" xfId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44" fontId="14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28" fillId="3" borderId="0" xfId="0" applyFont="1" applyFill="1" applyAlignment="1">
      <alignment horizontal="left" vertical="center"/>
    </xf>
    <xf numFmtId="0" fontId="29" fillId="0" borderId="0" xfId="0" applyFont="1"/>
    <xf numFmtId="10" fontId="28" fillId="3" borderId="0" xfId="2" applyNumberFormat="1" applyFont="1" applyFill="1" applyAlignment="1">
      <alignment horizontal="center" vertical="center"/>
    </xf>
    <xf numFmtId="44" fontId="7" fillId="3" borderId="0" xfId="1" applyFont="1" applyFill="1" applyAlignment="1">
      <alignment horizontal="left" vertical="center"/>
    </xf>
    <xf numFmtId="0" fontId="3" fillId="24" borderId="0" xfId="0" applyFont="1" applyFill="1"/>
    <xf numFmtId="0" fontId="3" fillId="12" borderId="0" xfId="0" applyFont="1" applyFill="1"/>
    <xf numFmtId="0" fontId="0" fillId="24" borderId="0" xfId="0" applyFill="1" applyAlignment="1">
      <alignment horizontal="center"/>
    </xf>
    <xf numFmtId="10" fontId="0" fillId="24" borderId="0" xfId="2" applyNumberFormat="1" applyFont="1" applyFill="1" applyAlignment="1">
      <alignment horizontal="center"/>
    </xf>
    <xf numFmtId="0" fontId="26" fillId="6" borderId="0" xfId="0" applyFont="1" applyFill="1"/>
    <xf numFmtId="44" fontId="25" fillId="6" borderId="0" xfId="0" applyNumberFormat="1" applyFont="1" applyFill="1"/>
    <xf numFmtId="0" fontId="25" fillId="0" borderId="0" xfId="0" applyFont="1" applyAlignment="1">
      <alignment horizontal="center" vertical="center"/>
    </xf>
    <xf numFmtId="10" fontId="25" fillId="0" borderId="0" xfId="2" applyNumberFormat="1" applyFont="1" applyAlignment="1">
      <alignment horizontal="center" vertical="center"/>
    </xf>
    <xf numFmtId="44" fontId="25" fillId="0" borderId="0" xfId="1" applyFont="1" applyAlignment="1">
      <alignment horizontal="center" vertical="center"/>
    </xf>
    <xf numFmtId="44" fontId="25" fillId="6" borderId="0" xfId="1" applyFont="1" applyFill="1" applyAlignment="1">
      <alignment horizontal="center" vertical="center"/>
    </xf>
    <xf numFmtId="44" fontId="13" fillId="0" borderId="0" xfId="2" applyNumberFormat="1" applyFont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23" fillId="0" borderId="0" xfId="0" applyFont="1"/>
    <xf numFmtId="0" fontId="23" fillId="8" borderId="0" xfId="0" applyFont="1" applyFill="1" applyAlignment="1">
      <alignment horizontal="center"/>
    </xf>
    <xf numFmtId="17" fontId="23" fillId="8" borderId="0" xfId="0" applyNumberFormat="1" applyFont="1" applyFill="1" applyAlignment="1">
      <alignment horizontal="center"/>
    </xf>
    <xf numFmtId="0" fontId="30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44" fontId="18" fillId="0" borderId="0" xfId="1" applyFont="1" applyFill="1" applyAlignment="1">
      <alignment horizontal="center" vertical="center"/>
    </xf>
    <xf numFmtId="44" fontId="18" fillId="0" borderId="8" xfId="1" applyFont="1" applyFill="1" applyBorder="1" applyAlignment="1">
      <alignment horizontal="center" vertical="center"/>
    </xf>
    <xf numFmtId="44" fontId="9" fillId="0" borderId="0" xfId="1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horizontal="center" vertical="center"/>
    </xf>
    <xf numFmtId="165" fontId="9" fillId="0" borderId="0" xfId="2" applyNumberFormat="1" applyFont="1" applyFill="1" applyAlignment="1">
      <alignment horizontal="center" vertical="center"/>
    </xf>
    <xf numFmtId="0" fontId="0" fillId="14" borderId="17" xfId="0" applyFill="1" applyBorder="1" applyAlignment="1">
      <alignment horizontal="center"/>
    </xf>
    <xf numFmtId="10" fontId="0" fillId="14" borderId="18" xfId="2" applyNumberFormat="1" applyFont="1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10" fontId="0" fillId="0" borderId="2" xfId="2" applyNumberFormat="1" applyFont="1" applyFill="1" applyBorder="1" applyAlignment="1">
      <alignment horizontal="center"/>
    </xf>
    <xf numFmtId="10" fontId="0" fillId="10" borderId="21" xfId="2" applyNumberFormat="1" applyFont="1" applyFill="1" applyBorder="1" applyAlignment="1">
      <alignment horizontal="center"/>
    </xf>
    <xf numFmtId="10" fontId="0" fillId="0" borderId="21" xfId="2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1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4" fillId="21" borderId="0" xfId="0" applyFont="1" applyFill="1" applyAlignment="1">
      <alignment horizontal="center" wrapText="1"/>
    </xf>
    <xf numFmtId="0" fontId="24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4" fontId="13" fillId="0" borderId="0" xfId="1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10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8"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EDD529A4-AC77-43A7-B9AE-10B90AD4A0CE}">
      <tableStyleElement type="wholeTable" dxfId="102"/>
      <tableStyleElement type="headerRow" dxfId="101"/>
    </tableStyle>
  </tableStyles>
  <colors>
    <mruColors>
      <color rgb="FF04345A"/>
      <color rgb="FF7F7F7F"/>
      <color rgb="FFECF2F8"/>
      <color rgb="FF1791F5"/>
    </mruColors>
  </colors>
  <extLst>
    <ext xmlns:x14="http://schemas.microsoft.com/office/spreadsheetml/2009/9/main" uri="{46F421CA-312F-682f-3DD2-61675219B42D}">
      <x14:dxfs count="8"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73786394591061E-2"/>
          <c:y val="5.0925925925925923E-2"/>
          <c:w val="0.90807068971600879"/>
          <c:h val="0.7638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'Informações Complementares'!$AU$33</c:f>
              <c:strCache>
                <c:ptCount val="1"/>
                <c:pt idx="0">
                  <c:v>Perf.</c:v>
                </c:pt>
              </c:strCache>
            </c:strRef>
          </c:tx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4345A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Complementares'!$AU$34:$AU$45</c:f>
              <c:numCache>
                <c:formatCode>0.00%</c:formatCode>
                <c:ptCount val="12"/>
                <c:pt idx="0">
                  <c:v>0.01</c:v>
                </c:pt>
                <c:pt idx="1">
                  <c:v>7.9000000000000008E-3</c:v>
                </c:pt>
                <c:pt idx="2">
                  <c:v>8.5000000000000006E-3</c:v>
                </c:pt>
                <c:pt idx="3">
                  <c:v>1.17E-2</c:v>
                </c:pt>
                <c:pt idx="4">
                  <c:v>1.0845988849807937E-2</c:v>
                </c:pt>
                <c:pt idx="5">
                  <c:v>1.0861781214877405E-2</c:v>
                </c:pt>
                <c:pt idx="6">
                  <c:v>1.0361453850162806E-2</c:v>
                </c:pt>
                <c:pt idx="7">
                  <c:v>1.1261528023406185E-2</c:v>
                </c:pt>
                <c:pt idx="8">
                  <c:v>9.0479074790295443E-3</c:v>
                </c:pt>
                <c:pt idx="9">
                  <c:v>1.0608358688931185E-2</c:v>
                </c:pt>
                <c:pt idx="10">
                  <c:v>8.7622644755645466E-3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4793151"/>
        <c:axId val="484789791"/>
      </c:barChart>
      <c:lineChart>
        <c:grouping val="standard"/>
        <c:varyColors val="0"/>
        <c:ser>
          <c:idx val="1"/>
          <c:order val="1"/>
          <c:tx>
            <c:strRef>
              <c:f>'Informações Complementares'!$AV$33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1791F5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7.8017276480058129E-2"/>
                  <c:y val="-2.752867430032784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91F5"/>
                      </a:solidFill>
                      <a:latin typeface="Gotham" panose="02000504050000020004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577435897435896"/>
                      <c:h val="0.120176017601760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3D-4FC7-90EE-25F28220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0.01</c:v>
                </c:pt>
                <c:pt idx="1">
                  <c:v>1.7978999999999967E-2</c:v>
                </c:pt>
                <c:pt idx="2">
                  <c:v>2.6631821499999875E-2</c:v>
                </c:pt>
                <c:pt idx="3">
                  <c:v>3.8643413811549898E-2</c:v>
                </c:pt>
                <c:pt idx="4">
                  <c:v>4.9908528696676502E-2</c:v>
                </c:pt>
                <c:pt idx="5">
                  <c:v>6.1312405431013683E-2</c:v>
                </c:pt>
                <c:pt idx="6">
                  <c:v>7.2309144940492454E-2</c:v>
                </c:pt>
                <c:pt idx="7">
                  <c:v>8.4384984425994514E-2</c:v>
                </c:pt>
                <c:pt idx="8">
                  <c:v>9.4196399436729861E-2</c:v>
                </c:pt>
                <c:pt idx="9">
                  <c:v>0.1058040273180918</c:v>
                </c:pt>
                <c:pt idx="10">
                  <c:v>0.11549337466359733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4793151"/>
        <c:axId val="484789791"/>
      </c:lineChart>
      <c:dateAx>
        <c:axId val="4847931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89791"/>
        <c:crosses val="autoZero"/>
        <c:auto val="1"/>
        <c:lblOffset val="100"/>
        <c:baseTimeUnit val="months"/>
        <c:majorUnit val="1"/>
      </c:dateAx>
      <c:valAx>
        <c:axId val="484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9315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913527724534"/>
          <c:y val="4.751736468374762E-2"/>
          <c:w val="0.80545003038794827"/>
          <c:h val="0.8399792612626577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'Visão Global'!$S$18</c:f>
              <c:strCache>
                <c:ptCount val="1"/>
                <c:pt idx="0">
                  <c:v>Bradesco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Global'!$W$18:$X$18</c:f>
              <c:numCache>
                <c:formatCode>0.00%</c:formatCode>
                <c:ptCount val="2"/>
                <c:pt idx="0">
                  <c:v>7.3939101655760286E-2</c:v>
                </c:pt>
                <c:pt idx="1">
                  <c:v>1.3061511078350291E-2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11A-874A-CD5CA8788E81}"/>
            </c:ext>
          </c:extLst>
        </c:ser>
        <c:ser>
          <c:idx val="0"/>
          <c:order val="1"/>
          <c:tx>
            <c:strRef>
              <c:f>'Visão Global'!$S$19</c:f>
              <c:strCache>
                <c:ptCount val="1"/>
                <c:pt idx="0">
                  <c:v>BTG</c:v>
                </c:pt>
              </c:strCache>
            </c:strRef>
          </c:tx>
          <c:spPr>
            <a:solidFill>
              <a:srgbClr val="04345A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Global'!$W$19:$X$19</c:f>
              <c:numCache>
                <c:formatCode>0.00%</c:formatCode>
                <c:ptCount val="2"/>
                <c:pt idx="0">
                  <c:v>0.82260151733288789</c:v>
                </c:pt>
                <c:pt idx="1">
                  <c:v>0.9869384889216497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9-46A4-9E8A-0C74135BE59E}"/>
            </c:ext>
          </c:extLst>
        </c:ser>
        <c:ser>
          <c:idx val="2"/>
          <c:order val="2"/>
          <c:tx>
            <c:strRef>
              <c:f>'Visão Global'!$S$20</c:f>
              <c:strCache>
                <c:ptCount val="1"/>
                <c:pt idx="0">
                  <c:v>XP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Global'!$W$20:$X$20</c:f>
              <c:numCache>
                <c:formatCode>0.00%</c:formatCode>
                <c:ptCount val="2"/>
                <c:pt idx="0">
                  <c:v>0.10345938101135176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937-8FC0-EC7430D3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1487104"/>
        <c:axId val="141492992"/>
        <c:extLst/>
      </c:barChart>
      <c:dateAx>
        <c:axId val="141487104"/>
        <c:scaling>
          <c:orientation val="minMax"/>
        </c:scaling>
        <c:delete val="0"/>
        <c:axPos val="l"/>
        <c:numFmt formatCode="[$-416]mmm\-yy;@" sourceLinked="0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92992"/>
        <c:crosses val="autoZero"/>
        <c:auto val="1"/>
        <c:lblOffset val="100"/>
        <c:baseTimeUnit val="months"/>
      </c:dateAx>
      <c:valAx>
        <c:axId val="14149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vert="horz"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871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336856456464379"/>
          <c:y val="0.37401160469150785"/>
          <c:w val="0.82504405699287586"/>
          <c:h val="0.169411827480065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solidFill>
                <a:srgbClr val="464646"/>
              </a:solidFill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711293106059"/>
          <c:y val="9.3667928031900327E-2"/>
          <c:w val="0.88024608567442653"/>
          <c:h val="0.64598915447840144"/>
        </c:manualLayout>
      </c:layout>
      <c:lineChart>
        <c:grouping val="standard"/>
        <c:varyColors val="0"/>
        <c:ser>
          <c:idx val="0"/>
          <c:order val="0"/>
          <c:tx>
            <c:v>Carteira</c:v>
          </c:tx>
          <c:spPr>
            <a:ln>
              <a:solidFill>
                <a:srgbClr val="04345A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0.01</c:v>
                </c:pt>
                <c:pt idx="1">
                  <c:v>1.7978999999999967E-2</c:v>
                </c:pt>
                <c:pt idx="2">
                  <c:v>2.6631821499999875E-2</c:v>
                </c:pt>
                <c:pt idx="3">
                  <c:v>3.8643413811549898E-2</c:v>
                </c:pt>
                <c:pt idx="4">
                  <c:v>4.9908528696676502E-2</c:v>
                </c:pt>
                <c:pt idx="5">
                  <c:v>6.1312405431013683E-2</c:v>
                </c:pt>
                <c:pt idx="6">
                  <c:v>7.2309144940492454E-2</c:v>
                </c:pt>
                <c:pt idx="7">
                  <c:v>8.4384984425994514E-2</c:v>
                </c:pt>
                <c:pt idx="8">
                  <c:v>9.4196399436729861E-2</c:v>
                </c:pt>
                <c:pt idx="9">
                  <c:v>0.1058040273180918</c:v>
                </c:pt>
                <c:pt idx="10">
                  <c:v>0.11549337466359733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F-4EE1-AA06-E37F8C086624}"/>
            </c:ext>
          </c:extLst>
        </c:ser>
        <c:ser>
          <c:idx val="1"/>
          <c:order val="1"/>
          <c:tx>
            <c:v>Benchmark</c:v>
          </c:tx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Complementares'!$AX$34:$AX$45</c:f>
              <c:numCache>
                <c:formatCode>0.00%</c:formatCode>
                <c:ptCount val="12"/>
                <c:pt idx="0">
                  <c:v>1.14E-2</c:v>
                </c:pt>
                <c:pt idx="1">
                  <c:v>2.1210580000000201E-2</c:v>
                </c:pt>
                <c:pt idx="2">
                  <c:v>3.1422685800000183E-2</c:v>
                </c:pt>
                <c:pt idx="3">
                  <c:v>4.0911774509360344E-2</c:v>
                </c:pt>
                <c:pt idx="4">
                  <c:v>5.0175889302493504E-2</c:v>
                </c:pt>
                <c:pt idx="5">
                  <c:v>6.0362595428727683E-2</c:v>
                </c:pt>
                <c:pt idx="6">
                  <c:v>6.8845496192157407E-2</c:v>
                </c:pt>
                <c:pt idx="7">
                  <c:v>7.7716913810552235E-2</c:v>
                </c:pt>
                <c:pt idx="8">
                  <c:v>8.7308594343466162E-2</c:v>
                </c:pt>
                <c:pt idx="9">
                  <c:v>9.6333255676516849E-2</c:v>
                </c:pt>
                <c:pt idx="10">
                  <c:v>0.10499428839636127</c:v>
                </c:pt>
                <c:pt idx="11">
                  <c:v>0.10499428839636127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F-4EE1-AA06-E37F8C0866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011392"/>
        <c:axId val="164038912"/>
      </c:lineChart>
      <c:dateAx>
        <c:axId val="1640113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</c:spPr>
        <c:txPr>
          <a:bodyPr rot="-2700000" vert="horz"/>
          <a:lstStyle/>
          <a:p>
            <a:pPr>
              <a:defRPr sz="7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38912"/>
        <c:crosses val="autoZero"/>
        <c:auto val="1"/>
        <c:lblOffset val="100"/>
        <c:baseTimeUnit val="months"/>
        <c:majorUnit val="1"/>
        <c:majorTimeUnit val="months"/>
      </c:dateAx>
      <c:valAx>
        <c:axId val="16403891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11392"/>
        <c:crosses val="autoZero"/>
        <c:crossBetween val="between"/>
        <c:minorUnit val="4.0000000000000008E-2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0555555555555555E-2"/>
          <c:y val="9.282347707146367E-2"/>
          <c:w val="0.95582222222222224"/>
          <c:h val="0.73515968494647621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04345A"/>
            </a:solidFill>
            <a:ln w="25400">
              <a:noFill/>
            </a:ln>
            <a:effectLst/>
          </c:spPr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Complementares'!$AY$34:$AY$45</c:f>
              <c:numCache>
                <c:formatCode>_("R$"* #,##0.00_);_("R$"* \(#,##0.00\);_("R$"* "-"??_);_(@_)</c:formatCode>
                <c:ptCount val="12"/>
                <c:pt idx="0">
                  <c:v>4895.7765467528743</c:v>
                </c:pt>
                <c:pt idx="1">
                  <c:v>4921.3732809390694</c:v>
                </c:pt>
                <c:pt idx="2">
                  <c:v>4965.3962347996776</c:v>
                </c:pt>
                <c:pt idx="3">
                  <c:v>5011.2849699999997</c:v>
                </c:pt>
                <c:pt idx="4">
                  <c:v>5061.2939194766232</c:v>
                </c:pt>
                <c:pt idx="5">
                  <c:v>5111.1747400000004</c:v>
                </c:pt>
                <c:pt idx="6">
                  <c:v>5414.35106</c:v>
                </c:pt>
                <c:pt idx="7">
                  <c:v>5470.3202300000003</c:v>
                </c:pt>
                <c:pt idx="8">
                  <c:v>5512.0631399999993</c:v>
                </c:pt>
                <c:pt idx="9">
                  <c:v>5555.4073799999996</c:v>
                </c:pt>
                <c:pt idx="10">
                  <c:v>5800.2604900000015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9BD-96D4-7312066B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320"/>
        <c:axId val="163890304"/>
      </c:areaChart>
      <c:dateAx>
        <c:axId val="1638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90304"/>
        <c:crosses val="autoZero"/>
        <c:auto val="1"/>
        <c:lblOffset val="100"/>
        <c:baseTimeUnit val="months"/>
      </c:dateAx>
      <c:valAx>
        <c:axId val="16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prstDash val="dash"/>
              <a:round/>
            </a:ln>
            <a:effectLst/>
          </c:spPr>
        </c:majorGridlines>
        <c:numFmt formatCode="#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547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Gotham" panose="02000504050000020004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434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0DC-44B3-B601-324C9A748661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EB-4084-906F-473D6160908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3C-4403-A3F1-5234CB17544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EB-4084-906F-473D6160908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EB-4084-906F-473D6160908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EB-4084-906F-473D6160908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3C-4403-A3F1-5234CB175448}"/>
                </c:ext>
              </c:extLst>
            </c:dLbl>
            <c:dLbl>
              <c:idx val="9"/>
              <c:layout>
                <c:manualLayout>
                  <c:x val="-8.121830008179386E-3"/>
                  <c:y val="-3.2766973275332955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E5-4BEE-8338-5C67EC0B377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3C-4403-A3F1-5234CB17544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3C-4403-A3F1-5234CB175448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64646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'Resumo por Classes | Onshore'!$W$8:$W$20</c:f>
              <c:strCache>
                <c:ptCount val="13"/>
                <c:pt idx="0">
                  <c:v>D+0</c:v>
                </c:pt>
                <c:pt idx="1">
                  <c:v>D+2</c:v>
                </c:pt>
                <c:pt idx="2">
                  <c:v>D+32</c:v>
                </c:pt>
                <c:pt idx="3">
                  <c:v>D+90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strCache>
            </c:strRef>
          </c:cat>
          <c:val>
            <c:numRef>
              <c:f>'Resumo por Classes | Onshore'!$Z$8:$Z$20</c:f>
              <c:numCache>
                <c:formatCode>0%</c:formatCode>
                <c:ptCount val="13"/>
                <c:pt idx="0">
                  <c:v>0.15559983607110636</c:v>
                </c:pt>
                <c:pt idx="1">
                  <c:v>0.18472068245457843</c:v>
                </c:pt>
                <c:pt idx="2">
                  <c:v>0.22133129476232749</c:v>
                </c:pt>
                <c:pt idx="3">
                  <c:v>0.24524007399899633</c:v>
                </c:pt>
                <c:pt idx="4">
                  <c:v>0.24524007399899633</c:v>
                </c:pt>
                <c:pt idx="5">
                  <c:v>0.32950451070076253</c:v>
                </c:pt>
                <c:pt idx="6">
                  <c:v>0.43786751508908633</c:v>
                </c:pt>
                <c:pt idx="7">
                  <c:v>0.51554999200565477</c:v>
                </c:pt>
                <c:pt idx="8">
                  <c:v>0.62634408894803317</c:v>
                </c:pt>
                <c:pt idx="9">
                  <c:v>0.76890372073519364</c:v>
                </c:pt>
                <c:pt idx="10">
                  <c:v>0.89069329002059572</c:v>
                </c:pt>
                <c:pt idx="11">
                  <c:v>0.91906571990284525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4B3-B601-324C9A748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5"/>
        <c:axId val="484825311"/>
        <c:axId val="484822431"/>
      </c:barChart>
      <c:catAx>
        <c:axId val="4848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822431"/>
        <c:crosses val="autoZero"/>
        <c:auto val="1"/>
        <c:lblAlgn val="ctr"/>
        <c:lblOffset val="100"/>
        <c:noMultiLvlLbl val="0"/>
      </c:catAx>
      <c:valAx>
        <c:axId val="4848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48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[GCA_OK.xlsx]Resumo por Classes | Onshore!Tabela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5163257874822"/>
          <c:y val="1.7551664207700306E-2"/>
          <c:w val="0.86709045090293935"/>
          <c:h val="0.90579197955698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'Resumo por Classes | Onshore'!$AC$7:$AC$8</c:f>
              <c:strCache>
                <c:ptCount val="1"/>
                <c:pt idx="0">
                  <c:v>Conta Corrente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Onshore'!$AC$9</c:f>
              <c:numCache>
                <c:formatCode>0.00%</c:formatCode>
                <c:ptCount val="1"/>
                <c:pt idx="0">
                  <c:v>1.8447447349041388E-7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45-4A9B-9E30-DB8CD6F65144}"/>
            </c:ext>
          </c:extLst>
        </c:ser>
        <c:ser>
          <c:idx val="1"/>
          <c:order val="1"/>
          <c:tx>
            <c:strRef>
              <c:f>'Resumo por Classes | Onshore'!$AD$7:$AD$8</c:f>
              <c:strCache>
                <c:ptCount val="1"/>
                <c:pt idx="0">
                  <c:v>Fundos - Multimercado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Onshore'!$AD$9</c:f>
              <c:numCache>
                <c:formatCode>0.00%</c:formatCode>
                <c:ptCount val="1"/>
                <c:pt idx="0">
                  <c:v>5.0073695914301941E-2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E-44AB-BC06-BBECAB1567EB}"/>
            </c:ext>
          </c:extLst>
        </c:ser>
        <c:ser>
          <c:idx val="2"/>
          <c:order val="2"/>
          <c:tx>
            <c:strRef>
              <c:f>'Resumo por Classes | Onshore'!$AE$7:$AE$8</c:f>
              <c:strCache>
                <c:ptCount val="1"/>
                <c:pt idx="0">
                  <c:v>Fundos - Renda Fixa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Onshore'!$AE$9</c:f>
              <c:numCache>
                <c:formatCode>0.00%</c:formatCode>
                <c:ptCount val="1"/>
                <c:pt idx="0">
                  <c:v>0.24992622874425419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E-44AB-BC06-BBECAB1567EB}"/>
            </c:ext>
          </c:extLst>
        </c:ser>
        <c:ser>
          <c:idx val="3"/>
          <c:order val="3"/>
          <c:tx>
            <c:strRef>
              <c:f>'Resumo por Classes | Onshore'!$AF$7:$AF$8</c:f>
              <c:strCache>
                <c:ptCount val="1"/>
                <c:pt idx="0">
                  <c:v>Renda Fixa - Inflação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Onshore'!$AF$9</c:f>
              <c:numCache>
                <c:formatCode>0.00%</c:formatCode>
                <c:ptCount val="1"/>
                <c:pt idx="0">
                  <c:v>0.12160442470058788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E-44AB-BC06-BBECAB1567EB}"/>
            </c:ext>
          </c:extLst>
        </c:ser>
        <c:ser>
          <c:idx val="4"/>
          <c:order val="4"/>
          <c:tx>
            <c:strRef>
              <c:f>'Resumo por Classes | Onshore'!$AG$7:$AG$8</c:f>
              <c:strCache>
                <c:ptCount val="1"/>
                <c:pt idx="0">
                  <c:v>Renda Fixa - Pós-Fixado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Onshore'!$AG$9</c:f>
              <c:numCache>
                <c:formatCode>0.00%</c:formatCode>
                <c:ptCount val="1"/>
                <c:pt idx="0">
                  <c:v>0.2635809068637191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E-44AB-BC06-BBECAB1567EB}"/>
            </c:ext>
          </c:extLst>
        </c:ser>
        <c:ser>
          <c:idx val="5"/>
          <c:order val="5"/>
          <c:tx>
            <c:strRef>
              <c:f>'Resumo por Classes | Onshore'!$AH$7:$AH$8</c:f>
              <c:strCache>
                <c:ptCount val="1"/>
                <c:pt idx="0">
                  <c:v>Renda Fixa - Prefixado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Onshore'!$AH$9</c:f>
              <c:numCache>
                <c:formatCode>0.00%</c:formatCode>
                <c:ptCount val="1"/>
                <c:pt idx="0">
                  <c:v>0.290497289372602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E-44AB-BC06-BBECAB1567EB}"/>
            </c:ext>
          </c:extLst>
        </c:ser>
        <c:ser>
          <c:idx val="6"/>
          <c:order val="6"/>
          <c:tx>
            <c:strRef>
              <c:f>'Resumo por Classes | Onshore'!$AI$7:$AI$8</c:f>
              <c:strCache>
                <c:ptCount val="1"/>
                <c:pt idx="0">
                  <c:v>Bolsa - Fundo Imobiliário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Onshore'!$AI$9</c:f>
              <c:numCache>
                <c:formatCode>0.00%</c:formatCode>
                <c:ptCount val="1"/>
                <c:pt idx="0">
                  <c:v>2.4317269930061364E-2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E-44AB-BC06-BBECAB156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64738944"/>
        <c:axId val="164740480"/>
        <c:extLst/>
      </c:barChart>
      <c:catAx>
        <c:axId val="164738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6]mmm\-yy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F7F7F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40480"/>
        <c:crosses val="autoZero"/>
        <c:auto val="1"/>
        <c:lblAlgn val="ctr"/>
        <c:lblOffset val="100"/>
        <c:noMultiLvlLbl val="0"/>
      </c:catAx>
      <c:valAx>
        <c:axId val="16474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ysClr val="window" lastClr="FFFFFF">
                <a:lumMod val="6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3894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72369442191824"/>
          <c:y val="2.1639315914835193E-2"/>
          <c:w val="0.35327630557808182"/>
          <c:h val="0.90276381415997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rgbClr val="464646"/>
              </a:solidFill>
              <a:latin typeface="Gotham" panose="02000604030000020004" pitchFamily="50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A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600075</xdr:colOff>
      <xdr:row>16</xdr:row>
      <xdr:rowOff>9525</xdr:rowOff>
    </xdr:from>
    <xdr:to>
      <xdr:col>13</xdr:col>
      <xdr:colOff>314325</xdr:colOff>
      <xdr:row>29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152400</xdr:colOff>
      <xdr:row>2</xdr:row>
      <xdr:rowOff>19050</xdr:rowOff>
    </xdr:from>
    <xdr:to>
      <xdr:col>14</xdr:col>
      <xdr:colOff>304800</xdr:colOff>
      <xdr:row>12</xdr:row>
      <xdr:rowOff>46566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189441</xdr:colOff>
      <xdr:row>22</xdr:row>
      <xdr:rowOff>133350</xdr:rowOff>
    </xdr:from>
    <xdr:to>
      <xdr:col>9</xdr:col>
      <xdr:colOff>104775</xdr:colOff>
      <xdr:row>23</xdr:row>
      <xdr:rowOff>157692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66316" y="4191000"/>
          <a:ext cx="877359" cy="214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4345A"/>
              </a:solidFill>
              <a:latin typeface="Gotham" panose="02000504050000020004" pitchFamily="2" charset="0"/>
            </a:rPr>
            <a:t>Mensal</a:t>
          </a:r>
        </a:p>
      </xdr:txBody>
    </xdr:sp>
    <xdr:clientData/>
  </xdr:twoCellAnchor>
  <xdr:twoCellAnchor>
    <xdr:from>
      <xdr:col>2</xdr:col>
      <xdr:colOff>9524</xdr:colOff>
      <xdr:row>31</xdr:row>
      <xdr:rowOff>85725</xdr:rowOff>
    </xdr:from>
    <xdr:to>
      <xdr:col>6</xdr:col>
      <xdr:colOff>466725</xdr:colOff>
      <xdr:row>33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81199" y="6048375"/>
          <a:ext cx="2714626" cy="466725"/>
        </a:xfrm>
        <a:prstGeom prst="rect">
          <a:avLst/>
        </a:prstGeom>
        <a:solidFill>
          <a:srgbClr val="F2F2F2">
            <a:alpha val="20000"/>
          </a:srgbClr>
        </a:solidFill>
        <a:ln w="28575">
          <a:solidFill>
            <a:srgbClr val="95B3D7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114300</xdr:colOff>
      <xdr:row>32</xdr:row>
      <xdr:rowOff>9525</xdr:rowOff>
    </xdr:from>
    <xdr:to>
      <xdr:col>3</xdr:col>
      <xdr:colOff>304800</xdr:colOff>
      <xdr:row>33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3600" y="6534150"/>
          <a:ext cx="190500" cy="171450"/>
        </a:xfrm>
        <a:prstGeom prst="rect">
          <a:avLst/>
        </a:prstGeom>
        <a:noFill/>
        <a:ln w="28575">
          <a:solidFill>
            <a:srgbClr val="95B3D7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15</xdr:col>
      <xdr:colOff>85725</xdr:colOff>
      <xdr:row>1</xdr:row>
      <xdr:rowOff>9525</xdr:rowOff>
    </xdr:from>
    <xdr:to>
      <xdr:col>29</xdr:col>
      <xdr:colOff>584250</xdr:colOff>
      <xdr:row>29</xdr:row>
      <xdr:rowOff>138992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44100" y="200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56025</xdr:colOff>
      <xdr:row>21</xdr:row>
      <xdr:rowOff>0</xdr:rowOff>
    </xdr:from>
    <xdr:to>
      <xdr:col>15</xdr:col>
      <xdr:colOff>762000</xdr:colOff>
      <xdr:row>32</xdr:row>
      <xdr:rowOff>127000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5625" y="4038600"/>
          <a:ext cx="9059400" cy="2222500"/>
          <a:chOff x="667213" y="4101155"/>
          <a:chExt cx="9016537" cy="218534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4278313" y="4101155"/>
          <a:ext cx="5405437" cy="21853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667213" y="4135437"/>
          <a:ext cx="3584485" cy="19184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16</xdr:col>
      <xdr:colOff>144102</xdr:colOff>
      <xdr:row>3</xdr:row>
      <xdr:rowOff>154057</xdr:rowOff>
    </xdr:from>
    <xdr:to>
      <xdr:col>29</xdr:col>
      <xdr:colOff>568497</xdr:colOff>
      <xdr:row>31</xdr:row>
      <xdr:rowOff>131124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95851" y="725557"/>
          <a:ext cx="9295069" cy="53276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484755</xdr:colOff>
      <xdr:row>22</xdr:row>
      <xdr:rowOff>114300</xdr:rowOff>
    </xdr:from>
    <xdr:to>
      <xdr:col>9</xdr:col>
      <xdr:colOff>752468</xdr:colOff>
      <xdr:row>24</xdr:row>
      <xdr:rowOff>168614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5009130" y="4343400"/>
          <a:ext cx="2191763" cy="435314"/>
          <a:chOff x="4990081" y="4044831"/>
          <a:chExt cx="1965757" cy="428974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990081" y="4272539"/>
            <a:ext cx="1965757" cy="201266"/>
            <a:chOff x="5734050" y="3705642"/>
            <a:chExt cx="1289931" cy="212000"/>
          </a:xfrm>
        </xdr:grpSpPr>
        <xdr:sp macro="" textlink="$N$10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52456" y="3717616"/>
              <a:ext cx="771525" cy="2000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E030A2-91B2-4D99-B6BB-583F0C4BDC32}" type="TxLink">
                <a:rPr lang="en-US" sz="1050" b="1">
                  <a:solidFill>
                    <a:srgbClr val="7F7F7F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11,68%</a:t>
              </a:fld>
              <a:endParaRPr lang="pt-BR" sz="1050" b="1">
                <a:solidFill>
                  <a:srgbClr val="7F7F7F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734050" y="3705642"/>
              <a:ext cx="633387" cy="2037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7F7F7F"/>
                  </a:solidFill>
                  <a:latin typeface="Gotham" panose="02000504050000020004" pitchFamily="2" charset="0"/>
                </a:rPr>
                <a:t>Benchmark</a:t>
              </a:r>
              <a:endParaRPr lang="pt-BR" sz="1200" b="1">
                <a:solidFill>
                  <a:srgbClr val="7F7F7F"/>
                </a:solidFill>
                <a:latin typeface="Gotham" panose="02000504050000020004" pitchFamily="2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990093" y="4044831"/>
            <a:ext cx="1774177" cy="202584"/>
            <a:chOff x="4990093" y="4044831"/>
            <a:chExt cx="1774177" cy="202584"/>
          </a:xfrm>
        </xdr:grpSpPr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990093" y="4044831"/>
              <a:ext cx="802901" cy="1786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04345A"/>
                  </a:solidFill>
                  <a:latin typeface="Gotham" panose="02000504050000020004" pitchFamily="2" charset="0"/>
                </a:rPr>
                <a:t>Carteira</a:t>
              </a:r>
            </a:p>
          </xdr:txBody>
        </xdr:sp>
        <xdr:sp macro="" textlink="$N$8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88523" y="4057517"/>
              <a:ext cx="1175747" cy="1898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99B8E0E8-937F-4BFC-B500-9F847A8705B2}" type="TxLink">
                <a:rPr lang="en-US" sz="1050" b="1">
                  <a:solidFill>
                    <a:srgbClr val="04345A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12,55%</a:t>
              </a:fld>
              <a:endParaRPr lang="pt-BR" sz="1050" b="1">
                <a:solidFill>
                  <a:srgbClr val="04345A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12</xdr:row>
      <xdr:rowOff>9525</xdr:rowOff>
    </xdr:from>
    <xdr:to>
      <xdr:col>12</xdr:col>
      <xdr:colOff>488949</xdr:colOff>
      <xdr:row>30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2324100"/>
          <a:ext cx="6032499" cy="3552825"/>
          <a:chOff x="3638550" y="2667001"/>
          <a:chExt cx="6032499" cy="325321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aphicFramePr>
            <a:graphicFrameLocks/>
          </xdr:cNvGraphicFramePr>
        </xdr:nvGraphicFramePr>
        <xdr:xfrm>
          <a:off x="6543675" y="2667001"/>
          <a:ext cx="3127374" cy="3253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3638550" y="2743200"/>
          <a:ext cx="2867025" cy="307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171450</xdr:colOff>
      <xdr:row>3</xdr:row>
      <xdr:rowOff>9525</xdr:rowOff>
    </xdr:from>
    <xdr:to>
      <xdr:col>24</xdr:col>
      <xdr:colOff>755700</xdr:colOff>
      <xdr:row>31</xdr:row>
      <xdr:rowOff>5642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850" y="581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171449</xdr:colOff>
      <xdr:row>8</xdr:row>
      <xdr:rowOff>153457</xdr:rowOff>
    </xdr:from>
    <xdr:to>
      <xdr:col>30</xdr:col>
      <xdr:colOff>394527</xdr:colOff>
      <xdr:row>37</xdr:row>
      <xdr:rowOff>174671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63349" y="1677457"/>
          <a:ext cx="9233728" cy="531711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19</xdr:col>
      <xdr:colOff>190500</xdr:colOff>
      <xdr:row>40</xdr:row>
      <xdr:rowOff>9525</xdr:rowOff>
    </xdr:from>
    <xdr:to>
      <xdr:col>30</xdr:col>
      <xdr:colOff>413578</xdr:colOff>
      <xdr:row>71</xdr:row>
      <xdr:rowOff>40264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582400" y="7267575"/>
          <a:ext cx="9233728" cy="531711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85725</xdr:colOff>
          <xdr:row>0</xdr:row>
          <xdr:rowOff>38100</xdr:rowOff>
        </xdr:from>
        <xdr:to>
          <xdr:col>26</xdr:col>
          <xdr:colOff>1209675</xdr:colOff>
          <xdr:row>2</xdr:row>
          <xdr:rowOff>152400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4</xdr:row>
      <xdr:rowOff>9526</xdr:rowOff>
    </xdr:from>
    <xdr:to>
      <xdr:col>0</xdr:col>
      <xdr:colOff>1438274</xdr:colOff>
      <xdr:row>15</xdr:row>
      <xdr:rowOff>130132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stódia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ó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2476"/>
              <a:ext cx="1438274" cy="1095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130132</xdr:rowOff>
    </xdr:from>
    <xdr:to>
      <xdr:col>0</xdr:col>
      <xdr:colOff>1447800</xdr:colOff>
      <xdr:row>30</xdr:row>
      <xdr:rowOff>53041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omenclatura Classe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nclatura 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850"/>
              <a:ext cx="1447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ncontri" refreshedDate="45483.465846527775" createdVersion="8" refreshedVersion="8" minRefreshableVersion="3" recordCount="38" xr:uid="{8A9A0C63-B8CA-4A0D-A0EB-D4DAC8CF69E0}">
  <cacheSource type="worksheet">
    <worksheetSource name="Dados"/>
  </cacheSource>
  <cacheFields count="72">
    <cacheField name="Ativo" numFmtId="0">
      <sharedItems/>
    </cacheField>
    <cacheField name="Data" numFmtId="17">
      <sharedItems containsSemiMixedTypes="0" containsNonDate="0" containsDate="1" containsString="0" minDate="2024-06-01T00:00:00" maxDate="2024-06-02T00:00:00"/>
    </cacheField>
    <cacheField name="Titular" numFmtId="0">
      <sharedItems/>
    </cacheField>
    <cacheField name="Custódia" numFmtId="0">
      <sharedItems/>
    </cacheField>
    <cacheField name="Subclasse" numFmtId="0">
      <sharedItems containsBlank="1" count="13">
        <s v="Renda Fixa"/>
        <s v="Fundo Imobiliário"/>
        <s v="Conta Corrente"/>
        <s v="Prefixado"/>
        <s v="Pós-Fixado"/>
        <s v="Inflação"/>
        <s v="Multimercado"/>
        <m u="1"/>
        <s v="Ação" u="1"/>
        <s v="Alternativos" u="1"/>
        <s v="Derivativos" u="1"/>
        <s v="Estruturado" u="1"/>
        <s v="Alternativo" u="1"/>
      </sharedItems>
    </cacheField>
    <cacheField name="Tipo do Ativo" numFmtId="0">
      <sharedItems containsBlank="1"/>
    </cacheField>
    <cacheField name="Emissor" numFmtId="0">
      <sharedItems/>
    </cacheField>
    <cacheField name="Vencimento" numFmtId="14">
      <sharedItems containsNonDate="0" containsDate="1" containsString="0" containsBlank="1" minDate="2024-05-06T00:00:00" maxDate="2033-10-18T00:00:00"/>
    </cacheField>
    <cacheField name="Remuneração" numFmtId="0">
      <sharedItems containsBlank="1"/>
    </cacheField>
    <cacheField name="Complemento" numFmtId="0">
      <sharedItems containsNonDate="0" containsString="0" containsBlank="1"/>
    </cacheField>
    <cacheField name="Liquidez" numFmtId="0">
      <sharedItems containsMixedTypes="1" containsNumber="1" containsInteger="1" minValue="2024" maxValue="2033"/>
    </cacheField>
    <cacheField name="Ticker do Ativo" numFmtId="0">
      <sharedItems containsBlank="1"/>
    </cacheField>
    <cacheField name="Taxa" numFmtId="10">
      <sharedItems containsString="0" containsBlank="1" containsNumber="1" minValue="5.3999999999999999E-2" maxValue="1.0900000000000001"/>
    </cacheField>
    <cacheField name="Pós-Fixado" numFmtId="10">
      <sharedItems containsBlank="1"/>
    </cacheField>
    <cacheField name="IR" numFmtId="0">
      <sharedItems containsBlank="1"/>
    </cacheField>
    <cacheField name="Liq. Diária" numFmtId="0">
      <sharedItems containsNonDate="0" containsString="0" containsBlank="1"/>
    </cacheField>
    <cacheField name="Classe" numFmtId="0">
      <sharedItems count="7">
        <s v="Fundos de Investimento"/>
        <s v="Bolsa de Valores"/>
        <s v="Corrente, Poupança e Empréstimo"/>
        <s v="Renda Fixa"/>
        <s v="ERRO" u="1"/>
        <s v="Fundos de Investimentos" u="1"/>
        <s v="Opções" u="1"/>
      </sharedItems>
    </cacheField>
    <cacheField name="Nomenclatura Ativo" numFmtId="0">
      <sharedItems/>
    </cacheField>
    <cacheField name="Nomenclatura Classe" numFmtId="0">
      <sharedItems count="10">
        <s v="Fundos - Renda Fixa"/>
        <s v="Bolsa - Fundo Imobiliário"/>
        <s v="Conta Corrente"/>
        <s v="Renda Fixa - Prefixado"/>
        <s v="Renda Fixa - Pós-Fixado"/>
        <s v="Renda Fixa - Inflação"/>
        <s v="Fundos - Multimercado"/>
        <s v="ERRO" u="1"/>
        <s v="Bolsa - Ação" u="1"/>
        <s v="Fundos - Alternativo" u="1"/>
      </sharedItems>
    </cacheField>
    <cacheField name="Gross-Up" numFmtId="10">
      <sharedItems containsMixedTypes="1" containsNumber="1" minValue="0.15" maxValue="0.22500000000000001"/>
    </cacheField>
    <cacheField name="Coluna2" numFmtId="10">
      <sharedItems containsNonDate="0" containsString="0" containsBlank="1"/>
    </cacheField>
    <cacheField name="Apagar Linha" numFmtId="10">
      <sharedItems/>
    </cacheField>
    <cacheField name="Coluna1" numFmtId="0">
      <sharedItems containsNonDate="0" containsString="0" containsBlank="1"/>
    </cacheField>
    <cacheField name="Taxa | Esperada" numFmtId="10">
      <sharedItems containsMixedTypes="1" containsNumber="1" minValue="7.5050000000000004E-3" maxValue="1.1127601118850805E-2"/>
    </cacheField>
    <cacheField name="Saldo Líquido Esperado" numFmtId="44">
      <sharedItems containsMixedTypes="1" containsNumber="1" minValue="0" maxValue="365610.65804649953"/>
    </cacheField>
    <cacheField name="Saldo Bruto Esperado" numFmtId="44">
      <sharedItems containsMixedTypes="1" containsNumber="1" minValue="0" maxValue="365610.65804649953"/>
    </cacheField>
    <cacheField name="-" numFmtId="0">
      <sharedItems containsBlank="1" containsMixedTypes="1" containsNumber="1" containsInteger="1" minValue="37" maxValue="37"/>
    </cacheField>
    <cacheField name="Saldo Líquido | Relatório" numFmtId="44">
      <sharedItems containsSemiMixedTypes="0" containsString="0" containsNumber="1" minValue="0" maxValue="847245.82"/>
    </cacheField>
    <cacheField name="Saldo Bruto | Relatório" numFmtId="44">
      <sharedItems containsSemiMixedTypes="0" containsString="0" containsNumber="1" minValue="0" maxValue="849545.87"/>
    </cacheField>
    <cacheField name="Aplicações" numFmtId="44">
      <sharedItems containsString="0" containsBlank="1" containsNumber="1" minValue="216464.1" maxValue="216464.17"/>
    </cacheField>
    <cacheField name="Resgates" numFmtId="44">
      <sharedItems containsString="0" containsBlank="1" containsNumber="1" minValue="-216464.17" maxValue="-5101.63"/>
    </cacheField>
    <cacheField name="Juros / Dividendos" numFmtId="44">
      <sharedItems containsString="0" containsBlank="1" containsNumber="1" minValue="-1074.6400000000001" maxValue="-696.5"/>
    </cacheField>
    <cacheField name="Demais" numFmtId="44">
      <sharedItems containsNonDate="0" containsString="0" containsBlank="1"/>
    </cacheField>
    <cacheField name="Cashback" numFmtId="44">
      <sharedItems containsString="0" containsBlank="1" containsNumber="1" minValue="-65.260000000000005" maxValue="-16.96"/>
    </cacheField>
    <cacheField name="Imposto Pago" numFmtId="44">
      <sharedItems containsNonDate="0" containsString="0" containsBlank="1"/>
    </cacheField>
    <cacheField name="-----" numFmtId="0">
      <sharedItems containsNonDate="0" containsString="0" containsBlank="1"/>
    </cacheField>
    <cacheField name="Peso | Mês Anterior" numFmtId="0">
      <sharedItems containsSemiMixedTypes="0" containsString="0" containsNumber="1" minValue="0" maxValue="0.11286717554815938"/>
    </cacheField>
    <cacheField name="IR &amp; IOF | Mês Anterior" numFmtId="44">
      <sharedItems containsSemiMixedTypes="0" containsString="0" containsNumber="1" minValue="0" maxValue="1898.609999999986"/>
    </cacheField>
    <cacheField name="Saldo Líquido | Mês Anterior" numFmtId="44">
      <sharedItems containsSemiMixedTypes="0" containsString="0" containsNumber="1" minValue="0" maxValue="625963.47"/>
    </cacheField>
    <cacheField name="Saldo Bruto | Mês Anterior" numFmtId="44">
      <sharedItems containsSemiMixedTypes="0" containsString="0" containsNumber="1" minValue="0" maxValue="627023.14"/>
    </cacheField>
    <cacheField name="Movimentaçao | Mês Anterior" numFmtId="44">
      <sharedItems containsSemiMixedTypes="0" containsString="0" containsNumber="1" minValue="-210738.17" maxValue="323406.17000000004"/>
    </cacheField>
    <cacheField name="IR Pago | Mês Anterior" numFmtId="44">
      <sharedItems containsSemiMixedTypes="0" containsString="0" containsNumber="1" minValue="0" maxValue="4648.25"/>
    </cacheField>
    <cacheField name="--" numFmtId="0">
      <sharedItems containsNonDate="0" containsString="0" containsBlank="1"/>
    </cacheField>
    <cacheField name="Peso | Mês Atual" numFmtId="10">
      <sharedItems containsSemiMixedTypes="0" containsString="0" containsNumber="1" minValue="0" maxValue="0.14646684773290244"/>
    </cacheField>
    <cacheField name="IR &amp; IOF | Mês Atual" numFmtId="44">
      <sharedItems containsSemiMixedTypes="0" containsString="0" containsNumber="1" minValue="0" maxValue="2687.4899999999907"/>
    </cacheField>
    <cacheField name="Performance | Mês Atual" numFmtId="10">
      <sharedItems containsMixedTypes="1" containsNumber="1" minValue="-1.8161602494931262E-2" maxValue="1.3800970597390716E-2"/>
    </cacheField>
    <cacheField name="Saldo Líquido | Mês Atual" numFmtId="44">
      <sharedItems containsSemiMixedTypes="0" containsString="0" containsNumber="1" minValue="0" maxValue="847245.82"/>
    </cacheField>
    <cacheField name="Saldo Bruto | Mês Atual" numFmtId="44">
      <sharedItems containsSemiMixedTypes="0" containsString="0" containsNumber="1" minValue="0" maxValue="849545.87"/>
    </cacheField>
    <cacheField name="Movimentaçao | Mês Atual" numFmtId="44">
      <sharedItems containsSemiMixedTypes="0" containsString="0" containsNumber="1" minValue="-7358.39" maxValue="216408.42"/>
    </cacheField>
    <cacheField name="IR Pago | Mês Atual" numFmtId="44">
      <sharedItems containsSemiMixedTypes="0" containsString="0" containsNumber="1" containsInteger="1" minValue="0" maxValue="0"/>
    </cacheField>
    <cacheField name="---" numFmtId="0">
      <sharedItems containsNonDate="0" containsString="0" containsBlank="1"/>
    </cacheField>
    <cacheField name="Lista?" numFmtId="0">
      <sharedItems/>
    </cacheField>
    <cacheField name="Participação" numFmtId="44">
      <sharedItems containsNonDate="0" containsString="0" containsBlank="1"/>
    </cacheField>
    <cacheField name="Saldo Corrigido" numFmtId="44">
      <sharedItems containsSemiMixedTypes="0" containsString="0" containsNumber="1" minValue="0" maxValue="849545.87"/>
    </cacheField>
    <cacheField name="Peso Corrigido | Carteira" numFmtId="10">
      <sharedItems containsSemiMixedTypes="0" containsString="0" containsNumber="1" minValue="0" maxValue="0.1460804297118202"/>
    </cacheField>
    <cacheField name="Performance Carteira" numFmtId="10">
      <sharedItems containsSemiMixedTypes="0" containsString="0" containsNumber="1" minValue="8.7742642058331859E-3" maxValue="8.7742642058331859E-3"/>
    </cacheField>
    <cacheField name="Peso Corrigido | Custódia" numFmtId="10">
      <sharedItems containsSemiMixedTypes="0" containsString="0" containsNumber="1" minValue="0" maxValue="1"/>
    </cacheField>
    <cacheField name="Performance Custódia" numFmtId="10">
      <sharedItems containsSemiMixedTypes="0" containsString="0" containsNumber="1" minValue="8.0994676046073355E-3" maxValue="1.1937959757616795E-2"/>
    </cacheField>
    <cacheField name="Peso Corrigido | SubClasse" numFmtId="10">
      <sharedItems containsSemiMixedTypes="0" containsString="0" containsNumber="1" minValue="0" maxValue="1"/>
    </cacheField>
    <cacheField name="Performance SubClasse" numFmtId="10">
      <sharedItems containsSemiMixedTypes="0" containsString="0" containsNumber="1" minValue="-6.9739202109679122E-3" maxValue="1.195899628125674E-2"/>
    </cacheField>
    <cacheField name="Peso Corrigido | Classe" numFmtId="10">
      <sharedItems containsSemiMixedTypes="0" containsString="0" containsNumber="1" minValue="0" maxValue="1"/>
    </cacheField>
    <cacheField name="Performance Classe" numFmtId="10">
      <sharedItems containsSemiMixedTypes="0" containsString="0" containsNumber="1" minValue="-3.865213082259622E-3" maxValue="1.0826473045613906E-2"/>
    </cacheField>
    <cacheField name="ea" numFmtId="10">
      <sharedItems containsNonDate="0" containsString="0" containsBlank="1"/>
    </cacheField>
    <cacheField name="Código" numFmtId="10">
      <sharedItems/>
    </cacheField>
    <cacheField name="TickerExcel" numFmtId="10">
      <sharedItems containsNonDate="0" containsString="0" containsBlank="1"/>
    </cacheField>
    <cacheField name="Taxa RF / FI" numFmtId="10">
      <sharedItems containsMixedTypes="1" containsNumber="1" minValue="2.7549999999999996E-3" maxValue="4.982065224862442E-3"/>
    </cacheField>
    <cacheField name="Movimentações Atualizadas" numFmtId="44">
      <sharedItems containsNonDate="0" containsString="0" containsBlank="1"/>
    </cacheField>
    <cacheField name="Saldo Atualizado" numFmtId="44">
      <sharedItems containsSemiMixedTypes="0" containsString="0" containsNumber="1" minValue="0" maxValue="849545.87"/>
    </cacheField>
    <cacheField name="Peso Atualizado" numFmtId="10">
      <sharedItems containsSemiMixedTypes="0" containsString="0" containsNumber="1" minValue="0" maxValue="0.14610811846002142"/>
    </cacheField>
    <cacheField name="Performance Atualizado" numFmtId="10">
      <sharedItems containsMixedTypes="1" containsNumber="1" minValue="0" maxValue="5.8612532057205199E-3"/>
    </cacheField>
    <cacheField name="Saldo Corrigido Atualizado" numFmtId="44">
      <sharedItems containsSemiMixedTypes="0" containsString="0" containsNumber="1" minValue="0" maxValue="849545.87"/>
    </cacheField>
    <cacheField name="Peso Corrigido Atualizado" numFmtId="0">
      <sharedItems containsSemiMixedTypes="0" containsString="0" containsNumber="1" minValue="0" maxValue="0.146108118460021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s v="BTG CDB Plus FI RF CP"/>
    <d v="2024-06-01T00:00:00"/>
    <s v="GCA"/>
    <s v="BTG"/>
    <x v="0"/>
    <m/>
    <s v="BTG CDB Plus FI RF CP"/>
    <m/>
    <m/>
    <m/>
    <s v="D+0"/>
    <s v="27.717.359/0001-30"/>
    <m/>
    <m/>
    <m/>
    <m/>
    <x v="0"/>
    <s v="BTG CDB Plus FI RF CP"/>
    <x v="0"/>
    <s v=""/>
    <m/>
    <s v=""/>
    <m/>
    <s v=""/>
    <s v=""/>
    <s v=""/>
    <m/>
    <n v="847245.82"/>
    <n v="849545.87"/>
    <n v="216464.17"/>
    <m/>
    <m/>
    <m/>
    <n v="-55.75"/>
    <m/>
    <m/>
    <n v="0.11286717554815938"/>
    <n v="1059.6700000000419"/>
    <n v="625963.47"/>
    <n v="627023.14"/>
    <n v="323406.17000000004"/>
    <n v="2565.59"/>
    <m/>
    <n v="0.14646684773290244"/>
    <n v="2300.0500000000466"/>
    <n v="7.2493256002892359E-3"/>
    <n v="847245.82"/>
    <n v="849545.87"/>
    <n v="216408.42"/>
    <n v="0"/>
    <m/>
    <b v="1"/>
    <m/>
    <n v="849545.87"/>
    <n v="0.1460804297118202"/>
    <n v="8.7742642058331859E-3"/>
    <n v="0.17748248770182232"/>
    <n v="8.5754063895799679E-3"/>
    <n v="0.58604032265368899"/>
    <n v="7.601250110095303E-3"/>
    <n v="0.48819988057074731"/>
    <n v="5.1679003003251437E-3"/>
    <m/>
    <s v="27.717.359/0001-30"/>
    <m/>
    <s v=""/>
    <m/>
    <n v="849545.87"/>
    <n v="0.14610811846002142"/>
    <n v="0"/>
    <n v="849545.87"/>
    <n v="0.14610811846002142"/>
  </r>
  <r>
    <s v="BTLG11"/>
    <d v="2024-06-01T00:00:00"/>
    <s v="GCA"/>
    <s v="BTG"/>
    <x v="1"/>
    <m/>
    <s v="BTLG11"/>
    <m/>
    <m/>
    <m/>
    <s v="D+2"/>
    <s v="BTLG11"/>
    <m/>
    <m/>
    <m/>
    <m/>
    <x v="1"/>
    <s v="BTLG11"/>
    <x v="1"/>
    <s v=""/>
    <m/>
    <s v=""/>
    <m/>
    <s v=""/>
    <s v=""/>
    <s v=""/>
    <m/>
    <n v="141046.5"/>
    <n v="141046.5"/>
    <m/>
    <m/>
    <n v="-1074.6400000000001"/>
    <m/>
    <m/>
    <m/>
    <m/>
    <n v="2.5681752973442613E-2"/>
    <n v="0"/>
    <n v="142672.6"/>
    <n v="142672.6"/>
    <n v="-1074.6400000000001"/>
    <n v="0"/>
    <m/>
    <n v="2.4317269930061367E-2"/>
    <n v="0"/>
    <n v="-3.865213082259622E-3"/>
    <n v="141046.5"/>
    <n v="141046.5"/>
    <n v="-1074.6400000000001"/>
    <n v="0"/>
    <m/>
    <b v="1"/>
    <m/>
    <n v="142121.14000000001"/>
    <n v="2.4437900218776606E-2"/>
    <n v="8.7742642058331859E-3"/>
    <n v="2.9691173099598459E-2"/>
    <n v="8.5754063895799679E-3"/>
    <n v="1"/>
    <n v="-3.865213082259622E-3"/>
    <n v="1"/>
    <n v="-3.865213082259622E-3"/>
    <m/>
    <s v="BTLG11"/>
    <m/>
    <s v=""/>
    <m/>
    <n v="141046.5"/>
    <n v="2.4257711629357238E-2"/>
    <n v="0"/>
    <n v="141046.5"/>
    <n v="2.4257711629357238E-2"/>
  </r>
  <r>
    <s v="Conta Corrente - BTG"/>
    <d v="2024-06-01T00:00:00"/>
    <s v="GCA"/>
    <s v="BTG"/>
    <x v="2"/>
    <s v="Conta Corrente -"/>
    <s v="BTG"/>
    <m/>
    <m/>
    <m/>
    <s v="D+0"/>
    <m/>
    <m/>
    <m/>
    <m/>
    <m/>
    <x v="2"/>
    <s v="Conta Corrente - BTG"/>
    <x v="2"/>
    <s v=""/>
    <m/>
    <s v=""/>
    <m/>
    <s v=""/>
    <s v=""/>
    <s v=""/>
    <m/>
    <n v="0"/>
    <n v="0"/>
    <n v="216464.1"/>
    <n v="-216464.17"/>
    <m/>
    <m/>
    <m/>
    <m/>
    <m/>
    <n v="1.2600336071123558E-8"/>
    <n v="0"/>
    <n v="7.0000000000000007E-2"/>
    <n v="7.0000000000000007E-2"/>
    <n v="-984.60999999998603"/>
    <n v="0"/>
    <m/>
    <n v="0"/>
    <n v="0"/>
    <n v="9.9784402962654895E-11"/>
    <n v="0"/>
    <n v="0"/>
    <n v="-7.0000000006984919E-2"/>
    <n v="0"/>
    <m/>
    <b v="1"/>
    <m/>
    <n v="7.0000000006984919E-2"/>
    <n v="1.2036583829014171E-8"/>
    <n v="8.7742642058331859E-3"/>
    <n v="1.4624018053748249E-8"/>
    <n v="8.5754063895799679E-3"/>
    <n v="6.1403508777680714E-2"/>
    <n v="6.1271124631930093E-12"/>
    <n v="6.1403508777680714E-2"/>
    <n v="6.1271124631930093E-12"/>
    <m/>
    <s v=""/>
    <m/>
    <s v=""/>
    <m/>
    <n v="0"/>
    <n v="0"/>
    <s v="0,00%"/>
    <n v="0"/>
    <n v="0"/>
  </r>
  <r>
    <s v="BNP Paribas Match DI FIRF"/>
    <d v="2024-06-01T00:00:00"/>
    <s v="GCA"/>
    <s v="XP"/>
    <x v="0"/>
    <m/>
    <s v="BNP Paribas Match DI FIRF"/>
    <m/>
    <m/>
    <m/>
    <s v="D+0"/>
    <s v="09.636.393/0001-07"/>
    <m/>
    <m/>
    <m/>
    <m/>
    <x v="0"/>
    <s v="BNP Paribas Match DI FIRF"/>
    <x v="0"/>
    <s v=""/>
    <m/>
    <s v=""/>
    <m/>
    <s v=""/>
    <s v=""/>
    <s v=""/>
    <m/>
    <n v="597403.87"/>
    <n v="600091.36"/>
    <m/>
    <m/>
    <m/>
    <m/>
    <m/>
    <m/>
    <m/>
    <n v="0.10715145610077656"/>
    <n v="1898.609999999986"/>
    <n v="593371.38"/>
    <n v="595269.99"/>
    <n v="-4648.25"/>
    <n v="4648.25"/>
    <m/>
    <n v="0.1034593810113518"/>
    <n v="2687.4899999999907"/>
    <n v="8.0994676046073355E-3"/>
    <n v="597403.87"/>
    <n v="600091.36"/>
    <n v="0"/>
    <n v="0"/>
    <m/>
    <b v="1"/>
    <m/>
    <n v="600091.36"/>
    <n v="0.10318642798551961"/>
    <n v="8.7742642058331859E-3"/>
    <n v="1"/>
    <n v="8.0994676046073355E-3"/>
    <n v="0.41395967734631095"/>
    <n v="7.601250110095303E-3"/>
    <n v="0.34484839562993502"/>
    <n v="5.1679003003251437E-3"/>
    <m/>
    <s v="09.636.393/0001-07"/>
    <m/>
    <s v=""/>
    <m/>
    <n v="600091.36"/>
    <n v="0.10320598640979252"/>
    <n v="0"/>
    <n v="600091.36"/>
    <n v="0.10320598640979252"/>
  </r>
  <r>
    <s v="LIG Bradesco 12/25 13,90%aa"/>
    <d v="2024-06-01T00:00:00"/>
    <s v="GCA"/>
    <s v="Bradesco"/>
    <x v="3"/>
    <s v="LIG"/>
    <s v="Bradesco"/>
    <d v="2025-12-19T00:00:00"/>
    <s v="13,90%aa"/>
    <m/>
    <n v="2025"/>
    <s v="LIG02200RY9"/>
    <n v="0.13900000000000001"/>
    <m/>
    <s v="Isento"/>
    <m/>
    <x v="3"/>
    <s v="LIG Bradesco 12/25 13,90%aa"/>
    <x v="3"/>
    <n v="0.17499999999999999"/>
    <m/>
    <s v=""/>
    <m/>
    <n v="1.0382952016083635E-2"/>
    <n v="365610.65804649953"/>
    <n v="365610.65804649953"/>
    <m/>
    <n v="365620.65"/>
    <n v="365620.65"/>
    <m/>
    <m/>
    <m/>
    <m/>
    <m/>
    <m/>
    <m/>
    <n v="6.5135376264701589E-2"/>
    <n v="0"/>
    <n v="361853.55"/>
    <n v="361853.55"/>
    <n v="0"/>
    <n v="0"/>
    <m/>
    <n v="6.3035212061656923E-2"/>
    <n v="0"/>
    <n v="1.2618866992411397E-2"/>
    <n v="365620.65"/>
    <n v="365620.65"/>
    <n v="0"/>
    <n v="0"/>
    <m/>
    <b v="1"/>
    <m/>
    <n v="365620.65"/>
    <n v="6.2868908612921659E-2"/>
    <n v="8.7742642058331859E-3"/>
    <n v="0.85252877909081393"/>
    <n v="1.1937959757616795E-2"/>
    <n v="0.21676864009710309"/>
    <n v="1.1485309242606538E-2"/>
    <n v="9.295468526641136E-2"/>
    <n v="1.0826473045613906E-2"/>
    <m/>
    <s v="LIG02200RY9"/>
    <m/>
    <n v="4.2880942903034125E-3"/>
    <m/>
    <n v="367188.46582168207"/>
    <n v="6.3150463978393356E-2"/>
    <n v="5.1976900488526212E-3"/>
    <n v="367188.46582168207"/>
    <n v="6.3150463978393356E-2"/>
  </r>
  <r>
    <s v="Conta Corrente - Bradesco"/>
    <d v="2024-06-01T00:00:00"/>
    <s v="GCA"/>
    <s v="Bradesco"/>
    <x v="2"/>
    <s v="Conta Corrente -"/>
    <s v="Bradesco"/>
    <m/>
    <m/>
    <m/>
    <s v="D+0"/>
    <m/>
    <m/>
    <m/>
    <m/>
    <m/>
    <x v="2"/>
    <s v="Conta Corrente - Bradesco"/>
    <x v="2"/>
    <s v=""/>
    <m/>
    <s v=""/>
    <m/>
    <s v=""/>
    <s v=""/>
    <s v=""/>
    <m/>
    <n v="1.07"/>
    <n v="1.07"/>
    <m/>
    <m/>
    <m/>
    <m/>
    <m/>
    <m/>
    <m/>
    <n v="1.9260513708717437E-7"/>
    <n v="0"/>
    <n v="1.07"/>
    <n v="1.07"/>
    <n v="0"/>
    <n v="0"/>
    <m/>
    <n v="1.844744734904139E-7"/>
    <n v="0"/>
    <n v="0"/>
    <n v="1.07"/>
    <n v="1.07"/>
    <n v="0"/>
    <n v="0"/>
    <m/>
    <b v="1"/>
    <m/>
    <n v="1.07"/>
    <n v="1.8398778136800034E-7"/>
    <n v="8.7742642058331859E-3"/>
    <n v="2.4949515122495708E-6"/>
    <n v="1.1937959757616795E-2"/>
    <n v="0.93859649122231925"/>
    <n v="6.1271124631930093E-12"/>
    <n v="0.93859649122231925"/>
    <n v="6.1271124631930093E-12"/>
    <m/>
    <s v=""/>
    <m/>
    <s v=""/>
    <m/>
    <n v="1.07"/>
    <n v="1.8402265524782426E-7"/>
    <n v="0"/>
    <n v="1.07"/>
    <n v="1.8402265524782426E-7"/>
  </r>
  <r>
    <s v="CDB Bradesco Liq. Diária 101,50% CDI "/>
    <d v="2024-06-01T00:00:00"/>
    <s v="GCA"/>
    <s v="Bradesco"/>
    <x v="4"/>
    <s v="CDB"/>
    <s v="Bradesco Liq. Diária"/>
    <m/>
    <s v="101,50% CDI "/>
    <m/>
    <s v="D+0"/>
    <m/>
    <n v="1.0149999999999999"/>
    <m/>
    <m/>
    <m/>
    <x v="3"/>
    <s v="CDB Bradesco Liq. Diária 101,50% CDI "/>
    <x v="4"/>
    <s v=""/>
    <m/>
    <s v=""/>
    <m/>
    <s v=""/>
    <s v=""/>
    <s v=""/>
    <m/>
    <n v="61654.26"/>
    <n v="63244.33"/>
    <m/>
    <m/>
    <m/>
    <m/>
    <m/>
    <m/>
    <m/>
    <n v="1.1293911626693345E-2"/>
    <n v="1502.2200000000012"/>
    <n v="61240.06"/>
    <n v="62742.28"/>
    <n v="0"/>
    <n v="0"/>
    <m/>
    <n v="1.0903705119629896E-2"/>
    <n v="1590.0699999999997"/>
    <n v="8.0017812550006173E-3"/>
    <n v="61654.26"/>
    <n v="63244.33"/>
    <n v="0"/>
    <n v="0"/>
    <m/>
    <b v="1"/>
    <m/>
    <n v="63244.33"/>
    <n v="1.0874938281126789E-2"/>
    <n v="8.7742642058331859E-3"/>
    <n v="0.14746872595767371"/>
    <n v="1.1937959757616795E-2"/>
    <n v="4.1367583294898917E-2"/>
    <n v="9.5678883306697365E-3"/>
    <n v="1.6079115854192201E-2"/>
    <n v="1.0826473045613906E-2"/>
    <m/>
    <s v=""/>
    <m/>
    <s v=""/>
    <m/>
    <n v="63244.33"/>
    <n v="1.0876999566326756E-2"/>
    <n v="0"/>
    <n v="63244.33"/>
    <n v="1.0876999566326756E-2"/>
  </r>
  <r>
    <s v="CRA BTG Commodities 03/28 12,79%aa"/>
    <d v="2024-06-01T00:00:00"/>
    <s v="GCA"/>
    <s v="BTG"/>
    <x v="3"/>
    <s v="CRA"/>
    <s v="BTG Commodities"/>
    <d v="2028-03-15T00:00:00"/>
    <s v="12,79%aa"/>
    <m/>
    <n v="2028"/>
    <s v="CRA023003UY"/>
    <n v="0.12790000000000001"/>
    <m/>
    <s v="Isento"/>
    <m/>
    <x v="3"/>
    <s v="CRA BTG Commodities 03/28 12,79%aa"/>
    <x v="3"/>
    <n v="0.15"/>
    <m/>
    <s v=""/>
    <m/>
    <n v="9.5979499790819212E-3"/>
    <n v="174018.47229792798"/>
    <n v="174018.47229792798"/>
    <m/>
    <n v="174018.35"/>
    <n v="174018.35"/>
    <m/>
    <m/>
    <m/>
    <m/>
    <m/>
    <m/>
    <m/>
    <n v="3.1026370922954714E-2"/>
    <n v="0"/>
    <n v="172364.13"/>
    <n v="172364.13"/>
    <n v="0"/>
    <n v="0"/>
    <m/>
    <n v="3.0001816349458477E-2"/>
    <n v="0"/>
    <n v="1.1290871113790261E-2"/>
    <n v="174018.35"/>
    <n v="174018.35"/>
    <n v="0"/>
    <n v="0"/>
    <m/>
    <b v="1"/>
    <m/>
    <n v="174018.35"/>
    <n v="2.992266367646744E-2"/>
    <n v="8.7742642058331859E-3"/>
    <n v="3.6354964168993503E-2"/>
    <n v="8.5754063895799679E-3"/>
    <n v="0.10317174667634806"/>
    <n v="1.1485309242606538E-2"/>
    <n v="4.4242087953265813E-2"/>
    <n v="1.0826473045613906E-2"/>
    <m/>
    <s v="CRA023003UY"/>
    <m/>
    <n v="3.9647978921264482E-3"/>
    <m/>
    <n v="174708.29758727131"/>
    <n v="3.0046995154987585E-2"/>
    <n v="4.6644681083840567E-3"/>
    <n v="174708.29758727131"/>
    <n v="3.0046995154987585E-2"/>
  </r>
  <r>
    <s v="CRA BTG Pactual 09/33 109% CDI"/>
    <d v="2024-06-01T00:00:00"/>
    <s v="GCA"/>
    <s v="BTG"/>
    <x v="4"/>
    <s v="CRA"/>
    <s v="BTG Pactual"/>
    <d v="2033-09-15T00:00:00"/>
    <s v="109% CDI"/>
    <m/>
    <n v="2033"/>
    <s v="CRA02300HWH"/>
    <n v="1.0900000000000001"/>
    <s v="%"/>
    <s v="Isento"/>
    <m/>
    <x v="3"/>
    <s v="CRA BTG Pactual 09/33 109% CDI"/>
    <x v="4"/>
    <n v="0.15"/>
    <m/>
    <s v=""/>
    <m/>
    <n v="8.6110000000000023E-3"/>
    <n v="206352.30948437998"/>
    <n v="206352.30948437998"/>
    <m/>
    <n v="206349.19"/>
    <n v="206349.19"/>
    <m/>
    <m/>
    <m/>
    <m/>
    <m/>
    <m/>
    <m/>
    <n v="3.682728664265842E-2"/>
    <n v="0"/>
    <n v="204590.58"/>
    <n v="204590.58"/>
    <n v="0"/>
    <n v="0"/>
    <m/>
    <n v="3.5575848766750823E-2"/>
    <n v="0"/>
    <n v="1.0112650060313059E-2"/>
    <n v="206349.19"/>
    <n v="206349.19"/>
    <n v="0"/>
    <n v="0"/>
    <m/>
    <b v="1"/>
    <m/>
    <n v="206349.19"/>
    <n v="3.5481990331947627E-2"/>
    <n v="8.7742642058331859E-3"/>
    <n v="4.3109346851931601E-2"/>
    <n v="8.5754063895799679E-3"/>
    <n v="0.13497126628047007"/>
    <n v="9.5678883306697365E-3"/>
    <n v="5.2461818038529603E-2"/>
    <n v="1.0826473045613906E-2"/>
    <m/>
    <s v="CRA02300HWH"/>
    <m/>
    <n v="3.1610000000000002E-3"/>
    <m/>
    <n v="207001.45978959001"/>
    <n v="3.5600895580052409E-2"/>
    <n v="3.7188235294117289E-3"/>
    <n v="207001.45978959001"/>
    <n v="3.5600895580052409E-2"/>
  </r>
  <r>
    <s v="CRA BTG Pactual 09/33 11,96%aa"/>
    <d v="2024-06-01T00:00:00"/>
    <s v="GCA"/>
    <s v="BTG"/>
    <x v="3"/>
    <s v="CRA"/>
    <s v="BTG Pactual"/>
    <d v="2033-09-15T00:00:00"/>
    <s v="11,96%aa"/>
    <m/>
    <n v="2033"/>
    <s v="CRA02300HWK"/>
    <n v="0.1196"/>
    <m/>
    <s v="Isento"/>
    <m/>
    <x v="3"/>
    <s v="CRA BTG Pactual 09/33 11,96%aa"/>
    <x v="3"/>
    <n v="0.15"/>
    <m/>
    <s v=""/>
    <m/>
    <n v="9.0063052589883785E-3"/>
    <n v="103281.16901183331"/>
    <n v="103281.16901183331"/>
    <m/>
    <n v="103281.46"/>
    <n v="103281.46"/>
    <m/>
    <m/>
    <m/>
    <m/>
    <m/>
    <m/>
    <m/>
    <n v="1.8425163628594237E-2"/>
    <n v="0"/>
    <n v="102359.29"/>
    <n v="102359.29"/>
    <n v="0"/>
    <n v="0"/>
    <m/>
    <n v="1.7806348555907705E-2"/>
    <n v="0"/>
    <n v="1.0598997729985784E-2"/>
    <n v="103281.46"/>
    <n v="103281.46"/>
    <n v="0"/>
    <n v="0"/>
    <m/>
    <b v="1"/>
    <m/>
    <n v="103281.46"/>
    <n v="1.7759370730698946E-2"/>
    <n v="8.7742642058331859E-3"/>
    <n v="2.1576999078668058E-2"/>
    <n v="8.5754063895799679E-3"/>
    <n v="6.1233362041896014E-2"/>
    <n v="1.1485309242606538E-2"/>
    <n v="2.6258078169697077E-2"/>
    <n v="1.0826473045613906E-2"/>
    <m/>
    <s v="CRA02300HWK"/>
    <m/>
    <n v="3.721036736248573E-3"/>
    <m/>
    <n v="103665.7741068334"/>
    <n v="1.7828832719122084E-2"/>
    <n v="4.3776902779394979E-3"/>
    <n v="103665.7741068334"/>
    <n v="1.7828832719122084E-2"/>
  </r>
  <r>
    <s v="CRA Camil 04/25 101% CDI"/>
    <d v="2024-06-01T00:00:00"/>
    <s v="GCA"/>
    <s v="BTG"/>
    <x v="4"/>
    <s v="CRA"/>
    <s v="Camil"/>
    <d v="2025-04-16T00:00:00"/>
    <s v="101% CDI"/>
    <m/>
    <n v="2025"/>
    <s v="CRA01900133"/>
    <n v="1.01"/>
    <s v="%"/>
    <s v="Isento"/>
    <m/>
    <x v="3"/>
    <s v="CRA Camil 04/25 101% CDI"/>
    <x v="4"/>
    <n v="0.2"/>
    <m/>
    <s v=""/>
    <m/>
    <n v="7.9790000000000017E-3"/>
    <n v="306170.05300434004"/>
    <n v="306170.05300434004"/>
    <m/>
    <n v="306165.99"/>
    <n v="306165.99"/>
    <m/>
    <m/>
    <m/>
    <m/>
    <m/>
    <m/>
    <m/>
    <n v="5.4675821091629842E-2"/>
    <n v="0"/>
    <n v="303746.46000000002"/>
    <n v="303746.46000000002"/>
    <n v="0"/>
    <n v="0"/>
    <m/>
    <n v="5.2784868977496568E-2"/>
    <n v="0"/>
    <n v="9.957029622666147E-3"/>
    <n v="306165.99"/>
    <n v="306165.99"/>
    <n v="0"/>
    <n v="0"/>
    <m/>
    <b v="1"/>
    <m/>
    <n v="306165.99"/>
    <n v="5.2645608626576981E-2"/>
    <n v="8.7742642058331859E-3"/>
    <n v="6.3962528067956173E-2"/>
    <n v="8.5754063895799679E-3"/>
    <n v="0.20026059400724441"/>
    <n v="9.5678883306697365E-3"/>
    <n v="7.7839047766391875E-2"/>
    <n v="1.0826473045613906E-2"/>
    <m/>
    <s v="CRA01900133"/>
    <m/>
    <n v="2.9289999999999997E-3"/>
    <m/>
    <n v="307062.75018470996"/>
    <n v="5.2809815529616506E-2"/>
    <n v="3.6612499999999493E-3"/>
    <n v="307062.75018470996"/>
    <n v="5.2809815529616506E-2"/>
  </r>
  <r>
    <s v="CRA Engelhart CTP 01/28 13,58%aa"/>
    <d v="2024-06-01T00:00:00"/>
    <s v="GCA"/>
    <s v="BTG"/>
    <x v="3"/>
    <s v="CRA"/>
    <s v="Engelhart CTP"/>
    <d v="2028-01-17T00:00:00"/>
    <s v="13,58%aa"/>
    <m/>
    <n v="2028"/>
    <s v="CRA0230020A"/>
    <n v="0.1358"/>
    <m/>
    <s v="Isento"/>
    <m/>
    <x v="3"/>
    <s v="CRA Engelhart CTP 01/28 13,58%aa"/>
    <x v="3"/>
    <n v="0.15"/>
    <m/>
    <s v=""/>
    <m/>
    <n v="1.0157370235677643E-2"/>
    <n v="101918.59547793701"/>
    <n v="101918.59547793701"/>
    <m/>
    <n v="101918.88"/>
    <n v="101918.88"/>
    <m/>
    <m/>
    <m/>
    <m/>
    <m/>
    <m/>
    <m/>
    <n v="1.8161364792657207E-2"/>
    <n v="0"/>
    <n v="100893.78"/>
    <n v="100893.78"/>
    <n v="0"/>
    <n v="0"/>
    <m/>
    <n v="1.7571431520310911E-2"/>
    <n v="0"/>
    <n v="1.1953165001846537E-2"/>
    <n v="101918.88"/>
    <n v="101918.88"/>
    <n v="0"/>
    <n v="0"/>
    <m/>
    <b v="1"/>
    <m/>
    <n v="101918.88"/>
    <n v="1.7525073467954635E-2"/>
    <n v="8.7742642058331859E-3"/>
    <n v="2.1292336299843943E-2"/>
    <n v="8.5754063895799679E-3"/>
    <n v="6.0425517589938742E-2"/>
    <n v="1.1485309242606538E-2"/>
    <n v="2.5911658471984959E-2"/>
    <n v="1.0826473045613906E-2"/>
    <m/>
    <s v="CRA0230020A"/>
    <m/>
    <n v="4.1952054263385552E-3"/>
    <m/>
    <n v="102346.45063842235"/>
    <n v="1.7601930468853139E-2"/>
    <n v="4.9355357956924178E-3"/>
    <n v="102346.45063842235"/>
    <n v="1.7601930468853139E-2"/>
  </r>
  <r>
    <s v="CRA FS Agrisolutions 07/30 13,20%aa"/>
    <d v="2024-06-01T00:00:00"/>
    <s v="GCA"/>
    <s v="BTG"/>
    <x v="3"/>
    <s v="CRA"/>
    <s v="FS Agrisolutions"/>
    <d v="2030-07-15T00:00:00"/>
    <s v="13,20%aa"/>
    <m/>
    <n v="2030"/>
    <s v="CRA024000B8"/>
    <n v="0.13200000000000001"/>
    <m/>
    <s v="Isento"/>
    <m/>
    <x v="3"/>
    <s v="CRA FS Agrisolutions 07/30 13,20%aa"/>
    <x v="3"/>
    <n v="0.15"/>
    <m/>
    <s v=""/>
    <m/>
    <n v="9.8887306646218143E-3"/>
    <n v="64287.123217582921"/>
    <n v="64287.123217582921"/>
    <s v="B8"/>
    <n v="64284.02"/>
    <n v="64284.02"/>
    <m/>
    <m/>
    <n v="-696.5"/>
    <m/>
    <m/>
    <m/>
    <m/>
    <n v="1.1582824732468137E-2"/>
    <n v="0"/>
    <n v="64347.31"/>
    <n v="64347.31"/>
    <n v="-664.68"/>
    <n v="0"/>
    <m/>
    <n v="1.1082953965745081E-2"/>
    <n v="0"/>
    <n v="1.1577064234331842E-2"/>
    <n v="64284.02"/>
    <n v="64284.02"/>
    <n v="-696.5"/>
    <n v="0"/>
    <m/>
    <b v="1"/>
    <m/>
    <n v="64980.52"/>
    <n v="1.1173478230784085E-2"/>
    <n v="8.7742642058331859E-3"/>
    <n v="1.3575375678958945E-2"/>
    <n v="8.5754063895799679E-3"/>
    <n v="3.8525556347002297E-2"/>
    <n v="1.1485309242606538E-2"/>
    <n v="1.652052143402663E-2"/>
    <n v="1.0826473045613906E-2"/>
    <m/>
    <s v="CRA024000B8"/>
    <m/>
    <n v="4.0845706026506612E-3"/>
    <m/>
    <n v="64546.592618312206"/>
    <n v="1.1100967626935911E-2"/>
    <n v="4.8053771795890134E-3"/>
    <n v="64546.592618312206"/>
    <n v="1.1100967626935911E-2"/>
  </r>
  <r>
    <s v="CRA FS Agrisolutions 12/28 12,45%aa"/>
    <d v="2024-06-01T00:00:00"/>
    <s v="GCA"/>
    <s v="BTG"/>
    <x v="3"/>
    <s v="CRA"/>
    <s v="FS Agrisolutions"/>
    <d v="2028-12-15T00:00:00"/>
    <s v="12,45%aa"/>
    <m/>
    <n v="2028"/>
    <s v="CRA02300S37"/>
    <n v="0.1245"/>
    <m/>
    <s v="Isento"/>
    <m/>
    <x v="3"/>
    <s v="CRA FS Agrisolutions 12/28 12,45%aa"/>
    <x v="3"/>
    <n v="0.15"/>
    <m/>
    <s v=""/>
    <m/>
    <n v="9.3560757430508623E-3"/>
    <n v="100424.27191919915"/>
    <n v="100424.27191919915"/>
    <n v="37"/>
    <n v="100419.94"/>
    <n v="100419.94"/>
    <m/>
    <m/>
    <n v="-1029.6400000000001"/>
    <m/>
    <m/>
    <m/>
    <m/>
    <n v="1.8092912566926824E-2"/>
    <n v="0"/>
    <n v="100513.5"/>
    <n v="100513.5"/>
    <n v="-982.61"/>
    <n v="0"/>
    <m/>
    <n v="1.7313005195737342E-2"/>
    <n v="0"/>
    <n v="1.0956444539641834E-2"/>
    <n v="100419.94"/>
    <n v="100419.94"/>
    <n v="-1029.6400000000001"/>
    <n v="0"/>
    <m/>
    <b v="1"/>
    <m/>
    <n v="101449.58"/>
    <n v="1.7444376770949028E-2"/>
    <n v="8.7742642058331859E-3"/>
    <n v="2.1194292704530528E-2"/>
    <n v="8.5754063895799679E-3"/>
    <n v="6.0147279687354269E-2"/>
    <n v="1.1485309242606538E-2"/>
    <n v="2.5792344549766599E-2"/>
    <n v="1.0826473045613906E-2"/>
    <m/>
    <s v="CRA02300S37"/>
    <m/>
    <n v="3.8651543773782215E-3"/>
    <m/>
    <n v="100808.07857066706"/>
    <n v="1.7337355410285461E-2"/>
    <n v="4.5472404439743782E-3"/>
    <n v="100808.07857066706"/>
    <n v="1.7337355410285461E-2"/>
  </r>
  <r>
    <s v="CRA Klabin 03/26 98% CDI"/>
    <d v="2024-06-01T00:00:00"/>
    <s v="GCA"/>
    <s v="BTG"/>
    <x v="4"/>
    <s v="CRA"/>
    <s v="Klabin"/>
    <d v="2026-03-16T00:00:00"/>
    <s v="98% CDI"/>
    <m/>
    <n v="2026"/>
    <s v="CRA019001E6"/>
    <n v="0.98"/>
    <s v="%"/>
    <s v="Isento"/>
    <m/>
    <x v="3"/>
    <s v="CRA Klabin 03/26 98% CDI"/>
    <x v="4"/>
    <n v="0.17499999999999999"/>
    <m/>
    <s v=""/>
    <m/>
    <n v="7.7420000000000006E-3"/>
    <n v="69939.007961399984"/>
    <n v="69939.007961399984"/>
    <m/>
    <n v="69937.84"/>
    <n v="69937.84"/>
    <m/>
    <m/>
    <m/>
    <m/>
    <m/>
    <m/>
    <m/>
    <n v="1.2492639198675654E-2"/>
    <n v="0"/>
    <n v="69401.7"/>
    <n v="69401.7"/>
    <n v="0"/>
    <n v="0"/>
    <m/>
    <n v="1.2057706739305429E-2"/>
    <n v="0"/>
    <n v="9.3638436330328711E-3"/>
    <n v="69937.84"/>
    <n v="69937.84"/>
    <n v="0"/>
    <n v="0"/>
    <m/>
    <b v="1"/>
    <m/>
    <n v="69937.84"/>
    <n v="1.2025895341374007E-2"/>
    <n v="8.7742642058331859E-3"/>
    <n v="1.4611031924258564E-2"/>
    <n v="8.5754063895799679E-3"/>
    <n v="4.5745751779887822E-2"/>
    <n v="9.5678883306697365E-3"/>
    <n v="1.7780860860601377E-2"/>
    <n v="1.0826473045613906E-2"/>
    <m/>
    <s v="CRA019001E6"/>
    <m/>
    <n v="2.8419999999999999E-3"/>
    <m/>
    <n v="70136.603341280002"/>
    <n v="1.2062358856939971E-2"/>
    <n v="3.4448484848484985E-3"/>
    <n v="70136.603341280002"/>
    <n v="1.2062358856939971E-2"/>
  </r>
  <r>
    <s v="CRA Raízen 07/29 100% CDI"/>
    <d v="2024-06-01T00:00:00"/>
    <s v="GCA"/>
    <s v="BTG"/>
    <x v="4"/>
    <s v="CRA"/>
    <s v="Raízen"/>
    <d v="2029-07-16T00:00:00"/>
    <s v="100% CDI"/>
    <m/>
    <n v="2029"/>
    <s v="VBRR11"/>
    <n v="1"/>
    <s v="%"/>
    <s v="Isento"/>
    <m/>
    <x v="3"/>
    <s v="CRA Raízen 07/29 100% CDI"/>
    <x v="4"/>
    <n v="0.15"/>
    <m/>
    <s v=""/>
    <m/>
    <n v="7.9000000000000008E-3"/>
    <n v="209546.46175799999"/>
    <n v="209546.46175799999"/>
    <m/>
    <n v="209543.01"/>
    <n v="209543.01"/>
    <m/>
    <m/>
    <m/>
    <m/>
    <m/>
    <m/>
    <m/>
    <n v="3.7423721750537049E-2"/>
    <n v="0"/>
    <n v="207904.02"/>
    <n v="207904.02"/>
    <n v="0"/>
    <n v="0"/>
    <m/>
    <n v="3.612648265733321E-2"/>
    <n v="0"/>
    <n v="9.2745851158230128E-3"/>
    <n v="209543.01"/>
    <n v="209543.01"/>
    <n v="0"/>
    <n v="0"/>
    <m/>
    <b v="1"/>
    <m/>
    <n v="209543.01"/>
    <n v="3.6031171505675426E-2"/>
    <n v="8.7742642058331859E-3"/>
    <n v="4.3776582299585344E-2"/>
    <n v="8.5754063895799679E-3"/>
    <n v="0.13706031702824326"/>
    <n v="9.5678883306697365E-3"/>
    <n v="5.3273808643812898E-2"/>
    <n v="1.0826473045613906E-2"/>
    <m/>
    <s v="VBRR11"/>
    <m/>
    <n v="2.8999999999999998E-3"/>
    <m/>
    <n v="210150.684729"/>
    <n v="3.6142511220541094E-2"/>
    <n v="3.4117647058822384E-3"/>
    <n v="210150.684729"/>
    <n v="3.6142511220541094E-2"/>
  </r>
  <r>
    <s v="CRA São Martinho 04/26 98,50% CDI"/>
    <d v="2024-06-01T00:00:00"/>
    <s v="GCA"/>
    <s v="BTG"/>
    <x v="4"/>
    <s v="CRA"/>
    <s v="São Martinho"/>
    <d v="2026-04-15T00:00:00"/>
    <s v="98,50% CDI"/>
    <m/>
    <n v="2026"/>
    <s v="CRA019000RT"/>
    <n v="0.98499999999999999"/>
    <s v="%"/>
    <s v="Isento"/>
    <m/>
    <x v="3"/>
    <s v="CRA São Martinho 04/26 98,50% CDI"/>
    <x v="4"/>
    <n v="0.17499999999999999"/>
    <m/>
    <s v=""/>
    <m/>
    <n v="7.7815000000000002E-3"/>
    <n v="306145.25480847002"/>
    <n v="306145.25480847002"/>
    <m/>
    <n v="306140.14"/>
    <n v="306140.14"/>
    <m/>
    <m/>
    <m/>
    <m/>
    <m/>
    <m/>
    <m/>
    <n v="5.4682106859281321E-2"/>
    <n v="0"/>
    <n v="303781.38"/>
    <n v="303781.38"/>
    <n v="0"/>
    <n v="0"/>
    <m/>
    <n v="5.2780412281104298E-2"/>
    <n v="0"/>
    <n v="9.4117125621823016E-3"/>
    <n v="306140.14"/>
    <n v="306140.14"/>
    <n v="0"/>
    <n v="0"/>
    <m/>
    <b v="1"/>
    <m/>
    <n v="306140.14"/>
    <n v="5.2641163688120572E-2"/>
    <n v="8.7742642058331859E-3"/>
    <n v="6.3957127627004021E-2"/>
    <n v="8.5754063895799679E-3"/>
    <n v="0.20024368574008161"/>
    <n v="9.5678883306697365E-3"/>
    <n v="7.7832475712504512E-2"/>
    <n v="1.0826473045613906E-2"/>
    <m/>
    <s v="CRA019000RT"/>
    <m/>
    <n v="2.8564999999999997E-3"/>
    <m/>
    <n v="307014.62930991"/>
    <n v="5.2801539519192642E-2"/>
    <n v="3.4624242424242907E-3"/>
    <n v="307014.62930991"/>
    <n v="5.2801539519192642E-2"/>
  </r>
  <r>
    <s v="CRA São Salvador 04/30 106,50% CDI"/>
    <d v="2024-06-01T00:00:00"/>
    <s v="GCA"/>
    <s v="BTG"/>
    <x v="4"/>
    <s v="CRA"/>
    <s v="São Salvador"/>
    <d v="2030-04-15T00:00:00"/>
    <s v="106,50% CDI"/>
    <m/>
    <n v="2030"/>
    <s v="CRA024004MP"/>
    <n v="1.0649999999999999"/>
    <s v="%"/>
    <s v="Isento"/>
    <m/>
    <x v="3"/>
    <s v="CRA São Salvador 04/30 106,50% CDI"/>
    <x v="4"/>
    <n v="0.15"/>
    <m/>
    <s v=""/>
    <m/>
    <n v="8.4135000000000008E-3"/>
    <n v="75789.293082960008"/>
    <n v="75789.293082960008"/>
    <m/>
    <n v="75788.12"/>
    <n v="75788.12"/>
    <m/>
    <m/>
    <m/>
    <m/>
    <m/>
    <m/>
    <m/>
    <n v="1.3528613629771291E-2"/>
    <n v="0"/>
    <n v="75156.960000000006"/>
    <n v="75156.960000000006"/>
    <n v="74559.539999999994"/>
    <n v="0"/>
    <m/>
    <n v="1.3066330405447016E-2"/>
    <n v="0"/>
    <n v="9.8798724226015697E-3"/>
    <n v="75788.12"/>
    <n v="75788.12"/>
    <n v="0"/>
    <n v="0"/>
    <m/>
    <b v="1"/>
    <m/>
    <n v="75788.12"/>
    <n v="1.3031857993319414E-2"/>
    <n v="8.7742642058331859E-3"/>
    <n v="1.5833240500414923E-2"/>
    <n v="8.5754063895799679E-3"/>
    <n v="4.9572370627751043E-2"/>
    <n v="9.5678883306697365E-3"/>
    <n v="1.9268224706490224E-2"/>
    <n v="1.0826473045613906E-2"/>
    <m/>
    <s v="CRA024004MP"/>
    <m/>
    <n v="3.0884999999999997E-3"/>
    <m/>
    <n v="76022.191608619993"/>
    <n v="1.307458463324964E-2"/>
    <n v="3.6335294117647641E-3"/>
    <n v="76022.191608619993"/>
    <n v="1.307458463324964E-2"/>
  </r>
  <r>
    <s v="CRA São Salvador 04/31 12,33%aa"/>
    <d v="2024-06-01T00:00:00"/>
    <s v="GCA"/>
    <s v="BTG"/>
    <x v="3"/>
    <s v="CRA"/>
    <s v="São Salvador"/>
    <d v="2031-04-15T00:00:00"/>
    <s v="12,33%aa"/>
    <m/>
    <n v="2031"/>
    <s v="CRA024004MQ"/>
    <n v="0.12330000000000001"/>
    <m/>
    <s v="Isento"/>
    <m/>
    <x v="3"/>
    <s v="CRA São Salvador 04/31 12,33%aa"/>
    <x v="3"/>
    <n v="0.15"/>
    <m/>
    <s v=""/>
    <m/>
    <n v="9.2705475943044569E-3"/>
    <n v="101160.1659778083"/>
    <n v="101160.1659778083"/>
    <m/>
    <n v="101160.23"/>
    <n v="101160.23"/>
    <m/>
    <m/>
    <m/>
    <m/>
    <m/>
    <m/>
    <m/>
    <n v="1.8042055810495759E-2"/>
    <n v="0"/>
    <n v="100230.97"/>
    <n v="100230.97"/>
    <n v="99344.960000000006"/>
    <n v="0"/>
    <m/>
    <n v="1.7440635670485208E-2"/>
    <n v="0"/>
    <n v="1.0907278048127399E-2"/>
    <n v="101160.23"/>
    <n v="101160.23"/>
    <n v="0"/>
    <n v="0"/>
    <m/>
    <b v="1"/>
    <m/>
    <n v="101160.23"/>
    <n v="1.7394622691940774E-2"/>
    <n v="8.7742642058331859E-3"/>
    <n v="2.113384328133867E-2"/>
    <n v="8.5754063895799679E-3"/>
    <n v="5.9975730279485488E-2"/>
    <n v="1.1485309242606538E-2"/>
    <n v="2.5718780766698444E-2"/>
    <n v="1.0826473045613906E-2"/>
    <m/>
    <s v="CRA024004MQ"/>
    <m/>
    <n v="3.829916498802044E-3"/>
    <m/>
    <n v="101547.66523389961"/>
    <n v="1.7464552327625584E-2"/>
    <n v="4.5057841162376988E-3"/>
    <n v="101547.66523389961"/>
    <n v="1.7464552327625584E-2"/>
  </r>
  <r>
    <s v="CRA Vicunha Textil 02/31 12,90%aa"/>
    <d v="2024-06-01T00:00:00"/>
    <s v="GCA"/>
    <s v="BTG"/>
    <x v="3"/>
    <s v="CRA"/>
    <s v="Vicunha Textil"/>
    <d v="2031-02-17T00:00:00"/>
    <s v="12,90%aa"/>
    <m/>
    <n v="2031"/>
    <s v="CRA0240020B"/>
    <n v="0.129"/>
    <m/>
    <s v="Isento"/>
    <m/>
    <x v="3"/>
    <s v="CRA Vicunha Textil 02/31 12,90%aa"/>
    <x v="3"/>
    <n v="0.15"/>
    <m/>
    <s v=""/>
    <m/>
    <n v="9.6760597048621833E-3"/>
    <n v="208656.08024535546"/>
    <n v="208656.08024535546"/>
    <m/>
    <n v="208656.08"/>
    <n v="208656.08"/>
    <m/>
    <m/>
    <m/>
    <m/>
    <m/>
    <m/>
    <m/>
    <n v="3.7199154960981466E-2"/>
    <n v="0"/>
    <n v="206656.46"/>
    <n v="206656.46"/>
    <n v="0"/>
    <n v="0"/>
    <m/>
    <n v="3.5973570559414657E-2"/>
    <n v="0"/>
    <n v="1.1383598255999616E-2"/>
    <n v="208656.08"/>
    <n v="208656.08"/>
    <n v="0"/>
    <n v="0"/>
    <m/>
    <b v="1"/>
    <m/>
    <n v="208656.08"/>
    <n v="3.5878662830041104E-2"/>
    <n v="8.7742642058331859E-3"/>
    <n v="4.3591289723426525E-2"/>
    <n v="8.5754063895799679E-3"/>
    <n v="0.12370771374535969"/>
    <n v="1.1485309242606538E-2"/>
    <n v="5.3048317280009069E-2"/>
    <n v="1.0826473045613906E-2"/>
    <m/>
    <s v="CRA0240020B"/>
    <m/>
    <n v="3.9969733121338891E-3"/>
    <m/>
    <n v="209490.07278317446"/>
    <n v="3.6028896674410955E-2"/>
    <n v="4.7023215436869286E-3"/>
    <n v="209490.07278317446"/>
    <n v="3.6028896674410955E-2"/>
  </r>
  <r>
    <s v="CRI Allos 04/31 11,67%aa"/>
    <d v="2024-06-01T00:00:00"/>
    <s v="GCA"/>
    <s v="BTG"/>
    <x v="3"/>
    <s v="CRI"/>
    <s v="Allos"/>
    <d v="2031-04-15T00:00:00"/>
    <s v="11,67%aa"/>
    <m/>
    <n v="2031"/>
    <s v="24D0006603"/>
    <n v="0.1167"/>
    <m/>
    <s v="Isento"/>
    <m/>
    <x v="3"/>
    <s v="CRI Allos 04/31 11,67%aa"/>
    <x v="3"/>
    <n v="0.15"/>
    <m/>
    <s v=""/>
    <m/>
    <n v="8.7986338011467602E-3"/>
    <n v="204428.07985052408"/>
    <n v="204428.07985052408"/>
    <m/>
    <n v="204427.88"/>
    <n v="204427.88"/>
    <m/>
    <m/>
    <m/>
    <m/>
    <m/>
    <m/>
    <m/>
    <n v="3.6477087302281698E-2"/>
    <n v="0"/>
    <n v="202645.08"/>
    <n v="202645.08"/>
    <n v="0"/>
    <n v="0"/>
    <m/>
    <n v="3.524460329884254E-2"/>
    <n v="0"/>
    <n v="1.0350173637109413E-2"/>
    <n v="204427.88"/>
    <n v="204427.88"/>
    <n v="0"/>
    <n v="0"/>
    <m/>
    <b v="1"/>
    <m/>
    <n v="204427.88"/>
    <n v="3.5151618776601688E-2"/>
    <n v="8.7742642058331859E-3"/>
    <n v="4.2707957250159558E-2"/>
    <n v="8.5754063895799679E-3"/>
    <n v="0.12120090466863338"/>
    <n v="1.1485309242606538E-2"/>
    <n v="5.1973347908767488E-2"/>
    <n v="1.0826473045613906E-2"/>
    <m/>
    <s v="24D0006603"/>
    <m/>
    <n v="3.6354550053832035E-3"/>
    <m/>
    <n v="205171.06835958589"/>
    <n v="3.5286097924826038E-2"/>
    <n v="4.2770058886861216E-3"/>
    <n v="205171.06835958589"/>
    <n v="3.5286097924826038E-2"/>
  </r>
  <r>
    <s v="CRI Automob 04/30 IPCA+ 8,15%aa"/>
    <d v="2024-06-01T00:00:00"/>
    <s v="GCA"/>
    <s v="BTG"/>
    <x v="5"/>
    <s v="CRI"/>
    <s v="Automob"/>
    <d v="2030-04-15T00:00:00"/>
    <s v="IPCA+ 8,15%aa"/>
    <m/>
    <n v="2030"/>
    <s v="22L2288690"/>
    <n v="8.1500000000000003E-2"/>
    <m/>
    <s v="Isento"/>
    <m/>
    <x v="3"/>
    <s v="CRI Automob 04/30 IPCA+ 8,15%aa"/>
    <x v="5"/>
    <n v="0.15"/>
    <m/>
    <s v=""/>
    <m/>
    <n v="1.0161871327613481E-2"/>
    <n v="213304.41703101256"/>
    <n v="213304.41703101256"/>
    <m/>
    <n v="213294.74"/>
    <n v="213294.74"/>
    <m/>
    <m/>
    <m/>
    <m/>
    <m/>
    <m/>
    <m/>
    <n v="3.8009570776067918E-2"/>
    <n v="0"/>
    <n v="211158.65"/>
    <n v="211158.65"/>
    <n v="0"/>
    <n v="0"/>
    <m/>
    <n v="3.6773303607266099E-2"/>
    <n v="0"/>
    <n v="1.1901227152302503E-2"/>
    <n v="213294.74"/>
    <n v="213294.74"/>
    <n v="0"/>
    <n v="0"/>
    <m/>
    <b v="1"/>
    <m/>
    <n v="213294.74"/>
    <n v="3.6676285972022868E-2"/>
    <n v="8.7742642058331859E-3"/>
    <n v="4.4560373260261257E-2"/>
    <n v="8.5754063895799679E-3"/>
    <n v="0.29715174767430186"/>
    <n v="1.195899628125674E-2"/>
    <n v="5.4227641205935824E-2"/>
    <n v="1.0826473045613906E-2"/>
    <m/>
    <s v="22L2288690"/>
    <m/>
    <n v="4.584335152039376E-3"/>
    <m/>
    <n v="214272.55457432708"/>
    <n v="3.6851406018226167E-2"/>
    <n v="5.3933354729875016E-3"/>
    <n v="214272.55457432708"/>
    <n v="3.6851406018226167E-2"/>
  </r>
  <r>
    <s v="CRI Cyrella 07/24 100% CDI"/>
    <d v="2024-06-01T00:00:00"/>
    <s v="GCA"/>
    <s v="BTG"/>
    <x v="4"/>
    <s v="CRI"/>
    <s v="Cyrella"/>
    <d v="2024-07-17T00:00:00"/>
    <s v="100% CDI"/>
    <m/>
    <n v="2024"/>
    <s v="CRA019003V2"/>
    <n v="1"/>
    <s v="%"/>
    <s v="Isento"/>
    <m/>
    <x v="3"/>
    <s v="CRI Cyrella 07/24 100% CDI"/>
    <x v="4"/>
    <n v="0.22500000000000001"/>
    <m/>
    <s v=""/>
    <m/>
    <n v="7.9000000000000008E-3"/>
    <n v="52340.841660999999"/>
    <n v="52340.841660999999"/>
    <m/>
    <n v="52339.98"/>
    <n v="52339.98"/>
    <m/>
    <m/>
    <m/>
    <m/>
    <m/>
    <m/>
    <m/>
    <n v="9.3477555195961171E-3"/>
    <n v="0"/>
    <n v="51930.59"/>
    <n v="51930.59"/>
    <n v="0"/>
    <n v="0"/>
    <m/>
    <n v="9.0237292084100872E-3"/>
    <n v="0"/>
    <n v="1.017213864295265E-2"/>
    <n v="52339.98"/>
    <n v="52339.98"/>
    <n v="0"/>
    <n v="0"/>
    <m/>
    <b v="1"/>
    <m/>
    <n v="52339.98"/>
    <n v="8.9999222402294497E-3"/>
    <n v="8.7742642058331859E-3"/>
    <n v="1.0934583033949216E-2"/>
    <n v="8.5754063895799679E-3"/>
    <n v="3.4235139850534321E-2"/>
    <n v="9.5678883306697365E-3"/>
    <n v="1.3306815049287466E-2"/>
    <n v="1.0826473045613906E-2"/>
    <m/>
    <s v="CRA019003V2"/>
    <m/>
    <n v="2.8999999999999998E-3"/>
    <m/>
    <n v="52491.765941999998"/>
    <n v="9.0277328479384557E-3"/>
    <n v="3.7419354838708419E-3"/>
    <n v="52491.765941999998"/>
    <n v="9.0277328479384557E-3"/>
  </r>
  <r>
    <s v="CRI Dasa 01/29 12,30%aa"/>
    <d v="2024-06-01T00:00:00"/>
    <s v="GCA"/>
    <s v="BTG"/>
    <x v="3"/>
    <s v="CRI"/>
    <s v="Dasa"/>
    <d v="2029-01-15T00:00:00"/>
    <s v="12,30%aa"/>
    <m/>
    <n v="2029"/>
    <s v="24A2715837"/>
    <n v="0.123"/>
    <m/>
    <s v="Isento"/>
    <m/>
    <x v="3"/>
    <s v="CRI Dasa 01/29 12,30%aa"/>
    <x v="3"/>
    <n v="0.15"/>
    <m/>
    <s v=""/>
    <m/>
    <n v="9.2491524141675718E-3"/>
    <n v="78605.5216231503"/>
    <n v="78605.5216231503"/>
    <m/>
    <n v="78605.52"/>
    <n v="78605.52"/>
    <m/>
    <m/>
    <m/>
    <m/>
    <m/>
    <m/>
    <m/>
    <n v="1.401970092785527E-2"/>
    <n v="0"/>
    <n v="77885.149999999994"/>
    <n v="77885.149999999994"/>
    <n v="0"/>
    <n v="0"/>
    <m/>
    <n v="1.3552067210691776E-2"/>
    <n v="0"/>
    <n v="1.0881331263367426E-2"/>
    <n v="78605.52"/>
    <n v="78605.52"/>
    <n v="0"/>
    <n v="0"/>
    <m/>
    <b v="1"/>
    <m/>
    <n v="78605.52"/>
    <n v="1.3516313297269138E-2"/>
    <n v="8.7742642058331859E-3"/>
    <n v="1.6421836335565199E-2"/>
    <n v="8.5754063895799679E-3"/>
    <n v="4.6603526563736584E-2"/>
    <n v="1.1485309242606538E-2"/>
    <n v="1.9984515020698649E-2"/>
    <n v="1.0826473045613906E-2"/>
    <m/>
    <s v="24A2715837"/>
    <m/>
    <n v="3.8211013407161154E-3"/>
    <m/>
    <n v="78905.879657859696"/>
    <n v="1.3570532232994975E-2"/>
    <n v="4.4954133420189593E-3"/>
    <n v="78905.879657859696"/>
    <n v="1.3570532232994975E-2"/>
  </r>
  <r>
    <s v="CRI Dasa 01/31 12,85%aa"/>
    <d v="2024-06-01T00:00:00"/>
    <s v="GCA"/>
    <s v="BTG"/>
    <x v="3"/>
    <s v="CRI"/>
    <s v="Dasa"/>
    <d v="2031-01-15T00:00:00"/>
    <s v="12,85%aa"/>
    <m/>
    <n v="2031"/>
    <s v="24A2721829"/>
    <n v="0.1285"/>
    <m/>
    <s v="Isento"/>
    <m/>
    <x v="3"/>
    <s v="CRI Dasa 01/31 12,85%aa"/>
    <x v="3"/>
    <n v="0.15"/>
    <m/>
    <s v=""/>
    <m/>
    <n v="9.6405639735874793E-3"/>
    <n v="78761.121429855077"/>
    <n v="78761.121429855077"/>
    <m/>
    <n v="78761.119999999995"/>
    <n v="78761.119999999995"/>
    <m/>
    <m/>
    <m/>
    <m/>
    <m/>
    <m/>
    <m/>
    <n v="1.4042007122797181E-2"/>
    <n v="0"/>
    <n v="78009.070000000007"/>
    <n v="78009.070000000007"/>
    <n v="0"/>
    <n v="0"/>
    <m/>
    <n v="1.357889359207038E-2"/>
    <n v="0"/>
    <n v="1.1341818404992279E-2"/>
    <n v="78761.119999999995"/>
    <n v="78761.119999999995"/>
    <n v="0"/>
    <n v="0"/>
    <m/>
    <b v="1"/>
    <m/>
    <n v="78761.119999999995"/>
    <n v="1.3543068903606389E-2"/>
    <n v="8.7742642058331859E-3"/>
    <n v="1.6454343438549998E-2"/>
    <n v="8.5754063895799679E-3"/>
    <n v="4.6695778465808059E-2"/>
    <n v="1.1485309242606538E-2"/>
    <n v="2.0024074463053595E-2"/>
    <n v="1.0826473045613906E-2"/>
    <m/>
    <s v="24A2721829"/>
    <m/>
    <n v="3.9823518814106063E-3"/>
    <m/>
    <n v="79074.774494413999"/>
    <n v="1.359957940708878E-2"/>
    <n v="4.6851198604830665E-3"/>
    <n v="79074.774494413999"/>
    <n v="1.359957940708878E-2"/>
  </r>
  <r>
    <s v="CRI Localiza 11/32 99% CDI"/>
    <d v="2024-06-01T00:00:00"/>
    <s v="GCA"/>
    <s v="BTG"/>
    <x v="4"/>
    <s v="CRI"/>
    <s v="Localiza"/>
    <d v="2032-11-22T00:00:00"/>
    <s v="99% CDI"/>
    <m/>
    <n v="2032"/>
    <s v="17K0231156"/>
    <n v="0.99"/>
    <s v="%"/>
    <s v="Isento"/>
    <m/>
    <x v="3"/>
    <s v="CRI Localiza 11/32 99% CDI"/>
    <x v="4"/>
    <n v="0.15"/>
    <m/>
    <s v=""/>
    <m/>
    <n v="7.8209999999999998E-3"/>
    <n v="137415.95998697"/>
    <n v="137415.95998697"/>
    <m/>
    <n v="137413.68"/>
    <n v="137413.68"/>
    <m/>
    <m/>
    <m/>
    <m/>
    <m/>
    <m/>
    <m/>
    <n v="2.4543577216474093E-2"/>
    <n v="0"/>
    <n v="136349.57"/>
    <n v="136349.57"/>
    <n v="0"/>
    <n v="0"/>
    <m/>
    <n v="2.3690949783532915E-2"/>
    <n v="0"/>
    <n v="9.1815039654839208E-3"/>
    <n v="137413.68"/>
    <n v="137413.68"/>
    <n v="0"/>
    <n v="0"/>
    <m/>
    <b v="1"/>
    <m/>
    <n v="137413.68"/>
    <n v="2.3628446834404071E-2"/>
    <n v="8.7742642058331859E-3"/>
    <n v="2.8707716242163762E-2"/>
    <n v="8.5754063895799679E-3"/>
    <n v="8.9881130106976945E-2"/>
    <n v="9.5678883306697365E-3"/>
    <n v="3.4935787614018422E-2"/>
    <n v="1.0826473045613906E-2"/>
    <m/>
    <s v="17K0231156"/>
    <m/>
    <n v="2.8709999999999999E-3"/>
    <m/>
    <n v="137808.19467528001"/>
    <n v="2.370077560659262E-2"/>
    <n v="3.3776470588236093E-3"/>
    <n v="137808.19467528001"/>
    <n v="2.370077560659262E-2"/>
  </r>
  <r>
    <s v="CRI MRV 05/24 100,40% CDI"/>
    <d v="2024-06-01T00:00:00"/>
    <s v="GCA"/>
    <s v="BTG"/>
    <x v="4"/>
    <s v="CRI"/>
    <s v="MRV"/>
    <d v="2024-05-28T00:00:00"/>
    <s v="100,40% CDI"/>
    <m/>
    <n v="2024"/>
    <s v="19E0967202"/>
    <n v="1.004"/>
    <s v="%"/>
    <s v="Isento"/>
    <m/>
    <x v="3"/>
    <s v="CRI MRV 05/24 100,40% CDI"/>
    <x v="4"/>
    <n v="0.22500000000000001"/>
    <m/>
    <s v=""/>
    <m/>
    <n v="7.9316000000000005E-3"/>
    <n v="0"/>
    <n v="0"/>
    <m/>
    <n v="0"/>
    <n v="0"/>
    <m/>
    <m/>
    <m/>
    <m/>
    <m/>
    <m/>
    <m/>
    <n v="0"/>
    <n v="0"/>
    <n v="0"/>
    <n v="0"/>
    <n v="-210738.17"/>
    <n v="0"/>
    <m/>
    <n v="0"/>
    <n v="0"/>
    <s v="0,00%"/>
    <n v="0"/>
    <n v="0"/>
    <n v="0"/>
    <n v="0"/>
    <m/>
    <b v="0"/>
    <m/>
    <n v="0"/>
    <n v="0"/>
    <n v="8.7742642058331859E-3"/>
    <n v="0"/>
    <n v="8.5754063895799679E-3"/>
    <n v="0"/>
    <n v="9.5678883306697365E-3"/>
    <n v="0"/>
    <n v="1.0826473045613906E-2"/>
    <m/>
    <s v="19E0967202"/>
    <m/>
    <n v="2.9115999999999999E-3"/>
    <m/>
    <n v="0"/>
    <n v="0"/>
    <s v="0,00%"/>
    <n v="0"/>
    <n v="0"/>
  </r>
  <r>
    <s v="Deb. 3R Petroleum 10/33 IPCA+ 7,60%aa"/>
    <d v="2024-06-01T00:00:00"/>
    <s v="GCA"/>
    <s v="BTG"/>
    <x v="5"/>
    <s v="Deb."/>
    <s v="3R Petroleum"/>
    <d v="2033-10-17T00:00:00"/>
    <s v="IPCA+ 7,60%aa"/>
    <m/>
    <n v="2033"/>
    <s v="RRRP13"/>
    <n v="7.5999999999999998E-2"/>
    <m/>
    <s v="Isento"/>
    <m/>
    <x v="3"/>
    <s v="Deb. 3R Petroleum 10/33 IPCA+ 7,60%aa"/>
    <x v="5"/>
    <n v="0.15"/>
    <m/>
    <s v=""/>
    <m/>
    <n v="9.7531988561607719E-3"/>
    <n v="81950.701231414991"/>
    <n v="81950.701231414991"/>
    <m/>
    <n v="81971.199999999997"/>
    <n v="81971.199999999997"/>
    <m/>
    <m/>
    <m/>
    <m/>
    <m/>
    <m/>
    <m/>
    <n v="1.460903484633381E-2"/>
    <n v="0"/>
    <n v="81159.14"/>
    <n v="81159.14"/>
    <n v="0"/>
    <n v="0"/>
    <m/>
    <n v="1.4132330805025621E-2"/>
    <n v="0"/>
    <n v="1.1771498636904736E-2"/>
    <n v="81971.199999999997"/>
    <n v="81971.199999999997"/>
    <n v="0"/>
    <n v="0"/>
    <m/>
    <b v="1"/>
    <m/>
    <n v="81971.199999999997"/>
    <n v="1.4095046003806195E-2"/>
    <n v="8.7742642058331859E-3"/>
    <n v="1.7124975836682741E-2"/>
    <n v="8.5754063895799679E-3"/>
    <n v="0.11419824670294135"/>
    <n v="1.195899628125674E-2"/>
    <n v="2.0840198979215366E-2"/>
    <n v="1.0826473045613906E-2"/>
    <m/>
    <s v="RRRP13"/>
    <m/>
    <n v="4.4159587570915537E-3"/>
    <m/>
    <n v="82333.181438469299"/>
    <n v="1.4159972582530839E-2"/>
    <n v="5.1952455965782983E-3"/>
    <n v="82333.181438469299"/>
    <n v="1.4159972582530839E-2"/>
  </r>
  <r>
    <s v="Empiricus Carbon Fund 2 FIM 10/28"/>
    <d v="2024-06-01T00:00:00"/>
    <s v="GCA"/>
    <s v="BTG"/>
    <x v="6"/>
    <m/>
    <s v="Empiricus Carbon Fund 2 FIM"/>
    <d v="2028-10-09T00:00:00"/>
    <m/>
    <m/>
    <n v="2028"/>
    <s v="52.134.934/0001-10"/>
    <m/>
    <m/>
    <m/>
    <m/>
    <x v="0"/>
    <s v="Empiricus Carbon Fund 2 FIM 10/28"/>
    <x v="6"/>
    <s v=""/>
    <m/>
    <s v=""/>
    <m/>
    <s v=""/>
    <s v=""/>
    <s v=""/>
    <m/>
    <n v="0"/>
    <n v="0"/>
    <m/>
    <m/>
    <m/>
    <m/>
    <m/>
    <m/>
    <m/>
    <n v="0"/>
    <n v="0"/>
    <n v="0"/>
    <n v="0"/>
    <n v="-129040.22"/>
    <n v="111.29"/>
    <m/>
    <n v="0"/>
    <n v="0"/>
    <s v="0,00%"/>
    <n v="0"/>
    <n v="0"/>
    <n v="0"/>
    <n v="0"/>
    <m/>
    <b v="0"/>
    <m/>
    <n v="0"/>
    <n v="0"/>
    <n v="8.7742642058331859E-3"/>
    <n v="0"/>
    <n v="8.5754063895799679E-3"/>
    <n v="0"/>
    <n v="-6.9739202109679122E-3"/>
    <n v="0"/>
    <n v="5.1679003003251437E-3"/>
    <m/>
    <s v="52.134.934/0001-10"/>
    <m/>
    <s v=""/>
    <m/>
    <n v="0"/>
    <n v="0"/>
    <s v="0,00%"/>
    <n v="0"/>
    <n v="0"/>
  </r>
  <r>
    <s v="Éxes FIC FIM"/>
    <d v="2024-06-01T00:00:00"/>
    <s v="GCA"/>
    <s v="BTG"/>
    <x v="6"/>
    <m/>
    <s v="Éxes FIC FIM"/>
    <m/>
    <m/>
    <m/>
    <s v="D+90"/>
    <s v="38.065.069/0001-76"/>
    <m/>
    <m/>
    <m/>
    <m/>
    <x v="0"/>
    <s v="Éxes FIC FIM"/>
    <x v="6"/>
    <s v=""/>
    <m/>
    <s v=""/>
    <m/>
    <s v=""/>
    <s v=""/>
    <s v=""/>
    <m/>
    <n v="114715.72"/>
    <n v="115342.52"/>
    <m/>
    <m/>
    <m/>
    <m/>
    <n v="-16.96"/>
    <m/>
    <m/>
    <n v="2.0559386951745025E-2"/>
    <n v="429.6200000000099"/>
    <n v="113786.15"/>
    <n v="114215.77"/>
    <n v="-1129.8399999999999"/>
    <n v="1129.8399999999999"/>
    <m/>
    <n v="1.988574826921265E-2"/>
    <n v="626.80000000000291"/>
    <n v="1.0013590942826944E-2"/>
    <n v="114715.72"/>
    <n v="115342.52"/>
    <n v="-16.96"/>
    <n v="0"/>
    <m/>
    <b v="1"/>
    <m/>
    <n v="115359.48000000001"/>
    <n v="1.983620073361328E-2"/>
    <n v="8.7742642058331859E-3"/>
    <n v="2.4100273114609595E-2"/>
    <n v="8.5754063895799679E-3"/>
    <n v="0.39707561577804423"/>
    <n v="-6.9739202109679122E-3"/>
    <n v="6.6292458532820037E-2"/>
    <n v="5.1679003003251437E-3"/>
    <m/>
    <s v="38.065.069/0001-76"/>
    <m/>
    <s v=""/>
    <m/>
    <n v="115342.52"/>
    <n v="1.9837043732126424E-2"/>
    <n v="0"/>
    <n v="115342.52"/>
    <n v="1.9837043732126424E-2"/>
  </r>
  <r>
    <s v="Deb. Enauta 09/29 13,97%aa"/>
    <d v="2024-06-01T00:00:00"/>
    <s v="GCA"/>
    <s v="BTG"/>
    <x v="3"/>
    <s v="Deb."/>
    <s v="Enauta"/>
    <d v="2029-09-17T00:00:00"/>
    <s v="13,97%aa"/>
    <m/>
    <n v="2029"/>
    <s v="ENAT32"/>
    <n v="0.13969999999999999"/>
    <m/>
    <s v="Isento"/>
    <m/>
    <x v="3"/>
    <s v="Deb. Enauta 09/29 13,97%aa"/>
    <x v="3"/>
    <n v="0.15"/>
    <m/>
    <s v=""/>
    <m/>
    <n v="1.0432220244933177E-2"/>
    <n v="103806.09736592005"/>
    <n v="103806.09736592005"/>
    <m/>
    <n v="103805.82"/>
    <n v="103805.82"/>
    <m/>
    <m/>
    <m/>
    <m/>
    <m/>
    <m/>
    <m/>
    <n v="1.849267622926332E-2"/>
    <n v="0"/>
    <n v="102734.35"/>
    <n v="102734.35"/>
    <n v="0"/>
    <n v="0"/>
    <m/>
    <n v="1.7896751392281009E-2"/>
    <n v="0"/>
    <n v="1.2270024010240702E-2"/>
    <n v="103805.82"/>
    <n v="103805.82"/>
    <n v="0"/>
    <n v="0"/>
    <m/>
    <b v="1"/>
    <m/>
    <n v="103805.82"/>
    <n v="1.7849535060641117E-2"/>
    <n v="8.7742642058331859E-3"/>
    <n v="2.168654550875232E-2"/>
    <n v="8.5754063895799679E-3"/>
    <n v="6.1544243837334311E-2"/>
    <n v="1.1485309242606538E-2"/>
    <n v="2.6391390439576511E-2"/>
    <n v="1.0826473045613906E-2"/>
    <m/>
    <s v="ENAT32"/>
    <m/>
    <n v="4.3083800828094265E-3"/>
    <m/>
    <n v="104253.0549273677"/>
    <n v="1.7929835500403245E-2"/>
    <n v="5.0686824503640314E-3"/>
    <n v="104253.0549273677"/>
    <n v="1.7929835500403245E-2"/>
  </r>
  <r>
    <s v="Conta Corrente - XP"/>
    <d v="2024-06-01T00:00:00"/>
    <s v="GCA"/>
    <s v="XP"/>
    <x v="2"/>
    <s v="Conta Corrente -"/>
    <s v="XP"/>
    <m/>
    <m/>
    <m/>
    <s v="D+0"/>
    <m/>
    <m/>
    <m/>
    <m/>
    <m/>
    <x v="2"/>
    <s v="Conta Corrente - XP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8.7742642058331859E-3"/>
    <n v="0"/>
    <n v="8.0994676046073355E-3"/>
    <n v="0"/>
    <n v="6.1271124631930093E-12"/>
    <n v="0"/>
    <n v="6.1271124631930093E-12"/>
    <m/>
    <s v=""/>
    <m/>
    <s v=""/>
    <m/>
    <n v="0"/>
    <n v="0"/>
    <s v="0,00%"/>
    <n v="0"/>
    <n v="0"/>
  </r>
  <r>
    <s v="Quantitas Galápagos FIM"/>
    <d v="2024-06-01T00:00:00"/>
    <s v="GCA"/>
    <s v="BTG"/>
    <x v="6"/>
    <m/>
    <s v="Quantitas Galápagos FIM"/>
    <m/>
    <m/>
    <m/>
    <s v="D+32"/>
    <s v="27.928.186/0001-08"/>
    <m/>
    <m/>
    <m/>
    <m/>
    <x v="0"/>
    <s v="Quantitas Galápagos FIM"/>
    <x v="6"/>
    <s v=""/>
    <m/>
    <s v=""/>
    <m/>
    <s v=""/>
    <s v=""/>
    <s v=""/>
    <m/>
    <n v="174896.08"/>
    <n v="175097.96"/>
    <m/>
    <m/>
    <m/>
    <m/>
    <n v="-65.260000000000005"/>
    <m/>
    <m/>
    <n v="3.2113452317154831E-2"/>
    <n v="780.30999999999767"/>
    <n v="177623"/>
    <n v="178403.31"/>
    <n v="-1377.99"/>
    <n v="1308.6500000000001"/>
    <m/>
    <n v="3.0187947645089301E-2"/>
    <n v="201.88000000000466"/>
    <n v="-1.8161602494931262E-2"/>
    <n v="174896.08"/>
    <n v="175097.96"/>
    <n v="-65.260000000000005"/>
    <n v="0"/>
    <m/>
    <b v="1"/>
    <m/>
    <n v="175163.22"/>
    <n v="3.0119525443995272E-2"/>
    <n v="8.7742642058331859E-3"/>
    <n v="3.6594144162529561E-2"/>
    <n v="8.5754063895799679E-3"/>
    <n v="0.60292438422195582"/>
    <n v="-6.9739202109679122E-3"/>
    <n v="0.10065926526649767"/>
    <n v="5.1679003003251437E-3"/>
    <m/>
    <s v="27.928.186/0001-08"/>
    <m/>
    <s v=""/>
    <m/>
    <n v="175097.96"/>
    <n v="3.0114010773530205E-2"/>
    <n v="0"/>
    <n v="175097.96"/>
    <n v="3.0114010773530205E-2"/>
  </r>
  <r>
    <s v="Deb. Enauta 12/29 IPCA+ 9,46%aa"/>
    <d v="2024-06-01T00:00:00"/>
    <s v="GCA"/>
    <s v="BTG"/>
    <x v="5"/>
    <s v="Deb."/>
    <s v="Enauta"/>
    <d v="2029-12-17T00:00:00"/>
    <s v="IPCA+ 9,46%aa"/>
    <m/>
    <n v="2029"/>
    <s v="ENAT11"/>
    <n v="9.4600000000000004E-2"/>
    <m/>
    <s v="Isento"/>
    <m/>
    <x v="3"/>
    <s v="Deb. Enauta 12/29 IPCA+ 9,46%aa"/>
    <x v="5"/>
    <n v="0.15"/>
    <m/>
    <s v=""/>
    <m/>
    <n v="1.1127601118850805E-2"/>
    <n v="165724.70361566864"/>
    <n v="165724.70361566864"/>
    <m/>
    <n v="158264.5"/>
    <n v="158264.5"/>
    <m/>
    <n v="-7358.39"/>
    <m/>
    <m/>
    <m/>
    <m/>
    <m/>
    <n v="2.9502945290755624E-2"/>
    <n v="0"/>
    <n v="163900.88"/>
    <n v="163900.88"/>
    <n v="0"/>
    <n v="0"/>
    <m/>
    <n v="2.7285757298807112E-2"/>
    <n v="0"/>
    <n v="1.2360483468100213E-2"/>
    <n v="158264.5"/>
    <n v="158264.5"/>
    <n v="-7358.39"/>
    <n v="0"/>
    <m/>
    <b v="1"/>
    <m/>
    <n v="165622.89000000001"/>
    <n v="2.8479054275566702E-2"/>
    <n v="8.7742642058331859E-3"/>
    <n v="3.4601030474746788E-2"/>
    <n v="8.5754063895799679E-3"/>
    <n v="0.23073766947262109"/>
    <n v="1.195899628125674E-2"/>
    <n v="4.2107642478244792E-2"/>
    <n v="1.0826473045613906E-2"/>
    <m/>
    <s v="ENAT11"/>
    <m/>
    <n v="4.982065224862442E-3"/>
    <m/>
    <n v="159052.98406178024"/>
    <n v="2.7354535001998758E-2"/>
    <n v="5.8612532057205199E-3"/>
    <n v="159052.98406178024"/>
    <n v="2.7354535001998758E-2"/>
  </r>
  <r>
    <s v="Deb. Paranaguá 07/30 IPCA+ 5,40%aa"/>
    <d v="2024-06-01T00:00:00"/>
    <s v="GCA"/>
    <s v="BTG"/>
    <x v="5"/>
    <s v="Deb."/>
    <s v="Paranaguá"/>
    <d v="2030-07-15T00:00:00"/>
    <s v="IPCA+ 5,40%aa"/>
    <m/>
    <n v="2030"/>
    <s v="PASN12"/>
    <n v="5.3999999999999999E-2"/>
    <m/>
    <s v="Isento"/>
    <m/>
    <x v="3"/>
    <s v="Deb. Paranaguá 07/30 IPCA+ 5,40%aa"/>
    <x v="5"/>
    <n v="0.15"/>
    <m/>
    <s v=""/>
    <m/>
    <n v="8.0990399014382319E-3"/>
    <n v="129239.82922590504"/>
    <n v="129239.82922590504"/>
    <m/>
    <n v="129273.82"/>
    <n v="129273.82"/>
    <m/>
    <m/>
    <m/>
    <m/>
    <m/>
    <m/>
    <m/>
    <n v="2.3076889097555259E-2"/>
    <n v="0"/>
    <n v="128201.52"/>
    <n v="128201.52"/>
    <n v="0"/>
    <n v="0"/>
    <m/>
    <n v="2.2287588673452839E-2"/>
    <n v="0"/>
    <n v="9.8402063545324613E-3"/>
    <n v="129273.82"/>
    <n v="129273.82"/>
    <n v="0"/>
    <n v="0"/>
    <m/>
    <b v="1"/>
    <m/>
    <n v="129273.82"/>
    <n v="2.2228788159594608E-2"/>
    <n v="8.7742642058331859E-3"/>
    <n v="2.7007181105262266E-2"/>
    <n v="8.5754063895799679E-3"/>
    <n v="0.18009793181741432"/>
    <n v="1.195899628125674E-2"/>
    <n v="3.286632538749306E-2"/>
    <n v="1.0826473045613906E-2"/>
    <m/>
    <s v="PASN12"/>
    <m/>
    <n v="3.7340236763567791E-3"/>
    <m/>
    <n v="129756.53150461309"/>
    <n v="2.2316020059090523E-2"/>
    <n v="4.3929690310079757E-3"/>
    <n v="129756.53150461309"/>
    <n v="2.2316020059090523E-2"/>
  </r>
  <r>
    <s v="Deb. Via Brasil 12/30 IPCA+ 8,90%aa"/>
    <d v="2024-06-01T00:00:00"/>
    <s v="GCA"/>
    <s v="BTG"/>
    <x v="5"/>
    <s v="Deb."/>
    <s v="Via Brasil"/>
    <d v="2030-12-16T00:00:00"/>
    <s v="IPCA+ 8,90%aa"/>
    <m/>
    <n v="2030"/>
    <s v="VBRR11"/>
    <n v="8.8999999999999996E-2"/>
    <m/>
    <s v="Isento"/>
    <m/>
    <x v="3"/>
    <s v="Deb. Via Brasil 12/30 IPCA+ 8,90%aa"/>
    <x v="5"/>
    <n v="0.15"/>
    <m/>
    <s v=""/>
    <m/>
    <n v="1.071607925179241E-2"/>
    <n v="127506.69494195482"/>
    <n v="127506.69494195482"/>
    <m/>
    <n v="122533.08"/>
    <n v="122533.08"/>
    <m/>
    <n v="-5101.63"/>
    <m/>
    <m/>
    <m/>
    <m/>
    <m/>
    <n v="2.2708471471267696E-2"/>
    <n v="0"/>
    <n v="126154.81"/>
    <n v="126154.81"/>
    <n v="0"/>
    <n v="0"/>
    <m/>
    <n v="2.1125444316036229E-2"/>
    <n v="0"/>
    <n v="1.3800970597390716E-2"/>
    <n v="122533.08"/>
    <n v="122533.08"/>
    <n v="-5101.63"/>
    <n v="0"/>
    <m/>
    <b v="1"/>
    <m/>
    <n v="127634.71"/>
    <n v="2.1946941232194511E-2"/>
    <n v="8.7742642058331859E-3"/>
    <n v="2.6664747187695299E-2"/>
    <n v="8.5754063895799679E-3"/>
    <n v="0.17781440433272144"/>
    <n v="1.195899628125674E-2"/>
    <n v="3.2449601238660038E-2"/>
    <n v="1.0826473045613906E-2"/>
    <m/>
    <s v="VBRR11"/>
    <m/>
    <n v="4.8126096093727977E-3"/>
    <m/>
    <n v="123122.78387827404"/>
    <n v="2.117512300073271E-2"/>
    <n v="5.6618936580856444E-3"/>
    <n v="123122.78387827404"/>
    <n v="2.117512300073271E-2"/>
  </r>
  <r>
    <s v="LCA Bco. ABC 04/25 96% CDI"/>
    <d v="2024-06-01T00:00:00"/>
    <s v="GCA"/>
    <s v="BTG"/>
    <x v="4"/>
    <s v="LCA"/>
    <s v="Bco. ABC"/>
    <d v="2025-04-17T00:00:00"/>
    <s v="96% CDI"/>
    <m/>
    <n v="2025"/>
    <s v="24D03080808"/>
    <n v="0.96"/>
    <s v="%"/>
    <s v="Isento"/>
    <m/>
    <x v="3"/>
    <s v="LCA Bco. ABC 04/25 96% CDI"/>
    <x v="4"/>
    <n v="0.2"/>
    <m/>
    <s v=""/>
    <m/>
    <n v="7.5840000000000005E-3"/>
    <n v="101917.373496"/>
    <n v="101917.373496"/>
    <m/>
    <n v="101915.64"/>
    <n v="101915.64"/>
    <m/>
    <m/>
    <m/>
    <m/>
    <m/>
    <m/>
    <m/>
    <n v="1.8207530623973792E-2"/>
    <n v="0"/>
    <n v="101150.25"/>
    <n v="101150.25"/>
    <n v="0"/>
    <n v="0"/>
    <m/>
    <n v="1.7570872924708939E-2"/>
    <n v="0"/>
    <n v="9.4585777098918355E-3"/>
    <n v="101915.64"/>
    <n v="101915.64"/>
    <n v="0"/>
    <n v="0"/>
    <m/>
    <b v="1"/>
    <m/>
    <n v="101915.64"/>
    <n v="1.7524516346074607E-2"/>
    <n v="8.7742642058331859E-3"/>
    <n v="2.1291659416722664E-2"/>
    <n v="8.5754063895799679E-3"/>
    <n v="6.6662161283911642E-2"/>
    <n v="9.5678883306697365E-3"/>
    <n v="2.5910834740665998E-2"/>
    <n v="1.0826473045613906E-2"/>
    <m/>
    <s v="24D03080808"/>
    <m/>
    <n v="2.7839999999999996E-3"/>
    <m/>
    <n v="102199.37314175999"/>
    <n v="1.7576635523560605E-2"/>
    <n v="3.4799999999998721E-3"/>
    <n v="102199.37314175999"/>
    <n v="1.7576635523560605E-2"/>
  </r>
  <r>
    <s v="LCI Bco. BRB 05/24 95% CDI"/>
    <d v="2024-06-01T00:00:00"/>
    <s v="GCA"/>
    <s v="BTG"/>
    <x v="4"/>
    <s v="LCI"/>
    <s v="Bco. BRB"/>
    <d v="2024-05-06T00:00:00"/>
    <s v="95% CDI"/>
    <m/>
    <n v="2024"/>
    <s v="23L01537942"/>
    <n v="0.95"/>
    <s v="%"/>
    <s v="Isento"/>
    <m/>
    <x v="3"/>
    <s v="LCI Bco. BRB 05/24 95% CDI"/>
    <x v="4"/>
    <n v="0.22500000000000001"/>
    <m/>
    <s v=""/>
    <m/>
    <n v="7.5050000000000004E-3"/>
    <n v="0"/>
    <n v="0"/>
    <m/>
    <n v="0"/>
    <n v="0"/>
    <m/>
    <m/>
    <m/>
    <m/>
    <m/>
    <m/>
    <m/>
    <n v="0"/>
    <n v="0"/>
    <n v="0"/>
    <n v="0"/>
    <n v="-156127.07999999999"/>
    <n v="0"/>
    <m/>
    <n v="0"/>
    <n v="0"/>
    <s v="0,00%"/>
    <n v="0"/>
    <n v="0"/>
    <n v="0"/>
    <n v="0"/>
    <m/>
    <b v="0"/>
    <m/>
    <n v="0"/>
    <n v="0"/>
    <n v="8.7742642058331859E-3"/>
    <n v="0"/>
    <n v="8.5754063895799679E-3"/>
    <n v="0"/>
    <n v="9.5678883306697365E-3"/>
    <n v="0"/>
    <n v="1.0826473045613906E-2"/>
    <m/>
    <s v="23L01537942"/>
    <m/>
    <n v="2.7549999999999996E-3"/>
    <m/>
    <n v="0"/>
    <n v="0"/>
    <s v="0,00%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D240-2F63-4E90-AECB-C1D3D12B8871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85">
  <location ref="AB7:AJ9" firstHeaderRow="1" firstDataRow="2" firstDataCol="1"/>
  <pivotFields count="72">
    <pivotField showAll="0"/>
    <pivotField numFmtId="17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Col" showAll="0">
      <items count="11">
        <item x="2"/>
        <item x="6"/>
        <item x="0"/>
        <item x="5"/>
        <item x="4"/>
        <item x="3"/>
        <item m="1" x="7"/>
        <item m="1" x="8"/>
        <item m="1" x="9"/>
        <item x="1"/>
        <item t="default"/>
      </items>
    </pivotField>
    <pivotField showAll="0"/>
    <pivotField showAll="0"/>
    <pivotField showAll="0"/>
    <pivotField showAll="0"/>
    <pivotField numFmtId="10" showAll="0"/>
    <pivotField numFmtId="44" showAll="0"/>
    <pivotField numFmtId="44"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numFmtId="10" showAll="0"/>
    <pivotField numFmtId="44" showAll="0"/>
    <pivotField numFmtId="10" showAll="0"/>
    <pivotField numFmtId="44" showAll="0"/>
    <pivotField dataField="1"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Items count="1">
    <i/>
  </rowItems>
  <colFields count="1">
    <field x="18"/>
  </colFields>
  <colItems count="8">
    <i>
      <x/>
    </i>
    <i>
      <x v="1"/>
    </i>
    <i>
      <x v="2"/>
    </i>
    <i>
      <x v="3"/>
    </i>
    <i>
      <x v="4"/>
    </i>
    <i>
      <x v="5"/>
    </i>
    <i>
      <x v="9"/>
    </i>
    <i t="grand">
      <x/>
    </i>
  </colItems>
  <dataFields count="1">
    <dataField name="Soma de Saldo Bruto | Mês Atual" fld="47" showDataAs="percentOfTotal" baseField="7" baseItem="0" numFmtId="10"/>
  </dataFields>
  <chartFormats count="11">
    <chartFormat chart="0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2B65D-3C72-4879-8602-8020DF072D6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73:U85" firstHeaderRow="1" firstDataRow="1" firstDataCol="1"/>
  <pivotFields count="72">
    <pivotField showAll="0"/>
    <pivotField numFmtId="17" showAll="0"/>
    <pivotField showAll="0"/>
    <pivotField showAll="0"/>
    <pivotField axis="axisRow" showAll="0">
      <items count="14">
        <item m="1" x="8"/>
        <item m="1" x="12"/>
        <item x="2"/>
        <item x="5"/>
        <item x="6"/>
        <item x="4"/>
        <item x="3"/>
        <item x="0"/>
        <item m="1" x="10"/>
        <item m="1" x="11"/>
        <item m="1" x="7"/>
        <item m="1" x="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2"/>
        <item m="1" x="5"/>
        <item x="3"/>
        <item m="1" x="6"/>
        <item m="1"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Fields count="2">
    <field x="16"/>
    <field x="4"/>
  </rowFields>
  <rowItems count="12">
    <i>
      <x/>
    </i>
    <i r="1">
      <x v="2"/>
    </i>
    <i>
      <x v="2"/>
    </i>
    <i r="1">
      <x v="3"/>
    </i>
    <i r="1">
      <x v="5"/>
    </i>
    <i r="1">
      <x v="6"/>
    </i>
    <i>
      <x v="5"/>
    </i>
    <i r="1">
      <x v="12"/>
    </i>
    <i>
      <x v="6"/>
    </i>
    <i r="1">
      <x v="4"/>
    </i>
    <i r="1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stódia" xr10:uid="{DBAE5BF4-8308-4069-B677-CB5C684A7F80}" sourceName="Custódi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nclatura_Classe" xr10:uid="{3D133B1E-D22E-4DF8-9997-06783C0CF6EA}" sourceName="Nomenclatura Classe">
  <extLst>
    <x:ext xmlns:x15="http://schemas.microsoft.com/office/spreadsheetml/2010/11/main" uri="{2F2917AC-EB37-4324-AD4E-5DD8C200BD13}">
      <x15:tableSlicerCache tableId="1" column="5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ódia" xr10:uid="{5EAAC106-69FC-4974-B5C8-4023A7211704}" cache="SegmentaçãodeDados_Custódia" caption="Custódia" style="SlicerStyleLight1 2" rowHeight="241300"/>
  <slicer name="Nomenclatura Classe" xr10:uid="{7EEFBC91-9A0D-466C-8147-866E72D68AC2}" cache="SegmentaçãodeDados_Nomenclatura_Classe" caption="Nomenclatura Classe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CD5E1-FC1C-4A55-B0A5-1B57589F6FBC}" name="Dados" displayName="Dados" ref="B5:BU43" totalsRowShown="0" headerRowDxfId="100" dataDxfId="99">
  <autoFilter ref="B5:BU43" xr:uid="{6D4CD5E1-FC1C-4A55-B0A5-1B57589F6FBC}">
    <filterColumn colId="3">
      <filters>
        <filter val="BTG"/>
      </filters>
    </filterColumn>
  </autoFilter>
  <sortState xmlns:xlrd2="http://schemas.microsoft.com/office/spreadsheetml/2017/richdata2" ref="B13:BU41">
    <sortCondition ref="B5:B41"/>
  </sortState>
  <tableColumns count="72">
    <tableColumn id="12" xr3:uid="{7C1C2144-3E92-47C6-A9A2-F6EA135A7780}" name="Ativo" dataDxfId="98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calculatedColumnFormula>
    </tableColumn>
    <tableColumn id="60" xr3:uid="{5C3E1EB2-F087-4D6E-BDDA-AA0E8C7BF8D3}" name="Data" dataDxfId="97">
      <calculatedColumnFormula>$A$3</calculatedColumnFormula>
    </tableColumn>
    <tableColumn id="7" xr3:uid="{F49E1F4B-5E32-4339-9093-E8277C4C0CDA}" name="Titular" dataDxfId="96"/>
    <tableColumn id="1" xr3:uid="{7974E80D-4620-4384-B458-F5102B241BCD}" name="Custódia" dataDxfId="95"/>
    <tableColumn id="8" xr3:uid="{1A019E58-6741-42DE-9C9F-5E6FE9F35432}" name="Subclasse" dataDxfId="94"/>
    <tableColumn id="2" xr3:uid="{01855EFE-3516-4763-A5A7-534C5A2C1AFD}" name="Tipo do Ativo" dataDxfId="93"/>
    <tableColumn id="3" xr3:uid="{50E1AD47-3FCD-460A-8A8A-6261ED191C08}" name="Emissor" dataDxfId="92"/>
    <tableColumn id="4" xr3:uid="{78AADC8D-C74F-41BF-A27D-FDC8A61EABFE}" name="Vencimento" dataDxfId="91"/>
    <tableColumn id="5" xr3:uid="{6373B067-CC7E-4D81-BC71-BB96AD1D9B0D}" name="Remuneração" dataDxfId="90"/>
    <tableColumn id="6" xr3:uid="{48797267-6A5D-4C3B-86B8-E0DE8039F558}" name="Complemento" dataDxfId="89"/>
    <tableColumn id="10" xr3:uid="{6C05C92C-B52A-4C1F-AC54-045875FFD351}" name="Liquidez" dataDxfId="88"/>
    <tableColumn id="68" xr3:uid="{38D533EE-36FA-48A8-BBA9-2C11637D31E9}" name="Ticker do Ativo" dataDxfId="87"/>
    <tableColumn id="9" xr3:uid="{7AAC5C6D-D064-433F-B6A2-5C2A5D6D92C1}" name="Taxa" dataDxfId="86" dataCellStyle="Porcentagem"/>
    <tableColumn id="53" xr3:uid="{FC253854-C0C4-4BFB-8806-BFE61C899C2C}" name="Pós-Fixado" dataDxfId="85"/>
    <tableColumn id="11" xr3:uid="{A4996D3E-5469-4EDA-965C-4EF0BA350871}" name="IR" dataDxfId="84"/>
    <tableColumn id="51" xr3:uid="{52F94233-F636-4DC8-B3B6-9C987DB43DDF}" name="Liq. Diária" dataDxfId="83"/>
    <tableColumn id="43" xr3:uid="{C9EDF657-83CC-44C7-8A95-6B343F73785F}" name="Classe" dataDxfId="82">
      <calculatedColumnFormula>IFERROR(_xlfn.XLOOKUP(Dados[[#This Row],[Subclasse]],ClasseSubClasse[SubClasse],ClasseSubClasse[Classe]),"ERRO")</calculatedColumnFormula>
    </tableColumn>
    <tableColumn id="61" xr3:uid="{A469A38C-A9D9-4C82-9252-EBC95B8EE067}" name="Nomenclatura Ativo" dataDxfId="81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calculatedColumnFormula>
    </tableColumn>
    <tableColumn id="59" xr3:uid="{70BCA76C-5E06-458D-AD3C-F451C57F12EA}" name="Nomenclatura Classe" dataDxfId="80">
      <calculatedColumnFormula>IFERROR(_xlfn.XLOOKUP(Dados[[#This Row],[Subclasse]],ClasseSubClasse[SubClasse],ClasseSubClasse[Nomenclatura]),"ERRO")</calculatedColumnFormula>
    </tableColumn>
    <tableColumn id="56" xr3:uid="{C23B3A63-1227-4A60-A11B-84CDDA66F942}" name="Gross-Up" dataDxfId="79" dataCellStyle="Porcentagem">
      <calculatedColumnFormula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calculatedColumnFormula>
    </tableColumn>
    <tableColumn id="57" xr3:uid="{85F0C74B-F0CC-45BC-8B94-F133A68626CC}" name="Coluna2" dataDxfId="78" dataCellStyle="Porcentagem"/>
    <tableColumn id="55" xr3:uid="{E9EEAA73-1910-4EA6-81A3-0C891C5126FD}" name="Apagar Linha" dataDxfId="77" dataCellStyle="Porcentagem">
      <calculatedColumnFormula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calculatedColumnFormula>
    </tableColumn>
    <tableColumn id="54" xr3:uid="{BF51FB93-0C2E-4A65-B6B7-0210D740F1B8}" name="Coluna1" dataDxfId="76"/>
    <tableColumn id="50" xr3:uid="{E41CB508-67B2-4985-BEEF-29A214C35DD0}" name="Taxa | Esperada" dataDxfId="75" dataCellStyle="Porcentagem">
      <calculatedColumnFormula array="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calculatedColumnFormula>
    </tableColumn>
    <tableColumn id="46" xr3:uid="{CE49BE50-4367-4A59-BE19-B81D294D3BED}" name="Saldo Líquido Esperado" dataDxfId="74">
      <calculatedColumnFormula>IFERROR((1+Dados[[#This Row],[Taxa | Esperada]])*Dados[[#This Row],[Saldo Líquido | Mês Anterior]]+Dados[[#This Row],[Juros / Dividendos]],"")</calculatedColumnFormula>
    </tableColumn>
    <tableColumn id="45" xr3:uid="{35587411-7478-4B4C-B8D6-8737E08A0F5A}" name="Saldo Bruto Esperado" dataDxfId="73">
      <calculatedColumnFormula>IFERROR(IF(Dados[[#This Row],[Classe]]="Renda Fixa",(1+Dados[[#This Row],[Taxa | Esperada]])*Dados[[#This Row],[Saldo Bruto | Mês Anterior]]+Dados[[#This Row],[Juros / Dividendos]],""),"")</calculatedColumnFormula>
    </tableColumn>
    <tableColumn id="13" xr3:uid="{8D4F446E-93C1-4C30-8444-C136582624BC}" name="-" dataDxfId="72"/>
    <tableColumn id="49" xr3:uid="{10AA692D-9A55-43F7-B677-20B290DB8EFB}" name="Saldo Líquido | Relatório" dataDxfId="71" dataCellStyle="Moeda"/>
    <tableColumn id="48" xr3:uid="{72F24AC0-E0E2-476A-BCA4-42B95A558045}" name="Saldo Bruto | Relatório" dataDxfId="70" dataCellStyle="Moeda"/>
    <tableColumn id="30" xr3:uid="{789F018E-A932-4167-9321-B32EE9C2DB83}" name="Aplicações" dataDxfId="69" dataCellStyle="Moeda"/>
    <tableColumn id="29" xr3:uid="{C651CE87-B142-41C7-92C9-2E53645DB45F}" name="Resgates" dataDxfId="68" dataCellStyle="Moeda"/>
    <tableColumn id="28" xr3:uid="{0FC5B520-EBAE-4176-839B-AAD3D01DF219}" name="Juros / Dividendos" dataDxfId="67" dataCellStyle="Moeda"/>
    <tableColumn id="27" xr3:uid="{2B7640A0-5BD3-4004-8257-7E3B821CC629}" name="Demais" dataDxfId="66" dataCellStyle="Moeda"/>
    <tableColumn id="69" xr3:uid="{39FE9E62-59A5-436A-A2DE-9C7622C1089D}" name="Cashback" dataDxfId="65" dataCellStyle="Moeda"/>
    <tableColumn id="47" xr3:uid="{7CB3AC75-750A-44D5-BCA4-CFDAC12BA039}" name="Imposto Pago" dataDxfId="64" dataCellStyle="Moeda"/>
    <tableColumn id="44" xr3:uid="{04866D6D-73EE-4A17-B3AE-6AD2015034A9}" name="-----" dataDxfId="63"/>
    <tableColumn id="19" xr3:uid="{C6E75343-7148-4956-B497-74F6A0064A4B}" name="Peso | Mês Anterior" dataDxfId="62" dataCellStyle="Porcentagem">
      <calculatedColumnFormula>Dados[[#This Row],[Saldo Bruto | Mês Anterior]]/SUM(Dados[Saldo Bruto | Mês Anterior])</calculatedColumnFormula>
    </tableColumn>
    <tableColumn id="16" xr3:uid="{95ADE004-AD20-471C-8E18-41119CA28EBA}" name="IR &amp; IOF | Mês Anterior" dataDxfId="61" dataCellStyle="Moeda">
      <calculatedColumnFormula>Dados[[#This Row],[Saldo Bruto | Mês Anterior]]-Dados[[#This Row],[Saldo Líquido | Mês Anterior]]</calculatedColumnFormula>
    </tableColumn>
    <tableColumn id="14" xr3:uid="{5E889FB2-7E1B-4DDE-A67D-25DBF10810E4}" name="Saldo Líquido | Mês Anterior" dataDxfId="60" dataCellStyle="Moeda"/>
    <tableColumn id="15" xr3:uid="{4C468CF4-6CE9-4314-A368-97075B26ECAA}" name="Saldo Bruto | Mês Anterior" dataDxfId="59" dataCellStyle="Moeda"/>
    <tableColumn id="17" xr3:uid="{1A3AC3AB-4043-417F-B1CB-C5D3E0441DE4}" name="Movimentaçao | Mês Anterior" dataDxfId="58" dataCellStyle="Moeda"/>
    <tableColumn id="18" xr3:uid="{276EE89D-2165-46F5-8577-E0AE1AAA8299}" name="IR Pago | Mês Anterior" dataDxfId="57" dataCellStyle="Moeda"/>
    <tableColumn id="20" xr3:uid="{6A525085-969C-4B59-801F-140473B35D97}" name="--" dataDxfId="56"/>
    <tableColumn id="26" xr3:uid="{3F2D3CE2-36A2-4F16-9BDF-9485AEE60596}" name="Peso | Mês Atual" dataDxfId="55" dataCellStyle="Porcentagem">
      <calculatedColumnFormula>IFERROR(Dados[[#This Row],[Saldo Bruto | Mês Atual]]/SUM(Dados[Saldo Bruto | Mês Atual]),"0,00%")</calculatedColumnFormula>
    </tableColumn>
    <tableColumn id="23" xr3:uid="{F90ACC4B-0376-44CA-BAD1-BFECE30B1952}" name="IR &amp; IOF | Mês Atual" dataDxfId="54" dataCellStyle="Moeda">
      <calculatedColumnFormula>Dados[[#This Row],[Saldo Bruto | Mês Atual]]-Dados[[#This Row],[Saldo Líquido | Mês Atual]]</calculatedColumnFormula>
    </tableColumn>
    <tableColumn id="41" xr3:uid="{09F09CFC-2ECA-407F-936E-03E8ED649FA6}" name="Performance | Mês Atual" dataDxfId="53" dataCellStyle="Porcentagem">
      <calculatedColumnFormula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calculatedColumnFormula>
    </tableColumn>
    <tableColumn id="21" xr3:uid="{EF124795-0912-4286-A66F-99DA031EEE3D}" name="Saldo Líquido | Mês Atual" dataDxfId="52" dataCellStyle="Moeda">
      <calculatedColumnFormula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calculatedColumnFormula>
    </tableColumn>
    <tableColumn id="22" xr3:uid="{D573861D-22CB-466D-B981-077A30B7C385}" name="Saldo Bruto | Mês Atual" dataDxfId="51" dataCellStyle="Moeda">
      <calculatedColumnFormula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calculatedColumnFormula>
    </tableColumn>
    <tableColumn id="24" xr3:uid="{EA0EE221-6332-4166-B6EF-A20FF8BF40F1}" name="Movimentaçao | Mês Atual" dataDxfId="50" dataCellStyle="Moeda">
      <calculatedColumnFormula>SUM(Dados[[#This Row],[Aplicações]:[Cashback]])</calculatedColumnFormula>
    </tableColumn>
    <tableColumn id="25" xr3:uid="{27657D67-F42B-4566-A364-7220DEE40F49}" name="IR Pago | Mês Atual" dataDxfId="49" dataCellStyle="Moeda">
      <calculatedColumnFormula>Dados[[#This Row],[Imposto Pago]]</calculatedColumnFormula>
    </tableColumn>
    <tableColumn id="31" xr3:uid="{ED6B23A5-D64F-40B7-AB2E-5A4166C29FA8}" name="---" dataDxfId="48"/>
    <tableColumn id="64" xr3:uid="{F3C3AEF5-2507-4882-B600-BC5EB0A77AC4}" name="Lista?" dataDxfId="47">
      <calculatedColumnFormula>OR(Dados[[#This Row],[Saldo Bruto | Mês Anterior]]&lt;&gt;0,Dados[[#This Row],[Saldo Bruto | Mês Atual]]&lt;&gt;0,Dados[[#This Row],[Movimentaçao | Mês Atual]]&lt;&gt;0)</calculatedColumnFormula>
    </tableColumn>
    <tableColumn id="63" xr3:uid="{302A2C55-2E77-467B-90D9-835C317F4C94}" name="Participação" dataDxfId="46" dataCellStyle="Moeda"/>
    <tableColumn id="32" xr3:uid="{ADDE0908-9B3A-4B6A-89D3-8FA727B9FEEB}" name="Saldo Corrigido" dataDxfId="45" dataCellStyle="Moeda">
      <calculatedColumnFormula>IF(Dados[[#This Row],[Participação]]="",IF(Dados[[#This Row],[Movimentaçao | Mês Atual]]&gt;0,Dados[[#This Row],[Saldo Bruto | Mês Atual]],Dados[[#This Row],[Saldo Bruto | Mês Atual]]-Dados[[#This Row],[Movimentaçao | Mês Atual]]),0)</calculatedColumnFormula>
    </tableColumn>
    <tableColumn id="33" xr3:uid="{27B09810-44EA-4BA6-AE9F-9B01F2B1A5F9}" name="Peso Corrigido | Carteira" dataDxfId="44" dataCellStyle="Porcentagem">
      <calculatedColumnFormula>IFERROR(Dados[[#This Row],[Saldo Corrigido]]/SUM(Dados[Saldo Corrigido]),"0,00%")</calculatedColumnFormula>
    </tableColumn>
    <tableColumn id="37" xr3:uid="{5CA951C8-F4B7-4263-AEA4-C0B271557B05}" name="Performance Carteira" dataDxfId="43" dataCellStyle="Porcentagem">
      <calculatedColumnFormula>IFERROR(SUMPRODUCT(Dados[Performance | Mês Atual],Dados[Peso Corrigido | Carteira]),"0,00%")</calculatedColumnFormula>
    </tableColumn>
    <tableColumn id="34" xr3:uid="{92A565DE-0494-4152-97FA-362483881EAF}" name="Peso Corrigido | Custódia" dataDxfId="42" dataCellStyle="Porcentagem">
      <calculatedColumnFormula>IFERROR(Dados[[#This Row],[Saldo Corrigido]]/SUMIF(Dados[Custódia],Dados[[#This Row],[Custódia]],Dados[Saldo Corrigido]),"0,00%")</calculatedColumnFormula>
    </tableColumn>
    <tableColumn id="38" xr3:uid="{87E8F149-DEBE-4D94-8967-069FECAB8B8F}" name="Performance Custódia" dataDxfId="41" dataCellStyle="Porcentagem">
      <calculatedColumnFormula array="1">IFERROR(SUMPRODUCT((_xlfn._xlws.FILTER(Dados[Peso Corrigido | Custódia],Dados[Custódia]=Dados[[#This Row],[Custódia]])),_xlfn._xlws.FILTER(Dados[Performance | Mês Atual],Dados[Custódia]=Dados[[#This Row],[Custódia]])),"0,00%")</calculatedColumnFormula>
    </tableColumn>
    <tableColumn id="35" xr3:uid="{BC389FC6-7E0C-45D6-93C7-DEB2C6784E17}" name="Peso Corrigido | SubClasse" dataDxfId="40" dataCellStyle="Porcentagem">
      <calculatedColumnFormula>IFERROR(Dados[[#This Row],[Saldo Corrigido]]/SUMIF(Dados[Subclasse],Dados[[#This Row],[Subclasse]],Dados[Saldo Corrigido]),"0,00%")</calculatedColumnFormula>
    </tableColumn>
    <tableColumn id="39" xr3:uid="{A802FB8F-A503-40BB-B50D-D78E6AE1D454}" name="Performance SubClasse" dataDxfId="39" dataCellStyle="Porcentagem">
      <calculatedColumnFormula array="1">IFERROR(SUMPRODUCT((_xlfn._xlws.FILTER(Dados[Peso Corrigido | SubClasse],Dados[Subclasse]=Dados[[#This Row],[Subclasse]])),_xlfn._xlws.FILTER(Dados[Performance | Mês Atual],Dados[Subclasse]=Dados[[#This Row],[Subclasse]])),"0,00%")</calculatedColumnFormula>
    </tableColumn>
    <tableColumn id="36" xr3:uid="{3BC3AD55-452C-4783-A709-94A0F0664AC0}" name="Peso Corrigido | Classe" dataDxfId="38" dataCellStyle="Porcentagem">
      <calculatedColumnFormula>IFERROR(Dados[[#This Row],[Saldo Corrigido]]/SUMIF(Dados[Classe],Dados[[#This Row],[Classe]],Dados[Saldo Corrigido]),"0,00%")</calculatedColumnFormula>
    </tableColumn>
    <tableColumn id="40" xr3:uid="{8F46A7A8-F2CE-456E-872A-D560261414F9}" name="Performance Classe" dataDxfId="37" dataCellStyle="Porcentagem">
      <calculatedColumnFormula array="1">IFERROR(SUMPRODUCT((_xlfn._xlws.FILTER(Dados[Peso Corrigido | Classe],Dados[Classe]=Dados[[#This Row],[Classe]])),_xlfn._xlws.FILTER(Dados[Performance | Mês Atual],Dados[Classe]=Dados[[#This Row],[Classe]])),"0,00%")</calculatedColumnFormula>
    </tableColumn>
    <tableColumn id="52" xr3:uid="{74886876-6300-477F-8675-F7C71814D42B}" name="ea" dataDxfId="36" dataCellStyle="Porcentagem"/>
    <tableColumn id="62" xr3:uid="{E79799CD-B419-4B16-862A-122B8EDC7B54}" name="Código" dataDxfId="35" dataCellStyle="Porcentagem">
      <calculatedColumnFormula>IF(Dados[[#This Row],[Ticker do Ativo]]="","",Dados[[#This Row],[Ticker do Ativo]])</calculatedColumnFormula>
    </tableColumn>
    <tableColumn id="58" xr3:uid="{475658E6-61C2-4633-ADCD-1C5596D8D15F}" name="TickerExcel" dataDxfId="34" dataCellStyle="Porcentagem"/>
    <tableColumn id="72" xr3:uid="{08378F79-3361-45A4-BF8E-56B3980FB205}" name="Taxa RF / FI" dataDxfId="33" dataCellStyle="Porcentagem">
      <calculatedColumnFormula array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calculatedColumnFormula>
    </tableColumn>
    <tableColumn id="73" xr3:uid="{40FEA2E2-FC5F-4E8A-AB87-3877A8E26FD2}" name="Movimentações Atualizadas" dataDxfId="32" dataCellStyle="Moeda"/>
    <tableColumn id="74" xr3:uid="{960C19CB-C675-4852-A33E-A63A53C6CA7F}" name="Saldo Atualizado" dataDxfId="31" dataCellStyle="Porcentagem">
      <calculatedColumnFormula>IFERROR(Dados[[#This Row],[Saldo Bruto | Mês Atual]]*(1+Dados[[#This Row],[Taxa RF / FI]])+Dados[[#This Row],[Movimentações Atualizadas]],Dados[[#This Row],[Saldo Bruto | Mês Atual]]+Dados[[#This Row],[Movimentações Atualizadas]])</calculatedColumnFormula>
    </tableColumn>
    <tableColumn id="75" xr3:uid="{A5BA407A-D791-4F8F-AE0A-2A546AE637CF}" name="Peso Atualizado" dataDxfId="30" dataCellStyle="Porcentagem">
      <calculatedColumnFormula>IFERROR(Dados[[#This Row],[Saldo Atualizado]]/SUM(Dados[Saldo Atualizado]),"0,00%")</calculatedColumnFormula>
    </tableColumn>
    <tableColumn id="76" xr3:uid="{46AADC43-A320-4875-AD4F-0CA2261ACD55}" name="Performance Atualizado" dataDxfId="29" dataCellStyle="Porcentagem">
      <calculatedColumnFormula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calculatedColumnFormula>
    </tableColumn>
    <tableColumn id="77" xr3:uid="{A0570101-AA52-42D8-A657-DD9F93318659}" name="Saldo Corrigido Atualizado" dataDxfId="28" dataCellStyle="Moeda">
      <calculatedColumnFormula>IF(Dados[[#This Row],[Participação]]="",IF(Dados[[#This Row],[Movimentações Atualizadas]]&gt;0,Dados[[#This Row],[Saldo Atualizado]],Dados[[#This Row],[Saldo Atualizado]]-Dados[[#This Row],[Movimentações Atualizadas]]),0)</calculatedColumnFormula>
    </tableColumn>
    <tableColumn id="78" xr3:uid="{D966308E-8E67-4E2F-AC9E-C6764E418270}" name="Peso Corrigido Atualizado" dataDxfId="27" dataCellStyle="Porcentagem">
      <calculatedColumnFormula>Dados[[#This Row],[Saldo Corrigido Atualizado]]/SUM(Dados[Saldo Corrigido Atualizado])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56AA3-E56F-4B8B-A1AD-32E0E8082295}" name="ClasseSubClasse" displayName="ClasseSubClasse" ref="B3:E25" totalsRowShown="0" headerRowDxfId="26">
  <autoFilter ref="B3:E25" xr:uid="{D1856AA3-E56F-4B8B-A1AD-32E0E8082295}"/>
  <sortState xmlns:xlrd2="http://schemas.microsoft.com/office/spreadsheetml/2017/richdata2" ref="B4:E25">
    <sortCondition ref="C3:C25"/>
  </sortState>
  <tableColumns count="4">
    <tableColumn id="1" xr3:uid="{E46B686B-3430-4125-A333-9A8EC7964E5E}" name="SubClasse"/>
    <tableColumn id="2" xr3:uid="{198B8E06-9330-406E-8D6F-58B26D9743DF}" name="Classe"/>
    <tableColumn id="4" xr3:uid="{01978B9B-0EBB-4F56-A486-B9F70E5F946C}" name="Nomenclatura"/>
    <tableColumn id="3" xr3:uid="{AE6AEC64-FA70-4CFF-9C0E-57CF864AF610}" name="Contagem" dataDxfId="25">
      <calculatedColumnFormula>COUNTIFS(Dados[Subclasse],ClasseSubClasse[[#This Row],[SubClasse]],Dados[Lista?],TRUE)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42F871-58B3-44B7-833B-334A22A1461B}" name="Tabela5" displayName="Tabela5" ref="B31:C35" totalsRowShown="0">
  <autoFilter ref="B31:C35" xr:uid="{4042F871-58B3-44B7-833B-334A22A1461B}"/>
  <tableColumns count="2">
    <tableColumn id="1" xr3:uid="{92954DBB-DD8F-402F-AD9D-C0D6F2CDA6E9}" name="Período"/>
    <tableColumn id="2" xr3:uid="{501F85E7-BA6E-457D-8D43-AE9CF19C12BE}" name="Taxa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3A1C52-7CF7-4173-9C27-CF29384948AE}" name="TabelaHistóricoDados" displayName="TabelaHistóricoDados" ref="N6:AF33" totalsRowShown="0" headerRowDxfId="23" dataDxfId="22">
  <autoFilter ref="N6:AF33" xr:uid="{B33A1C52-7CF7-4173-9C27-CF29384948AE}"/>
  <sortState xmlns:xlrd2="http://schemas.microsoft.com/office/spreadsheetml/2017/richdata2" ref="N7:AF33">
    <sortCondition descending="1" ref="N6:N33"/>
  </sortState>
  <tableColumns count="19">
    <tableColumn id="1" xr3:uid="{68CCE1CA-44CD-4638-8508-977FD8F326A4}" name="Mês" dataDxfId="21"/>
    <tableColumn id="2" xr3:uid="{7569A2E2-3F7C-4E3D-8F28-5ADD6D55BEF7}" name="Cliente?" dataDxfId="20"/>
    <tableColumn id="3" xr3:uid="{28E2388B-8CD9-4DB4-B1BC-227051512578}" name="Dias Úteis" dataDxfId="19"/>
    <tableColumn id="4" xr3:uid="{3EE53F29-42F6-4158-9EEB-C37D284D0599}" name="IPCA Cálculo" dataDxfId="18" dataCellStyle="Porcentagem"/>
    <tableColumn id="5" xr3:uid="{CAB770C8-F748-4FD7-8945-87144B3B77F3}" name="CDI" dataDxfId="17" dataCellStyle="Porcentagem"/>
    <tableColumn id="7" xr3:uid="{9A73FB1E-5FA2-4345-A0B6-00AD8EE32BB0}" name="Ibovespa" dataDxfId="16" dataCellStyle="Porcentagem"/>
    <tableColumn id="6" xr3:uid="{96534E81-5079-405E-A612-6B258D19C80E}" name="IPCA" dataDxfId="15" dataCellStyle="Porcentagem"/>
    <tableColumn id="8" xr3:uid="{E9AAD903-00CA-47E3-9104-8E1F7C5FDBD7}" name="Dólar PTAX" dataDxfId="14"/>
    <tableColumn id="9" xr3:uid="{98E26DC1-8C37-4232-BB89-EADE5B6367E9}" name="Saldo Bruto" dataDxfId="13" dataCellStyle="Moeda"/>
    <tableColumn id="10" xr3:uid="{D8F299C3-3DB9-4CFB-A7F9-A9EFBDD53DED}" name="Movimentação" dataDxfId="12" dataCellStyle="Moeda"/>
    <tableColumn id="19" xr3:uid="{647993B5-E8F6-4ADB-8109-0B0B24306093}" name="Cashback" dataDxfId="11" dataCellStyle="Moeda"/>
    <tableColumn id="11" xr3:uid="{354D0ACD-517F-424B-A0FB-3907A3F9422E}" name="Performance Carteira" dataDxfId="10" dataCellStyle="Porcentagem"/>
    <tableColumn id="12" xr3:uid="{F64E6F7B-C9E5-494C-9545-E5BD424437EA}" name="Bco. 1" dataDxfId="9" dataCellStyle="Porcentagem"/>
    <tableColumn id="13" xr3:uid="{1F0BE057-D1D3-4BFB-BF35-6609BF4AA267}" name="Bco. 2" dataDxfId="8" dataCellStyle="Porcentagem"/>
    <tableColumn id="14" xr3:uid="{A8760836-FA95-43F7-B197-695BC5D66205}" name="Bco. 3" dataDxfId="7" dataCellStyle="Porcentagem"/>
    <tableColumn id="15" xr3:uid="{0FFFCC62-4BD3-4538-AD45-0CAD9DC06C81}" name="Bco. 4" dataDxfId="6" dataCellStyle="Porcentagem"/>
    <tableColumn id="16" xr3:uid="{FE3F8013-F8AA-4987-BE8B-60229208ED83}" name="Bco. 5" dataDxfId="5" dataCellStyle="Porcentagem"/>
    <tableColumn id="17" xr3:uid="{FB16DCE0-7283-4DDE-BA53-E82D96CBDE31}" name="Bco. 6" dataDxfId="4" dataCellStyle="Porcentagem"/>
    <tableColumn id="18" xr3:uid="{2051E36A-5272-4524-93E0-A775065A896D}" name="Ano" dataDxfId="3">
      <calculatedColumnFormula>YEAR(TabelaHistóricoDados[[#This Row],[Mês]])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085D-0700-4D24-A6DC-3BBBF3A42548}">
  <sheetPr codeName="Planilha1"/>
  <dimension ref="B2:X33"/>
  <sheetViews>
    <sheetView showGridLines="0" zoomScaleNormal="100" workbookViewId="0">
      <selection activeCell="B2" sqref="B2:O30"/>
    </sheetView>
  </sheetViews>
  <sheetFormatPr defaultRowHeight="15"/>
  <cols>
    <col min="2" max="2" width="20.42578125" style="2" customWidth="1"/>
    <col min="3" max="3" width="0.7109375" style="7" customWidth="1"/>
    <col min="4" max="4" width="18.7109375" style="2" customWidth="1"/>
    <col min="5" max="5" width="13.7109375" style="2" customWidth="1"/>
    <col min="6" max="6" width="0.7109375" style="7" customWidth="1"/>
    <col min="7" max="7" width="18.7109375" style="2" customWidth="1"/>
    <col min="8" max="8" width="13.7109375" style="2" customWidth="1"/>
    <col min="9" max="9" width="0.7109375" style="7" customWidth="1"/>
    <col min="10" max="14" width="9.140625" style="2"/>
    <col min="15" max="15" width="5.5703125" style="2" customWidth="1"/>
    <col min="20" max="21" width="15.85546875" bestFit="1" customWidth="1"/>
    <col min="22" max="22" width="3" customWidth="1"/>
    <col min="23" max="24" width="7.140625" bestFit="1" customWidth="1"/>
  </cols>
  <sheetData>
    <row r="2" spans="2:24" ht="15.75">
      <c r="B2" s="3" t="s">
        <v>127</v>
      </c>
      <c r="J2" s="133" t="s">
        <v>200</v>
      </c>
    </row>
    <row r="3" spans="2:24">
      <c r="B3" s="240"/>
      <c r="D3" s="241">
        <f>EDATE(G3,-1)</f>
        <v>45444</v>
      </c>
      <c r="E3" s="240" t="s">
        <v>128</v>
      </c>
      <c r="G3" s="241">
        <f>Dados!$A$3</f>
        <v>45474</v>
      </c>
      <c r="H3" s="240" t="s">
        <v>128</v>
      </c>
    </row>
    <row r="4" spans="2:24">
      <c r="B4" s="240"/>
      <c r="D4" s="241"/>
      <c r="E4" s="240"/>
      <c r="G4" s="241"/>
      <c r="H4" s="240"/>
    </row>
    <row r="5" spans="2:24">
      <c r="B5" s="5" t="s">
        <v>129</v>
      </c>
      <c r="C5" s="6"/>
      <c r="D5" s="8">
        <f>SUM(Dados[Saldo Bruto | Mês Anterior])</f>
        <v>5800260.4899999993</v>
      </c>
      <c r="E5" s="9">
        <v>1</v>
      </c>
      <c r="F5" s="6"/>
      <c r="G5" s="8">
        <f>SUM(Dados[Saldo Bruto | Mês Atual])</f>
        <v>4886704.1199999992</v>
      </c>
      <c r="H5" s="9">
        <v>1</v>
      </c>
      <c r="I5" s="6"/>
    </row>
    <row r="6" spans="2:24">
      <c r="B6" s="132" t="str" cm="1">
        <f t="array" ref="B6:B8">_xlfn._xlws.SORT(_xlfn.UNIQUE(Dados[Custódia]),1,1)</f>
        <v>Bradesco</v>
      </c>
      <c r="C6" s="15"/>
      <c r="D6" s="11">
        <f>SUMIF(Dados[Custódia],B6,Dados[Saldo Bruto | Mês Anterior])</f>
        <v>428866.05000000005</v>
      </c>
      <c r="E6" s="149">
        <f t="shared" ref="E6" si="0">IFERROR(D6/$D$5,"ERRO")</f>
        <v>7.3939101655760314E-2</v>
      </c>
      <c r="F6" s="17"/>
      <c r="G6" s="11">
        <f>SUMIF(Dados[Custódia],B6,Dados[Saldo Bruto | Mês Atual])</f>
        <v>63827.74</v>
      </c>
      <c r="H6" s="149">
        <f t="shared" ref="H6" si="1">IFERROR(G6/$G$5,"ERRO")</f>
        <v>1.3061511078350291E-2</v>
      </c>
      <c r="I6" s="6"/>
    </row>
    <row r="7" spans="2:24">
      <c r="B7" s="1" t="str">
        <v>BTG</v>
      </c>
      <c r="C7" s="15"/>
      <c r="D7" s="10">
        <f>SUMIF(Dados[Custódia],B7,Dados[Saldo Bruto | Mês Anterior])</f>
        <v>4771303.080000001</v>
      </c>
      <c r="E7" s="13">
        <f t="shared" ref="E7:E8" si="2">IFERROR(D7/$D$5,"ERRO")</f>
        <v>0.82260151733288822</v>
      </c>
      <c r="F7" s="17"/>
      <c r="G7" s="10">
        <f>SUMIF(Dados[Custódia],B7,Dados[Saldo Bruto | Mês Atual])</f>
        <v>4822876.379999999</v>
      </c>
      <c r="H7" s="13">
        <f t="shared" ref="H7:H8" si="3">IFERROR(G7/$G$5,"ERRO")</f>
        <v>0.9869384889216497</v>
      </c>
      <c r="I7" s="6"/>
    </row>
    <row r="8" spans="2:24">
      <c r="B8" s="132" t="str">
        <v>XP</v>
      </c>
      <c r="C8" s="15"/>
      <c r="D8" s="11">
        <f>SUMIF(Dados[Custódia],B8,Dados[Saldo Bruto | Mês Anterior])</f>
        <v>600091.36</v>
      </c>
      <c r="E8" s="149">
        <f t="shared" si="2"/>
        <v>0.1034593810113518</v>
      </c>
      <c r="F8" s="17"/>
      <c r="G8" s="11">
        <f>SUMIF(Dados[Custódia],B8,Dados[Saldo Bruto | Mês Atual])</f>
        <v>0</v>
      </c>
      <c r="H8" s="149">
        <f t="shared" si="3"/>
        <v>0</v>
      </c>
      <c r="I8" s="6"/>
    </row>
    <row r="9" spans="2:24" ht="4.5" customHeight="1">
      <c r="B9" s="134"/>
      <c r="C9" s="12"/>
      <c r="D9" s="135"/>
      <c r="E9" s="136"/>
      <c r="F9" s="12"/>
      <c r="G9" s="135"/>
      <c r="H9" s="136"/>
      <c r="I9" s="12"/>
    </row>
    <row r="10" spans="2:24">
      <c r="B10" s="4"/>
      <c r="C10" s="12"/>
      <c r="D10" s="125">
        <f>EDATE(G10,-1)</f>
        <v>45444</v>
      </c>
      <c r="E10" s="4" t="s">
        <v>130</v>
      </c>
      <c r="F10" s="12"/>
      <c r="G10" s="125">
        <f>Dados!$A$3</f>
        <v>45474</v>
      </c>
      <c r="H10" s="4" t="s">
        <v>130</v>
      </c>
      <c r="I10" s="12"/>
    </row>
    <row r="11" spans="2:24">
      <c r="B11" s="132" t="s">
        <v>131</v>
      </c>
      <c r="C11" s="6"/>
      <c r="D11" s="137">
        <f>D5</f>
        <v>5800260.4899999993</v>
      </c>
      <c r="E11" s="138">
        <f>_xlfn.XLOOKUP(D3,TabelaHistóricoDados[Mês],TabelaHistóricoDados[Performance Carteira])</f>
        <v>8.7622644755645466E-3</v>
      </c>
      <c r="F11" s="139"/>
      <c r="G11" s="137">
        <f>G5</f>
        <v>4886704.1199999992</v>
      </c>
      <c r="H11" s="138" t="e">
        <f>_xlfn.XLOOKUP(G3,TabelaHistóricoDados[Mês],TabelaHistóricoDados[Performance Carteira])</f>
        <v>#N/A</v>
      </c>
      <c r="I11" s="6"/>
    </row>
    <row r="12" spans="2:24">
      <c r="B12" s="1" t="s">
        <v>132</v>
      </c>
      <c r="C12" s="15"/>
      <c r="D12" s="140">
        <f>IFERROR(D11/D13,"ERRO!")</f>
        <v>1043418.7501124322</v>
      </c>
      <c r="E12" s="16"/>
      <c r="F12" s="17"/>
      <c r="G12" s="140" t="str">
        <f>IFERROR(G11/G13,"ERRO!")</f>
        <v>ERRO!</v>
      </c>
      <c r="H12" s="16"/>
      <c r="I12" s="15"/>
    </row>
    <row r="13" spans="2:24">
      <c r="B13" s="141" t="s">
        <v>133</v>
      </c>
      <c r="C13" s="15"/>
      <c r="D13" s="142">
        <f>_xlfn.XLOOKUP(D3,TabelaHistóricoDados[Mês],TabelaHistóricoDados[Dólar PTAX])</f>
        <v>5.5589000000000004</v>
      </c>
      <c r="E13" s="143"/>
      <c r="F13" s="17"/>
      <c r="G13" s="142" t="e">
        <f>_xlfn.XLOOKUP(G3,TabelaHistóricoDados[Mês],TabelaHistóricoDados[Dólar PTAX])</f>
        <v>#N/A</v>
      </c>
      <c r="H13" s="144"/>
      <c r="I13" s="15"/>
    </row>
    <row r="14" spans="2:24">
      <c r="D14" s="145"/>
      <c r="E14" s="146"/>
      <c r="G14" s="145"/>
      <c r="H14" s="146"/>
    </row>
    <row r="15" spans="2:24">
      <c r="H15" s="146"/>
      <c r="T15" s="126">
        <f>SUM(T18:T22)</f>
        <v>5800260.4900000012</v>
      </c>
      <c r="U15" s="126">
        <f>SUM(U18:U22)</f>
        <v>4886704.1199999992</v>
      </c>
    </row>
    <row r="16" spans="2:24" ht="15.75">
      <c r="D16" s="145"/>
      <c r="E16" s="147" t="s">
        <v>199</v>
      </c>
      <c r="G16" s="145"/>
      <c r="H16" s="146"/>
      <c r="T16" s="239" t="s">
        <v>101</v>
      </c>
      <c r="U16" s="239"/>
      <c r="W16" s="239" t="s">
        <v>74</v>
      </c>
      <c r="X16" s="239"/>
    </row>
    <row r="17" spans="4:24">
      <c r="D17" s="145"/>
      <c r="G17" s="145"/>
      <c r="H17" s="146"/>
      <c r="T17" s="150">
        <f>D3</f>
        <v>45444</v>
      </c>
      <c r="U17" s="150">
        <f>G3</f>
        <v>45474</v>
      </c>
      <c r="W17" s="150">
        <f>D3</f>
        <v>45444</v>
      </c>
      <c r="X17" s="150">
        <f>G3</f>
        <v>45474</v>
      </c>
    </row>
    <row r="18" spans="4:24">
      <c r="D18" s="145"/>
      <c r="E18" s="146"/>
      <c r="G18" s="145"/>
      <c r="H18" s="146"/>
      <c r="S18" t="str" cm="1">
        <f t="array" ref="S18:S20">_xlfn._xlws.SORT(_xlfn.UNIQUE(Dados[Custódia]),1,1)</f>
        <v>Bradesco</v>
      </c>
      <c r="T18" s="29">
        <f>SUMIF(Dados[Custódia],S18,Dados[Saldo Bruto | Mês Anterior])</f>
        <v>428866.05000000005</v>
      </c>
      <c r="U18" s="29">
        <f>SUMIF(Dados[Custódia],S18,Dados[Saldo Bruto | Mês Atual])</f>
        <v>63827.74</v>
      </c>
      <c r="W18" s="31">
        <f>T18/$T$15</f>
        <v>7.3939101655760286E-2</v>
      </c>
      <c r="X18" s="31">
        <f>U18/$U$15</f>
        <v>1.3061511078350291E-2</v>
      </c>
    </row>
    <row r="19" spans="4:24">
      <c r="D19" s="145"/>
      <c r="E19" s="146"/>
      <c r="G19" s="145"/>
      <c r="H19" s="146"/>
      <c r="S19" s="33" t="str">
        <v>BTG</v>
      </c>
      <c r="T19" s="151">
        <f>SUMIF(Dados[Custódia],S19,Dados[Saldo Bruto | Mês Anterior])</f>
        <v>4771303.080000001</v>
      </c>
      <c r="U19" s="151">
        <f>SUMIF(Dados[Custódia],S19,Dados[Saldo Bruto | Mês Atual])</f>
        <v>4822876.379999999</v>
      </c>
      <c r="W19" s="152">
        <f>T19/$T$15</f>
        <v>0.82260151733288789</v>
      </c>
      <c r="X19" s="152">
        <f>U19/$U$15</f>
        <v>0.9869384889216497</v>
      </c>
    </row>
    <row r="20" spans="4:24">
      <c r="D20" s="145"/>
      <c r="E20" s="146"/>
      <c r="G20" s="145"/>
      <c r="H20" s="146"/>
      <c r="S20" t="str">
        <v>XP</v>
      </c>
      <c r="T20" s="29">
        <f>SUMIF(Dados[Custódia],S20,Dados[Saldo Bruto | Mês Anterior])</f>
        <v>600091.36</v>
      </c>
      <c r="U20" s="29">
        <f>SUMIF(Dados[Custódia],S20,Dados[Saldo Bruto | Mês Atual])</f>
        <v>0</v>
      </c>
      <c r="W20" s="31">
        <f>T20/$T$15</f>
        <v>0.10345938101135176</v>
      </c>
      <c r="X20" s="31">
        <f>U20/$U$15</f>
        <v>0</v>
      </c>
    </row>
    <row r="21" spans="4:24">
      <c r="D21" s="145"/>
      <c r="E21" s="146"/>
      <c r="G21" s="145"/>
      <c r="H21" s="146"/>
      <c r="S21" s="33"/>
      <c r="T21" s="151">
        <f>SUMIF(Dados[Custódia],S21,Dados[Saldo Bruto | Mês Anterior])</f>
        <v>0</v>
      </c>
      <c r="U21" s="151">
        <f>SUMIF(Dados[Custódia],S21,Dados[Saldo Bruto | Mês Atual])</f>
        <v>0</v>
      </c>
      <c r="W21" s="152">
        <f>T21/$T$15</f>
        <v>0</v>
      </c>
      <c r="X21" s="152">
        <f>U21/$U$15</f>
        <v>0</v>
      </c>
    </row>
    <row r="22" spans="4:24">
      <c r="D22" s="145"/>
      <c r="E22" s="146"/>
      <c r="G22" s="145"/>
      <c r="H22" s="146"/>
      <c r="T22" s="29">
        <f>SUMIF(Dados[Custódia],S22,Dados[Saldo Bruto | Mês Anterior])</f>
        <v>0</v>
      </c>
      <c r="U22" s="29">
        <f>SUMIF(Dados[Custódia],S22,Dados[Saldo Bruto | Mês Atual])</f>
        <v>0</v>
      </c>
      <c r="W22" s="31">
        <f>T22/$T$15</f>
        <v>0</v>
      </c>
      <c r="X22" s="31">
        <f>U22/$U$15</f>
        <v>0</v>
      </c>
    </row>
    <row r="23" spans="4:24">
      <c r="D23" s="145"/>
      <c r="E23" s="146"/>
      <c r="G23" s="145"/>
      <c r="H23" s="146"/>
    </row>
    <row r="24" spans="4:24">
      <c r="D24" s="145"/>
      <c r="E24" s="146"/>
      <c r="G24" s="145"/>
      <c r="H24" s="146"/>
    </row>
    <row r="25" spans="4:24">
      <c r="D25" s="145"/>
      <c r="E25" s="146"/>
      <c r="G25" s="145"/>
      <c r="H25" s="146"/>
    </row>
    <row r="26" spans="4:24">
      <c r="G26" s="145"/>
    </row>
    <row r="33" spans="4:4">
      <c r="D33" s="148" t="str">
        <f>"            Período United MFO Acumulado"&amp;":  "&amp;TEXT('Resumo | Onshore'!$P$8,"##,##%")</f>
        <v xml:space="preserve">            Período United MFO Acumulado:  51,17%</v>
      </c>
    </row>
  </sheetData>
  <mergeCells count="7">
    <mergeCell ref="W16:X16"/>
    <mergeCell ref="B3:B4"/>
    <mergeCell ref="D3:D4"/>
    <mergeCell ref="E3:E4"/>
    <mergeCell ref="G3:G4"/>
    <mergeCell ref="H3:H4"/>
    <mergeCell ref="T16:U1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02E-2BDA-4D3B-89BB-EEF551ACE3D0}">
  <sheetPr codeName="Planilha2"/>
  <dimension ref="B1:P25"/>
  <sheetViews>
    <sheetView showGridLines="0" topLeftCell="A3" zoomScaleNormal="100" workbookViewId="0">
      <selection activeCell="B5" sqref="B5:P32"/>
    </sheetView>
  </sheetViews>
  <sheetFormatPr defaultRowHeight="15"/>
  <cols>
    <col min="2" max="2" width="33.140625" style="7" customWidth="1"/>
    <col min="3" max="3" width="0.7109375" style="7" customWidth="1"/>
    <col min="4" max="4" width="20.140625" style="7" customWidth="1"/>
    <col min="5" max="5" width="4.7109375" style="7" customWidth="1"/>
    <col min="6" max="6" width="15.7109375" style="7" customWidth="1"/>
    <col min="7" max="7" width="0.7109375" style="7" customWidth="1"/>
    <col min="8" max="8" width="11.7109375" style="7" customWidth="1"/>
    <col min="9" max="9" width="0.7109375" style="7" customWidth="1"/>
    <col min="10" max="10" width="11.7109375" style="7" customWidth="1"/>
    <col min="11" max="11" width="0.7109375" style="7" customWidth="1"/>
    <col min="12" max="12" width="11.7109375" style="7" customWidth="1"/>
    <col min="13" max="13" width="0.7109375" style="7" customWidth="1"/>
    <col min="14" max="14" width="12.140625" style="7" bestFit="1" customWidth="1"/>
    <col min="15" max="15" width="0.7109375" style="7" customWidth="1"/>
    <col min="16" max="16" width="13.140625" style="7" customWidth="1"/>
    <col min="22" max="22" width="5.5703125" bestFit="1" customWidth="1"/>
    <col min="23" max="23" width="26.28515625" bestFit="1" customWidth="1"/>
  </cols>
  <sheetData>
    <row r="1" spans="2:16">
      <c r="B1" s="12" t="s">
        <v>196</v>
      </c>
      <c r="D1" s="12" t="s">
        <v>197</v>
      </c>
      <c r="E1" s="12"/>
      <c r="F1" s="12"/>
      <c r="G1" s="12"/>
      <c r="H1" s="12"/>
      <c r="I1" s="12"/>
      <c r="K1" s="12"/>
    </row>
    <row r="2" spans="2:16">
      <c r="B2" s="218">
        <f>SUM(Dados[Saldo Bruto | Mês Atual])</f>
        <v>4886704.1199999992</v>
      </c>
      <c r="C2" s="12"/>
      <c r="D2" s="218" t="e">
        <f>((SUM(Dados[Saldo Bruto | Mês Anterior])))*(1+_xlfn.XLOOKUP($J$6,TabelaHistóricoDados[Mês],TabelaHistóricoDados[Performance Carteira]))+(SUM(Dados[Movimentaçao | Mês Atual]))</f>
        <v>#N/A</v>
      </c>
      <c r="E2" s="215"/>
      <c r="F2" s="216"/>
      <c r="G2" s="215"/>
      <c r="H2" s="217"/>
      <c r="I2" s="215"/>
      <c r="K2"/>
    </row>
    <row r="5" spans="2:16" ht="15.75" thickBot="1">
      <c r="B5" s="98" t="s">
        <v>123</v>
      </c>
    </row>
    <row r="6" spans="2:16">
      <c r="B6" s="240" t="s">
        <v>105</v>
      </c>
      <c r="D6" s="240"/>
      <c r="F6" s="240" t="s">
        <v>108</v>
      </c>
      <c r="H6" s="241">
        <f>EDATE(J6,-1)</f>
        <v>45444</v>
      </c>
      <c r="J6" s="241">
        <f>'Resumo Carteira | Onshore'!$F$8</f>
        <v>45474</v>
      </c>
      <c r="L6" s="240">
        <f>YEAR(J6)</f>
        <v>2024</v>
      </c>
      <c r="N6" s="240" t="s">
        <v>109</v>
      </c>
      <c r="P6" s="242" t="s">
        <v>110</v>
      </c>
    </row>
    <row r="7" spans="2:16">
      <c r="B7" s="240"/>
      <c r="D7" s="240"/>
      <c r="F7" s="240"/>
      <c r="H7" s="241"/>
      <c r="J7" s="241"/>
      <c r="L7" s="240"/>
      <c r="N7" s="240"/>
      <c r="P7" s="243"/>
    </row>
    <row r="8" spans="2:16">
      <c r="B8" s="5" t="str">
        <f>"Saldo Bruto ("&amp;TEXT(Dados!$B$2,"dd/mm")&amp;")"</f>
        <v>Saldo Bruto (28/06)</v>
      </c>
      <c r="C8" s="15"/>
      <c r="D8" s="8">
        <f>SUM(Dados[Saldo Bruto | Mês Anterior])</f>
        <v>5800260.4899999993</v>
      </c>
      <c r="E8" s="15"/>
      <c r="F8" s="74" t="s">
        <v>107</v>
      </c>
      <c r="G8" s="6"/>
      <c r="H8" s="9">
        <f>_xlfn.XLOOKUP($H$6,TabelaHistóricoDados[Mês],TabelaHistóricoDados[Performance Carteira])</f>
        <v>8.7622644755645466E-3</v>
      </c>
      <c r="I8" s="101"/>
      <c r="J8" s="9" t="e">
        <f>_xlfn.XLOOKUP($J$6,TabelaHistóricoDados[Mês],TabelaHistóricoDados[Performance Carteira])</f>
        <v>#N/A</v>
      </c>
      <c r="K8" s="101"/>
      <c r="L8" s="9" cm="1">
        <f t="array" ref="L8">PRODUCT(1+(_xlfn._xlws.FILTER(TabelaHistóricoDados[Performance Carteira],TabelaHistóricoDados[Ano]=$L$6)))-1</f>
        <v>6.2467199926774075E-2</v>
      </c>
      <c r="M8" s="101"/>
      <c r="N8" s="9" cm="1">
        <f t="array" ref="N8">IFERROR(PRODUCT(1+(INDEX(_xlfn.SORTBY(TabelaHistóricoDados[Performance Carteira],TabelaHistóricoDados[Mês],-1),_xlfn.SEQUENCE('Informações Complementares'!$N$1))))-1,"")</f>
        <v>0.12553281503556946</v>
      </c>
      <c r="O8" s="101"/>
      <c r="P8" s="103" cm="1">
        <f t="array" ref="P8">(PRODUCT(1+(_xlfn._xlws.FILTER(TabelaHistóricoDados[Performance Carteira],TabelaHistóricoDados[Cliente?]="Sim"))))-1</f>
        <v>0.51170197916279769</v>
      </c>
    </row>
    <row r="9" spans="2:16">
      <c r="B9" s="82" t="str">
        <f>"IR Provisionado ("&amp;TEXT(Dados!$B$2,"dd/mm")&amp;")"</f>
        <v>IR Provisionado (28/06)</v>
      </c>
      <c r="C9" s="17"/>
      <c r="D9" s="11">
        <f>SUM(Dados[IR &amp; IOF | Mês Anterior])</f>
        <v>7406.2900000000445</v>
      </c>
      <c r="E9" s="15"/>
      <c r="F9" s="104" t="s">
        <v>106</v>
      </c>
      <c r="G9" s="6"/>
      <c r="H9" s="105">
        <f>IFERROR(IF(IFERROR(H8/H10,"-")&gt;0,H8/H10,"-"),"-")</f>
        <v>1.1091474019701957</v>
      </c>
      <c r="I9" s="101"/>
      <c r="J9" s="105" t="str">
        <f>IFERROR(IF(IFERROR(J8/J10,"-")&gt;0,J8/J10,"-"),"-")</f>
        <v>-</v>
      </c>
      <c r="K9" s="101"/>
      <c r="L9" s="105">
        <f>IFERROR(IF(IFERROR(L8/L10,"-")&gt;0,L8/L10,"-"),"-")</f>
        <v>1.1967067320408973</v>
      </c>
      <c r="M9" s="101"/>
      <c r="N9" s="105">
        <f>IFERROR(IF(IFERROR(N8/N10,"-")&gt;0,N8/N10,"-"),"-")</f>
        <v>1.0746041543190921</v>
      </c>
      <c r="O9" s="101"/>
      <c r="P9" s="106">
        <f>IFERROR(IF(IFERROR(P8/P10,"-")&gt;0,P8/P10,"-"),"-")</f>
        <v>1.1711214497208096</v>
      </c>
    </row>
    <row r="10" spans="2:16">
      <c r="B10" s="64" t="str">
        <f>"Movimentações (até "&amp;TEXT(Dados!$B$2,"dd/mm")&amp;")"</f>
        <v>Movimentações (até 28/06)</v>
      </c>
      <c r="C10" s="17"/>
      <c r="D10" s="10">
        <f>_xlfn.XLOOKUP($H$6,TabelaHistóricoDados[Mês],TabelaHistóricoDados[Movimentação])</f>
        <v>201065.32999999996</v>
      </c>
      <c r="E10" s="15"/>
      <c r="F10" s="107" t="s">
        <v>81</v>
      </c>
      <c r="G10" s="6"/>
      <c r="H10" s="70">
        <f>_xlfn.XLOOKUP($H$6,TabelaHistóricoDados[Mês],TabelaHistóricoDados[CDI])</f>
        <v>7.9000000000000008E-3</v>
      </c>
      <c r="I10" s="101"/>
      <c r="J10" s="70" t="e">
        <f>_xlfn.XLOOKUP($J$6,TabelaHistóricoDados[Mês],TabelaHistóricoDados[CDI])</f>
        <v>#N/A</v>
      </c>
      <c r="K10" s="101"/>
      <c r="L10" s="70" cm="1">
        <f t="array" ref="L10">PRODUCT(1+(_xlfn._xlws.FILTER(TabelaHistóricoDados[CDI],TabelaHistóricoDados[Ano]=$L$6)))-1</f>
        <v>5.2199255050768167E-2</v>
      </c>
      <c r="M10" s="101"/>
      <c r="N10" s="70" cm="1">
        <f t="array" ref="N10">IFERROR(PRODUCT(1+(INDEX(_xlfn.SORTBY(TabelaHistóricoDados[CDI],TabelaHistóricoDados[Mês],-1),_xlfn.SEQUENCE('Informações Complementares'!$N$1))))-1,"")</f>
        <v>0.11681772728220241</v>
      </c>
      <c r="O10" s="101"/>
      <c r="P10" s="108" cm="1">
        <f t="array" ref="P10">(PRODUCT(1+(_xlfn._xlws.FILTER(TabelaHistóricoDados[CDI],TabelaHistóricoDados[Cliente?]="Sim"))))-1</f>
        <v>0.43693331659563173</v>
      </c>
    </row>
    <row r="11" spans="2:16">
      <c r="B11" s="82" t="str">
        <f>"Saldo Líquido ("&amp;TEXT(Dados!$B$2,"dd/mm")&amp;")"</f>
        <v>Saldo Líquido (28/06)</v>
      </c>
      <c r="C11" s="17"/>
      <c r="D11" s="11">
        <f>SUM(Dados[Saldo Líquido | Mês Anterior])</f>
        <v>5792854.2000000002</v>
      </c>
      <c r="E11" s="15"/>
      <c r="F11" s="109" t="s">
        <v>83</v>
      </c>
      <c r="G11" s="6"/>
      <c r="H11" s="13">
        <f>_xlfn.XLOOKUP($H$6,TabelaHistóricoDados[Mês],TabelaHistóricoDados[Ibovespa])</f>
        <v>1.4800000000000001E-2</v>
      </c>
      <c r="I11" s="101"/>
      <c r="J11" s="13" t="e">
        <f>_xlfn.XLOOKUP($J$6,TabelaHistóricoDados[Mês],TabelaHistóricoDados[Ibovespa])</f>
        <v>#N/A</v>
      </c>
      <c r="K11" s="101"/>
      <c r="L11" s="13" cm="1">
        <f t="array" ref="L11">PRODUCT(1+(_xlfn._xlws.FILTER(TabelaHistóricoDados[Ibovespa],TabelaHistóricoDados[Ano]=$L$6)))-1</f>
        <v>-7.6593278946333943E-2</v>
      </c>
      <c r="M11" s="101"/>
      <c r="N11" s="13" cm="1">
        <f t="array" ref="N11">IFERROR(PRODUCT(1+(INDEX(_xlfn.SORTBY(TabelaHistóricoDados[Ibovespa],TabelaHistóricoDados[Mês],-1),_xlfn.SEQUENCE('Informações Complementares'!$N$1))))-1,"")</f>
        <v>4.9197312968882967E-2</v>
      </c>
      <c r="O11" s="101"/>
      <c r="P11" s="102" cm="1">
        <f t="array" ref="P11">(PRODUCT(1+(_xlfn._xlws.FILTER(TabelaHistóricoDados[Ibovespa],TabelaHistóricoDados[Cliente?]="Sim"))))-1</f>
        <v>0.31583388535811707</v>
      </c>
    </row>
    <row r="12" spans="2:16">
      <c r="B12" s="110" t="str">
        <f>"Saldo Bruto ("&amp;TEXT(Dados!$B$3,"dd/mm")&amp;")"</f>
        <v>Saldo Bruto (31/07)</v>
      </c>
      <c r="C12" s="15"/>
      <c r="D12" s="111">
        <f>SUM(Dados[Saldo Bruto | Mês Atual])</f>
        <v>4886704.1199999992</v>
      </c>
      <c r="E12" s="15"/>
      <c r="F12" s="107" t="s">
        <v>82</v>
      </c>
      <c r="G12" s="6"/>
      <c r="H12" s="70">
        <f>_xlfn.XLOOKUP($H$6,TabelaHistóricoDados[Mês],TabelaHistóricoDados[IPCA])</f>
        <v>2.0999999999999999E-3</v>
      </c>
      <c r="I12" s="101"/>
      <c r="J12" s="70" t="e">
        <f>_xlfn.XLOOKUP($J$6,TabelaHistóricoDados[Mês],TabelaHistóricoDados[IPCA])</f>
        <v>#N/A</v>
      </c>
      <c r="K12" s="101"/>
      <c r="L12" s="70" cm="1">
        <f t="array" ref="L12">PRODUCT(1+(_xlfn._xlws.FILTER(TabelaHistóricoDados[IPCA],TabelaHistóricoDados[Ano]=$L$6)))-1</f>
        <v>2.4839196739888658E-2</v>
      </c>
      <c r="M12" s="101"/>
      <c r="N12" s="70" cm="1">
        <f t="array" ref="N12">IFERROR(PRODUCT(1+(INDEX(_xlfn.SORTBY(TabelaHistóricoDados[IPCA],TabelaHistóricoDados[Mês],-1),_xlfn.SEQUENCE('Informações Complementares'!$N$1))))-1,"")</f>
        <v>4.227578239682539E-2</v>
      </c>
      <c r="O12" s="101"/>
      <c r="P12" s="108" cm="1">
        <f t="array" ref="P12">(PRODUCT(1+(_xlfn._xlws.FILTER(TabelaHistóricoDados[IPCA],TabelaHistóricoDados[Cliente?]="Sim"))))-1</f>
        <v>0.31386993827767817</v>
      </c>
    </row>
    <row r="13" spans="2:16">
      <c r="B13" s="64" t="str">
        <f>"IR Provisionado ("&amp;TEXT(Dados!$B$3,"dd/mm")&amp;")"</f>
        <v>IR Provisionado (31/07)</v>
      </c>
      <c r="C13" s="17"/>
      <c r="D13" s="10">
        <f>SUM(Dados[IR &amp; IOF | Mês Atual])</f>
        <v>68271.830000000031</v>
      </c>
      <c r="E13" s="15"/>
      <c r="F13" s="112" t="s">
        <v>111</v>
      </c>
      <c r="G13" s="6"/>
      <c r="H13" s="128"/>
      <c r="I13" s="129"/>
      <c r="J13" s="128"/>
      <c r="K13" s="129"/>
      <c r="L13" s="128"/>
      <c r="M13" s="129"/>
      <c r="N13" s="128"/>
      <c r="O13" s="129"/>
      <c r="P13" s="130"/>
    </row>
    <row r="14" spans="2:16">
      <c r="B14" s="82" t="str">
        <f>"Movimentações (até "&amp;TEXT(Dados!$B$3,"dd/mm")&amp;")"</f>
        <v>Movimentações (até 31/07)</v>
      </c>
      <c r="C14" s="17"/>
      <c r="D14" s="11" t="e">
        <f>_xlfn.XLOOKUP($J$6,TabelaHistóricoDados[Mês],TabelaHistóricoDados[Movimentação])</f>
        <v>#N/A</v>
      </c>
      <c r="E14" s="113"/>
      <c r="F14" s="64" t="str" cm="1">
        <f t="array" ref="F14:F16">_xlfn._xlws.SORT(_xlfn.UNIQUE(Dados[Custódia]))</f>
        <v>Bradesco</v>
      </c>
      <c r="G14" s="15"/>
      <c r="H14" s="13">
        <f>_xlfn.XLOOKUP($H$6,TabelaHistóricoDados[Mês],TabelaHistóricoDados[Bco. 1])</f>
        <v>1.15E-2</v>
      </c>
      <c r="I14" s="131"/>
      <c r="J14" s="13" t="e">
        <f>_xlfn.XLOOKUP($J$6,TabelaHistóricoDados[Mês],TabelaHistóricoDados[Bco. 1])</f>
        <v>#N/A</v>
      </c>
      <c r="K14" s="131"/>
      <c r="L14" s="13" cm="1">
        <f t="array" ref="L14">PRODUCT(1+(_xlfn._xlws.FILTER(TabelaHistóricoDados[Bco. 1],TabelaHistóricoDados[Ano]=$L$6)))-1</f>
        <v>7.6106145658285662E-2</v>
      </c>
      <c r="M14" s="131"/>
      <c r="N14" s="13" cm="1">
        <f t="array" ref="N14">IFERROR(PRODUCT(1+(INDEX(_xlfn.SORTBY(TabelaHistóricoDados[Bco. 1],TabelaHistóricoDados[Mês],-1),_xlfn.SEQUENCE('Informações Complementares'!$N$1))))-1,"")</f>
        <v>0.15823269312196331</v>
      </c>
      <c r="O14" s="131"/>
      <c r="P14" s="102" cm="1">
        <f t="array" ref="P14">(PRODUCT(1+(_xlfn._xlws.FILTER(TabelaHistóricoDados[Bco. 1],TabelaHistóricoDados[Cliente?]="Sim"))))-1</f>
        <v>0.64199815771637114</v>
      </c>
    </row>
    <row r="15" spans="2:16">
      <c r="B15" s="114" t="str">
        <f>"Saldo Líquido ("&amp;TEXT(Dados!$B$3,"dd/mm")&amp;")"</f>
        <v>Saldo Líquido (31/07)</v>
      </c>
      <c r="C15" s="17"/>
      <c r="D15" s="115">
        <f>SUM(Dados[Saldo Líquido | Mês Atual])</f>
        <v>4818432.2899999991</v>
      </c>
      <c r="E15" s="15"/>
      <c r="F15" s="82" t="str">
        <v>BTG</v>
      </c>
      <c r="G15" s="15"/>
      <c r="H15" s="149">
        <f>_xlfn.XLOOKUP($H$6,TabelaHistóricoDados[Mês],TabelaHistóricoDados[Bco. 2])</f>
        <v>8.6E-3</v>
      </c>
      <c r="I15" s="195"/>
      <c r="J15" s="149" t="e">
        <f>_xlfn.XLOOKUP($J$6,TabelaHistóricoDados[Mês],TabelaHistóricoDados[Bco. 2])</f>
        <v>#N/A</v>
      </c>
      <c r="K15" s="195"/>
      <c r="L15" s="149" cm="1">
        <f t="array" ref="L15">PRODUCT(1+(_xlfn._xlws.FILTER(TabelaHistóricoDados[Bco. 2],TabelaHistóricoDados[Ano]=$L$6)))-1</f>
        <v>6.2357500724447013E-2</v>
      </c>
      <c r="M15" s="195"/>
      <c r="N15" s="149" cm="1">
        <f t="array" ref="N15">IFERROR(PRODUCT(1+(INDEX(_xlfn.SORTBY(TabelaHistóricoDados[Bco. 2],TabelaHistóricoDados[Mês],-1),_xlfn.SEQUENCE('Informações Complementares'!$N$1))))-1,"")</f>
        <v>0.13341402808108382</v>
      </c>
      <c r="O15" s="195"/>
      <c r="P15" s="196" cm="1">
        <f t="array" ref="P15">(PRODUCT(1+(_xlfn._xlws.FILTER(TabelaHistóricoDados[Bco. 2],TabelaHistóricoDados[Cliente?]="Sim"))))-1</f>
        <v>0.33575996899562988</v>
      </c>
    </row>
    <row r="16" spans="2:16">
      <c r="B16" s="6"/>
      <c r="C16" s="15"/>
      <c r="D16" s="15"/>
      <c r="E16" s="15"/>
      <c r="F16" s="64" t="str">
        <v>XP</v>
      </c>
      <c r="G16" s="15"/>
      <c r="H16" s="13">
        <f>_xlfn.XLOOKUP($H$6,TabelaHistóricoDados[Mês],TabelaHistóricoDados[Bco. 3])</f>
        <v>8.0999999999999996E-3</v>
      </c>
      <c r="I16" s="131"/>
      <c r="J16" s="13" t="e">
        <f>_xlfn.XLOOKUP($J$6,TabelaHistóricoDados[Mês],TabelaHistóricoDados[Bco. 3])</f>
        <v>#N/A</v>
      </c>
      <c r="K16" s="131"/>
      <c r="L16" s="13" cm="1">
        <f t="array" ref="L16">PRODUCT(1+(_xlfn._xlws.FILTER(TabelaHistóricoDados[Bco. 3],TabelaHistóricoDados[Ano]=$L$6)))-1</f>
        <v>5.3910435178897043E-2</v>
      </c>
      <c r="M16" s="131"/>
      <c r="N16" s="13" cm="1">
        <f t="array" ref="N16">IFERROR(PRODUCT(1+(INDEX(_xlfn.SORTBY(TabelaHistóricoDados[Bco. 3],TabelaHistóricoDados[Mês],-1),_xlfn.SEQUENCE('Informações Complementares'!$N$1))))-1,"")</f>
        <v>7.1996034778238238E-2</v>
      </c>
      <c r="O16" s="131"/>
      <c r="P16" s="102" cm="1">
        <f t="array" ref="P16">(PRODUCT(1+(_xlfn._xlws.FILTER(TabelaHistóricoDados[Bco. 3],TabelaHistóricoDados[Cliente?]="Sim"))))-1</f>
        <v>0.32624517646122997</v>
      </c>
    </row>
    <row r="17" spans="2:16">
      <c r="B17" s="12"/>
      <c r="F17" s="112"/>
      <c r="G17" s="6"/>
      <c r="H17" s="128"/>
      <c r="I17" s="129"/>
      <c r="J17" s="128"/>
      <c r="K17" s="129"/>
      <c r="L17" s="128"/>
      <c r="M17" s="129"/>
      <c r="N17" s="128"/>
      <c r="O17" s="129"/>
      <c r="P17" s="130"/>
    </row>
    <row r="18" spans="2:16" ht="15.75" thickBot="1">
      <c r="F18" s="82" t="s">
        <v>169</v>
      </c>
      <c r="G18" s="15"/>
      <c r="H18" s="226">
        <f>_xlfn.XLOOKUP($H$6,TabelaHistóricoDados[Mês],TabelaHistóricoDados[Cashback])</f>
        <v>137.97000000000003</v>
      </c>
      <c r="I18" s="226"/>
      <c r="J18" s="226" t="e">
        <f>_xlfn.XLOOKUP($J$6,TabelaHistóricoDados[Mês],TabelaHistóricoDados[Cashback])</f>
        <v>#N/A</v>
      </c>
      <c r="K18" s="226"/>
      <c r="L18" s="226" cm="1">
        <f t="array" ref="L18">SUM((_xlfn._xlws.FILTER(TabelaHistóricoDados[Cashback],TabelaHistóricoDados[Ano]=$L$6)))</f>
        <v>7731.2095904825164</v>
      </c>
      <c r="M18" s="226"/>
      <c r="N18" s="226" cm="1">
        <f t="array" ref="N18">IFERROR(SUM((INDEX(_xlfn.SORTBY(TabelaHistóricoDados[Cashback],TabelaHistóricoDados[Mês],-1),_xlfn.SEQUENCE('Informações Complementares'!$N$1)))),"")</f>
        <v>16417.679590482516</v>
      </c>
      <c r="O18" s="226"/>
      <c r="P18" s="227" cm="1">
        <f t="array" ref="P18">(SUM(_xlfn._xlws.FILTER(TabelaHistóricoDados[Cashback],TabelaHistóricoDados[Cliente?]="Sim")))</f>
        <v>20082.939590482518</v>
      </c>
    </row>
    <row r="19" spans="2:16">
      <c r="F19" s="116"/>
      <c r="H19" s="116"/>
      <c r="I19" s="117"/>
      <c r="J19" s="118"/>
      <c r="K19" s="117"/>
      <c r="L19" s="118"/>
      <c r="M19" s="117"/>
      <c r="N19" s="118"/>
      <c r="O19" s="117"/>
      <c r="P19" s="119"/>
    </row>
    <row r="20" spans="2:16" ht="15.75">
      <c r="H20" s="3"/>
    </row>
    <row r="21" spans="2:16" ht="15.75">
      <c r="B21" s="3" t="s">
        <v>201</v>
      </c>
      <c r="F21" s="3" t="s">
        <v>202</v>
      </c>
      <c r="G21" s="3"/>
    </row>
    <row r="25" spans="2:16">
      <c r="D25"/>
    </row>
  </sheetData>
  <mergeCells count="8">
    <mergeCell ref="N6:N7"/>
    <mergeCell ref="P6:P7"/>
    <mergeCell ref="B6:B7"/>
    <mergeCell ref="D6:D7"/>
    <mergeCell ref="F6:F7"/>
    <mergeCell ref="H6:H7"/>
    <mergeCell ref="J6:J7"/>
    <mergeCell ref="L6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198-13BC-4A67-9CCE-2F8B56D8B875}">
  <sheetPr codeName="Planilha3"/>
  <dimension ref="B1:AJ29"/>
  <sheetViews>
    <sheetView showGridLines="0" workbookViewId="0">
      <selection activeCell="B4" sqref="B4:M31"/>
    </sheetView>
  </sheetViews>
  <sheetFormatPr defaultRowHeight="15"/>
  <cols>
    <col min="2" max="2" width="16.7109375" style="2" customWidth="1"/>
    <col min="3" max="3" width="17.7109375" style="2" customWidth="1"/>
    <col min="4" max="4" width="9.28515625" style="2" customWidth="1"/>
    <col min="5" max="5" width="1.85546875" style="2" customWidth="1"/>
    <col min="6" max="6" width="14.7109375" style="2" customWidth="1"/>
    <col min="7" max="7" width="0.7109375" style="2" customWidth="1"/>
    <col min="8" max="8" width="20.7109375" style="2" customWidth="1"/>
    <col min="9" max="9" width="6.7109375" style="2" customWidth="1"/>
    <col min="10" max="10" width="0.7109375" style="2" customWidth="1"/>
    <col min="11" max="11" width="20.7109375" style="2" customWidth="1"/>
    <col min="12" max="12" width="18.7109375" style="2" customWidth="1"/>
    <col min="13" max="13" width="7.42578125" style="2" customWidth="1"/>
    <col min="19" max="19" width="31.85546875" bestFit="1" customWidth="1"/>
    <col min="21" max="21" width="9.140625" style="157"/>
    <col min="23" max="23" width="9.140625" style="157"/>
    <col min="24" max="25" width="15.85546875" bestFit="1" customWidth="1"/>
    <col min="28" max="28" width="30.5703125" bestFit="1" customWidth="1"/>
    <col min="29" max="29" width="19.5703125" bestFit="1" customWidth="1"/>
    <col min="30" max="30" width="22" bestFit="1" customWidth="1"/>
    <col min="31" max="31" width="18.85546875" bestFit="1" customWidth="1"/>
    <col min="32" max="32" width="19.42578125" bestFit="1" customWidth="1"/>
    <col min="33" max="33" width="22.28515625" bestFit="1" customWidth="1"/>
    <col min="34" max="34" width="21" bestFit="1" customWidth="1"/>
    <col min="35" max="35" width="23.42578125" bestFit="1" customWidth="1"/>
    <col min="36" max="36" width="10.7109375" bestFit="1" customWidth="1"/>
  </cols>
  <sheetData>
    <row r="1" spans="2:36" ht="15.75">
      <c r="B1" s="213" t="s">
        <v>164</v>
      </c>
      <c r="C1" s="214">
        <f>SUM(Dados[Saldo Bruto | Mês Atual])*2</f>
        <v>9773408.2399999984</v>
      </c>
    </row>
    <row r="2" spans="2:36" ht="15.75">
      <c r="B2" s="213" t="s">
        <v>164</v>
      </c>
      <c r="C2" s="214">
        <f>SUM(C7:C32)</f>
        <v>9773408.2399999984</v>
      </c>
    </row>
    <row r="4" spans="2:36" ht="15.75">
      <c r="B4" s="3" t="s">
        <v>122</v>
      </c>
      <c r="F4" s="3" t="s">
        <v>121</v>
      </c>
    </row>
    <row r="5" spans="2:36">
      <c r="B5" s="240"/>
      <c r="C5" s="240"/>
      <c r="D5" s="240"/>
      <c r="F5" s="240"/>
      <c r="G5" s="90"/>
      <c r="H5" s="241">
        <f>EDATE(K5,-1)</f>
        <v>45444</v>
      </c>
      <c r="I5" s="4" t="s">
        <v>74</v>
      </c>
      <c r="J5" s="90"/>
      <c r="K5" s="241">
        <f>Dados!$A$3</f>
        <v>45474</v>
      </c>
      <c r="L5" s="240" t="s">
        <v>73</v>
      </c>
      <c r="M5" s="4" t="s">
        <v>74</v>
      </c>
      <c r="Y5" s="126">
        <f>SUM(Dados[Saldo Bruto | Mês Atual])</f>
        <v>4886704.1199999992</v>
      </c>
    </row>
    <row r="6" spans="2:36">
      <c r="B6" s="240"/>
      <c r="C6" s="240"/>
      <c r="D6" s="240"/>
      <c r="F6" s="240"/>
      <c r="G6" s="90"/>
      <c r="H6" s="241"/>
      <c r="I6" s="4" t="s">
        <v>103</v>
      </c>
      <c r="J6" s="90"/>
      <c r="K6" s="241"/>
      <c r="L6" s="240"/>
      <c r="M6" s="4" t="s">
        <v>103</v>
      </c>
      <c r="W6" s="244" t="s">
        <v>125</v>
      </c>
      <c r="X6" s="244"/>
      <c r="Y6" s="244"/>
      <c r="Z6" s="244"/>
      <c r="AB6" s="244" t="s">
        <v>124</v>
      </c>
      <c r="AC6" s="244"/>
      <c r="AD6" s="244"/>
    </row>
    <row r="7" spans="2:36">
      <c r="B7" s="74" t="s">
        <v>51</v>
      </c>
      <c r="C7" s="99"/>
      <c r="D7" s="76">
        <f>IFERROR(SUMIF(Dados[Classe],B7,Dados[Saldo Bruto | Mês Atual])/SUM(Dados[Saldo Bruto | Mês Atual]),"ERRO")</f>
        <v>4.0296075875369351E-4</v>
      </c>
      <c r="F7" s="88" t="str" cm="1">
        <f t="array" ref="F7:F9">_xlfn._xlws.SORT(_xlfn.UNIQUE(Dados[Custódia]))</f>
        <v>Bradesco</v>
      </c>
      <c r="G7" s="91"/>
      <c r="H7" s="89">
        <f>SUMIF(Dados[Custódia],F7,Dados[Saldo Bruto | Mês Anterior])</f>
        <v>428866.05000000005</v>
      </c>
      <c r="I7" s="92">
        <f>H7/$H$10</f>
        <v>7.3939101655760314E-2</v>
      </c>
      <c r="J7" s="93"/>
      <c r="K7" s="68">
        <f>SUMIF(Dados[Custódia],F7,Dados[Saldo Bruto | Mês Atual])</f>
        <v>63827.74</v>
      </c>
      <c r="L7" s="89">
        <f>SUMIF(Dados[Custódia],F7,Dados[Movimentaçao | Mês Atual])</f>
        <v>0</v>
      </c>
      <c r="M7" s="71">
        <f>K7/$K$10</f>
        <v>1.3061511078350291E-2</v>
      </c>
      <c r="S7" s="158" t="s">
        <v>178</v>
      </c>
      <c r="U7" s="158" t="s">
        <v>9</v>
      </c>
      <c r="W7" s="158" t="s">
        <v>9</v>
      </c>
      <c r="X7" s="28" t="s">
        <v>72</v>
      </c>
      <c r="Y7" s="28" t="s">
        <v>74</v>
      </c>
      <c r="Z7" s="28" t="s">
        <v>117</v>
      </c>
      <c r="AC7" s="127" t="s">
        <v>120</v>
      </c>
    </row>
    <row r="8" spans="2:36">
      <c r="B8" s="82" t="str" cm="1">
        <f t="array" ref="B8">_xlfn._xlws.SORT(_xlfn.UNIQUE(_xlfn._xlws.FILTER(Dados[Subclasse],Dados[Classe]=B7)),1,1)</f>
        <v>Conta Corrente</v>
      </c>
      <c r="C8" s="228">
        <f>SUMIF(Dados[Subclasse],B8,Dados[Saldo Bruto | Mês Atual])</f>
        <v>1969.1499999999999</v>
      </c>
      <c r="D8" s="149">
        <f>C8/$C$18</f>
        <v>4.0296075875369351E-4</v>
      </c>
      <c r="F8" s="1" t="str">
        <v>BTG</v>
      </c>
      <c r="G8" s="91"/>
      <c r="H8" s="14">
        <f>SUMIF(Dados[Custódia],F8,Dados[Saldo Bruto | Mês Anterior])</f>
        <v>4771303.080000001</v>
      </c>
      <c r="I8" s="192">
        <f>H8/$H$10</f>
        <v>0.82260151733288822</v>
      </c>
      <c r="J8" s="93"/>
      <c r="K8" s="10">
        <f>SUMIF(Dados[Custódia],F8,Dados[Saldo Bruto | Mês Atual])</f>
        <v>4822876.379999999</v>
      </c>
      <c r="L8" s="193">
        <f>SUMIF(Dados[Custódia],F8,Dados[Movimentaçao | Mês Atual])</f>
        <v>75634.28</v>
      </c>
      <c r="M8" s="194">
        <f>K8/$K$10</f>
        <v>0.9869384889216497</v>
      </c>
      <c r="S8" t="str" cm="1">
        <f t="array" ref="S8:S11">_xlfn.UNIQUE(Dados[Classe])</f>
        <v>Fundos de Investimento</v>
      </c>
      <c r="U8" s="157" cm="1">
        <f t="array" ref="U8:U20">_xlfn._xlws.SORT(_xlfn.UNIQUE(Dados[Liquidez]))</f>
        <v>2024</v>
      </c>
      <c r="W8" s="157" t="s">
        <v>137</v>
      </c>
      <c r="X8" s="160">
        <f>SUMIF(Dados[Liquidez],W8,Dados[Saldo Bruto | Mês Atual])</f>
        <v>760370.36</v>
      </c>
      <c r="Y8" s="161">
        <f>IFERROR(X8/$Y$5,"ERRO")</f>
        <v>0.15559983607110636</v>
      </c>
      <c r="Z8" s="161">
        <f>Y8</f>
        <v>0.15559983607110636</v>
      </c>
      <c r="AC8" t="s">
        <v>41</v>
      </c>
      <c r="AD8" t="s">
        <v>150</v>
      </c>
      <c r="AE8" t="s">
        <v>152</v>
      </c>
      <c r="AF8" t="s">
        <v>156</v>
      </c>
      <c r="AG8" t="s">
        <v>157</v>
      </c>
      <c r="AH8" t="s">
        <v>158</v>
      </c>
      <c r="AI8" t="s">
        <v>149</v>
      </c>
      <c r="AJ8" t="s">
        <v>118</v>
      </c>
    </row>
    <row r="9" spans="2:36">
      <c r="B9" s="74" t="s">
        <v>52</v>
      </c>
      <c r="C9" s="99"/>
      <c r="D9" s="76">
        <f>IFERROR(SUMIF(Dados[Classe],B9,Dados[Saldo Bruto | Mês Atual])/SUM(Dados[Saldo Bruto | Mês Atual]),"ERRO")</f>
        <v>0.76782121811786719</v>
      </c>
      <c r="F9" s="88" t="str">
        <v>XP</v>
      </c>
      <c r="G9" s="91"/>
      <c r="H9" s="89">
        <f>SUMIF(Dados[Custódia],F9,Dados[Saldo Bruto | Mês Anterior])</f>
        <v>600091.36</v>
      </c>
      <c r="I9" s="92">
        <f>H9/$H$10</f>
        <v>0.1034593810113518</v>
      </c>
      <c r="J9" s="93"/>
      <c r="K9" s="68">
        <f>SUMIF(Dados[Custódia],F9,Dados[Saldo Bruto | Mês Atual])</f>
        <v>0</v>
      </c>
      <c r="L9" s="89">
        <f>SUMIF(Dados[Custódia],F9,Dados[Movimentaçao | Mês Atual])</f>
        <v>0</v>
      </c>
      <c r="M9" s="71">
        <f>K9/$K$10</f>
        <v>0</v>
      </c>
      <c r="S9" t="str">
        <v>Bolsa de Valores</v>
      </c>
      <c r="U9" s="157">
        <v>2025</v>
      </c>
      <c r="W9" s="159" t="s">
        <v>236</v>
      </c>
      <c r="X9" s="162">
        <f>SUMIF(Dados[Liquidez],W9,Dados[Saldo Bruto | Mês Atual])</f>
        <v>142304.95999999999</v>
      </c>
      <c r="Y9" s="163">
        <f>IFERROR(X9/$Y$5,"ERRO")</f>
        <v>2.9120846383472059E-2</v>
      </c>
      <c r="Z9" s="163">
        <f>IFERROR(Y9+Z8,"ERRO")</f>
        <v>0.18472068245457843</v>
      </c>
      <c r="AB9" t="s">
        <v>119</v>
      </c>
      <c r="AC9" s="32">
        <v>1.8447447349041388E-7</v>
      </c>
      <c r="AD9" s="32">
        <v>5.0073695914301941E-2</v>
      </c>
      <c r="AE9" s="32">
        <v>0.24992622874425419</v>
      </c>
      <c r="AF9" s="32">
        <v>0.12160442470058788</v>
      </c>
      <c r="AG9" s="32">
        <v>0.2635809068637191</v>
      </c>
      <c r="AH9" s="32">
        <v>0.290497289372602</v>
      </c>
      <c r="AI9" s="32">
        <v>2.4317269930061364E-2</v>
      </c>
      <c r="AJ9" s="32">
        <v>1</v>
      </c>
    </row>
    <row r="10" spans="2:36">
      <c r="B10" s="64" t="str" cm="1">
        <f t="array" ref="B10:B12">_xlfn._xlws.SORT(_xlfn.UNIQUE(_xlfn._xlws.FILTER(Dados[Subclasse],Dados[Classe]=B9)),1,1)</f>
        <v>Inflação</v>
      </c>
      <c r="C10" s="14">
        <f>SUMIF(Dados[Subclasse],B10,Dados[Saldo Bruto | Mês Atual])</f>
        <v>698531.97000000009</v>
      </c>
      <c r="D10" s="13">
        <f>C10/$C$18</f>
        <v>0.14294541941696282</v>
      </c>
      <c r="F10" s="94" t="s">
        <v>104</v>
      </c>
      <c r="G10" s="95"/>
      <c r="H10" s="96">
        <f>SUM(Dados[Saldo Bruto | Mês Anterior])</f>
        <v>5800260.4899999993</v>
      </c>
      <c r="I10" s="85">
        <v>1</v>
      </c>
      <c r="J10" s="97"/>
      <c r="K10" s="96">
        <f>SUM(Dados[Saldo Bruto | Mês Atual])</f>
        <v>4886704.1199999992</v>
      </c>
      <c r="L10" s="96">
        <f>SUM(Dados[Movimentaçao | Mês Atual])</f>
        <v>75634.28</v>
      </c>
      <c r="M10" s="85">
        <v>1</v>
      </c>
      <c r="S10" t="str">
        <v>Corrente, Poupança e Empréstimo</v>
      </c>
      <c r="U10" s="157">
        <v>2026</v>
      </c>
      <c r="W10" s="157" t="s">
        <v>235</v>
      </c>
      <c r="X10" s="160">
        <f>SUMIF(Dados[Liquidez],W10,Dados[Saldo Bruto | Mês Atual])</f>
        <v>178905.23</v>
      </c>
      <c r="Y10" s="161">
        <f t="shared" ref="Y10:Y16" si="0">IFERROR(X10/$Y$5,"ERRO")</f>
        <v>3.6610612307749063E-2</v>
      </c>
      <c r="Z10" s="161">
        <f t="shared" ref="Z10:Z14" si="1">IFERROR(Y10+Z9,"ERRO")</f>
        <v>0.22133129476232749</v>
      </c>
    </row>
    <row r="11" spans="2:36">
      <c r="B11" s="66" t="str">
        <v>Pós-Fixado</v>
      </c>
      <c r="C11" s="100">
        <f>SUMIF(Dados[Subclasse],B11,Dados[Saldo Bruto | Mês Atual])</f>
        <v>1629642.9500000002</v>
      </c>
      <c r="D11" s="70">
        <f>C11/$C$18</f>
        <v>0.3334850872861933</v>
      </c>
      <c r="S11" t="str">
        <v>Renda Fixa</v>
      </c>
      <c r="U11" s="157">
        <v>2028</v>
      </c>
      <c r="W11" s="159" t="s">
        <v>237</v>
      </c>
      <c r="X11" s="162">
        <f>SUMIF(Dados[Liquidez],W11,Dados[Saldo Bruto | Mês Atual])</f>
        <v>116835.13</v>
      </c>
      <c r="Y11" s="163">
        <f t="shared" si="0"/>
        <v>2.3908779236668828E-2</v>
      </c>
      <c r="Z11" s="163">
        <f t="shared" si="1"/>
        <v>0.24524007399899633</v>
      </c>
    </row>
    <row r="12" spans="2:36">
      <c r="B12" s="64" t="str">
        <v>Prefixado</v>
      </c>
      <c r="C12" s="14">
        <f>SUMIF(Dados[Subclasse],B12,Dados[Saldo Bruto | Mês Atual])</f>
        <v>1423940.1900000002</v>
      </c>
      <c r="D12" s="13">
        <f>C12/$C$18</f>
        <v>0.29139071141471123</v>
      </c>
      <c r="F12" s="98" t="s">
        <v>115</v>
      </c>
      <c r="H12" s="90"/>
      <c r="K12" s="98" t="s">
        <v>116</v>
      </c>
      <c r="U12" s="157">
        <v>2029</v>
      </c>
      <c r="W12" s="157">
        <v>2024</v>
      </c>
      <c r="X12" s="160">
        <f>SUMIF(Dados[Liquidez],W12,Dados[Saldo Bruto | Mês Atual])</f>
        <v>0</v>
      </c>
      <c r="Y12" s="161">
        <f t="shared" si="0"/>
        <v>0</v>
      </c>
      <c r="Z12" s="161">
        <f t="shared" si="1"/>
        <v>0.24524007399899633</v>
      </c>
    </row>
    <row r="13" spans="2:36">
      <c r="B13" s="74" t="s">
        <v>194</v>
      </c>
      <c r="C13" s="99"/>
      <c r="D13" s="76">
        <f>IFERROR(SUMIF(Dados[Classe],B13,Dados[Saldo Bruto | Mês Atual])/SUM(Dados[Saldo Bruto | Mês Atual]),"ERRO")</f>
        <v>0.20265497473990715</v>
      </c>
      <c r="U13" s="157">
        <v>2030</v>
      </c>
      <c r="W13" s="159">
        <v>2025</v>
      </c>
      <c r="X13" s="162">
        <f>SUMIF(Dados[Liquidez],W13,Dados[Saldo Bruto | Mês Atual])</f>
        <v>411775.37</v>
      </c>
      <c r="Y13" s="163">
        <f t="shared" si="0"/>
        <v>8.4264436701766199E-2</v>
      </c>
      <c r="Z13" s="163">
        <f t="shared" si="1"/>
        <v>0.32950451070076253</v>
      </c>
    </row>
    <row r="14" spans="2:36">
      <c r="B14" s="66" t="str" cm="1">
        <f t="array" ref="B14:B15">_xlfn._xlws.SORT(_xlfn.UNIQUE(_xlfn._xlws.FILTER(Dados[Subclasse],Dados[Classe]=B13)),1,1)</f>
        <v>Multimercado</v>
      </c>
      <c r="C14" s="100">
        <f>SUMIF(Dados[Subclasse],B14,Dados[Saldo Bruto | Mês Atual])</f>
        <v>295740.36</v>
      </c>
      <c r="D14" s="70">
        <f>C14/$C$18</f>
        <v>6.0519391544417885E-2</v>
      </c>
      <c r="U14" s="157">
        <v>2031</v>
      </c>
      <c r="W14" s="157">
        <v>2026</v>
      </c>
      <c r="X14" s="160">
        <f>SUMIF(Dados[Liquidez],W14,Dados[Saldo Bruto | Mês Atual])</f>
        <v>529537.93999999994</v>
      </c>
      <c r="Y14" s="161">
        <f t="shared" si="0"/>
        <v>0.1083630043883238</v>
      </c>
      <c r="Z14" s="161">
        <f t="shared" si="1"/>
        <v>0.43786751508908633</v>
      </c>
    </row>
    <row r="15" spans="2:36">
      <c r="B15" s="64" t="str">
        <v>Renda Fixa</v>
      </c>
      <c r="C15" s="14">
        <f>SUMIF(Dados[Subclasse],B15,Dados[Saldo Bruto | Mês Atual])</f>
        <v>694574.54</v>
      </c>
      <c r="D15" s="13">
        <f>C15/$C$18</f>
        <v>0.14213558319548927</v>
      </c>
      <c r="U15" s="157">
        <v>2032</v>
      </c>
      <c r="W15" s="159">
        <v>2028</v>
      </c>
      <c r="X15" s="162">
        <f>SUMIF(Dados[Liquidez],W15,Dados[Saldo Bruto | Mês Atual])</f>
        <v>379611.27999999997</v>
      </c>
      <c r="Y15" s="163">
        <f t="shared" si="0"/>
        <v>7.7682476916568474E-2</v>
      </c>
      <c r="Z15" s="163">
        <f t="shared" ref="Z15" si="2">IFERROR(Y15+Z14,"ERRO")</f>
        <v>0.51554999200565477</v>
      </c>
    </row>
    <row r="16" spans="2:36">
      <c r="B16" s="74" t="s">
        <v>47</v>
      </c>
      <c r="C16" s="99"/>
      <c r="D16" s="76">
        <f>IFERROR(SUMIF(Dados[Classe],B16,Dados[Saldo Bruto | Mês Atual])/SUM(Dados[Saldo Bruto | Mês Atual]),"ERRO")</f>
        <v>2.9120846383472059E-2</v>
      </c>
      <c r="U16" s="157">
        <v>2033</v>
      </c>
      <c r="W16" s="157">
        <v>2029</v>
      </c>
      <c r="X16" s="160">
        <f>SUMIF(Dados[Liquidez],W16,Dados[Saldo Bruto | Mês Atual])</f>
        <v>541417.97</v>
      </c>
      <c r="Y16" s="161">
        <f t="shared" si="0"/>
        <v>0.11079409694237843</v>
      </c>
      <c r="Z16" s="161">
        <f>IFERROR(Y16+Z15,"ERRO")</f>
        <v>0.62634408894803317</v>
      </c>
    </row>
    <row r="17" spans="2:26">
      <c r="B17" s="66" t="str" cm="1">
        <f t="array" ref="B17">_xlfn._xlws.SORT(_xlfn.UNIQUE(_xlfn._xlws.FILTER(Dados[Subclasse],Dados[Classe]=B16)),1,1)</f>
        <v>Fundo Imobiliário</v>
      </c>
      <c r="C17" s="100">
        <f>SUMIF(Dados[Subclasse],B17,Dados[Saldo Bruto | Mês Atual])</f>
        <v>142304.95999999999</v>
      </c>
      <c r="D17" s="70">
        <f>C17/$C$18</f>
        <v>2.9120846383472059E-2</v>
      </c>
      <c r="U17" s="157" t="str">
        <v>D+0</v>
      </c>
      <c r="W17" s="159">
        <v>2030</v>
      </c>
      <c r="X17" s="162">
        <f>SUMIF(Dados[Liquidez],W17,Dados[Saldo Bruto | Mês Atual])</f>
        <v>696646.74</v>
      </c>
      <c r="Y17" s="163">
        <f t="shared" ref="Y17:Y23" si="3">IFERROR(X17/$Y$5,"ERRO")</f>
        <v>0.1425596317871605</v>
      </c>
      <c r="Z17" s="163">
        <f t="shared" ref="Z17:Z23" si="4">IFERROR(Y17+Z16,"ERRO")</f>
        <v>0.76890372073519364</v>
      </c>
    </row>
    <row r="18" spans="2:26">
      <c r="B18" s="83" t="s">
        <v>79</v>
      </c>
      <c r="C18" s="84">
        <f>SUM(Dados[Saldo Bruto | Mês Atual])</f>
        <v>4886704.1199999992</v>
      </c>
      <c r="D18" s="85">
        <v>1</v>
      </c>
      <c r="U18" s="157" t="str">
        <v>D+2</v>
      </c>
      <c r="W18" s="157">
        <v>2031</v>
      </c>
      <c r="X18" s="160">
        <f>SUMIF(Dados[Liquidez],W18,Dados[Saldo Bruto | Mês Atual])</f>
        <v>595149.59</v>
      </c>
      <c r="Y18" s="161">
        <f t="shared" si="3"/>
        <v>0.12178956928540213</v>
      </c>
      <c r="Z18" s="161">
        <f t="shared" si="4"/>
        <v>0.89069329002059572</v>
      </c>
    </row>
    <row r="19" spans="2:26">
      <c r="U19" s="157" t="str">
        <v>D+32</v>
      </c>
      <c r="W19" s="159">
        <v>2032</v>
      </c>
      <c r="X19" s="162">
        <f>SUMIF(Dados[Liquidez],W19,Dados[Saldo Bruto | Mês Atual])</f>
        <v>138647.67000000001</v>
      </c>
      <c r="Y19" s="163">
        <f t="shared" si="3"/>
        <v>2.8372429882249559E-2</v>
      </c>
      <c r="Z19" s="163">
        <f t="shared" si="4"/>
        <v>0.91906571990284525</v>
      </c>
    </row>
    <row r="20" spans="2:26">
      <c r="U20" s="157" t="str">
        <v>D+90</v>
      </c>
      <c r="W20" s="157">
        <v>2033</v>
      </c>
      <c r="X20" s="160">
        <f>SUMIF(Dados[Liquidez],W20,Dados[Saldo Bruto | Mês Atual])</f>
        <v>395501.88</v>
      </c>
      <c r="Y20" s="161">
        <f t="shared" si="3"/>
        <v>8.093428009715474E-2</v>
      </c>
      <c r="Z20" s="161">
        <f t="shared" si="4"/>
        <v>1</v>
      </c>
    </row>
    <row r="21" spans="2:26">
      <c r="W21" s="159"/>
      <c r="X21" s="162">
        <f>SUMIF(Dados[Liquidez],W21,Dados[Saldo Bruto | Mês Atual])</f>
        <v>0</v>
      </c>
      <c r="Y21" s="163">
        <f t="shared" si="3"/>
        <v>0</v>
      </c>
      <c r="Z21" s="163">
        <f t="shared" si="4"/>
        <v>1</v>
      </c>
    </row>
    <row r="22" spans="2:26">
      <c r="X22" s="160">
        <f>SUMIF(Dados[Liquidez],W22,Dados[Saldo Bruto | Mês Atual])</f>
        <v>0</v>
      </c>
      <c r="Y22" s="161">
        <f t="shared" si="3"/>
        <v>0</v>
      </c>
      <c r="Z22" s="161">
        <f t="shared" si="4"/>
        <v>1</v>
      </c>
    </row>
    <row r="23" spans="2:26">
      <c r="W23" s="159"/>
      <c r="X23" s="162">
        <f>SUMIF(Dados[Liquidez],W23,Dados[Saldo Bruto | Mês Atual])</f>
        <v>0</v>
      </c>
      <c r="Y23" s="163">
        <f t="shared" si="3"/>
        <v>0</v>
      </c>
      <c r="Z23" s="163">
        <f t="shared" si="4"/>
        <v>1</v>
      </c>
    </row>
    <row r="24" spans="2:26">
      <c r="X24" s="160">
        <f>SUMIF(Dados[Liquidez],W24,Dados[Saldo Bruto | Mês Atual])</f>
        <v>0</v>
      </c>
      <c r="Y24" s="161">
        <f t="shared" ref="Y24:Y29" si="5">IFERROR(X24/$Y$5,"ERRO")</f>
        <v>0</v>
      </c>
      <c r="Z24" s="161">
        <f t="shared" ref="Z24:Z29" si="6">IFERROR(Y24+Z23,"ERRO")</f>
        <v>1</v>
      </c>
    </row>
    <row r="25" spans="2:26">
      <c r="W25" s="159"/>
      <c r="X25" s="162">
        <f>SUMIF(Dados[Liquidez],W25,Dados[Saldo Bruto | Mês Atual])</f>
        <v>0</v>
      </c>
      <c r="Y25" s="163">
        <f t="shared" si="5"/>
        <v>0</v>
      </c>
      <c r="Z25" s="163">
        <f t="shared" si="6"/>
        <v>1</v>
      </c>
    </row>
    <row r="26" spans="2:26">
      <c r="X26" s="160">
        <f>SUMIF(Dados[Liquidez],W26,Dados[Saldo Bruto | Mês Atual])</f>
        <v>0</v>
      </c>
      <c r="Y26" s="161">
        <f t="shared" si="5"/>
        <v>0</v>
      </c>
      <c r="Z26" s="161">
        <f t="shared" si="6"/>
        <v>1</v>
      </c>
    </row>
    <row r="27" spans="2:26">
      <c r="W27" s="159"/>
      <c r="X27" s="162">
        <f>SUMIF(Dados[Liquidez],W27,Dados[Saldo Bruto | Mês Atual])</f>
        <v>0</v>
      </c>
      <c r="Y27" s="163">
        <f t="shared" si="5"/>
        <v>0</v>
      </c>
      <c r="Z27" s="163">
        <f t="shared" si="6"/>
        <v>1</v>
      </c>
    </row>
    <row r="28" spans="2:26">
      <c r="X28" s="160">
        <f>SUMIF(Dados[Liquidez],W28,Dados[Saldo Bruto | Mês Atual])</f>
        <v>0</v>
      </c>
      <c r="Y28" s="161">
        <f t="shared" si="5"/>
        <v>0</v>
      </c>
      <c r="Z28" s="161">
        <f t="shared" si="6"/>
        <v>1</v>
      </c>
    </row>
    <row r="29" spans="2:26">
      <c r="W29" s="159"/>
      <c r="X29" s="162">
        <f>SUMIF(Dados[Liquidez],W29,Dados[Saldo Bruto | Mês Atual])</f>
        <v>0</v>
      </c>
      <c r="Y29" s="163">
        <f t="shared" si="5"/>
        <v>0</v>
      </c>
      <c r="Z29" s="163">
        <f t="shared" si="6"/>
        <v>1</v>
      </c>
    </row>
  </sheetData>
  <mergeCells count="9">
    <mergeCell ref="W6:Z6"/>
    <mergeCell ref="AB6:AD6"/>
    <mergeCell ref="K5:K6"/>
    <mergeCell ref="L5:L6"/>
    <mergeCell ref="B5:B6"/>
    <mergeCell ref="C5:C6"/>
    <mergeCell ref="D5:D6"/>
    <mergeCell ref="F5:F6"/>
    <mergeCell ref="H5:H6"/>
  </mergeCells>
  <conditionalFormatting sqref="Y8:Y29">
    <cfRule type="cellIs" dxfId="2" priority="1" operator="equal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D8:D9 D13:D14 D16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CE8-07DD-454E-85F9-EBCC37FBEF03}">
  <sheetPr codeName="Planilha4"/>
  <dimension ref="B2:W85"/>
  <sheetViews>
    <sheetView showGridLines="0" topLeftCell="A40" zoomScaleNormal="100" workbookViewId="0">
      <selection activeCell="F41" sqref="F41:F42"/>
    </sheetView>
  </sheetViews>
  <sheetFormatPr defaultRowHeight="15"/>
  <cols>
    <col min="1" max="1" width="3" customWidth="1"/>
    <col min="5" max="5" width="1.42578125" customWidth="1"/>
    <col min="6" max="6" width="33.7109375" style="225" bestFit="1" customWidth="1"/>
    <col min="7" max="7" width="0.7109375" style="7" customWidth="1"/>
    <col min="8" max="8" width="6.7109375" style="18" customWidth="1"/>
    <col min="9" max="9" width="0.7109375" style="7" customWidth="1"/>
    <col min="10" max="10" width="8.7109375" style="18" customWidth="1"/>
    <col min="11" max="11" width="0.7109375" style="7" customWidth="1"/>
    <col min="12" max="12" width="20.7109375" style="18" customWidth="1"/>
    <col min="13" max="13" width="8.28515625" style="18" customWidth="1"/>
    <col min="14" max="14" width="0.7109375" style="7" customWidth="1"/>
    <col min="15" max="15" width="20.7109375" style="18" customWidth="1"/>
    <col min="16" max="16" width="17.5703125" style="18" customWidth="1"/>
    <col min="17" max="17" width="8.28515625" style="18" customWidth="1"/>
    <col min="18" max="18" width="0.7109375" style="7" customWidth="1"/>
    <col min="19" max="19" width="10.7109375" style="18" customWidth="1"/>
    <col min="21" max="21" width="33.7109375" bestFit="1" customWidth="1"/>
    <col min="23" max="23" width="15.85546875" bestFit="1" customWidth="1"/>
    <col min="24" max="24" width="12.42578125" bestFit="1" customWidth="1"/>
  </cols>
  <sheetData>
    <row r="2" spans="2:19">
      <c r="F2" s="66"/>
      <c r="G2" s="15"/>
      <c r="H2" s="79" t="e">
        <f>_xlfn.XLOOKUP(F2,Dados[Ativo],Dados[Titular])</f>
        <v>#N/A</v>
      </c>
      <c r="I2" s="6"/>
      <c r="J2" s="67" t="e">
        <f>_xlfn.XLOOKUP(F2,Dados[Ativo],Dados[Custódia])</f>
        <v>#N/A</v>
      </c>
      <c r="K2" s="15"/>
      <c r="L2" s="68" t="e">
        <f>_xlfn.XLOOKUP(F2,Dados[Ativo],Dados[Saldo Bruto | Mês Anterior])</f>
        <v>#N/A</v>
      </c>
      <c r="M2" s="69" t="e">
        <f>L2/SUM(Dados[Saldo Bruto | Mês Anterior])</f>
        <v>#N/A</v>
      </c>
      <c r="N2" s="15"/>
      <c r="O2" s="68" t="e">
        <f>_xlfn.XLOOKUP(F2,Dados[Ativo],Dados[Saldo Bruto | Mês Atual])</f>
        <v>#N/A</v>
      </c>
      <c r="P2" s="68" t="e">
        <f>_xlfn.XLOOKUP(F2,Dados[Ativo],Dados[Movimentaçao | Mês Atual])</f>
        <v>#N/A</v>
      </c>
      <c r="Q2" s="69" t="e">
        <f>O2/SUM(Dados[Saldo Bruto | Mês Atual])</f>
        <v>#N/A</v>
      </c>
      <c r="R2" s="15"/>
      <c r="S2" s="70" t="e">
        <f>_xlfn.XLOOKUP(F2,Dados[Ativo],Dados[Performance | Mês Atual])</f>
        <v>#N/A</v>
      </c>
    </row>
    <row r="3" spans="2:19">
      <c r="F3" s="64"/>
      <c r="G3" s="15"/>
      <c r="H3" s="78" t="e">
        <f>_xlfn.XLOOKUP(F3,Dados[Ativo],Dados[Titular])</f>
        <v>#N/A</v>
      </c>
      <c r="I3" s="15"/>
      <c r="J3" s="16" t="e">
        <f>_xlfn.XLOOKUP(F3,Dados[Ativo],Dados[Custódia])</f>
        <v>#N/A</v>
      </c>
      <c r="K3" s="15"/>
      <c r="L3" s="10" t="e">
        <f>_xlfn.XLOOKUP(F3,Dados[Ativo],Dados[Saldo Bruto | Mês Anterior])</f>
        <v>#N/A</v>
      </c>
      <c r="M3" s="65" t="e">
        <f>L3/SUM(Dados[Saldo Bruto | Mês Anterior])</f>
        <v>#N/A</v>
      </c>
      <c r="N3" s="15"/>
      <c r="O3" s="10" t="e">
        <f>_xlfn.XLOOKUP(F3,Dados[Ativo],Dados[Saldo Bruto | Mês Atual])</f>
        <v>#N/A</v>
      </c>
      <c r="P3" s="10" t="e">
        <f>_xlfn.XLOOKUP(F3,Dados[Ativo],Dados[Movimentaçao | Mês Atual])</f>
        <v>#N/A</v>
      </c>
      <c r="Q3" s="65" t="e">
        <f>O3/SUM(Dados[Saldo Bruto | Mês Atual])</f>
        <v>#N/A</v>
      </c>
      <c r="R3" s="15"/>
      <c r="S3" s="13" t="e">
        <f>_xlfn.XLOOKUP(F3,Dados[Ativo],Dados[Performance | Mês Atual])</f>
        <v>#N/A</v>
      </c>
    </row>
    <row r="4" spans="2:19">
      <c r="F4" s="66"/>
      <c r="G4" s="15"/>
      <c r="H4" s="79" t="e">
        <f>_xlfn.XLOOKUP(F4,Dados[Ativo],Dados[Titular])</f>
        <v>#N/A</v>
      </c>
      <c r="I4" s="6"/>
      <c r="J4" s="67" t="e">
        <f>_xlfn.XLOOKUP(F4,Dados[Ativo],Dados[Custódia])</f>
        <v>#N/A</v>
      </c>
      <c r="K4" s="15"/>
      <c r="L4" s="68" t="e">
        <f>_xlfn.XLOOKUP(F4,Dados[Ativo],Dados[Saldo Bruto | Mês Anterior])</f>
        <v>#N/A</v>
      </c>
      <c r="M4" s="69" t="e">
        <f>L4/SUM(Dados[Saldo Bruto | Mês Anterior])</f>
        <v>#N/A</v>
      </c>
      <c r="N4" s="15"/>
      <c r="O4" s="68" t="e">
        <f>_xlfn.XLOOKUP(F4,Dados[Ativo],Dados[Saldo Bruto | Mês Atual])</f>
        <v>#N/A</v>
      </c>
      <c r="P4" s="68" t="e">
        <f>_xlfn.XLOOKUP(F4,Dados[Ativo],Dados[Movimentaçao | Mês Atual])</f>
        <v>#N/A</v>
      </c>
      <c r="Q4" s="69" t="e">
        <f>O4/SUM(Dados[Saldo Bruto | Mês Atual])</f>
        <v>#N/A</v>
      </c>
      <c r="R4" s="15"/>
      <c r="S4" s="70" t="e">
        <f>_xlfn.XLOOKUP(F4,Dados[Ativo],Dados[Performance | Mês Atual])</f>
        <v>#N/A</v>
      </c>
    </row>
    <row r="5" spans="2:19">
      <c r="F5" s="64"/>
      <c r="G5" s="15"/>
      <c r="H5" s="78" t="e">
        <f>_xlfn.XLOOKUP(F5,Dados[Ativo],Dados[Titular])</f>
        <v>#N/A</v>
      </c>
      <c r="I5" s="15"/>
      <c r="J5" s="16" t="e">
        <f>_xlfn.XLOOKUP(F5,Dados[Ativo],Dados[Custódia])</f>
        <v>#N/A</v>
      </c>
      <c r="K5" s="15"/>
      <c r="L5" s="10" t="e">
        <f>_xlfn.XLOOKUP(F5,Dados[Ativo],Dados[Saldo Bruto | Mês Anterior])</f>
        <v>#N/A</v>
      </c>
      <c r="M5" s="65" t="e">
        <f>L5/SUM(Dados[Saldo Bruto | Mês Anterior])</f>
        <v>#N/A</v>
      </c>
      <c r="N5" s="15"/>
      <c r="O5" s="10" t="e">
        <f>_xlfn.XLOOKUP(F5,Dados[Ativo],Dados[Saldo Bruto | Mês Atual])</f>
        <v>#N/A</v>
      </c>
      <c r="P5" s="10" t="e">
        <f>_xlfn.XLOOKUP(F5,Dados[Ativo],Dados[Movimentaçao | Mês Atual])</f>
        <v>#N/A</v>
      </c>
      <c r="Q5" s="65" t="e">
        <f>O5/SUM(Dados[Saldo Bruto | Mês Atual])</f>
        <v>#N/A</v>
      </c>
      <c r="R5" s="15"/>
      <c r="S5" s="13" t="e">
        <f>_xlfn.XLOOKUP(F5,Dados[Ativo],Dados[Performance | Mês Atual])</f>
        <v>#N/A</v>
      </c>
    </row>
    <row r="6" spans="2:19">
      <c r="F6" s="221"/>
      <c r="G6"/>
      <c r="H6"/>
      <c r="I6"/>
      <c r="J6"/>
      <c r="K6"/>
      <c r="L6"/>
      <c r="M6"/>
      <c r="N6"/>
      <c r="O6"/>
      <c r="P6"/>
      <c r="Q6"/>
      <c r="R6"/>
      <c r="S6"/>
    </row>
    <row r="7" spans="2:19">
      <c r="F7" s="222" t="s">
        <v>40</v>
      </c>
    </row>
    <row r="8" spans="2:19">
      <c r="F8" s="223">
        <f>Dados!$A$3</f>
        <v>45474</v>
      </c>
    </row>
    <row r="10" spans="2:19" ht="15.75" thickBot="1">
      <c r="B10" s="247" t="s">
        <v>139</v>
      </c>
      <c r="C10" s="246" t="s">
        <v>138</v>
      </c>
      <c r="D10" s="245" t="s">
        <v>140</v>
      </c>
      <c r="F10" s="248" t="s">
        <v>100</v>
      </c>
      <c r="H10" s="240" t="s">
        <v>99</v>
      </c>
      <c r="J10" s="240" t="s">
        <v>0</v>
      </c>
      <c r="L10" s="72" t="s">
        <v>101</v>
      </c>
      <c r="M10" s="4" t="s">
        <v>74</v>
      </c>
      <c r="O10" s="72" t="s">
        <v>101</v>
      </c>
      <c r="P10" s="240" t="s">
        <v>73</v>
      </c>
      <c r="Q10" s="4" t="s">
        <v>74</v>
      </c>
      <c r="S10" s="72" t="s">
        <v>102</v>
      </c>
    </row>
    <row r="11" spans="2:19" ht="15.75" thickBot="1">
      <c r="B11" s="247"/>
      <c r="C11" s="246"/>
      <c r="D11" s="245"/>
      <c r="F11" s="248"/>
      <c r="H11" s="240"/>
      <c r="J11" s="240"/>
      <c r="L11" s="73">
        <f>EDATE(O11,-1)</f>
        <v>45444</v>
      </c>
      <c r="M11" s="4" t="s">
        <v>103</v>
      </c>
      <c r="O11" s="73">
        <f>$F$8</f>
        <v>45474</v>
      </c>
      <c r="P11" s="240"/>
      <c r="Q11" s="4" t="s">
        <v>103</v>
      </c>
      <c r="S11" s="73">
        <f>$F$8</f>
        <v>45474</v>
      </c>
    </row>
    <row r="12" spans="2:19" ht="15.75" thickTop="1">
      <c r="F12" s="74" t="s">
        <v>51</v>
      </c>
      <c r="G12" s="58"/>
      <c r="H12" s="75"/>
      <c r="I12" s="58"/>
      <c r="J12" s="75"/>
      <c r="K12" s="58"/>
      <c r="L12" s="8">
        <f>SUMIF(Dados[Classe],F12,Dados[Saldo Bruto | Mês Anterior])</f>
        <v>1.07</v>
      </c>
      <c r="M12" s="76">
        <f>L12/SUM(Dados[Saldo Bruto | Mês Anterior])</f>
        <v>1.844744734904139E-7</v>
      </c>
      <c r="N12" s="58"/>
      <c r="O12" s="8">
        <f>SUMIF(Dados[Classe],F12,Dados[Saldo Bruto | Mês Atual])</f>
        <v>1969.1499999999999</v>
      </c>
      <c r="P12" s="8">
        <f>SUMIF(Dados[Classe],F12,Dados[Movimentaçao | Mês Atual])</f>
        <v>1968.0800000000163</v>
      </c>
      <c r="Q12" s="76">
        <f>O12/SUM(Dados[Saldo Bruto | Mês Atual])</f>
        <v>4.0296075875369351E-4</v>
      </c>
      <c r="R12" s="59"/>
      <c r="S12" s="9">
        <f>_xlfn.XLOOKUP(F12,Dados[Classe],Dados[Performance Classe])</f>
        <v>-8.3221481234451852E-15</v>
      </c>
    </row>
    <row r="13" spans="2:19">
      <c r="B13" s="155">
        <f>IFERROR(_xlfn.XLOOKUP(F13,ClasseSubClasse[SubClasse],ClasseSubClasse[Contagem]),"0")</f>
        <v>2</v>
      </c>
      <c r="C13" s="154">
        <v>1</v>
      </c>
      <c r="D13" s="153">
        <v>1</v>
      </c>
      <c r="F13" s="77" t="s">
        <v>41</v>
      </c>
      <c r="G13" s="15"/>
      <c r="H13" s="60"/>
      <c r="I13" s="15"/>
      <c r="J13" s="60"/>
      <c r="K13" s="15"/>
      <c r="L13" s="61">
        <f>SUMIF(Dados[Subclasse],F13,Dados[Saldo Bruto | Mês Anterior])</f>
        <v>1.07</v>
      </c>
      <c r="M13" s="62">
        <f>L13/SUM(Dados[Saldo Bruto | Mês Anterior])</f>
        <v>1.844744734904139E-7</v>
      </c>
      <c r="N13" s="15"/>
      <c r="O13" s="61">
        <f>SUMIF(Dados[Subclasse],F13,Dados[Saldo Bruto | Mês Atual])</f>
        <v>1969.1499999999999</v>
      </c>
      <c r="P13" s="61">
        <f>SUMIF(Dados[Subclasse],F13,Dados[Movimentaçao | Mês Atual])</f>
        <v>1968.0800000000163</v>
      </c>
      <c r="Q13" s="62">
        <f>O13/SUM(Dados[Saldo Bruto | Mês Atual])</f>
        <v>4.0296075875369351E-4</v>
      </c>
      <c r="R13" s="15"/>
      <c r="S13" s="63">
        <f>_xlfn.XLOOKUP(F13,Dados[Subclasse],Dados[Performance SubClasse])</f>
        <v>-8.3221481234451852E-15</v>
      </c>
    </row>
    <row r="14" spans="2:19">
      <c r="F14" s="82" t="str" cm="1">
        <f t="array" ref="F14:F16">_xlfn.SORTBY(_xlfn._xlws.FILTER(Dados[Ativo],(Dados[Subclasse]=F13)),_xlfn._xlws.FILTER(Dados[Saldo Bruto | Mês Atual],(Dados[Subclasse]=F13)),C13)</f>
        <v>Conta Corrente - XP</v>
      </c>
      <c r="G14" s="15"/>
      <c r="H14" s="230" t="str">
        <f>_xlfn.XLOOKUP(F14,Dados[Ativo],Dados[Titular])</f>
        <v>GCA</v>
      </c>
      <c r="I14" s="15"/>
      <c r="J14" s="139" t="str">
        <f>_xlfn.XLOOKUP(F14,Dados[Ativo],Dados[Custódia])</f>
        <v>XP</v>
      </c>
      <c r="K14" s="15"/>
      <c r="L14" s="11">
        <f>_xlfn.XLOOKUP(F14,Dados[Ativo],Dados[Saldo Bruto | Mês Anterior])</f>
        <v>0</v>
      </c>
      <c r="M14" s="231">
        <f>L14/SUM(Dados[Saldo Bruto | Mês Anterior])</f>
        <v>0</v>
      </c>
      <c r="N14" s="15"/>
      <c r="O14" s="11">
        <f>_xlfn.XLOOKUP(F14,Dados[Ativo],Dados[Saldo Bruto | Mês Atual])</f>
        <v>0</v>
      </c>
      <c r="P14" s="11">
        <f>_xlfn.XLOOKUP(F14,Dados[Ativo],Dados[Movimentaçao | Mês Atual])</f>
        <v>0</v>
      </c>
      <c r="Q14" s="231">
        <f>O14/SUM(Dados[Saldo Bruto | Mês Atual])</f>
        <v>0</v>
      </c>
      <c r="R14" s="15"/>
      <c r="S14" s="149" t="str">
        <f>_xlfn.XLOOKUP(F14,Dados[Ativo],Dados[Performance | Mês Atual])</f>
        <v>0,00%</v>
      </c>
    </row>
    <row r="15" spans="2:19">
      <c r="F15" s="64" t="str">
        <v>Conta Corrente - Bradesco</v>
      </c>
      <c r="G15" s="15"/>
      <c r="H15" s="78" t="str">
        <f>_xlfn.XLOOKUP(F15,Dados[Ativo],Dados[Titular])</f>
        <v>GCA</v>
      </c>
      <c r="I15" s="15"/>
      <c r="J15" s="16" t="str">
        <f>_xlfn.XLOOKUP(F15,Dados[Ativo],Dados[Custódia])</f>
        <v>Bradesco</v>
      </c>
      <c r="K15" s="15"/>
      <c r="L15" s="10">
        <f>_xlfn.XLOOKUP(F15,Dados[Ativo],Dados[Saldo Bruto | Mês Anterior])</f>
        <v>1.07</v>
      </c>
      <c r="M15" s="65">
        <f>L15/SUM(Dados[Saldo Bruto | Mês Anterior])</f>
        <v>1.844744734904139E-7</v>
      </c>
      <c r="N15" s="15"/>
      <c r="O15" s="10">
        <f>_xlfn.XLOOKUP(F15,Dados[Ativo],Dados[Saldo Bruto | Mês Atual])</f>
        <v>1.07</v>
      </c>
      <c r="P15" s="10">
        <f>_xlfn.XLOOKUP(F15,Dados[Ativo],Dados[Movimentaçao | Mês Atual])</f>
        <v>0</v>
      </c>
      <c r="Q15" s="65">
        <f>O15/SUM(Dados[Saldo Bruto | Mês Atual])</f>
        <v>2.1896148686816754E-7</v>
      </c>
      <c r="R15" s="15"/>
      <c r="S15" s="13">
        <f>_xlfn.XLOOKUP(F15,Dados[Ativo],Dados[Performance | Mês Atual])</f>
        <v>0</v>
      </c>
    </row>
    <row r="16" spans="2:19">
      <c r="F16" s="66" t="str">
        <v>Conta Corrente - BTG</v>
      </c>
      <c r="G16" s="15"/>
      <c r="H16" s="79" t="str">
        <f>_xlfn.XLOOKUP(F16,Dados[Ativo],Dados[Titular])</f>
        <v>GCA</v>
      </c>
      <c r="I16" s="6"/>
      <c r="J16" s="67" t="str">
        <f>_xlfn.XLOOKUP(F16,Dados[Ativo],Dados[Custódia])</f>
        <v>BTG</v>
      </c>
      <c r="K16" s="15"/>
      <c r="L16" s="68">
        <f>_xlfn.XLOOKUP(F16,Dados[Ativo],Dados[Saldo Bruto | Mês Anterior])</f>
        <v>0</v>
      </c>
      <c r="M16" s="69">
        <f>L16/SUM(Dados[Saldo Bruto | Mês Anterior])</f>
        <v>0</v>
      </c>
      <c r="N16" s="15"/>
      <c r="O16" s="68">
        <f>_xlfn.XLOOKUP(F16,Dados[Ativo],Dados[Saldo Bruto | Mês Atual])</f>
        <v>1968.08</v>
      </c>
      <c r="P16" s="68">
        <f>_xlfn.XLOOKUP(F16,Dados[Ativo],Dados[Movimentaçao | Mês Atual])</f>
        <v>1968.0800000000163</v>
      </c>
      <c r="Q16" s="69">
        <f>O16/SUM(Dados[Saldo Bruto | Mês Atual])</f>
        <v>4.0274179726682539E-4</v>
      </c>
      <c r="R16" s="15"/>
      <c r="S16" s="70">
        <f>_xlfn.XLOOKUP(F16,Dados[Ativo],Dados[Performance | Mês Atual])</f>
        <v>-8.3266726846886741E-15</v>
      </c>
    </row>
    <row r="17" spans="2:19" ht="4.5" customHeight="1" thickBot="1">
      <c r="F17" s="224"/>
      <c r="G17" s="15"/>
      <c r="H17" s="80"/>
      <c r="I17" s="15"/>
      <c r="J17" s="80"/>
      <c r="K17" s="15"/>
      <c r="L17" s="80"/>
      <c r="M17" s="81"/>
      <c r="N17" s="15"/>
      <c r="O17" s="80"/>
      <c r="P17" s="80"/>
      <c r="Q17" s="81"/>
      <c r="R17" s="15"/>
      <c r="S17" s="80"/>
    </row>
    <row r="18" spans="2:19" ht="15.75" thickTop="1">
      <c r="F18" s="74" t="s">
        <v>52</v>
      </c>
      <c r="G18" s="58"/>
      <c r="H18" s="75"/>
      <c r="I18" s="58"/>
      <c r="J18" s="75"/>
      <c r="K18" s="58"/>
      <c r="L18" s="8">
        <f>SUMIF(Dados[Classe],F18,Dados[Saldo Bruto | Mês Anterior])</f>
        <v>3919135.2100000009</v>
      </c>
      <c r="M18" s="76">
        <f>L18/SUM(Dados[Saldo Bruto | Mês Anterior])</f>
        <v>0.67568262093690923</v>
      </c>
      <c r="N18" s="58"/>
      <c r="O18" s="8">
        <f>SUMIF(Dados[Classe],F18,Dados[Saldo Bruto | Mês Atual])</f>
        <v>3752115.1099999994</v>
      </c>
      <c r="P18" s="8">
        <f>SUMIF(Dados[Classe],F18,Dados[Movimentaçao | Mês Atual])</f>
        <v>236544.44</v>
      </c>
      <c r="Q18" s="76">
        <f>O18/SUM(Dados[Saldo Bruto | Mês Atual])</f>
        <v>0.76782121811786719</v>
      </c>
      <c r="R18" s="59"/>
      <c r="S18" s="9">
        <f>_xlfn.XLOOKUP(F18,Dados[Classe],Dados[Performance Classe])</f>
        <v>5.1523143304668803E-3</v>
      </c>
    </row>
    <row r="19" spans="2:19">
      <c r="B19" s="155">
        <f>IFERROR(_xlfn.XLOOKUP(F19,ClasseSubClasse[SubClasse],ClasseSubClasse[Contagem]),"0")</f>
        <v>13</v>
      </c>
      <c r="C19" s="154">
        <v>1</v>
      </c>
      <c r="D19" s="153">
        <v>12</v>
      </c>
      <c r="F19" s="77" t="s">
        <v>42</v>
      </c>
      <c r="G19" s="15"/>
      <c r="H19" s="60"/>
      <c r="I19" s="15"/>
      <c r="J19" s="60"/>
      <c r="K19" s="15"/>
      <c r="L19" s="61">
        <f>SUMIF(Dados[Subclasse],F19,Dados[Saldo Bruto | Mês Anterior])</f>
        <v>1684959.9500000004</v>
      </c>
      <c r="M19" s="62">
        <f>L19/SUM(Dados[Saldo Bruto | Mês Anterior])</f>
        <v>0.29049728937260205</v>
      </c>
      <c r="N19" s="15"/>
      <c r="O19" s="61">
        <f>SUMIF(Dados[Subclasse],F19,Dados[Saldo Bruto | Mês Atual])</f>
        <v>1423940.1900000002</v>
      </c>
      <c r="P19" s="61">
        <f>SUMIF(Dados[Subclasse],F19,Dados[Movimentaçao | Mês Atual])</f>
        <v>97972.7</v>
      </c>
      <c r="Q19" s="62">
        <f>O19/SUM(Dados[Saldo Bruto | Mês Atual])</f>
        <v>0.29139071141471123</v>
      </c>
      <c r="R19" s="15"/>
      <c r="S19" s="63">
        <f>_xlfn.XLOOKUP(F19,Dados[Subclasse],Dados[Performance SubClasse])</f>
        <v>5.8097413740659616E-3</v>
      </c>
    </row>
    <row r="20" spans="2:19">
      <c r="F20" s="64" t="str" cm="1">
        <f t="array" ref="F20:F31">INDEX(_xlfn.SORTBY(_xlfn._xlws.FILTER(Dados[Ativo],(Dados[Subclasse]=F19)*(Dados[Lista?]=TRUE)),_xlfn._xlws.FILTER(Dados[Saldo Bruto | Mês Atual],(Dados[Subclasse]=F19)*(Dados[Lista?]=TRUE)),C19),_xlfn.SEQUENCE(D19))</f>
        <v>LIG Bradesco 12/25 13,90%aa</v>
      </c>
      <c r="G20" s="15"/>
      <c r="H20" s="78" t="str">
        <f>_xlfn.XLOOKUP(F20,Dados[Ativo],Dados[Titular])</f>
        <v>GCA</v>
      </c>
      <c r="I20" s="15"/>
      <c r="J20" s="16" t="str">
        <f>_xlfn.XLOOKUP(F20,Dados[Ativo],Dados[Custódia])</f>
        <v>Bradesco</v>
      </c>
      <c r="K20" s="15"/>
      <c r="L20" s="10">
        <f>_xlfn.XLOOKUP(F20,Dados[Ativo],Dados[Saldo Bruto | Mês Anterior])</f>
        <v>365620.65</v>
      </c>
      <c r="M20" s="65">
        <f>L20/SUM(Dados[Saldo Bruto | Mês Anterior])</f>
        <v>6.3035212061656923E-2</v>
      </c>
      <c r="N20" s="15"/>
      <c r="O20" s="10">
        <f>_xlfn.XLOOKUP(F20,Dados[Ativo],Dados[Saldo Bruto | Mês Atual])</f>
        <v>0</v>
      </c>
      <c r="P20" s="10">
        <f>_xlfn.XLOOKUP(F20,Dados[Ativo],Dados[Movimentaçao | Mês Atual])</f>
        <v>0</v>
      </c>
      <c r="Q20" s="65">
        <f>O20/SUM(Dados[Saldo Bruto | Mês Atual])</f>
        <v>0</v>
      </c>
      <c r="R20" s="15"/>
      <c r="S20" s="13">
        <f>_xlfn.XLOOKUP(F20,Dados[Ativo],Dados[Performance | Mês Atual])</f>
        <v>-1.2121212121212122</v>
      </c>
    </row>
    <row r="21" spans="2:19">
      <c r="F21" s="66" t="str">
        <v>CRA FS Agrisolutions 07/30 13,20%aa</v>
      </c>
      <c r="G21" s="15"/>
      <c r="H21" s="79" t="str">
        <f>_xlfn.XLOOKUP(F21,Dados[Ativo],Dados[Titular])</f>
        <v>GCA</v>
      </c>
      <c r="I21" s="6"/>
      <c r="J21" s="67" t="str">
        <f>_xlfn.XLOOKUP(F21,Dados[Ativo],Dados[Custódia])</f>
        <v>BTG</v>
      </c>
      <c r="K21" s="15"/>
      <c r="L21" s="68">
        <f>_xlfn.XLOOKUP(F21,Dados[Ativo],Dados[Saldo Bruto | Mês Anterior])</f>
        <v>64284.02</v>
      </c>
      <c r="M21" s="69">
        <f>L21/SUM(Dados[Saldo Bruto | Mês Anterior])</f>
        <v>1.1082953965745081E-2</v>
      </c>
      <c r="N21" s="15"/>
      <c r="O21" s="68">
        <f>_xlfn.XLOOKUP(F21,Dados[Ativo],Dados[Saldo Bruto | Mês Atual])</f>
        <v>64378.97</v>
      </c>
      <c r="P21" s="68">
        <f>_xlfn.XLOOKUP(F21,Dados[Ativo],Dados[Movimentaçao | Mês Atual])</f>
        <v>-632.88</v>
      </c>
      <c r="Q21" s="69">
        <f>O21/SUM(Dados[Saldo Bruto | Mês Atual])</f>
        <v>1.3174313078730049E-2</v>
      </c>
      <c r="R21" s="15"/>
      <c r="S21" s="70">
        <f>_xlfn.XLOOKUP(F21,Dados[Ativo],Dados[Performance | Mês Atual])</f>
        <v>1.332011576493339E-2</v>
      </c>
    </row>
    <row r="22" spans="2:19">
      <c r="F22" s="64" t="str">
        <v>CRI Dasa 01/29 12,30%aa</v>
      </c>
      <c r="G22" s="15"/>
      <c r="H22" s="78" t="str">
        <f>_xlfn.XLOOKUP(F22,Dados[Ativo],Dados[Titular])</f>
        <v>GCA</v>
      </c>
      <c r="I22" s="15"/>
      <c r="J22" s="16" t="str">
        <f>_xlfn.XLOOKUP(F22,Dados[Ativo],Dados[Custódia])</f>
        <v>BTG</v>
      </c>
      <c r="K22" s="15"/>
      <c r="L22" s="10">
        <f>_xlfn.XLOOKUP(F22,Dados[Ativo],Dados[Saldo Bruto | Mês Anterior])</f>
        <v>78605.52</v>
      </c>
      <c r="M22" s="65">
        <f>L22/SUM(Dados[Saldo Bruto | Mês Anterior])</f>
        <v>1.3552067210691776E-2</v>
      </c>
      <c r="N22" s="15"/>
      <c r="O22" s="10">
        <f>_xlfn.XLOOKUP(F22,Dados[Ativo],Dados[Saldo Bruto | Mês Atual])</f>
        <v>75415.44</v>
      </c>
      <c r="P22" s="10">
        <f>_xlfn.XLOOKUP(F22,Dados[Ativo],Dados[Movimentaçao | Mês Atual])</f>
        <v>0</v>
      </c>
      <c r="Q22" s="65">
        <f>O22/SUM(Dados[Saldo Bruto | Mês Atual])</f>
        <v>1.54327821263711E-2</v>
      </c>
      <c r="R22" s="15"/>
      <c r="S22" s="13">
        <f>_xlfn.XLOOKUP(F22,Dados[Ativo],Dados[Performance | Mês Atual])</f>
        <v>-4.7745187540488843E-2</v>
      </c>
    </row>
    <row r="23" spans="2:19">
      <c r="F23" s="66" t="str">
        <v>CRI Dasa 01/31 12,85%aa</v>
      </c>
      <c r="G23" s="15"/>
      <c r="H23" s="79" t="str">
        <f>_xlfn.XLOOKUP(F23,Dados[Ativo],Dados[Titular])</f>
        <v>GCA</v>
      </c>
      <c r="I23" s="6"/>
      <c r="J23" s="67" t="str">
        <f>_xlfn.XLOOKUP(F23,Dados[Ativo],Dados[Custódia])</f>
        <v>BTG</v>
      </c>
      <c r="K23" s="15"/>
      <c r="L23" s="68">
        <f>_xlfn.XLOOKUP(F23,Dados[Ativo],Dados[Saldo Bruto | Mês Anterior])</f>
        <v>78761.119999999995</v>
      </c>
      <c r="M23" s="69">
        <f>L23/SUM(Dados[Saldo Bruto | Mês Anterior])</f>
        <v>1.357889359207038E-2</v>
      </c>
      <c r="N23" s="15"/>
      <c r="O23" s="68">
        <f>_xlfn.XLOOKUP(F23,Dados[Ativo],Dados[Saldo Bruto | Mês Atual])</f>
        <v>75432.990000000005</v>
      </c>
      <c r="P23" s="68">
        <f>_xlfn.XLOOKUP(F23,Dados[Ativo],Dados[Movimentaçao | Mês Atual])</f>
        <v>0</v>
      </c>
      <c r="Q23" s="69">
        <f>O23/SUM(Dados[Saldo Bruto | Mês Atual])</f>
        <v>1.5436373504029545E-2</v>
      </c>
      <c r="R23" s="15"/>
      <c r="S23" s="70">
        <f>_xlfn.XLOOKUP(F23,Dados[Ativo],Dados[Performance | Mês Atual])</f>
        <v>-4.9712942868556494E-2</v>
      </c>
    </row>
    <row r="24" spans="2:19">
      <c r="F24" s="64" t="str">
        <v>CRA Eco Sec. 06/30 15,00%aa</v>
      </c>
      <c r="G24" s="15"/>
      <c r="H24" s="78" t="str">
        <f>_xlfn.XLOOKUP(F24,Dados[Ativo],Dados[Titular])</f>
        <v>GCA</v>
      </c>
      <c r="I24" s="15"/>
      <c r="J24" s="16" t="str">
        <f>_xlfn.XLOOKUP(F24,Dados[Ativo],Dados[Custódia])</f>
        <v>BTG</v>
      </c>
      <c r="K24" s="15"/>
      <c r="L24" s="10">
        <f>_xlfn.XLOOKUP(F24,Dados[Ativo],Dados[Saldo Bruto | Mês Anterior])</f>
        <v>0</v>
      </c>
      <c r="M24" s="65">
        <f>L24/SUM(Dados[Saldo Bruto | Mês Anterior])</f>
        <v>0</v>
      </c>
      <c r="N24" s="15"/>
      <c r="O24" s="10">
        <f>_xlfn.XLOOKUP(F24,Dados[Ativo],Dados[Saldo Bruto | Mês Atual])</f>
        <v>99980.83</v>
      </c>
      <c r="P24" s="10">
        <f>_xlfn.XLOOKUP(F24,Dados[Ativo],Dados[Movimentaçao | Mês Atual])</f>
        <v>99541.18</v>
      </c>
      <c r="Q24" s="65">
        <f>O24/SUM(Dados[Saldo Bruto | Mês Atual])</f>
        <v>2.0459767472068683E-2</v>
      </c>
      <c r="R24" s="15"/>
      <c r="S24" s="13">
        <f>_xlfn.XLOOKUP(F24,Dados[Ativo],Dados[Performance | Mês Atual])</f>
        <v>5.1961941190336496E-3</v>
      </c>
    </row>
    <row r="25" spans="2:19">
      <c r="F25" s="66" t="str">
        <v>CRA FS Agrisolutions 12/28 12,45%aa</v>
      </c>
      <c r="G25" s="15"/>
      <c r="H25" s="79" t="str">
        <f>_xlfn.XLOOKUP(F25,Dados[Ativo],Dados[Titular])</f>
        <v>GCA</v>
      </c>
      <c r="I25" s="6"/>
      <c r="J25" s="67" t="str">
        <f>_xlfn.XLOOKUP(F25,Dados[Ativo],Dados[Custódia])</f>
        <v>BTG</v>
      </c>
      <c r="K25" s="15"/>
      <c r="L25" s="68">
        <f>_xlfn.XLOOKUP(F25,Dados[Ativo],Dados[Saldo Bruto | Mês Anterior])</f>
        <v>100419.94</v>
      </c>
      <c r="M25" s="69">
        <f>L25/SUM(Dados[Saldo Bruto | Mês Anterior])</f>
        <v>1.7313005195737342E-2</v>
      </c>
      <c r="N25" s="15"/>
      <c r="O25" s="68">
        <f>_xlfn.XLOOKUP(F25,Dados[Ativo],Dados[Saldo Bruto | Mês Atual])</f>
        <v>100560.31</v>
      </c>
      <c r="P25" s="68">
        <f>_xlfn.XLOOKUP(F25,Dados[Ativo],Dados[Movimentaçao | Mês Atual])</f>
        <v>-935.6</v>
      </c>
      <c r="Q25" s="69">
        <f>O25/SUM(Dados[Saldo Bruto | Mês Atual])</f>
        <v>2.0578350464975567E-2</v>
      </c>
      <c r="R25" s="15"/>
      <c r="S25" s="70">
        <f>_xlfn.XLOOKUP(F25,Dados[Ativo],Dados[Performance | Mês Atual])</f>
        <v>1.2605534904955536E-2</v>
      </c>
    </row>
    <row r="26" spans="2:19">
      <c r="F26" s="64" t="str">
        <v>CRA São Salvador 04/31 12,33%aa</v>
      </c>
      <c r="G26" s="15"/>
      <c r="H26" s="78" t="str">
        <f>_xlfn.XLOOKUP(F26,Dados[Ativo],Dados[Titular])</f>
        <v>GCA</v>
      </c>
      <c r="I26" s="15"/>
      <c r="J26" s="16" t="str">
        <f>_xlfn.XLOOKUP(F26,Dados[Ativo],Dados[Custódia])</f>
        <v>BTG</v>
      </c>
      <c r="K26" s="15"/>
      <c r="L26" s="10">
        <f>_xlfn.XLOOKUP(F26,Dados[Ativo],Dados[Saldo Bruto | Mês Anterior])</f>
        <v>101160.23</v>
      </c>
      <c r="M26" s="65">
        <f>L26/SUM(Dados[Saldo Bruto | Mês Anterior])</f>
        <v>1.7440635670485208E-2</v>
      </c>
      <c r="N26" s="15"/>
      <c r="O26" s="10">
        <f>_xlfn.XLOOKUP(F26,Dados[Ativo],Dados[Saldo Bruto | Mês Atual])</f>
        <v>102239.54</v>
      </c>
      <c r="P26" s="10">
        <f>_xlfn.XLOOKUP(F26,Dados[Ativo],Dados[Movimentaçao | Mês Atual])</f>
        <v>0</v>
      </c>
      <c r="Q26" s="65">
        <f>O26/SUM(Dados[Saldo Bruto | Mês Atual])</f>
        <v>2.0921982892633167E-2</v>
      </c>
      <c r="R26" s="15"/>
      <c r="S26" s="13">
        <f>_xlfn.XLOOKUP(F26,Dados[Ativo],Dados[Performance | Mês Atual])</f>
        <v>1.2552131115046324E-2</v>
      </c>
    </row>
    <row r="27" spans="2:19">
      <c r="F27" s="66" t="str">
        <v>CRA Engelhart CTP 01/28 13,58%aa</v>
      </c>
      <c r="G27" s="15"/>
      <c r="H27" s="79" t="str">
        <f>_xlfn.XLOOKUP(F27,Dados[Ativo],Dados[Titular])</f>
        <v>GCA</v>
      </c>
      <c r="I27" s="6"/>
      <c r="J27" s="67" t="str">
        <f>_xlfn.XLOOKUP(F27,Dados[Ativo],Dados[Custódia])</f>
        <v>BTG</v>
      </c>
      <c r="K27" s="15"/>
      <c r="L27" s="68">
        <f>_xlfn.XLOOKUP(F27,Dados[Ativo],Dados[Saldo Bruto | Mês Anterior])</f>
        <v>101918.88</v>
      </c>
      <c r="M27" s="69">
        <f>L27/SUM(Dados[Saldo Bruto | Mês Anterior])</f>
        <v>1.7571431520310911E-2</v>
      </c>
      <c r="N27" s="15"/>
      <c r="O27" s="68">
        <f>_xlfn.XLOOKUP(F27,Dados[Ativo],Dados[Saldo Bruto | Mês Atual])</f>
        <v>103110.63</v>
      </c>
      <c r="P27" s="68">
        <f>_xlfn.XLOOKUP(F27,Dados[Ativo],Dados[Movimentaçao | Mês Atual])</f>
        <v>0</v>
      </c>
      <c r="Q27" s="69">
        <f>O27/SUM(Dados[Saldo Bruto | Mês Atual])</f>
        <v>2.1100240053003254E-2</v>
      </c>
      <c r="R27" s="15"/>
      <c r="S27" s="70">
        <f>_xlfn.XLOOKUP(F27,Dados[Ativo],Dados[Performance | Mês Atual])</f>
        <v>1.3756615295707911E-2</v>
      </c>
    </row>
    <row r="28" spans="2:19">
      <c r="F28" s="229" t="str">
        <v>CRA BTG Pactual 09/33 11,96%aa</v>
      </c>
      <c r="G28" s="15"/>
      <c r="H28" s="78" t="str">
        <f>_xlfn.XLOOKUP(F28,Dados[Ativo],Dados[Titular])</f>
        <v>GCA</v>
      </c>
      <c r="I28" s="15"/>
      <c r="J28" s="16" t="str">
        <f>_xlfn.XLOOKUP(F28,Dados[Ativo],Dados[Custódia])</f>
        <v>BTG</v>
      </c>
      <c r="K28" s="15"/>
      <c r="L28" s="10">
        <f>_xlfn.XLOOKUP(F28,Dados[Ativo],Dados[Saldo Bruto | Mês Anterior])</f>
        <v>103281.46</v>
      </c>
      <c r="M28" s="65">
        <f>L28/SUM(Dados[Saldo Bruto | Mês Anterior])</f>
        <v>1.7806348555907705E-2</v>
      </c>
      <c r="N28" s="15"/>
      <c r="O28" s="10">
        <f>_xlfn.XLOOKUP(F28,Dados[Ativo],Dados[Saldo Bruto | Mês Atual])</f>
        <v>104352.24</v>
      </c>
      <c r="P28" s="10">
        <f>_xlfn.XLOOKUP(F28,Dados[Ativo],Dados[Movimentaçao | Mês Atual])</f>
        <v>0</v>
      </c>
      <c r="Q28" s="65">
        <f>O28/SUM(Dados[Saldo Bruto | Mês Atual])</f>
        <v>2.1354319278900812E-2</v>
      </c>
      <c r="R28" s="15"/>
      <c r="S28" s="13">
        <f>_xlfn.XLOOKUP(F28,Dados[Ativo],Dados[Performance | Mês Atual])</f>
        <v>1.2197166620907333E-2</v>
      </c>
    </row>
    <row r="29" spans="2:19">
      <c r="F29" s="66" t="str">
        <v>Deb. Enauta 09/29 13,97%aa</v>
      </c>
      <c r="G29" s="15"/>
      <c r="H29" s="79" t="str">
        <f>_xlfn.XLOOKUP(F29,Dados[Ativo],Dados[Titular])</f>
        <v>GCA</v>
      </c>
      <c r="I29" s="6"/>
      <c r="J29" s="67" t="str">
        <f>_xlfn.XLOOKUP(F29,Dados[Ativo],Dados[Custódia])</f>
        <v>BTG</v>
      </c>
      <c r="K29" s="15"/>
      <c r="L29" s="68">
        <f>_xlfn.XLOOKUP(F29,Dados[Ativo],Dados[Saldo Bruto | Mês Anterior])</f>
        <v>103805.82</v>
      </c>
      <c r="M29" s="69">
        <f>L29/SUM(Dados[Saldo Bruto | Mês Anterior])</f>
        <v>1.7896751392281009E-2</v>
      </c>
      <c r="N29" s="15"/>
      <c r="O29" s="68">
        <f>_xlfn.XLOOKUP(F29,Dados[Ativo],Dados[Saldo Bruto | Mês Atual])</f>
        <v>105051.84</v>
      </c>
      <c r="P29" s="68">
        <f>_xlfn.XLOOKUP(F29,Dados[Ativo],Dados[Movimentaçao | Mês Atual])</f>
        <v>0</v>
      </c>
      <c r="Q29" s="69">
        <f>O29/SUM(Dados[Saldo Bruto | Mês Atual])</f>
        <v>2.149748325666994E-2</v>
      </c>
      <c r="R29" s="15"/>
      <c r="S29" s="70">
        <f>_xlfn.XLOOKUP(F29,Dados[Ativo],Dados[Performance | Mês Atual])</f>
        <v>1.412161555443541E-2</v>
      </c>
    </row>
    <row r="30" spans="2:19">
      <c r="F30" s="64" t="str">
        <v>CRA BTG Commodities 03/28 12,79%aa</v>
      </c>
      <c r="G30" s="15"/>
      <c r="H30" s="78" t="str">
        <f>_xlfn.XLOOKUP(F30,Dados[Ativo],Dados[Titular])</f>
        <v>GCA</v>
      </c>
      <c r="I30" s="15"/>
      <c r="J30" s="16" t="str">
        <f>_xlfn.XLOOKUP(F30,Dados[Ativo],Dados[Custódia])</f>
        <v>BTG</v>
      </c>
      <c r="K30" s="15"/>
      <c r="L30" s="10">
        <f>_xlfn.XLOOKUP(F30,Dados[Ativo],Dados[Saldo Bruto | Mês Anterior])</f>
        <v>174018.35</v>
      </c>
      <c r="M30" s="65">
        <f>L30/SUM(Dados[Saldo Bruto | Mês Anterior])</f>
        <v>3.0001816349458477E-2</v>
      </c>
      <c r="N30" s="15"/>
      <c r="O30" s="10">
        <f>_xlfn.XLOOKUP(F30,Dados[Ativo],Dados[Saldo Bruto | Mês Atual])</f>
        <v>175940.34</v>
      </c>
      <c r="P30" s="10">
        <f>_xlfn.XLOOKUP(F30,Dados[Ativo],Dados[Movimentaçao | Mês Atual])</f>
        <v>0</v>
      </c>
      <c r="Q30" s="65">
        <f>O30/SUM(Dados[Saldo Bruto | Mês Atual])</f>
        <v>3.6003886398589653E-2</v>
      </c>
      <c r="R30" s="15"/>
      <c r="S30" s="13">
        <f>_xlfn.XLOOKUP(F30,Dados[Ativo],Dados[Performance | Mês Atual])</f>
        <v>1.2993829132860638E-2</v>
      </c>
    </row>
    <row r="31" spans="2:19">
      <c r="F31" s="66" t="str">
        <v>CRI Allos 04/31 11,67%aa</v>
      </c>
      <c r="G31" s="15"/>
      <c r="H31" s="79" t="str">
        <f>_xlfn.XLOOKUP(F31,Dados[Ativo],Dados[Titular])</f>
        <v>GCA</v>
      </c>
      <c r="I31" s="6"/>
      <c r="J31" s="67" t="str">
        <f>_xlfn.XLOOKUP(F31,Dados[Ativo],Dados[Custódia])</f>
        <v>BTG</v>
      </c>
      <c r="K31" s="15"/>
      <c r="L31" s="68">
        <f>_xlfn.XLOOKUP(F31,Dados[Ativo],Dados[Saldo Bruto | Mês Anterior])</f>
        <v>204427.88</v>
      </c>
      <c r="M31" s="69">
        <f>L31/SUM(Dados[Saldo Bruto | Mês Anterior])</f>
        <v>3.524460329884254E-2</v>
      </c>
      <c r="N31" s="15"/>
      <c r="O31" s="68">
        <f>_xlfn.XLOOKUP(F31,Dados[Ativo],Dados[Saldo Bruto | Mês Atual])</f>
        <v>206497.49</v>
      </c>
      <c r="P31" s="68">
        <f>_xlfn.XLOOKUP(F31,Dados[Ativo],Dados[Movimentaçao | Mês Atual])</f>
        <v>0</v>
      </c>
      <c r="Q31" s="69">
        <f>O31/SUM(Dados[Saldo Bruto | Mês Atual])</f>
        <v>4.2257006957892106E-2</v>
      </c>
      <c r="R31" s="15"/>
      <c r="S31" s="70">
        <f>_xlfn.XLOOKUP(F31,Dados[Ativo],Dados[Performance | Mês Atual])</f>
        <v>1.1910485468604607E-2</v>
      </c>
    </row>
    <row r="32" spans="2:19" ht="4.5" customHeight="1">
      <c r="F32" s="224"/>
      <c r="G32" s="15"/>
      <c r="H32" s="80"/>
      <c r="I32" s="15"/>
      <c r="J32" s="80"/>
      <c r="K32" s="15"/>
      <c r="L32" s="80"/>
      <c r="M32" s="81"/>
      <c r="N32" s="15"/>
      <c r="O32" s="80"/>
      <c r="P32" s="80"/>
      <c r="Q32" s="81"/>
      <c r="R32" s="15"/>
      <c r="S32" s="80"/>
    </row>
    <row r="33" spans="2:19">
      <c r="B33" s="155">
        <f>IFERROR(_xlfn.XLOOKUP(F33,ClasseSubClasse[SubClasse],ClasseSubClasse[Contagem]),"0")</f>
        <v>11</v>
      </c>
      <c r="C33" s="154">
        <v>1</v>
      </c>
      <c r="D33" s="153">
        <v>5</v>
      </c>
      <c r="F33" s="77" t="s">
        <v>59</v>
      </c>
      <c r="G33" s="15"/>
      <c r="H33" s="60"/>
      <c r="I33" s="15"/>
      <c r="J33" s="60"/>
      <c r="K33" s="15"/>
      <c r="L33" s="61">
        <f>SUMIF(Dados[Subclasse],F33,Dados[Saldo Bruto | Mês Anterior])</f>
        <v>1528837.92</v>
      </c>
      <c r="M33" s="62">
        <f>L33/SUM(Dados[Saldo Bruto | Mês Anterior])</f>
        <v>0.26358090686371916</v>
      </c>
      <c r="N33" s="15"/>
      <c r="O33" s="61">
        <f>SUMIF(Dados[Subclasse],F33,Dados[Saldo Bruto | Mês Atual])</f>
        <v>1629642.9500000002</v>
      </c>
      <c r="P33" s="61">
        <f>SUMIF(Dados[Subclasse],F33,Dados[Movimentaçao | Mês Atual])</f>
        <v>138571.74</v>
      </c>
      <c r="Q33" s="62">
        <f>O33/SUM(Dados[Saldo Bruto | Mês Atual])</f>
        <v>0.3334850872861933</v>
      </c>
      <c r="R33" s="15"/>
      <c r="S33" s="63">
        <f>_xlfn.XLOOKUP(F33,Dados[Subclasse],Dados[Performance SubClasse])</f>
        <v>1.0749056016727062E-2</v>
      </c>
    </row>
    <row r="34" spans="2:19">
      <c r="F34" s="64" t="str" cm="1">
        <f t="array" ref="F34:F38">INDEX(_xlfn.SORTBY(_xlfn._xlws.FILTER(Dados[Ativo],(Dados[Subclasse]=F33)*(Dados[Lista?]=TRUE)),_xlfn._xlws.FILTER(Dados[Saldo Bruto | Mês Atual],(Dados[Subclasse]=F33)*(Dados[Lista?]=TRUE)),C33),_xlfn.SEQUENCE(D33))</f>
        <v>CRI Cyrella 07/24 100% CDI</v>
      </c>
      <c r="G34" s="15"/>
      <c r="H34" s="78" t="str">
        <f>_xlfn.XLOOKUP(F34,Dados[Ativo],Dados[Titular])</f>
        <v>GCA</v>
      </c>
      <c r="I34" s="15"/>
      <c r="J34" s="16" t="str">
        <f>_xlfn.XLOOKUP(F34,Dados[Ativo],Dados[Custódia])</f>
        <v>BTG</v>
      </c>
      <c r="K34" s="15"/>
      <c r="L34" s="10">
        <f>_xlfn.XLOOKUP(F34,Dados[Ativo],Dados[Saldo Bruto | Mês Anterior])</f>
        <v>52339.98</v>
      </c>
      <c r="M34" s="65">
        <f>L34/SUM(Dados[Saldo Bruto | Mês Anterior])</f>
        <v>9.0237292084100872E-3</v>
      </c>
      <c r="N34" s="15"/>
      <c r="O34" s="10">
        <f>_xlfn.XLOOKUP(F34,Dados[Ativo],Dados[Saldo Bruto | Mês Atual])</f>
        <v>0</v>
      </c>
      <c r="P34" s="10">
        <f>_xlfn.XLOOKUP(F34,Dados[Ativo],Dados[Movimentaçao | Mês Atual])</f>
        <v>0</v>
      </c>
      <c r="Q34" s="65">
        <f>O34/SUM(Dados[Saldo Bruto | Mês Atual])</f>
        <v>0</v>
      </c>
      <c r="R34" s="15"/>
      <c r="S34" s="13">
        <f>_xlfn.XLOOKUP(F34,Dados[Ativo],Dados[Performance | Mês Atual])</f>
        <v>-1.2903225806451613</v>
      </c>
    </row>
    <row r="35" spans="2:19">
      <c r="F35" s="66" t="str">
        <v xml:space="preserve">CDB Bradesco Liq. Diária 101,50% CDI </v>
      </c>
      <c r="G35" s="15"/>
      <c r="H35" s="79" t="str">
        <f>_xlfn.XLOOKUP(F35,Dados[Ativo],Dados[Titular])</f>
        <v>GCA</v>
      </c>
      <c r="I35" s="6"/>
      <c r="J35" s="67" t="str">
        <f>_xlfn.XLOOKUP(F35,Dados[Ativo],Dados[Custódia])</f>
        <v>Bradesco</v>
      </c>
      <c r="K35" s="15"/>
      <c r="L35" s="68">
        <f>_xlfn.XLOOKUP(F35,Dados[Ativo],Dados[Saldo Bruto | Mês Anterior])</f>
        <v>63244.33</v>
      </c>
      <c r="M35" s="69">
        <f>L35/SUM(Dados[Saldo Bruto | Mês Anterior])</f>
        <v>1.0903705119629896E-2</v>
      </c>
      <c r="N35" s="15"/>
      <c r="O35" s="68">
        <f>_xlfn.XLOOKUP(F35,Dados[Ativo],Dados[Saldo Bruto | Mês Atual])</f>
        <v>63826.67</v>
      </c>
      <c r="P35" s="68">
        <f>_xlfn.XLOOKUP(F35,Dados[Ativo],Dados[Movimentaçao | Mês Atual])</f>
        <v>0</v>
      </c>
      <c r="Q35" s="69">
        <f>O35/SUM(Dados[Saldo Bruto | Mês Atual])</f>
        <v>1.3061292116863422E-2</v>
      </c>
      <c r="R35" s="15"/>
      <c r="S35" s="70">
        <f>_xlfn.XLOOKUP(F35,Dados[Ativo],Dados[Performance | Mês Atual])</f>
        <v>9.2077819466187538E-3</v>
      </c>
    </row>
    <row r="36" spans="2:19">
      <c r="F36" s="64" t="str">
        <v>CRA Klabin 03/26 98% CDI</v>
      </c>
      <c r="G36" s="15"/>
      <c r="H36" s="78" t="str">
        <f>_xlfn.XLOOKUP(F36,Dados[Ativo],Dados[Titular])</f>
        <v>GCA</v>
      </c>
      <c r="I36" s="15"/>
      <c r="J36" s="16" t="str">
        <f>_xlfn.XLOOKUP(F36,Dados[Ativo],Dados[Custódia])</f>
        <v>BTG</v>
      </c>
      <c r="K36" s="15"/>
      <c r="L36" s="10">
        <f>_xlfn.XLOOKUP(F36,Dados[Ativo],Dados[Saldo Bruto | Mês Anterior])</f>
        <v>69937.84</v>
      </c>
      <c r="M36" s="65">
        <f>L36/SUM(Dados[Saldo Bruto | Mês Anterior])</f>
        <v>1.2057706739305429E-2</v>
      </c>
      <c r="N36" s="15"/>
      <c r="O36" s="10">
        <f>_xlfn.XLOOKUP(F36,Dados[Ativo],Dados[Saldo Bruto | Mês Atual])</f>
        <v>70559.520000000004</v>
      </c>
      <c r="P36" s="10">
        <f>_xlfn.XLOOKUP(F36,Dados[Ativo],Dados[Movimentaçao | Mês Atual])</f>
        <v>0</v>
      </c>
      <c r="Q36" s="65">
        <f>O36/SUM(Dados[Saldo Bruto | Mês Atual])</f>
        <v>1.4439081693368416E-2</v>
      </c>
      <c r="R36" s="15"/>
      <c r="S36" s="13">
        <f>_xlfn.XLOOKUP(F36,Dados[Ativo],Dados[Performance | Mês Atual])</f>
        <v>1.0774589480480315E-2</v>
      </c>
    </row>
    <row r="37" spans="2:19">
      <c r="F37" s="66" t="str">
        <v>CRA São Salvador 04/30 106,50% CDI</v>
      </c>
      <c r="G37" s="15"/>
      <c r="H37" s="79" t="str">
        <f>_xlfn.XLOOKUP(F37,Dados[Ativo],Dados[Titular])</f>
        <v>GCA</v>
      </c>
      <c r="I37" s="6"/>
      <c r="J37" s="67" t="str">
        <f>_xlfn.XLOOKUP(F37,Dados[Ativo],Dados[Custódia])</f>
        <v>BTG</v>
      </c>
      <c r="K37" s="15"/>
      <c r="L37" s="68">
        <f>_xlfn.XLOOKUP(F37,Dados[Ativo],Dados[Saldo Bruto | Mês Anterior])</f>
        <v>75788.12</v>
      </c>
      <c r="M37" s="69">
        <f>L37/SUM(Dados[Saldo Bruto | Mês Anterior])</f>
        <v>1.3066330405447016E-2</v>
      </c>
      <c r="N37" s="15"/>
      <c r="O37" s="68">
        <f>_xlfn.XLOOKUP(F37,Dados[Ativo],Dados[Saldo Bruto | Mês Atual])</f>
        <v>76520.5</v>
      </c>
      <c r="P37" s="68">
        <f>_xlfn.XLOOKUP(F37,Dados[Ativo],Dados[Movimentaçao | Mês Atual])</f>
        <v>0</v>
      </c>
      <c r="Q37" s="69">
        <f>O37/SUM(Dados[Saldo Bruto | Mês Atual])</f>
        <v>1.5658918183080014E-2</v>
      </c>
      <c r="R37" s="15"/>
      <c r="S37" s="70">
        <f>_xlfn.XLOOKUP(F37,Dados[Ativo],Dados[Performance | Mês Atual])</f>
        <v>1.1368846851086608E-2</v>
      </c>
    </row>
    <row r="38" spans="2:19">
      <c r="F38" s="64" t="str">
        <v>LCA Bco. ABC 04/25 96% CDI</v>
      </c>
      <c r="G38" s="15"/>
      <c r="H38" s="78" t="str">
        <f>_xlfn.XLOOKUP(F38,Dados[Ativo],Dados[Titular])</f>
        <v>GCA</v>
      </c>
      <c r="I38" s="15"/>
      <c r="J38" s="16" t="str">
        <f>_xlfn.XLOOKUP(F38,Dados[Ativo],Dados[Custódia])</f>
        <v>BTG</v>
      </c>
      <c r="K38" s="15"/>
      <c r="L38" s="10">
        <f>_xlfn.XLOOKUP(F38,Dados[Ativo],Dados[Saldo Bruto | Mês Anterior])</f>
        <v>101915.64</v>
      </c>
      <c r="M38" s="65">
        <f>L38/SUM(Dados[Saldo Bruto | Mês Anterior])</f>
        <v>1.7570872924708939E-2</v>
      </c>
      <c r="N38" s="15"/>
      <c r="O38" s="10">
        <f>_xlfn.XLOOKUP(F38,Dados[Ativo],Dados[Saldo Bruto | Mês Atual])</f>
        <v>102803.01</v>
      </c>
      <c r="P38" s="10">
        <f>_xlfn.XLOOKUP(F38,Dados[Ativo],Dados[Movimentaçao | Mês Atual])</f>
        <v>0</v>
      </c>
      <c r="Q38" s="65">
        <f>O38/SUM(Dados[Saldo Bruto | Mês Atual])</f>
        <v>2.1037289648713171E-2</v>
      </c>
      <c r="R38" s="15"/>
      <c r="S38" s="13">
        <f>_xlfn.XLOOKUP(F38,Dados[Ativo],Dados[Performance | Mês Atual])</f>
        <v>1.0883633758272948E-2</v>
      </c>
    </row>
    <row r="39" spans="2:19" ht="4.5" customHeight="1">
      <c r="F39" s="224"/>
      <c r="G39" s="15"/>
      <c r="H39" s="80"/>
      <c r="I39" s="15"/>
      <c r="J39" s="80"/>
      <c r="K39" s="15"/>
      <c r="L39" s="80"/>
      <c r="M39" s="81"/>
      <c r="N39" s="15"/>
      <c r="O39" s="80"/>
      <c r="P39" s="80"/>
      <c r="Q39" s="81"/>
      <c r="R39" s="15"/>
      <c r="S39" s="80"/>
    </row>
    <row r="41" spans="2:19" ht="15.75" thickBot="1">
      <c r="B41" s="247" t="s">
        <v>139</v>
      </c>
      <c r="C41" s="246" t="s">
        <v>138</v>
      </c>
      <c r="D41" s="245" t="s">
        <v>140</v>
      </c>
      <c r="F41" s="248" t="s">
        <v>100</v>
      </c>
      <c r="H41" s="240" t="s">
        <v>99</v>
      </c>
      <c r="J41" s="240" t="s">
        <v>0</v>
      </c>
      <c r="L41" s="72" t="s">
        <v>101</v>
      </c>
      <c r="M41" s="4" t="s">
        <v>74</v>
      </c>
      <c r="O41" s="72" t="s">
        <v>101</v>
      </c>
      <c r="P41" s="240" t="s">
        <v>73</v>
      </c>
      <c r="Q41" s="4" t="s">
        <v>74</v>
      </c>
      <c r="S41" s="72" t="s">
        <v>102</v>
      </c>
    </row>
    <row r="42" spans="2:19" ht="15.75" thickBot="1">
      <c r="B42" s="247"/>
      <c r="C42" s="246"/>
      <c r="D42" s="245"/>
      <c r="F42" s="248"/>
      <c r="H42" s="240"/>
      <c r="J42" s="240"/>
      <c r="L42" s="73">
        <f>EDATE(O42,-1)</f>
        <v>45444</v>
      </c>
      <c r="M42" s="4" t="s">
        <v>103</v>
      </c>
      <c r="O42" s="73">
        <f>$F$8</f>
        <v>45474</v>
      </c>
      <c r="P42" s="240"/>
      <c r="Q42" s="4" t="s">
        <v>103</v>
      </c>
      <c r="S42" s="73">
        <f>$F$8</f>
        <v>45474</v>
      </c>
    </row>
    <row r="43" spans="2:19" ht="15.75" thickTop="1">
      <c r="F43" s="74" t="s">
        <v>52</v>
      </c>
      <c r="G43" s="58"/>
      <c r="H43" s="75"/>
      <c r="I43" s="58"/>
      <c r="J43" s="75"/>
      <c r="K43" s="58"/>
      <c r="L43" s="8">
        <f>SUMIF(Dados[Classe],F43,Dados[Saldo Bruto | Mês Anterior])</f>
        <v>3919135.2100000009</v>
      </c>
      <c r="M43" s="76">
        <f>L43/SUM(Dados[Saldo Bruto | Mês Anterior])</f>
        <v>0.67568262093690923</v>
      </c>
      <c r="N43" s="58"/>
      <c r="O43" s="8">
        <f>SUMIF(Dados[Classe],F43,Dados[Saldo Bruto | Mês Atual])</f>
        <v>3752115.1099999994</v>
      </c>
      <c r="P43" s="8">
        <f>SUMIF(Dados[Classe],F43,Dados[Movimentaçao | Mês Atual])</f>
        <v>236544.44</v>
      </c>
      <c r="Q43" s="76">
        <f>O43/SUM(Dados[Saldo Bruto | Mês Atual])</f>
        <v>0.76782121811786719</v>
      </c>
      <c r="R43" s="59"/>
      <c r="S43" s="9">
        <f>_xlfn.XLOOKUP(F43,Dados[Classe],Dados[Performance Classe])</f>
        <v>5.1523143304668803E-3</v>
      </c>
    </row>
    <row r="44" spans="2:19">
      <c r="B44" s="155">
        <f>IFERROR(_xlfn.XLOOKUP(F44,ClasseSubClasse[SubClasse],ClasseSubClasse[Contagem]),"0")</f>
        <v>11</v>
      </c>
      <c r="C44" s="154">
        <v>-1</v>
      </c>
      <c r="D44" s="153">
        <v>5</v>
      </c>
      <c r="F44" s="77" t="s">
        <v>59</v>
      </c>
      <c r="G44" s="15"/>
      <c r="H44" s="60"/>
      <c r="I44" s="15"/>
      <c r="J44" s="60"/>
      <c r="K44" s="15"/>
      <c r="L44" s="61">
        <f>SUMIF(Dados[Subclasse],F44,Dados[Saldo Bruto | Mês Anterior])</f>
        <v>1528837.92</v>
      </c>
      <c r="M44" s="62">
        <f>L44/SUM(Dados[Saldo Bruto | Mês Anterior])</f>
        <v>0.26358090686371916</v>
      </c>
      <c r="N44" s="15"/>
      <c r="O44" s="61">
        <f>SUMIF(Dados[Subclasse],F44,Dados[Saldo Bruto | Mês Atual])</f>
        <v>1629642.9500000002</v>
      </c>
      <c r="P44" s="61">
        <f>SUMIF(Dados[Subclasse],F44,Dados[Movimentaçao | Mês Atual])</f>
        <v>138571.74</v>
      </c>
      <c r="Q44" s="62">
        <f>O44/SUM(Dados[Saldo Bruto | Mês Atual])</f>
        <v>0.3334850872861933</v>
      </c>
      <c r="R44" s="15"/>
      <c r="S44" s="63">
        <f>_xlfn.XLOOKUP(F44,Dados[Subclasse],Dados[Performance SubClasse])</f>
        <v>1.0749056016727062E-2</v>
      </c>
    </row>
    <row r="45" spans="2:19">
      <c r="F45" s="64" t="str" cm="1">
        <f t="array" ref="F45:F49">INDEX(_xlfn.SORTBY(_xlfn._xlws.FILTER(Dados[Ativo],(Dados[Subclasse]=F44)*(Dados[Lista?]=TRUE)),_xlfn._xlws.FILTER(Dados[Saldo Bruto | Mês Atual],(Dados[Subclasse]=F44)*(Dados[Lista?]=TRUE)),C44),_xlfn.SEQUENCE(D44))</f>
        <v>CRA Camil 04/25 101% CDI</v>
      </c>
      <c r="G45" s="15"/>
      <c r="H45" s="78" t="str">
        <f>_xlfn.XLOOKUP(F45,Dados[Ativo],Dados[Titular])</f>
        <v>GCA</v>
      </c>
      <c r="I45" s="15"/>
      <c r="J45" s="16" t="str">
        <f>_xlfn.XLOOKUP(F45,Dados[Ativo],Dados[Custódia])</f>
        <v>BTG</v>
      </c>
      <c r="K45" s="15"/>
      <c r="L45" s="10">
        <f>_xlfn.XLOOKUP(F45,Dados[Ativo],Dados[Saldo Bruto | Mês Anterior])</f>
        <v>306165.99</v>
      </c>
      <c r="M45" s="65">
        <f>L45/SUM(Dados[Saldo Bruto | Mês Anterior])</f>
        <v>5.2784868977496568E-2</v>
      </c>
      <c r="N45" s="15"/>
      <c r="O45" s="10">
        <f>_xlfn.XLOOKUP(F45,Dados[Ativo],Dados[Saldo Bruto | Mês Atual])</f>
        <v>308972.36</v>
      </c>
      <c r="P45" s="10">
        <f>_xlfn.XLOOKUP(F45,Dados[Ativo],Dados[Movimentaçao | Mês Atual])</f>
        <v>0</v>
      </c>
      <c r="Q45" s="65">
        <f>O45/SUM(Dados[Saldo Bruto | Mês Atual])</f>
        <v>6.3227147053053018E-2</v>
      </c>
      <c r="R45" s="15"/>
      <c r="S45" s="13">
        <f>_xlfn.XLOOKUP(F45,Dados[Ativo],Dados[Performance | Mês Atual])</f>
        <v>1.1457714490103743E-2</v>
      </c>
    </row>
    <row r="46" spans="2:19">
      <c r="F46" s="66" t="str">
        <v>CRA São Martinho 04/26 98,50% CDI</v>
      </c>
      <c r="G46" s="15"/>
      <c r="H46" s="79" t="str">
        <f>_xlfn.XLOOKUP(F46,Dados[Ativo],Dados[Titular])</f>
        <v>GCA</v>
      </c>
      <c r="I46" s="6"/>
      <c r="J46" s="67" t="str">
        <f>_xlfn.XLOOKUP(F46,Dados[Ativo],Dados[Custódia])</f>
        <v>BTG</v>
      </c>
      <c r="K46" s="15"/>
      <c r="L46" s="68">
        <f>_xlfn.XLOOKUP(F46,Dados[Ativo],Dados[Saldo Bruto | Mês Anterior])</f>
        <v>306140.14</v>
      </c>
      <c r="M46" s="69">
        <f>L46/SUM(Dados[Saldo Bruto | Mês Anterior])</f>
        <v>5.2780412281104298E-2</v>
      </c>
      <c r="N46" s="15"/>
      <c r="O46" s="68">
        <f>_xlfn.XLOOKUP(F46,Dados[Ativo],Dados[Saldo Bruto | Mês Atual])</f>
        <v>308875.37</v>
      </c>
      <c r="P46" s="68">
        <f>_xlfn.XLOOKUP(F46,Dados[Ativo],Dados[Movimentaçao | Mês Atual])</f>
        <v>0</v>
      </c>
      <c r="Q46" s="69">
        <f>O46/SUM(Dados[Saldo Bruto | Mês Atual])</f>
        <v>6.3207299319771384E-2</v>
      </c>
      <c r="R46" s="15"/>
      <c r="S46" s="70">
        <f>_xlfn.XLOOKUP(F46,Dados[Ativo],Dados[Performance | Mês Atual])</f>
        <v>1.0829779796371326E-2</v>
      </c>
    </row>
    <row r="47" spans="2:19">
      <c r="F47" s="64" t="str">
        <v>CRA BTG Pactual 09/33 109% CDI</v>
      </c>
      <c r="G47" s="15"/>
      <c r="H47" s="78" t="str">
        <f>_xlfn.XLOOKUP(F47,Dados[Ativo],Dados[Titular])</f>
        <v>GCA</v>
      </c>
      <c r="I47" s="15"/>
      <c r="J47" s="16" t="str">
        <f>_xlfn.XLOOKUP(F47,Dados[Ativo],Dados[Custódia])</f>
        <v>BTG</v>
      </c>
      <c r="K47" s="15"/>
      <c r="L47" s="10">
        <f>_xlfn.XLOOKUP(F47,Dados[Ativo],Dados[Saldo Bruto | Mês Anterior])</f>
        <v>206349.19</v>
      </c>
      <c r="M47" s="65">
        <f>L47/SUM(Dados[Saldo Bruto | Mês Anterior])</f>
        <v>3.5575848766750823E-2</v>
      </c>
      <c r="N47" s="15"/>
      <c r="O47" s="10">
        <f>_xlfn.XLOOKUP(F47,Dados[Ativo],Dados[Saldo Bruto | Mês Atual])</f>
        <v>208390.29</v>
      </c>
      <c r="P47" s="10">
        <f>_xlfn.XLOOKUP(F47,Dados[Ativo],Dados[Movimentaçao | Mês Atual])</f>
        <v>0</v>
      </c>
      <c r="Q47" s="65">
        <f>O47/SUM(Dados[Saldo Bruto | Mês Atual])</f>
        <v>4.2644343689054794E-2</v>
      </c>
      <c r="R47" s="15"/>
      <c r="S47" s="13">
        <f>_xlfn.XLOOKUP(F47,Dados[Ativo],Dados[Performance | Mês Atual])</f>
        <v>1.163704164599361E-2</v>
      </c>
    </row>
    <row r="48" spans="2:19">
      <c r="F48" s="66" t="str">
        <v>CRA Raízen 07/29 100% CDI</v>
      </c>
      <c r="G48" s="15"/>
      <c r="H48" s="79" t="str">
        <f>_xlfn.XLOOKUP(F48,Dados[Ativo],Dados[Titular])</f>
        <v>GCA</v>
      </c>
      <c r="I48" s="6"/>
      <c r="J48" s="67" t="str">
        <f>_xlfn.XLOOKUP(F48,Dados[Ativo],Dados[Custódia])</f>
        <v>BTG</v>
      </c>
      <c r="K48" s="15"/>
      <c r="L48" s="68">
        <f>_xlfn.XLOOKUP(F48,Dados[Ativo],Dados[Saldo Bruto | Mês Anterior])</f>
        <v>209543.01</v>
      </c>
      <c r="M48" s="69">
        <f>L48/SUM(Dados[Saldo Bruto | Mês Anterior])</f>
        <v>3.612648265733321E-2</v>
      </c>
      <c r="N48" s="15"/>
      <c r="O48" s="68">
        <f>_xlfn.XLOOKUP(F48,Dados[Ativo],Dados[Saldo Bruto | Mês Atual])</f>
        <v>200944.51</v>
      </c>
      <c r="P48" s="68">
        <f>_xlfn.XLOOKUP(F48,Dados[Ativo],Dados[Movimentaçao | Mês Atual])</f>
        <v>-10449.950000000001</v>
      </c>
      <c r="Q48" s="69">
        <f>O48/SUM(Dados[Saldo Bruto | Mês Atual])</f>
        <v>4.1120662324855478E-2</v>
      </c>
      <c r="R48" s="15"/>
      <c r="S48" s="70">
        <f>_xlfn.XLOOKUP(F48,Dados[Ativo],Dados[Performance | Mês Atual])</f>
        <v>1.039488967247462E-2</v>
      </c>
    </row>
    <row r="49" spans="2:19">
      <c r="F49" s="64" t="str">
        <v>CRA Fs Bio 02/26 CDI+ 2,75%aa</v>
      </c>
      <c r="G49" s="15"/>
      <c r="H49" s="78" t="str">
        <f>_xlfn.XLOOKUP(F49,Dados[Ativo],Dados[Titular])</f>
        <v>GCA</v>
      </c>
      <c r="I49" s="15"/>
      <c r="J49" s="16" t="str">
        <f>_xlfn.XLOOKUP(F49,Dados[Ativo],Dados[Custódia])</f>
        <v>BTG</v>
      </c>
      <c r="K49" s="15"/>
      <c r="L49" s="10">
        <f>_xlfn.XLOOKUP(F49,Dados[Ativo],Dados[Saldo Bruto | Mês Anterior])</f>
        <v>0</v>
      </c>
      <c r="M49" s="65">
        <f>L49/SUM(Dados[Saldo Bruto | Mês Anterior])</f>
        <v>0</v>
      </c>
      <c r="N49" s="15"/>
      <c r="O49" s="10">
        <f>_xlfn.XLOOKUP(F49,Dados[Ativo],Dados[Saldo Bruto | Mês Atual])</f>
        <v>150103.04999999999</v>
      </c>
      <c r="P49" s="10">
        <f>_xlfn.XLOOKUP(F49,Dados[Ativo],Dados[Movimentaçao | Mês Atual])</f>
        <v>149021.69</v>
      </c>
      <c r="Q49" s="65">
        <f>O49/SUM(Dados[Saldo Bruto | Mês Atual])</f>
        <v>3.0716623375184011E-2</v>
      </c>
      <c r="R49" s="15"/>
      <c r="S49" s="13">
        <f>_xlfn.XLOOKUP(F49,Dados[Ativo],Dados[Performance | Mês Atual])</f>
        <v>8.7956283004129374E-3</v>
      </c>
    </row>
    <row r="50" spans="2:19" ht="4.5" customHeight="1">
      <c r="F50" s="224"/>
      <c r="G50" s="15"/>
      <c r="H50" s="80"/>
      <c r="I50" s="15"/>
      <c r="J50" s="80"/>
      <c r="K50" s="15"/>
      <c r="L50" s="80"/>
      <c r="M50" s="81"/>
      <c r="N50" s="15"/>
      <c r="O50" s="80"/>
      <c r="P50" s="80"/>
      <c r="Q50" s="81"/>
      <c r="R50" s="15"/>
      <c r="S50" s="80"/>
    </row>
    <row r="51" spans="2:19">
      <c r="B51" s="155">
        <f>IFERROR(_xlfn.XLOOKUP(F51,ClasseSubClasse[SubClasse],ClasseSubClasse[Contagem]),"0")</f>
        <v>5</v>
      </c>
      <c r="C51" s="154">
        <v>1</v>
      </c>
      <c r="D51" s="153">
        <v>5</v>
      </c>
      <c r="F51" s="77" t="s">
        <v>58</v>
      </c>
      <c r="G51" s="15"/>
      <c r="H51" s="60"/>
      <c r="I51" s="15"/>
      <c r="J51" s="60"/>
      <c r="K51" s="15"/>
      <c r="L51" s="61">
        <f>SUMIF(Dados[Subclasse],F51,Dados[Saldo Bruto | Mês Anterior])</f>
        <v>705337.34</v>
      </c>
      <c r="M51" s="62">
        <f>L51/SUM(Dados[Saldo Bruto | Mês Anterior])</f>
        <v>0.1216044247005879</v>
      </c>
      <c r="N51" s="15"/>
      <c r="O51" s="61">
        <f>SUMIF(Dados[Subclasse],F51,Dados[Saldo Bruto | Mês Atual])</f>
        <v>698531.97000000009</v>
      </c>
      <c r="P51" s="61">
        <f>SUMIF(Dados[Subclasse],F51,Dados[Movimentaçao | Mês Atual])</f>
        <v>0</v>
      </c>
      <c r="Q51" s="62">
        <f>O51/SUM(Dados[Saldo Bruto | Mês Atual])</f>
        <v>0.14294541941696282</v>
      </c>
      <c r="R51" s="15"/>
      <c r="S51" s="63">
        <f>_xlfn.XLOOKUP(F51,Dados[Subclasse],Dados[Performance SubClasse])</f>
        <v>-9.3299780881783458E-3</v>
      </c>
    </row>
    <row r="52" spans="2:19">
      <c r="F52" s="229" t="str" cm="1">
        <f t="array" ref="F52:F56">INDEX(_xlfn.SORTBY(_xlfn._xlws.FILTER(Dados[Ativo],(Dados[Subclasse]=F51)*(Dados[Lista?]=TRUE)),_xlfn._xlws.FILTER(Dados[Saldo Bruto | Mês Atual],(Dados[Subclasse]=F51)*(Dados[Lista?]=TRUE)),C51),_xlfn.SEQUENCE(D51))</f>
        <v>Deb. 3R Petroleum 10/33 IPCA+ 7,60%aa</v>
      </c>
      <c r="G52" s="15"/>
      <c r="H52" s="78" t="str">
        <f>_xlfn.XLOOKUP(F52,Dados[Ativo],Dados[Titular])</f>
        <v>GCA</v>
      </c>
      <c r="I52" s="15"/>
      <c r="J52" s="16" t="str">
        <f>_xlfn.XLOOKUP(F52,Dados[Ativo],Dados[Custódia])</f>
        <v>BTG</v>
      </c>
      <c r="K52" s="15"/>
      <c r="L52" s="10">
        <f>_xlfn.XLOOKUP(F52,Dados[Ativo],Dados[Saldo Bruto | Mês Anterior])</f>
        <v>81971.199999999997</v>
      </c>
      <c r="M52" s="65">
        <f>L52/SUM(Dados[Saldo Bruto | Mês Anterior])</f>
        <v>1.4132330805025621E-2</v>
      </c>
      <c r="N52" s="15"/>
      <c r="O52" s="10">
        <f>_xlfn.XLOOKUP(F52,Dados[Ativo],Dados[Saldo Bruto | Mês Atual])</f>
        <v>82759.350000000006</v>
      </c>
      <c r="P52" s="10">
        <f>_xlfn.XLOOKUP(F52,Dados[Ativo],Dados[Movimentaçao | Mês Atual])</f>
        <v>0</v>
      </c>
      <c r="Q52" s="65">
        <f>O52/SUM(Dados[Saldo Bruto | Mês Atual])</f>
        <v>1.6935617129199141E-2</v>
      </c>
      <c r="R52" s="15"/>
      <c r="S52" s="13">
        <f>_xlfn.XLOOKUP(F52,Dados[Ativo],Dados[Performance | Mês Atual])</f>
        <v>1.1311720386155818E-2</v>
      </c>
    </row>
    <row r="53" spans="2:19">
      <c r="F53" s="66" t="str">
        <v>Deb. Paranaguá 07/30 IPCA+ 5,40%aa</v>
      </c>
      <c r="G53" s="15"/>
      <c r="H53" s="79" t="str">
        <f>_xlfn.XLOOKUP(F53,Dados[Ativo],Dados[Titular])</f>
        <v>GCA</v>
      </c>
      <c r="I53" s="6"/>
      <c r="J53" s="67" t="str">
        <f>_xlfn.XLOOKUP(F53,Dados[Ativo],Dados[Custódia])</f>
        <v>BTG</v>
      </c>
      <c r="K53" s="15"/>
      <c r="L53" s="68">
        <f>_xlfn.XLOOKUP(F53,Dados[Ativo],Dados[Saldo Bruto | Mês Anterior])</f>
        <v>129273.82</v>
      </c>
      <c r="M53" s="69">
        <f>L53/SUM(Dados[Saldo Bruto | Mês Anterior])</f>
        <v>2.2287588673452839E-2</v>
      </c>
      <c r="N53" s="15"/>
      <c r="O53" s="68">
        <f>_xlfn.XLOOKUP(F53,Dados[Ativo],Dados[Saldo Bruto | Mês Atual])</f>
        <v>116772.1</v>
      </c>
      <c r="P53" s="68">
        <f>_xlfn.XLOOKUP(F53,Dados[Ativo],Dados[Movimentaçao | Mês Atual])</f>
        <v>0</v>
      </c>
      <c r="Q53" s="69">
        <f>O53/SUM(Dados[Saldo Bruto | Mês Atual])</f>
        <v>2.3895880972633968E-2</v>
      </c>
      <c r="R53" s="15"/>
      <c r="S53" s="70">
        <f>_xlfn.XLOOKUP(F53,Dados[Ativo],Dados[Performance | Mês Atual])</f>
        <v>-0.11377327507110827</v>
      </c>
    </row>
    <row r="54" spans="2:19">
      <c r="F54" s="229" t="str">
        <v>Deb. Via Brasil 12/30 IPCA+ 8,90%aa</v>
      </c>
      <c r="G54" s="15"/>
      <c r="H54" s="78" t="str">
        <f>_xlfn.XLOOKUP(F54,Dados[Ativo],Dados[Titular])</f>
        <v>GCA</v>
      </c>
      <c r="I54" s="15"/>
      <c r="J54" s="16" t="str">
        <f>_xlfn.XLOOKUP(F54,Dados[Ativo],Dados[Custódia])</f>
        <v>BTG</v>
      </c>
      <c r="K54" s="15"/>
      <c r="L54" s="10">
        <f>_xlfn.XLOOKUP(F54,Dados[Ativo],Dados[Saldo Bruto | Mês Anterior])</f>
        <v>122533.08</v>
      </c>
      <c r="M54" s="65">
        <f>L54/SUM(Dados[Saldo Bruto | Mês Anterior])</f>
        <v>2.1125444316036229E-2</v>
      </c>
      <c r="N54" s="15"/>
      <c r="O54" s="10">
        <f>_xlfn.XLOOKUP(F54,Dados[Ativo],Dados[Saldo Bruto | Mês Atual])</f>
        <v>123616.92</v>
      </c>
      <c r="P54" s="10">
        <f>_xlfn.XLOOKUP(F54,Dados[Ativo],Dados[Movimentaçao | Mês Atual])</f>
        <v>0</v>
      </c>
      <c r="Q54" s="65">
        <f>O54/SUM(Dados[Saldo Bruto | Mês Atual])</f>
        <v>2.5296583743236744E-2</v>
      </c>
      <c r="R54" s="15"/>
      <c r="S54" s="13">
        <f>_xlfn.XLOOKUP(F54,Dados[Ativo],Dados[Performance | Mês Atual])</f>
        <v>1.0406217507573841E-2</v>
      </c>
    </row>
    <row r="55" spans="2:19">
      <c r="F55" s="66" t="str">
        <v>Deb. Enauta 12/29 IPCA+ 9,46%aa</v>
      </c>
      <c r="G55" s="15"/>
      <c r="H55" s="79" t="str">
        <f>_xlfn.XLOOKUP(F55,Dados[Ativo],Dados[Titular])</f>
        <v>GCA</v>
      </c>
      <c r="I55" s="6"/>
      <c r="J55" s="67" t="str">
        <f>_xlfn.XLOOKUP(F55,Dados[Ativo],Dados[Custódia])</f>
        <v>BTG</v>
      </c>
      <c r="K55" s="15"/>
      <c r="L55" s="68">
        <f>_xlfn.XLOOKUP(F55,Dados[Ativo],Dados[Saldo Bruto | Mês Anterior])</f>
        <v>158264.5</v>
      </c>
      <c r="M55" s="69">
        <f>L55/SUM(Dados[Saldo Bruto | Mês Anterior])</f>
        <v>2.7285757298807112E-2</v>
      </c>
      <c r="N55" s="15"/>
      <c r="O55" s="68">
        <f>_xlfn.XLOOKUP(F55,Dados[Ativo],Dados[Saldo Bruto | Mês Atual])</f>
        <v>160006.18</v>
      </c>
      <c r="P55" s="68">
        <f>_xlfn.XLOOKUP(F55,Dados[Ativo],Dados[Movimentaçao | Mês Atual])</f>
        <v>0</v>
      </c>
      <c r="Q55" s="69">
        <f>O55/SUM(Dados[Saldo Bruto | Mês Atual])</f>
        <v>3.2743169234481916E-2</v>
      </c>
      <c r="R55" s="15"/>
      <c r="S55" s="70">
        <f>_xlfn.XLOOKUP(F55,Dados[Ativo],Dados[Performance | Mês Atual])</f>
        <v>1.294690403797215E-2</v>
      </c>
    </row>
    <row r="56" spans="2:19">
      <c r="F56" s="64" t="str">
        <v>CRI Automob 04/30 IPCA+ 8,15%aa</v>
      </c>
      <c r="G56" s="15"/>
      <c r="H56" s="78" t="str">
        <f>_xlfn.XLOOKUP(F56,Dados[Ativo],Dados[Titular])</f>
        <v>GCA</v>
      </c>
      <c r="I56" s="15"/>
      <c r="J56" s="16" t="str">
        <f>_xlfn.XLOOKUP(F56,Dados[Ativo],Dados[Custódia])</f>
        <v>BTG</v>
      </c>
      <c r="K56" s="15"/>
      <c r="L56" s="10">
        <f>_xlfn.XLOOKUP(F56,Dados[Ativo],Dados[Saldo Bruto | Mês Anterior])</f>
        <v>213294.74</v>
      </c>
      <c r="M56" s="65">
        <f>L56/SUM(Dados[Saldo Bruto | Mês Anterior])</f>
        <v>3.6773303607266099E-2</v>
      </c>
      <c r="N56" s="15"/>
      <c r="O56" s="10">
        <f>_xlfn.XLOOKUP(F56,Dados[Ativo],Dados[Saldo Bruto | Mês Atual])</f>
        <v>215377.42</v>
      </c>
      <c r="P56" s="10">
        <f>_xlfn.XLOOKUP(F56,Dados[Ativo],Dados[Movimentaçao | Mês Atual])</f>
        <v>0</v>
      </c>
      <c r="Q56" s="65">
        <f>O56/SUM(Dados[Saldo Bruto | Mês Atual])</f>
        <v>4.4074168337411034E-2</v>
      </c>
      <c r="R56" s="15"/>
      <c r="S56" s="13">
        <f>_xlfn.XLOOKUP(F56,Dados[Ativo],Dados[Performance | Mês Atual])</f>
        <v>1.1487445797800203E-2</v>
      </c>
    </row>
    <row r="57" spans="2:19" ht="4.5" customHeight="1" thickBot="1">
      <c r="F57" s="224"/>
      <c r="G57" s="15"/>
      <c r="H57" s="80"/>
      <c r="I57" s="15"/>
      <c r="J57" s="80"/>
      <c r="K57" s="15"/>
      <c r="L57" s="80"/>
      <c r="M57" s="81"/>
      <c r="N57" s="15"/>
      <c r="O57" s="80"/>
      <c r="P57" s="80"/>
      <c r="Q57" s="81"/>
      <c r="R57" s="15"/>
      <c r="S57" s="80"/>
    </row>
    <row r="58" spans="2:19" ht="15.75" thickTop="1">
      <c r="F58" s="74" t="s">
        <v>194</v>
      </c>
      <c r="G58" s="58"/>
      <c r="H58" s="75"/>
      <c r="I58" s="58"/>
      <c r="J58" s="75"/>
      <c r="K58" s="58"/>
      <c r="L58" s="8">
        <f>SUMIF(Dados[Classe],F58,Dados[Saldo Bruto | Mês Anterior])</f>
        <v>1740077.71</v>
      </c>
      <c r="M58" s="76">
        <f>L58/SUM(Dados[Saldo Bruto | Mês Anterior])</f>
        <v>0.29999992465855618</v>
      </c>
      <c r="N58" s="58"/>
      <c r="O58" s="8">
        <f>SUMIF(Dados[Classe],F58,Dados[Saldo Bruto | Mês Atual])</f>
        <v>990314.9</v>
      </c>
      <c r="P58" s="8">
        <f>SUMIF(Dados[Classe],F58,Dados[Movimentaçao | Mês Atual])</f>
        <v>-161803.59999999998</v>
      </c>
      <c r="Q58" s="76">
        <f>O58/SUM(Dados[Saldo Bruto | Mês Atual])</f>
        <v>0.20265497473990715</v>
      </c>
      <c r="R58" s="59"/>
      <c r="S58" s="9">
        <f>_xlfn.XLOOKUP(F58,Dados[Classe],Dados[Performance Classe])</f>
        <v>1.0666607866332559E-2</v>
      </c>
    </row>
    <row r="59" spans="2:19">
      <c r="B59" s="155">
        <f>IFERROR(_xlfn.XLOOKUP(F59,ClasseSubClasse[SubClasse],ClasseSubClasse[Contagem]),"0")</f>
        <v>2</v>
      </c>
      <c r="C59" s="154">
        <v>1</v>
      </c>
      <c r="D59" s="153">
        <v>2</v>
      </c>
      <c r="F59" s="77" t="s">
        <v>52</v>
      </c>
      <c r="G59" s="15"/>
      <c r="H59" s="60"/>
      <c r="I59" s="15"/>
      <c r="J59" s="60"/>
      <c r="K59" s="15"/>
      <c r="L59" s="61">
        <f>SUMIF(Dados[Subclasse],F59,Dados[Saldo Bruto | Mês Anterior])</f>
        <v>1449637.23</v>
      </c>
      <c r="M59" s="62">
        <f>L59/SUM(Dados[Saldo Bruto | Mês Anterior])</f>
        <v>0.24992622874425424</v>
      </c>
      <c r="N59" s="15"/>
      <c r="O59" s="61">
        <f>SUMIF(Dados[Subclasse],F59,Dados[Saldo Bruto | Mês Atual])</f>
        <v>694574.54</v>
      </c>
      <c r="P59" s="61">
        <f>SUMIF(Dados[Subclasse],F59,Dados[Movimentaçao | Mês Atual])</f>
        <v>-161803.59999999998</v>
      </c>
      <c r="Q59" s="62">
        <f>O59/SUM(Dados[Saldo Bruto | Mês Atual])</f>
        <v>0.14213558319548927</v>
      </c>
      <c r="R59" s="15"/>
      <c r="S59" s="63">
        <f>_xlfn.XLOOKUP(F59,Dados[Subclasse],Dados[Performance SubClasse])</f>
        <v>8.042261449637822E-3</v>
      </c>
    </row>
    <row r="60" spans="2:19">
      <c r="F60" s="66" t="str" cm="1">
        <f t="array" ref="F60:F61">INDEX(_xlfn.SORTBY(_xlfn._xlws.FILTER(Dados[Ativo],(Dados[Subclasse]=F59)*(Dados[Lista?]=TRUE)),_xlfn._xlws.FILTER(Dados[Saldo Bruto | Mês Atual],(Dados[Subclasse]=F59)*(Dados[Lista?]=TRUE)),C59),_xlfn.SEQUENCE(D59))</f>
        <v>BNP Paribas Match DI FIRF</v>
      </c>
      <c r="G60" s="15"/>
      <c r="H60" s="79" t="str">
        <f>_xlfn.XLOOKUP(F60,Dados[Ativo],Dados[Titular])</f>
        <v>GCA</v>
      </c>
      <c r="I60" s="6"/>
      <c r="J60" s="67" t="str">
        <f>_xlfn.XLOOKUP(F60,Dados[Ativo],Dados[Custódia])</f>
        <v>XP</v>
      </c>
      <c r="K60" s="15"/>
      <c r="L60" s="68">
        <f>_xlfn.XLOOKUP(F60,Dados[Ativo],Dados[Saldo Bruto | Mês Anterior])</f>
        <v>600091.36</v>
      </c>
      <c r="M60" s="69">
        <f>L60/SUM(Dados[Saldo Bruto | Mês Anterior])</f>
        <v>0.1034593810113518</v>
      </c>
      <c r="N60" s="15"/>
      <c r="O60" s="68">
        <f>_xlfn.XLOOKUP(F60,Dados[Ativo],Dados[Saldo Bruto | Mês Atual])</f>
        <v>0</v>
      </c>
      <c r="P60" s="68">
        <f>_xlfn.XLOOKUP(F60,Dados[Ativo],Dados[Movimentaçao | Mês Atual])</f>
        <v>0</v>
      </c>
      <c r="Q60" s="69">
        <f>O60/SUM(Dados[Saldo Bruto | Mês Atual])</f>
        <v>0</v>
      </c>
      <c r="R60" s="15"/>
      <c r="S60" s="70">
        <f>_xlfn.XLOOKUP(F60,Dados[Ativo],Dados[Performance | Mês Atual])</f>
        <v>-1</v>
      </c>
    </row>
    <row r="61" spans="2:19">
      <c r="F61" s="64" t="str">
        <v>BTG CDB Plus FI RF CP</v>
      </c>
      <c r="G61" s="15"/>
      <c r="H61" s="78" t="str">
        <f>_xlfn.XLOOKUP(F61,Dados[Ativo],Dados[Titular])</f>
        <v>GCA</v>
      </c>
      <c r="I61" s="15"/>
      <c r="J61" s="16" t="str">
        <f>_xlfn.XLOOKUP(F61,Dados[Ativo],Dados[Custódia])</f>
        <v>BTG</v>
      </c>
      <c r="K61" s="15"/>
      <c r="L61" s="10">
        <f>_xlfn.XLOOKUP(F61,Dados[Ativo],Dados[Saldo Bruto | Mês Anterior])</f>
        <v>849545.87</v>
      </c>
      <c r="M61" s="65">
        <f>L61/SUM(Dados[Saldo Bruto | Mês Anterior])</f>
        <v>0.14646684773290244</v>
      </c>
      <c r="N61" s="15"/>
      <c r="O61" s="10">
        <f>_xlfn.XLOOKUP(F61,Dados[Ativo],Dados[Saldo Bruto | Mês Atual])</f>
        <v>694574.54</v>
      </c>
      <c r="P61" s="10">
        <f>_xlfn.XLOOKUP(F61,Dados[Ativo],Dados[Movimentaçao | Mês Atual])</f>
        <v>-161803.59999999998</v>
      </c>
      <c r="Q61" s="65">
        <f>O61/SUM(Dados[Saldo Bruto | Mês Atual])</f>
        <v>0.14213558319548927</v>
      </c>
      <c r="R61" s="15"/>
      <c r="S61" s="13">
        <f>_xlfn.XLOOKUP(F61,Dados[Ativo],Dados[Performance | Mês Atual])</f>
        <v>8.042261449637822E-3</v>
      </c>
    </row>
    <row r="62" spans="2:19" ht="4.5" customHeight="1">
      <c r="F62" s="224"/>
      <c r="G62" s="15"/>
      <c r="H62" s="80"/>
      <c r="I62" s="15"/>
      <c r="J62" s="80"/>
      <c r="K62" s="15"/>
      <c r="L62" s="80"/>
      <c r="M62" s="81"/>
      <c r="N62" s="15"/>
      <c r="O62" s="80"/>
      <c r="P62" s="80"/>
      <c r="Q62" s="81"/>
      <c r="R62" s="15"/>
      <c r="S62" s="80"/>
    </row>
    <row r="63" spans="2:19">
      <c r="B63" s="155">
        <f>IFERROR(_xlfn.XLOOKUP(F63,ClasseSubClasse[SubClasse],ClasseSubClasse[Contagem]),"0")</f>
        <v>2</v>
      </c>
      <c r="C63" s="154">
        <v>1</v>
      </c>
      <c r="D63" s="153">
        <v>2</v>
      </c>
      <c r="F63" s="77" t="s">
        <v>53</v>
      </c>
      <c r="G63" s="15"/>
      <c r="H63" s="60"/>
      <c r="I63" s="15"/>
      <c r="J63" s="60"/>
      <c r="K63" s="15"/>
      <c r="L63" s="61">
        <f>SUMIF(Dados[Subclasse],F63,Dados[Saldo Bruto | Mês Anterior])</f>
        <v>290440.48</v>
      </c>
      <c r="M63" s="62">
        <f>L63/SUM(Dados[Saldo Bruto | Mês Anterior])</f>
        <v>5.0073695914301948E-2</v>
      </c>
      <c r="N63" s="15"/>
      <c r="O63" s="61">
        <f>SUMIF(Dados[Subclasse],F63,Dados[Saldo Bruto | Mês Atual])</f>
        <v>295740.36</v>
      </c>
      <c r="P63" s="61">
        <f>SUMIF(Dados[Subclasse],F63,Dados[Movimentaçao | Mês Atual])</f>
        <v>0</v>
      </c>
      <c r="Q63" s="62">
        <f>O63/SUM(Dados[Saldo Bruto | Mês Atual])</f>
        <v>6.0519391544417885E-2</v>
      </c>
      <c r="R63" s="15"/>
      <c r="S63" s="63">
        <f>_xlfn.XLOOKUP(F63,Dados[Subclasse],Dados[Performance SubClasse])</f>
        <v>1.8265952450361278E-2</v>
      </c>
    </row>
    <row r="64" spans="2:19">
      <c r="F64" s="66" t="str" cm="1">
        <f t="array" ref="F64:F65">INDEX(_xlfn.SORTBY(_xlfn._xlws.FILTER(Dados[Ativo],(Dados[Subclasse]=F63)*(Dados[Lista?]=TRUE)),_xlfn._xlws.FILTER(Dados[Saldo Bruto | Mês Atual],(Dados[Subclasse]=F63)*(Dados[Lista?]=TRUE)),C63),_xlfn.SEQUENCE(D63))</f>
        <v>Éxes FIC FIM</v>
      </c>
      <c r="G64" s="15"/>
      <c r="H64" s="79" t="str">
        <f>_xlfn.XLOOKUP(F64,Dados[Ativo],Dados[Titular])</f>
        <v>GCA</v>
      </c>
      <c r="I64" s="6"/>
      <c r="J64" s="67" t="str">
        <f>_xlfn.XLOOKUP(F64,Dados[Ativo],Dados[Custódia])</f>
        <v>BTG</v>
      </c>
      <c r="K64" s="15"/>
      <c r="L64" s="68">
        <f>_xlfn.XLOOKUP(F64,Dados[Ativo],Dados[Saldo Bruto | Mês Anterior])</f>
        <v>115342.52</v>
      </c>
      <c r="M64" s="69">
        <f>L64/SUM(Dados[Saldo Bruto | Mês Anterior])</f>
        <v>1.988574826921265E-2</v>
      </c>
      <c r="N64" s="15"/>
      <c r="O64" s="68">
        <f>_xlfn.XLOOKUP(F64,Dados[Ativo],Dados[Saldo Bruto | Mês Atual])</f>
        <v>116835.13</v>
      </c>
      <c r="P64" s="68">
        <f>_xlfn.XLOOKUP(F64,Dados[Ativo],Dados[Movimentaçao | Mês Atual])</f>
        <v>0</v>
      </c>
      <c r="Q64" s="69">
        <f>O64/SUM(Dados[Saldo Bruto | Mês Atual])</f>
        <v>2.3908779236668828E-2</v>
      </c>
      <c r="R64" s="15"/>
      <c r="S64" s="70">
        <f>_xlfn.XLOOKUP(F64,Dados[Ativo],Dados[Performance | Mês Atual])</f>
        <v>1.2940674436452415E-2</v>
      </c>
    </row>
    <row r="65" spans="2:23">
      <c r="F65" s="64" t="str">
        <v>Quantitas Galápagos FIM</v>
      </c>
      <c r="G65" s="15"/>
      <c r="H65" s="78" t="str">
        <f>_xlfn.XLOOKUP(F65,Dados[Ativo],Dados[Titular])</f>
        <v>GCA</v>
      </c>
      <c r="I65" s="15"/>
      <c r="J65" s="16" t="str">
        <f>_xlfn.XLOOKUP(F65,Dados[Ativo],Dados[Custódia])</f>
        <v>BTG</v>
      </c>
      <c r="K65" s="15"/>
      <c r="L65" s="10">
        <f>_xlfn.XLOOKUP(F65,Dados[Ativo],Dados[Saldo Bruto | Mês Anterior])</f>
        <v>175097.96</v>
      </c>
      <c r="M65" s="65">
        <f>L65/SUM(Dados[Saldo Bruto | Mês Anterior])</f>
        <v>3.0187947645089301E-2</v>
      </c>
      <c r="N65" s="15"/>
      <c r="O65" s="10">
        <f>_xlfn.XLOOKUP(F65,Dados[Ativo],Dados[Saldo Bruto | Mês Atual])</f>
        <v>178905.23</v>
      </c>
      <c r="P65" s="10">
        <f>_xlfn.XLOOKUP(F65,Dados[Ativo],Dados[Movimentaçao | Mês Atual])</f>
        <v>0</v>
      </c>
      <c r="Q65" s="65">
        <f>O65/SUM(Dados[Saldo Bruto | Mês Atual])</f>
        <v>3.6610612307749063E-2</v>
      </c>
      <c r="R65" s="15"/>
      <c r="S65" s="13">
        <f>_xlfn.XLOOKUP(F65,Dados[Ativo],Dados[Performance | Mês Atual])</f>
        <v>2.1743657093435065E-2</v>
      </c>
    </row>
    <row r="66" spans="2:23" ht="4.5" customHeight="1" thickBot="1">
      <c r="F66" s="224"/>
      <c r="G66" s="15"/>
      <c r="H66" s="80"/>
      <c r="I66" s="15"/>
      <c r="J66" s="80"/>
      <c r="K66" s="15"/>
      <c r="L66" s="80"/>
      <c r="M66" s="81"/>
      <c r="N66" s="15"/>
      <c r="O66" s="80"/>
      <c r="P66" s="80"/>
      <c r="Q66" s="81"/>
      <c r="R66" s="15"/>
      <c r="S66" s="80"/>
    </row>
    <row r="67" spans="2:23" ht="15.75" thickTop="1">
      <c r="F67" s="74" t="s">
        <v>47</v>
      </c>
      <c r="G67" s="58"/>
      <c r="H67" s="75"/>
      <c r="I67" s="58"/>
      <c r="J67" s="75"/>
      <c r="K67" s="58"/>
      <c r="L67" s="8">
        <f>SUMIF(Dados[Classe],F67,Dados[Saldo Bruto | Mês Anterior])</f>
        <v>141046.5</v>
      </c>
      <c r="M67" s="76">
        <f>L67/SUM(Dados[Saldo Bruto | Mês Anterior])</f>
        <v>2.4317269930061367E-2</v>
      </c>
      <c r="N67" s="58"/>
      <c r="O67" s="8">
        <f>SUMIF(Dados[Classe],F67,Dados[Saldo Bruto | Mês Atual])</f>
        <v>142304.95999999999</v>
      </c>
      <c r="P67" s="8">
        <f>SUMIF(Dados[Classe],F67,Dados[Movimentaçao | Mês Atual])</f>
        <v>-1074.6400000000001</v>
      </c>
      <c r="Q67" s="76">
        <f>O67/SUM(Dados[Saldo Bruto | Mês Atual])</f>
        <v>2.9120846383472059E-2</v>
      </c>
      <c r="R67" s="59"/>
      <c r="S67" s="9">
        <f>_xlfn.XLOOKUP(F67,Dados[Classe],Dados[Performance Classe])</f>
        <v>1.6541353383458635E-2</v>
      </c>
    </row>
    <row r="68" spans="2:23">
      <c r="B68" s="155">
        <f>IFERROR(_xlfn.XLOOKUP(F68,ClasseSubClasse[SubClasse],ClasseSubClasse[Contagem]),"0")</f>
        <v>1</v>
      </c>
      <c r="C68" s="154">
        <v>1</v>
      </c>
      <c r="D68" s="153">
        <v>1</v>
      </c>
      <c r="F68" s="77" t="s">
        <v>48</v>
      </c>
      <c r="G68" s="15"/>
      <c r="H68" s="60"/>
      <c r="I68" s="15"/>
      <c r="J68" s="60"/>
      <c r="K68" s="15"/>
      <c r="L68" s="61">
        <f>SUMIF(Dados[Subclasse],F68,Dados[Saldo Bruto | Mês Anterior])</f>
        <v>141046.5</v>
      </c>
      <c r="M68" s="62">
        <f>L68/SUM(Dados[Saldo Bruto | Mês Anterior])</f>
        <v>2.4317269930061367E-2</v>
      </c>
      <c r="N68" s="15"/>
      <c r="O68" s="61">
        <f>SUMIF(Dados[Subclasse],F68,Dados[Saldo Bruto | Mês Atual])</f>
        <v>142304.95999999999</v>
      </c>
      <c r="P68" s="61">
        <f>SUMIF(Dados[Subclasse],F68,Dados[Movimentaçao | Mês Atual])</f>
        <v>-1074.6400000000001</v>
      </c>
      <c r="Q68" s="62">
        <f>O68/SUM(Dados[Saldo Bruto | Mês Atual])</f>
        <v>2.9120846383472059E-2</v>
      </c>
      <c r="R68" s="15"/>
      <c r="S68" s="63">
        <f>_xlfn.XLOOKUP(F68,Dados[Subclasse],Dados[Performance SubClasse])</f>
        <v>1.6541353383458635E-2</v>
      </c>
    </row>
    <row r="69" spans="2:23">
      <c r="F69" s="64" t="str" cm="1">
        <f t="array" ref="F69">INDEX(_xlfn.SORTBY(_xlfn._xlws.FILTER(Dados[Ativo],(Dados[Subclasse]=F68)*(Dados[Lista?]=TRUE)),_xlfn._xlws.FILTER(Dados[Saldo Bruto | Mês Atual],(Dados[Subclasse]=F68)*(Dados[Lista?]=TRUE)),C68),_xlfn.SEQUENCE(D68))</f>
        <v>BTLG11</v>
      </c>
      <c r="G69" s="15"/>
      <c r="H69" s="78" t="str">
        <f>_xlfn.XLOOKUP(F69,Dados[Ativo],Dados[Titular])</f>
        <v>GCA</v>
      </c>
      <c r="I69" s="15"/>
      <c r="J69" s="16" t="str">
        <f>_xlfn.XLOOKUP(F69,Dados[Ativo],Dados[Custódia])</f>
        <v>BTG</v>
      </c>
      <c r="K69" s="15"/>
      <c r="L69" s="10">
        <f>_xlfn.XLOOKUP(F69,Dados[Ativo],Dados[Saldo Bruto | Mês Anterior])</f>
        <v>141046.5</v>
      </c>
      <c r="M69" s="65">
        <f>L69/SUM(Dados[Saldo Bruto | Mês Anterior])</f>
        <v>2.4317269930061367E-2</v>
      </c>
      <c r="N69" s="15"/>
      <c r="O69" s="10">
        <f>_xlfn.XLOOKUP(F69,Dados[Ativo],Dados[Saldo Bruto | Mês Atual])</f>
        <v>142304.95999999999</v>
      </c>
      <c r="P69" s="10">
        <f>_xlfn.XLOOKUP(F69,Dados[Ativo],Dados[Movimentaçao | Mês Atual])</f>
        <v>-1074.6400000000001</v>
      </c>
      <c r="Q69" s="65">
        <f>O69/SUM(Dados[Saldo Bruto | Mês Atual])</f>
        <v>2.9120846383472059E-2</v>
      </c>
      <c r="R69" s="15"/>
      <c r="S69" s="13">
        <f>_xlfn.XLOOKUP(F69,Dados[Ativo],Dados[Performance | Mês Atual])</f>
        <v>1.6541353383458635E-2</v>
      </c>
    </row>
    <row r="70" spans="2:23" ht="4.5" customHeight="1">
      <c r="F70" s="224"/>
      <c r="G70" s="15"/>
      <c r="H70" s="80"/>
      <c r="I70" s="15"/>
      <c r="J70" s="80"/>
      <c r="K70" s="15"/>
      <c r="L70" s="80"/>
      <c r="M70" s="81"/>
      <c r="N70" s="15"/>
      <c r="O70" s="80"/>
      <c r="P70" s="80"/>
      <c r="Q70" s="81"/>
      <c r="R70" s="15"/>
      <c r="S70" s="80"/>
    </row>
    <row r="71" spans="2:23">
      <c r="F71" s="83" t="s">
        <v>79</v>
      </c>
      <c r="H71" s="83"/>
      <c r="J71" s="83"/>
      <c r="K71" s="87"/>
      <c r="L71" s="84">
        <f>SUM(Dados[Saldo Bruto | Mês Anterior])</f>
        <v>5800260.4899999993</v>
      </c>
      <c r="M71" s="85">
        <v>1</v>
      </c>
      <c r="O71" s="84">
        <f>SUM(Dados[Saldo Bruto | Mês Atual])</f>
        <v>4886704.1199999992</v>
      </c>
      <c r="P71" s="84">
        <f>SUM(Dados[Movimentaçao | Mês Atual])</f>
        <v>75634.28</v>
      </c>
      <c r="Q71" s="85">
        <v>1</v>
      </c>
      <c r="S71" s="86" t="e">
        <f>_xlfn.XLOOKUP($S$11,TabelaHistóricoDados[Mês],TabelaHistóricoDados[Performance Carteira])</f>
        <v>#N/A</v>
      </c>
      <c r="U71" s="197" t="e">
        <f>L71+L71*S71+P71</f>
        <v>#N/A</v>
      </c>
      <c r="W71" s="126" t="e">
        <f>((SUM(Dados[Saldo Bruto | Mês Anterior])))*(1+_xlfn.XLOOKUP($S$11,TabelaHistóricoDados[Mês],TabelaHistóricoDados[Performance Carteira]))+(SUM(Dados[Movimentaçao | Mês Atual]))</f>
        <v>#N/A</v>
      </c>
    </row>
    <row r="73" spans="2:23">
      <c r="G73"/>
      <c r="H73"/>
      <c r="U73" s="127" t="s">
        <v>176</v>
      </c>
    </row>
    <row r="74" spans="2:23">
      <c r="G74"/>
      <c r="H74"/>
      <c r="U74" s="157" t="s">
        <v>51</v>
      </c>
    </row>
    <row r="75" spans="2:23">
      <c r="G75"/>
      <c r="H75"/>
      <c r="U75" s="190" t="s">
        <v>41</v>
      </c>
    </row>
    <row r="76" spans="2:23">
      <c r="G76"/>
      <c r="H76"/>
      <c r="U76" s="157" t="s">
        <v>52</v>
      </c>
    </row>
    <row r="77" spans="2:23">
      <c r="G77"/>
      <c r="H77"/>
      <c r="U77" s="190" t="s">
        <v>58</v>
      </c>
    </row>
    <row r="78" spans="2:23">
      <c r="G78"/>
      <c r="H78"/>
      <c r="U78" s="190" t="s">
        <v>59</v>
      </c>
    </row>
    <row r="79" spans="2:23">
      <c r="F79" s="221"/>
      <c r="G79"/>
      <c r="H79"/>
      <c r="U79" s="190" t="s">
        <v>42</v>
      </c>
    </row>
    <row r="80" spans="2:23">
      <c r="F80" s="221"/>
      <c r="G80"/>
      <c r="H80"/>
      <c r="U80" s="157" t="s">
        <v>47</v>
      </c>
    </row>
    <row r="81" spans="6:21">
      <c r="F81" s="221"/>
      <c r="G81"/>
      <c r="H81"/>
      <c r="U81" s="190" t="s">
        <v>48</v>
      </c>
    </row>
    <row r="82" spans="6:21">
      <c r="F82" s="221"/>
      <c r="G82"/>
      <c r="H82"/>
      <c r="U82" s="157" t="s">
        <v>194</v>
      </c>
    </row>
    <row r="83" spans="6:21">
      <c r="F83" s="221"/>
      <c r="G83"/>
      <c r="H83"/>
      <c r="U83" s="190" t="s">
        <v>53</v>
      </c>
    </row>
    <row r="84" spans="6:21">
      <c r="F84" s="221"/>
      <c r="G84"/>
      <c r="H84"/>
      <c r="U84" s="190" t="s">
        <v>52</v>
      </c>
    </row>
    <row r="85" spans="6:21">
      <c r="U85" s="157" t="s">
        <v>118</v>
      </c>
    </row>
  </sheetData>
  <mergeCells count="14">
    <mergeCell ref="J41:J42"/>
    <mergeCell ref="P41:P42"/>
    <mergeCell ref="B41:B42"/>
    <mergeCell ref="C41:C42"/>
    <mergeCell ref="D41:D42"/>
    <mergeCell ref="F41:F42"/>
    <mergeCell ref="H41:H42"/>
    <mergeCell ref="P10:P11"/>
    <mergeCell ref="D10:D11"/>
    <mergeCell ref="C10:C11"/>
    <mergeCell ref="B10:B11"/>
    <mergeCell ref="F10:F11"/>
    <mergeCell ref="H10:H11"/>
    <mergeCell ref="J10:J11"/>
  </mergeCells>
  <conditionalFormatting sqref="F12 H12 J12 L12:M12 O12:Q12 S12">
    <cfRule type="expression" dxfId="1" priority="3">
      <formula>$A$12=-1</formula>
    </cfRule>
  </conditionalFormatting>
  <conditionalFormatting sqref="F43 H43 J43 L43:M43 O43:Q43 S43">
    <cfRule type="expression" dxfId="0" priority="1">
      <formula>$A$12=-1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C3DE-92CB-4453-B91F-5318C7D4B87D}">
  <sheetPr codeName="Planilha6"/>
  <dimension ref="A2:N42"/>
  <sheetViews>
    <sheetView showGridLines="0" workbookViewId="0">
      <selection activeCell="I31" sqref="I31"/>
    </sheetView>
  </sheetViews>
  <sheetFormatPr defaultRowHeight="15"/>
  <cols>
    <col min="4" max="4" width="45.7109375" customWidth="1"/>
    <col min="5" max="5" width="25.7109375" customWidth="1"/>
    <col min="6" max="6" width="0.7109375" customWidth="1"/>
    <col min="7" max="7" width="15.7109375" style="18" customWidth="1"/>
    <col min="8" max="9" width="10.7109375" style="18" customWidth="1"/>
    <col min="10" max="10" width="0.7109375" customWidth="1"/>
    <col min="11" max="12" width="20.7109375" style="29" customWidth="1"/>
    <col min="13" max="13" width="15.7109375" style="203" customWidth="1"/>
    <col min="14" max="14" width="15.7109375" style="19" customWidth="1"/>
  </cols>
  <sheetData>
    <row r="2" spans="1:14" s="206" customFormat="1" ht="16.5">
      <c r="A2" s="209" t="s">
        <v>182</v>
      </c>
      <c r="B2" s="211">
        <f ca="1">(TODAY())-WORKDAY(DATE(YEAR(TODAY()),MONTH(TODAY()),1),-1)</f>
        <v>8</v>
      </c>
      <c r="D2" s="205" t="s">
        <v>79</v>
      </c>
      <c r="E2" s="205"/>
      <c r="G2" s="205"/>
      <c r="H2" s="205"/>
      <c r="I2" s="205"/>
      <c r="K2" s="208">
        <f ca="1">SUM(Dados[Saldo Atualizado])</f>
        <v>4897208.7943141451</v>
      </c>
      <c r="L2" s="208">
        <f>SUM(Dados[Movimentações Atualizadas])</f>
        <v>0</v>
      </c>
      <c r="M2" s="205"/>
      <c r="N2" s="207">
        <f ca="1">SUMPRODUCT(Dados[Performance Atualizado],Dados[Peso Corrigido Atualizado])</f>
        <v>2.5570555662984256E-3</v>
      </c>
    </row>
    <row r="3" spans="1:14">
      <c r="A3" s="210" t="s">
        <v>82</v>
      </c>
      <c r="B3" s="123">
        <v>2E-3</v>
      </c>
    </row>
    <row r="4" spans="1:14" ht="15.75" thickBot="1">
      <c r="A4" s="209" t="s">
        <v>81</v>
      </c>
      <c r="B4" s="212">
        <v>2.8999999999999998E-3</v>
      </c>
      <c r="D4" s="204" t="s">
        <v>6</v>
      </c>
      <c r="E4" s="204" t="s">
        <v>43</v>
      </c>
      <c r="G4" s="204" t="s">
        <v>9</v>
      </c>
      <c r="H4" s="204" t="s">
        <v>0</v>
      </c>
      <c r="I4" s="204" t="s">
        <v>99</v>
      </c>
      <c r="K4" s="204" t="s">
        <v>101</v>
      </c>
      <c r="L4" s="204" t="s">
        <v>184</v>
      </c>
      <c r="M4" s="204" t="s">
        <v>172</v>
      </c>
      <c r="N4" s="204" t="s">
        <v>102</v>
      </c>
    </row>
    <row r="5" spans="1:14">
      <c r="D5" t="str" cm="1">
        <f t="array" ref="D5:D42">_xlfn.SORTBY(Dados[Ativo],Dados[Nomenclatura Classe],1)</f>
        <v>BTLG11</v>
      </c>
      <c r="E5" t="str" cm="1">
        <f t="array" ref="E5:E42">_xlfn.SORTBY(Dados[Nomenclatura Classe],Dados[Nomenclatura Classe],1)</f>
        <v>Bolsa - Fundo Imobiliário</v>
      </c>
      <c r="G5" s="18" t="str" cm="1">
        <f t="array" ref="G5:G42">_xlfn.SORTBY(Dados[Liquidez],Dados[Nomenclatura Classe],1)</f>
        <v>D+2</v>
      </c>
      <c r="H5" s="18" t="str" cm="1">
        <f t="array" ref="H5:H42">_xlfn.SORTBY(Dados[Custódia],Dados[Nomenclatura Classe],1)</f>
        <v>BTG</v>
      </c>
      <c r="I5" s="18" t="str" cm="1">
        <f t="array" ref="I5:I42">_xlfn.SORTBY(Dados[Titular],Dados[Nomenclatura Classe],1)</f>
        <v>GCA</v>
      </c>
      <c r="K5" s="29" cm="1">
        <f t="array" aca="1" ref="K5:K42" ca="1">_xlfn.SORTBY(Dados[Saldo Atualizado],Dados[Nomenclatura Classe],1)</f>
        <v>142304.95999999999</v>
      </c>
      <c r="L5" s="29" cm="1">
        <f t="array" ref="L5:L42">_xlfn.SORTBY(Dados[Movimentações Atualizadas],Dados[Nomenclatura Classe],1)</f>
        <v>0</v>
      </c>
      <c r="M5" s="203" cm="1">
        <f t="array" aca="1" ref="M5:M42" ca="1">_xlfn.SORTBY(Dados[Peso Atualizado],Dados[Nomenclatura Classe],1)</f>
        <v>2.9058381207928429E-2</v>
      </c>
      <c r="N5" s="19" cm="1">
        <f t="array" aca="1" ref="N5:N42" ca="1">_xlfn.SORTBY(Dados[Performance Atualizado],Dados[Nomenclatura Classe],1)</f>
        <v>0</v>
      </c>
    </row>
    <row r="6" spans="1:14">
      <c r="D6" t="str">
        <v>Conta Corrente - BTG</v>
      </c>
      <c r="E6" t="str">
        <v>Conta Corrente</v>
      </c>
      <c r="G6" s="18" t="str">
        <v>D+0</v>
      </c>
      <c r="H6" s="18" t="str">
        <v>BTG</v>
      </c>
      <c r="I6" s="18" t="str">
        <v>GCA</v>
      </c>
      <c r="K6" s="29">
        <f ca="1"/>
        <v>1968.08</v>
      </c>
      <c r="L6" s="29">
        <v>0</v>
      </c>
      <c r="M6" s="203">
        <f ca="1"/>
        <v>4.0187790283416531E-4</v>
      </c>
      <c r="N6" s="19">
        <f ca="1"/>
        <v>0</v>
      </c>
    </row>
    <row r="7" spans="1:14">
      <c r="D7" t="str">
        <v>Conta Corrente - Bradesco</v>
      </c>
      <c r="E7" t="str">
        <v>Conta Corrente</v>
      </c>
      <c r="G7" s="18" t="str">
        <v>D+0</v>
      </c>
      <c r="H7" s="18" t="str">
        <v>Bradesco</v>
      </c>
      <c r="I7" s="18" t="str">
        <v>GCA</v>
      </c>
      <c r="K7" s="29">
        <f ca="1"/>
        <v>1.07</v>
      </c>
      <c r="L7" s="29">
        <v>0</v>
      </c>
      <c r="M7" s="203">
        <f ca="1"/>
        <v>2.1849180726015048E-7</v>
      </c>
      <c r="N7" s="19">
        <f ca="1"/>
        <v>0</v>
      </c>
    </row>
    <row r="8" spans="1:14">
      <c r="D8" t="str">
        <v>Conta Corrente - XP</v>
      </c>
      <c r="E8" t="str">
        <v>Conta Corrente</v>
      </c>
      <c r="G8" s="18" t="str">
        <v>D+0</v>
      </c>
      <c r="H8" s="18" t="str">
        <v>XP</v>
      </c>
      <c r="I8" s="18" t="str">
        <v>GCA</v>
      </c>
      <c r="K8" s="29">
        <f ca="1"/>
        <v>0</v>
      </c>
      <c r="L8" s="29">
        <v>0</v>
      </c>
      <c r="M8" s="203">
        <f ca="1"/>
        <v>0</v>
      </c>
      <c r="N8" s="19" t="str">
        <f ca="1"/>
        <v>0,00%</v>
      </c>
    </row>
    <row r="9" spans="1:14">
      <c r="D9" t="str">
        <v>Éxes FIC FIM</v>
      </c>
      <c r="E9" t="str">
        <v>Fundos - Multimercado</v>
      </c>
      <c r="G9" s="18" t="str">
        <v>D+90</v>
      </c>
      <c r="H9" s="18" t="str">
        <v>BTG</v>
      </c>
      <c r="I9" s="18" t="str">
        <v>GCA</v>
      </c>
      <c r="K9" s="29">
        <f ca="1"/>
        <v>116835.13</v>
      </c>
      <c r="L9" s="29">
        <v>0</v>
      </c>
      <c r="M9" s="203">
        <f ca="1"/>
        <v>2.3857494116985629E-2</v>
      </c>
      <c r="N9" s="19">
        <f ca="1"/>
        <v>0</v>
      </c>
    </row>
    <row r="10" spans="1:14">
      <c r="D10" t="str">
        <v>Quantitas Galápagos FIM</v>
      </c>
      <c r="E10" t="str">
        <v>Fundos - Multimercado</v>
      </c>
      <c r="G10" s="18" t="str">
        <v>D+32</v>
      </c>
      <c r="H10" s="18" t="str">
        <v>BTG</v>
      </c>
      <c r="I10" s="18" t="str">
        <v>GCA</v>
      </c>
      <c r="K10" s="29">
        <f ca="1"/>
        <v>178905.23</v>
      </c>
      <c r="L10" s="29">
        <v>0</v>
      </c>
      <c r="M10" s="203">
        <f ca="1"/>
        <v>3.653208133737653E-2</v>
      </c>
      <c r="N10" s="19">
        <f ca="1"/>
        <v>0</v>
      </c>
    </row>
    <row r="11" spans="1:14">
      <c r="D11" t="str">
        <v>BTG CDB Plus FI RF CP</v>
      </c>
      <c r="E11" t="str">
        <v>Fundos - Renda Fixa</v>
      </c>
      <c r="G11" s="18" t="str">
        <v>D+0</v>
      </c>
      <c r="H11" s="18" t="str">
        <v>BTG</v>
      </c>
      <c r="I11" s="18" t="str">
        <v>GCA</v>
      </c>
      <c r="K11" s="29">
        <f ca="1"/>
        <v>694574.54</v>
      </c>
      <c r="L11" s="29">
        <v>0</v>
      </c>
      <c r="M11" s="203">
        <f ca="1"/>
        <v>0.14183069768363335</v>
      </c>
      <c r="N11" s="19">
        <f ca="1"/>
        <v>0</v>
      </c>
    </row>
    <row r="12" spans="1:14">
      <c r="D12" t="str">
        <v>BNP Paribas Match DI FIRF</v>
      </c>
      <c r="E12" t="str">
        <v>Fundos - Renda Fixa</v>
      </c>
      <c r="G12" s="18" t="str">
        <v>D+0</v>
      </c>
      <c r="H12" s="18" t="str">
        <v>XP</v>
      </c>
      <c r="I12" s="18" t="str">
        <v>GCA</v>
      </c>
      <c r="K12" s="29">
        <f ca="1"/>
        <v>0</v>
      </c>
      <c r="L12" s="29">
        <v>0</v>
      </c>
      <c r="M12" s="203">
        <f ca="1"/>
        <v>0</v>
      </c>
      <c r="N12" s="19" t="str">
        <f ca="1"/>
        <v>0,00%</v>
      </c>
    </row>
    <row r="13" spans="1:14">
      <c r="D13" t="str">
        <v>CRI Automob 04/30 IPCA+ 8,15%aa</v>
      </c>
      <c r="E13" t="str">
        <v>Renda Fixa - Inflação</v>
      </c>
      <c r="G13" s="18">
        <v>2030</v>
      </c>
      <c r="H13" s="18" t="str">
        <v>BTG</v>
      </c>
      <c r="I13" s="18" t="str">
        <v>GCA</v>
      </c>
      <c r="K13" s="29">
        <f ca="1"/>
        <v>216179.08713765847</v>
      </c>
      <c r="L13" s="29">
        <v>0</v>
      </c>
      <c r="M13" s="203">
        <f ca="1"/>
        <v>4.414332657995939E-2</v>
      </c>
      <c r="N13" s="19">
        <f ca="1"/>
        <v>4.3790004031525201E-3</v>
      </c>
    </row>
    <row r="14" spans="1:14">
      <c r="D14" t="str">
        <v>Deb. 3R Petroleum 10/33 IPCA+ 7,60%aa</v>
      </c>
      <c r="E14" t="str">
        <v>Renda Fixa - Inflação</v>
      </c>
      <c r="G14" s="18">
        <v>2033</v>
      </c>
      <c r="H14" s="18" t="str">
        <v>BTG</v>
      </c>
      <c r="I14" s="18" t="str">
        <v>GCA</v>
      </c>
      <c r="K14" s="29">
        <f ca="1"/>
        <v>83058.11064264283</v>
      </c>
      <c r="L14" s="29">
        <v>0</v>
      </c>
      <c r="M14" s="203">
        <f ca="1"/>
        <v>1.6960295983107075E-2</v>
      </c>
      <c r="N14" s="19">
        <f ca="1"/>
        <v>4.2470501398519768E-3</v>
      </c>
    </row>
    <row r="15" spans="1:14">
      <c r="D15" t="str">
        <v>Deb. Enauta 12/29 IPCA+ 9,46%aa</v>
      </c>
      <c r="E15" t="str">
        <v>Renda Fixa - Inflação</v>
      </c>
      <c r="G15" s="18">
        <v>2029</v>
      </c>
      <c r="H15" s="18" t="str">
        <v>BTG</v>
      </c>
      <c r="I15" s="18" t="str">
        <v>GCA</v>
      </c>
      <c r="K15" s="29">
        <f ca="1"/>
        <v>160644.1340285528</v>
      </c>
      <c r="L15" s="29">
        <v>0</v>
      </c>
      <c r="M15" s="203">
        <f ca="1"/>
        <v>3.2803202962280689E-2</v>
      </c>
      <c r="N15" s="19">
        <f ca="1"/>
        <v>4.6906572686041224E-3</v>
      </c>
    </row>
    <row r="16" spans="1:14">
      <c r="D16" t="str">
        <v>Deb. Paranaguá 07/30 IPCA+ 5,40%aa</v>
      </c>
      <c r="E16" t="str">
        <v>Renda Fixa - Inflação</v>
      </c>
      <c r="G16" s="18">
        <v>2030</v>
      </c>
      <c r="H16" s="18" t="str">
        <v>BTG</v>
      </c>
      <c r="I16" s="18" t="str">
        <v>GCA</v>
      </c>
      <c r="K16" s="29">
        <f ca="1"/>
        <v>117140.59568578893</v>
      </c>
      <c r="L16" s="29">
        <v>0</v>
      </c>
      <c r="M16" s="203">
        <f ca="1"/>
        <v>2.391986958403608E-2</v>
      </c>
      <c r="N16" s="19">
        <f ca="1"/>
        <v>3.7125677813643065E-3</v>
      </c>
    </row>
    <row r="17" spans="4:14">
      <c r="D17" t="str">
        <v>Deb. Via Brasil 12/30 IPCA+ 8,90%aa</v>
      </c>
      <c r="E17" t="str">
        <v>Renda Fixa - Inflação</v>
      </c>
      <c r="G17" s="18">
        <v>2030</v>
      </c>
      <c r="H17" s="18" t="str">
        <v>BTG</v>
      </c>
      <c r="I17" s="18" t="str">
        <v>GCA</v>
      </c>
      <c r="K17" s="29">
        <f ca="1"/>
        <v>124095.83629383772</v>
      </c>
      <c r="L17" s="29">
        <v>0</v>
      </c>
      <c r="M17" s="203">
        <f ca="1"/>
        <v>2.5340115462897547E-2</v>
      </c>
      <c r="N17" s="19">
        <f ca="1"/>
        <v>4.55787875904638E-3</v>
      </c>
    </row>
    <row r="18" spans="4:14">
      <c r="D18" t="str">
        <v xml:space="preserve">CDB Bradesco Liq. Diária 101,50% CDI </v>
      </c>
      <c r="E18" t="str">
        <v>Renda Fixa - Pós-Fixado</v>
      </c>
      <c r="G18" s="18" t="str">
        <v>D+0</v>
      </c>
      <c r="H18" s="18" t="str">
        <v>Bradesco</v>
      </c>
      <c r="I18" s="18" t="str">
        <v>GCA</v>
      </c>
      <c r="K18" s="29">
        <f ca="1"/>
        <v>63826.67</v>
      </c>
      <c r="L18" s="29">
        <v>0</v>
      </c>
      <c r="M18" s="203">
        <f ca="1"/>
        <v>1.3033275214670306E-2</v>
      </c>
      <c r="N18" s="19">
        <f ca="1"/>
        <v>0</v>
      </c>
    </row>
    <row r="19" spans="4:14">
      <c r="D19" t="str">
        <v>CRA BTG Pactual 09/33 109% CDI</v>
      </c>
      <c r="E19" t="str">
        <v>Renda Fixa - Pós-Fixado</v>
      </c>
      <c r="G19" s="18">
        <v>2033</v>
      </c>
      <c r="H19" s="18" t="str">
        <v>BTG</v>
      </c>
      <c r="I19" s="18" t="str">
        <v>GCA</v>
      </c>
      <c r="K19" s="29">
        <f ca="1"/>
        <v>209049.01170669001</v>
      </c>
      <c r="L19" s="29">
        <v>0</v>
      </c>
      <c r="M19" s="203">
        <f ca="1"/>
        <v>4.2687379788544907E-2</v>
      </c>
      <c r="N19" s="19">
        <f ca="1"/>
        <v>3.7188235294117289E-3</v>
      </c>
    </row>
    <row r="20" spans="4:14">
      <c r="D20" t="str">
        <v>CRA Camil 04/25 101% CDI</v>
      </c>
      <c r="E20" t="str">
        <v>Renda Fixa - Pós-Fixado</v>
      </c>
      <c r="G20" s="18">
        <v>2025</v>
      </c>
      <c r="H20" s="18" t="str">
        <v>BTG</v>
      </c>
      <c r="I20" s="18" t="str">
        <v>GCA</v>
      </c>
      <c r="K20" s="29">
        <f ca="1"/>
        <v>309877.34004243999</v>
      </c>
      <c r="L20" s="29">
        <v>0</v>
      </c>
      <c r="M20" s="203">
        <f ca="1"/>
        <v>6.3276317808262525E-2</v>
      </c>
      <c r="N20" s="19">
        <f ca="1"/>
        <v>3.6612499999999493E-3</v>
      </c>
    </row>
    <row r="21" spans="4:14">
      <c r="D21" t="str">
        <v>CRA Klabin 03/26 98% CDI</v>
      </c>
      <c r="E21" t="str">
        <v>Renda Fixa - Pós-Fixado</v>
      </c>
      <c r="G21" s="18">
        <v>2026</v>
      </c>
      <c r="H21" s="18" t="str">
        <v>BTG</v>
      </c>
      <c r="I21" s="18" t="str">
        <v>GCA</v>
      </c>
      <c r="K21" s="29">
        <f ca="1"/>
        <v>70760.050155839999</v>
      </c>
      <c r="L21" s="29">
        <v>0</v>
      </c>
      <c r="M21" s="203">
        <f ca="1"/>
        <v>1.4449057233989133E-2</v>
      </c>
      <c r="N21" s="19">
        <f ca="1"/>
        <v>3.4448484848484985E-3</v>
      </c>
    </row>
    <row r="22" spans="4:14">
      <c r="D22" t="str">
        <v>CRA Raízen 07/29 100% CDI</v>
      </c>
      <c r="E22" t="str">
        <v>Renda Fixa - Pós-Fixado</v>
      </c>
      <c r="G22" s="18">
        <v>2029</v>
      </c>
      <c r="H22" s="18" t="str">
        <v>BTG</v>
      </c>
      <c r="I22" s="18" t="str">
        <v>GCA</v>
      </c>
      <c r="K22" s="29">
        <f ca="1"/>
        <v>201527.249079</v>
      </c>
      <c r="L22" s="29">
        <v>0</v>
      </c>
      <c r="M22" s="203">
        <f ca="1"/>
        <v>4.1151451274240379E-2</v>
      </c>
      <c r="N22" s="19">
        <f ca="1"/>
        <v>3.4117647058822384E-3</v>
      </c>
    </row>
    <row r="23" spans="4:14">
      <c r="D23" t="str">
        <v>CRA São Martinho 04/26 98,50% CDI</v>
      </c>
      <c r="E23" t="str">
        <v>Renda Fixa - Pós-Fixado</v>
      </c>
      <c r="G23" s="18">
        <v>2026</v>
      </c>
      <c r="H23" s="18" t="str">
        <v>BTG</v>
      </c>
      <c r="I23" s="18" t="str">
        <v>GCA</v>
      </c>
      <c r="K23" s="29">
        <f ca="1"/>
        <v>309757.67249440501</v>
      </c>
      <c r="L23" s="29">
        <v>0</v>
      </c>
      <c r="M23" s="203">
        <f ca="1"/>
        <v>6.3251881940187243E-2</v>
      </c>
      <c r="N23" s="19">
        <f ca="1"/>
        <v>3.4624242424242907E-3</v>
      </c>
    </row>
    <row r="24" spans="4:14">
      <c r="D24" t="str">
        <v>CRA São Salvador 04/30 106,50% CDI</v>
      </c>
      <c r="E24" t="str">
        <v>Renda Fixa - Pós-Fixado</v>
      </c>
      <c r="G24" s="18">
        <v>2030</v>
      </c>
      <c r="H24" s="18" t="str">
        <v>BTG</v>
      </c>
      <c r="I24" s="18" t="str">
        <v>GCA</v>
      </c>
      <c r="K24" s="29">
        <f ca="1"/>
        <v>76756.833564250002</v>
      </c>
      <c r="L24" s="29">
        <v>0</v>
      </c>
      <c r="M24" s="203">
        <f ca="1"/>
        <v>1.5673588116840709E-2</v>
      </c>
      <c r="N24" s="19">
        <f ca="1"/>
        <v>3.6335294117647641E-3</v>
      </c>
    </row>
    <row r="25" spans="4:14">
      <c r="D25" t="str">
        <v>CRI Cyrella 07/24 100% CDI</v>
      </c>
      <c r="E25" t="str">
        <v>Renda Fixa - Pós-Fixado</v>
      </c>
      <c r="G25" s="18">
        <v>2024</v>
      </c>
      <c r="H25" s="18" t="str">
        <v>BTG</v>
      </c>
      <c r="I25" s="18" t="str">
        <v>GCA</v>
      </c>
      <c r="K25" s="29">
        <f ca="1"/>
        <v>0</v>
      </c>
      <c r="L25" s="29">
        <v>0</v>
      </c>
      <c r="M25" s="203">
        <f ca="1"/>
        <v>0</v>
      </c>
      <c r="N25" s="19" t="str">
        <f ca="1"/>
        <v>0,00%</v>
      </c>
    </row>
    <row r="26" spans="4:14">
      <c r="D26" t="str">
        <v>CRI Localiza 11/32 99% CDI</v>
      </c>
      <c r="E26" t="str">
        <v>Renda Fixa - Pós-Fixado</v>
      </c>
      <c r="G26" s="18">
        <v>2032</v>
      </c>
      <c r="H26" s="18" t="str">
        <v>BTG</v>
      </c>
      <c r="I26" s="18" t="str">
        <v>GCA</v>
      </c>
      <c r="K26" s="29">
        <f ca="1"/>
        <v>139045.72746057002</v>
      </c>
      <c r="L26" s="29">
        <v>0</v>
      </c>
      <c r="M26" s="203">
        <f ca="1"/>
        <v>2.8392852602488108E-2</v>
      </c>
      <c r="N26" s="19">
        <f ca="1"/>
        <v>3.3776470588236093E-3</v>
      </c>
    </row>
    <row r="27" spans="4:14">
      <c r="D27" t="str">
        <v>CRI MRV 05/24 100,40% CDI</v>
      </c>
      <c r="E27" t="str">
        <v>Renda Fixa - Pós-Fixado</v>
      </c>
      <c r="G27" s="18">
        <v>2024</v>
      </c>
      <c r="H27" s="18" t="str">
        <v>BTG</v>
      </c>
      <c r="I27" s="18" t="str">
        <v>GCA</v>
      </c>
      <c r="K27" s="29">
        <f ca="1"/>
        <v>0</v>
      </c>
      <c r="L27" s="29">
        <v>0</v>
      </c>
      <c r="M27" s="203">
        <f ca="1"/>
        <v>0</v>
      </c>
      <c r="N27" s="19" t="str">
        <f ca="1"/>
        <v>0,00%</v>
      </c>
    </row>
    <row r="28" spans="4:14">
      <c r="D28" t="str">
        <v>LCA Bco. ABC 04/25 96% CDI</v>
      </c>
      <c r="E28" t="str">
        <v>Renda Fixa - Pós-Fixado</v>
      </c>
      <c r="G28" s="18">
        <v>2025</v>
      </c>
      <c r="H28" s="18" t="str">
        <v>BTG</v>
      </c>
      <c r="I28" s="18" t="str">
        <v>GCA</v>
      </c>
      <c r="K28" s="29">
        <f ca="1"/>
        <v>103089.21357983998</v>
      </c>
      <c r="L28" s="29">
        <v>0</v>
      </c>
      <c r="M28" s="203">
        <f ca="1"/>
        <v>2.1050606153352226E-2</v>
      </c>
      <c r="N28" s="19">
        <f ca="1"/>
        <v>3.4799999999998721E-3</v>
      </c>
    </row>
    <row r="29" spans="4:14">
      <c r="D29" t="str">
        <v>CRA Fs Bio 02/26 CDI+ 2,75%aa</v>
      </c>
      <c r="E29" t="str">
        <v>Renda Fixa - Pós-Fixado</v>
      </c>
      <c r="G29" s="18">
        <v>2026</v>
      </c>
      <c r="H29" s="18" t="str">
        <v>BTG</v>
      </c>
      <c r="I29" s="18" t="str">
        <v>GCA</v>
      </c>
      <c r="K29" s="29">
        <f ca="1"/>
        <v>150103.04999999999</v>
      </c>
      <c r="L29" s="29">
        <v>0</v>
      </c>
      <c r="M29" s="203">
        <f ca="1"/>
        <v>3.0650735205383854E-2</v>
      </c>
      <c r="N29" s="19">
        <f ca="1"/>
        <v>0</v>
      </c>
    </row>
    <row r="30" spans="4:14">
      <c r="D30" t="str">
        <v>LIG Bradesco 12/25 13,90%aa</v>
      </c>
      <c r="E30" t="str">
        <v>Renda Fixa - Prefixado</v>
      </c>
      <c r="G30" s="18">
        <v>2025</v>
      </c>
      <c r="H30" s="18" t="str">
        <v>Bradesco</v>
      </c>
      <c r="I30" s="18" t="str">
        <v>GCA</v>
      </c>
      <c r="K30" s="29">
        <f ca="1"/>
        <v>0</v>
      </c>
      <c r="L30" s="29">
        <v>0</v>
      </c>
      <c r="M30" s="203">
        <f ca="1"/>
        <v>0</v>
      </c>
      <c r="N30" s="19" t="str">
        <f ca="1"/>
        <v>0,00%</v>
      </c>
    </row>
    <row r="31" spans="4:14">
      <c r="D31" t="str">
        <v>CRA BTG Commodities 03/28 12,79%aa</v>
      </c>
      <c r="E31" t="str">
        <v>Renda Fixa - Prefixado</v>
      </c>
      <c r="G31" s="18">
        <v>2028</v>
      </c>
      <c r="H31" s="18" t="str">
        <v>BTG</v>
      </c>
      <c r="I31" s="18" t="str">
        <v>GCA</v>
      </c>
      <c r="K31" s="29">
        <f ca="1"/>
        <v>176405.07849796119</v>
      </c>
      <c r="L31" s="29">
        <v>0</v>
      </c>
      <c r="M31" s="203">
        <f ca="1"/>
        <v>3.6021555524194622E-2</v>
      </c>
      <c r="N31" s="19">
        <f ca="1"/>
        <v>3.107594165567698E-3</v>
      </c>
    </row>
    <row r="32" spans="4:14">
      <c r="D32" t="str">
        <v>CRA BTG Pactual 09/33 11,96%aa</v>
      </c>
      <c r="E32" t="str">
        <v>Renda Fixa - Prefixado</v>
      </c>
      <c r="G32" s="18">
        <v>2033</v>
      </c>
      <c r="H32" s="18" t="str">
        <v>BTG</v>
      </c>
      <c r="I32" s="18" t="str">
        <v>GCA</v>
      </c>
      <c r="K32" s="29">
        <f ca="1"/>
        <v>104610.94540251062</v>
      </c>
      <c r="L32" s="29">
        <v>0</v>
      </c>
      <c r="M32" s="203">
        <f ca="1"/>
        <v>2.1361340673072406E-2</v>
      </c>
      <c r="N32" s="19">
        <f ca="1"/>
        <v>2.9166532225020996E-3</v>
      </c>
    </row>
    <row r="33" spans="4:14">
      <c r="D33" t="str">
        <v>CRA Engelhart CTP 01/28 13,58%aa</v>
      </c>
      <c r="E33" t="str">
        <v>Renda Fixa - Prefixado</v>
      </c>
      <c r="G33" s="18">
        <v>2028</v>
      </c>
      <c r="H33" s="18" t="str">
        <v>BTG</v>
      </c>
      <c r="I33" s="18" t="str">
        <v>GCA</v>
      </c>
      <c r="K33" s="29">
        <f ca="1"/>
        <v>103398.80892234751</v>
      </c>
      <c r="L33" s="29">
        <v>0</v>
      </c>
      <c r="M33" s="203">
        <f ca="1"/>
        <v>2.1113824887841755E-2</v>
      </c>
      <c r="N33" s="19">
        <f ca="1"/>
        <v>3.2880608555216516E-3</v>
      </c>
    </row>
    <row r="34" spans="4:14">
      <c r="D34" t="str">
        <v>CRA FS Agrisolutions 07/30 13,20%aa</v>
      </c>
      <c r="E34" t="str">
        <v>Renda Fixa - Prefixado</v>
      </c>
      <c r="G34" s="18">
        <v>2030</v>
      </c>
      <c r="H34" s="18" t="str">
        <v>BTG</v>
      </c>
      <c r="I34" s="18" t="str">
        <v>GCA</v>
      </c>
      <c r="K34" s="29">
        <f ca="1"/>
        <v>64554.157839382613</v>
      </c>
      <c r="L34" s="29">
        <v>0</v>
      </c>
      <c r="M34" s="203">
        <f ca="1"/>
        <v>1.3181826740638988E-2</v>
      </c>
      <c r="N34" s="19">
        <f ca="1"/>
        <v>3.2014078580338786E-3</v>
      </c>
    </row>
    <row r="35" spans="4:14">
      <c r="D35" t="str">
        <v>CRA FS Agrisolutions 12/28 12,45%aa</v>
      </c>
      <c r="E35" t="str">
        <v>Renda Fixa - Prefixado</v>
      </c>
      <c r="G35" s="18">
        <v>2028</v>
      </c>
      <c r="H35" s="18" t="str">
        <v>BTG</v>
      </c>
      <c r="I35" s="18" t="str">
        <v>GCA</v>
      </c>
      <c r="K35" s="29">
        <f ca="1"/>
        <v>100819.26411074655</v>
      </c>
      <c r="L35" s="29">
        <v>0</v>
      </c>
      <c r="M35" s="203">
        <f ca="1"/>
        <v>2.0587087123547138E-2</v>
      </c>
      <c r="N35" s="19">
        <f ca="1"/>
        <v>3.0295441113490622E-3</v>
      </c>
    </row>
    <row r="36" spans="4:14">
      <c r="D36" t="str">
        <v>CRA São Salvador 04/31 12,33%aa</v>
      </c>
      <c r="E36" t="str">
        <v>Renda Fixa - Prefixado</v>
      </c>
      <c r="G36" s="18">
        <v>2031</v>
      </c>
      <c r="H36" s="18" t="str">
        <v>BTG</v>
      </c>
      <c r="I36" s="18" t="str">
        <v>GCA</v>
      </c>
      <c r="K36" s="29">
        <f ca="1"/>
        <v>102500.41958636652</v>
      </c>
      <c r="L36" s="29">
        <v>0</v>
      </c>
      <c r="M36" s="203">
        <f ca="1"/>
        <v>2.093037562649434E-2</v>
      </c>
      <c r="N36" s="19">
        <f ca="1"/>
        <v>3.0019419143632303E-3</v>
      </c>
    </row>
    <row r="37" spans="4:14">
      <c r="D37" t="str">
        <v>CRA Vicunha Textil 02/31 12,90%aa</v>
      </c>
      <c r="E37" t="str">
        <v>Renda Fixa - Prefixado</v>
      </c>
      <c r="G37" s="18">
        <v>2031</v>
      </c>
      <c r="H37" s="18" t="str">
        <v>BTG</v>
      </c>
      <c r="I37" s="18" t="str">
        <v>GCA</v>
      </c>
      <c r="K37" s="29">
        <f ca="1"/>
        <v>211541.38263014835</v>
      </c>
      <c r="L37" s="29">
        <v>0</v>
      </c>
      <c r="M37" s="203">
        <f ca="1"/>
        <v>4.3196316823525337E-2</v>
      </c>
      <c r="N37" s="19">
        <f ca="1"/>
        <v>3.1327963909900864E-3</v>
      </c>
    </row>
    <row r="38" spans="4:14">
      <c r="D38" t="str">
        <v>CRI Allos 04/31 11,67%aa</v>
      </c>
      <c r="E38" t="str">
        <v>Renda Fixa - Prefixado</v>
      </c>
      <c r="G38" s="18">
        <v>2031</v>
      </c>
      <c r="H38" s="18" t="str">
        <v>BTG</v>
      </c>
      <c r="I38" s="18" t="str">
        <v>GCA</v>
      </c>
      <c r="K38" s="29">
        <f ca="1"/>
        <v>206997.66213568585</v>
      </c>
      <c r="L38" s="29">
        <v>0</v>
      </c>
      <c r="M38" s="203">
        <f ca="1"/>
        <v>4.2268498409955155E-2</v>
      </c>
      <c r="N38" s="19">
        <f ca="1"/>
        <v>2.8496123932995315E-3</v>
      </c>
    </row>
    <row r="39" spans="4:14">
      <c r="D39" t="str">
        <v>CRI Dasa 01/29 12,30%aa</v>
      </c>
      <c r="E39" t="str">
        <v>Renda Fixa - Prefixado</v>
      </c>
      <c r="G39" s="18">
        <v>2029</v>
      </c>
      <c r="H39" s="18" t="str">
        <v>BTG</v>
      </c>
      <c r="I39" s="18" t="str">
        <v>GCA</v>
      </c>
      <c r="K39" s="29">
        <f ca="1"/>
        <v>75607.431219144055</v>
      </c>
      <c r="L39" s="29">
        <v>0</v>
      </c>
      <c r="M39" s="203">
        <f ca="1"/>
        <v>1.5438882513428323E-2</v>
      </c>
      <c r="N39" s="19">
        <f ca="1"/>
        <v>2.9950368587972065E-3</v>
      </c>
    </row>
    <row r="40" spans="4:14">
      <c r="D40" t="str">
        <v>CRI Dasa 01/31 12,85%aa</v>
      </c>
      <c r="E40" t="str">
        <v>Renda Fixa - Prefixado</v>
      </c>
      <c r="G40" s="18">
        <v>2031</v>
      </c>
      <c r="H40" s="18" t="str">
        <v>BTG</v>
      </c>
      <c r="I40" s="18" t="str">
        <v>GCA</v>
      </c>
      <c r="K40" s="29">
        <f ca="1"/>
        <v>75633.124452113261</v>
      </c>
      <c r="L40" s="29">
        <v>0</v>
      </c>
      <c r="M40" s="203">
        <f ca="1"/>
        <v>1.5444129018947761E-2</v>
      </c>
      <c r="N40" s="19">
        <f ca="1"/>
        <v>3.1213438126186837E-3</v>
      </c>
    </row>
    <row r="41" spans="4:14">
      <c r="D41" t="str">
        <v>Deb. Enauta 09/29 13,97%aa</v>
      </c>
      <c r="E41" t="str">
        <v>Renda Fixa - Prefixado</v>
      </c>
      <c r="G41" s="18">
        <v>2029</v>
      </c>
      <c r="H41" s="18" t="str">
        <v>BTG</v>
      </c>
      <c r="I41" s="18" t="str">
        <v>GCA</v>
      </c>
      <c r="K41" s="29">
        <f ca="1"/>
        <v>105353.35925204532</v>
      </c>
      <c r="L41" s="29">
        <v>0</v>
      </c>
      <c r="M41" s="203">
        <f ca="1"/>
        <v>2.1512940059726426E-2</v>
      </c>
      <c r="N41" s="19">
        <f ca="1"/>
        <v>3.3766998447436274E-3</v>
      </c>
    </row>
    <row r="42" spans="4:14">
      <c r="D42" t="str">
        <v>CRA Eco Sec. 06/30 15,00%aa</v>
      </c>
      <c r="E42" t="str">
        <v>Renda Fixa - Prefixado</v>
      </c>
      <c r="G42" s="18">
        <v>2030</v>
      </c>
      <c r="H42" s="18" t="str">
        <v>BTG</v>
      </c>
      <c r="I42" s="18" t="str">
        <v>GCA</v>
      </c>
      <c r="K42" s="29">
        <f ca="1"/>
        <v>100287.56839417701</v>
      </c>
      <c r="L42" s="29">
        <v>0</v>
      </c>
      <c r="M42" s="203">
        <f ca="1"/>
        <v>2.0478515947822132E-2</v>
      </c>
      <c r="N42" s="19">
        <f ca="1"/>
        <v>3.6093789082545496E-3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E9-CCE7-4C42-84E9-8DCCAC21BB39}">
  <sheetPr codeName="Planilha7"/>
  <dimension ref="A1:CB55"/>
  <sheetViews>
    <sheetView tabSelected="1" topLeftCell="A3" zoomScale="110" zoomScaleNormal="110" workbookViewId="0">
      <pane xSplit="2" topLeftCell="AB1" activePane="topRight" state="frozen"/>
      <selection pane="topRight" activeCell="AC27" sqref="AC27"/>
    </sheetView>
  </sheetViews>
  <sheetFormatPr defaultRowHeight="15"/>
  <cols>
    <col min="1" max="1" width="23" style="49" customWidth="1"/>
    <col min="2" max="2" width="29.42578125" style="49" bestFit="1" customWidth="1"/>
    <col min="3" max="3" width="8.5703125" style="49" bestFit="1" customWidth="1"/>
    <col min="4" max="4" width="9.85546875" style="49" bestFit="1" customWidth="1"/>
    <col min="5" max="5" width="11.28515625" bestFit="1" customWidth="1"/>
    <col min="6" max="6" width="11.85546875" bestFit="1" customWidth="1"/>
    <col min="7" max="7" width="14.28515625" bestFit="1" customWidth="1"/>
    <col min="8" max="8" width="19.28515625" bestFit="1" customWidth="1"/>
    <col min="9" max="9" width="13.85546875" style="49" bestFit="1" customWidth="1"/>
    <col min="10" max="10" width="14.7109375" style="49" bestFit="1" customWidth="1"/>
    <col min="11" max="11" width="15.140625" style="49" bestFit="1" customWidth="1"/>
    <col min="12" max="12" width="11.140625" style="49" bestFit="1" customWidth="1"/>
    <col min="13" max="13" width="16.140625" bestFit="1" customWidth="1"/>
    <col min="14" max="14" width="8.42578125" bestFit="1" customWidth="1"/>
    <col min="15" max="15" width="12.5703125" style="31" bestFit="1" customWidth="1"/>
    <col min="16" max="16" width="6.85546875" style="49" bestFit="1" customWidth="1"/>
    <col min="17" max="17" width="12.140625" style="49" bestFit="1" customWidth="1"/>
    <col min="18" max="18" width="24.42578125" bestFit="1" customWidth="1"/>
    <col min="19" max="19" width="29.42578125" style="49" bestFit="1" customWidth="1"/>
    <col min="20" max="20" width="19.42578125" bestFit="1" customWidth="1"/>
    <col min="21" max="21" width="11.42578125" bestFit="1" customWidth="1"/>
    <col min="22" max="22" width="11" bestFit="1" customWidth="1"/>
    <col min="23" max="23" width="14" bestFit="1" customWidth="1"/>
    <col min="24" max="24" width="11" bestFit="1" customWidth="1"/>
    <col min="25" max="25" width="15.5703125" bestFit="1" customWidth="1"/>
    <col min="26" max="26" width="20.85546875" bestFit="1" customWidth="1"/>
    <col min="27" max="27" width="19.5703125" style="49" bestFit="1" customWidth="1"/>
    <col min="28" max="28" width="6" style="49" bestFit="1" customWidth="1"/>
    <col min="29" max="29" width="22.140625" style="182" bestFit="1" customWidth="1"/>
    <col min="30" max="30" width="20.7109375" style="49" bestFit="1" customWidth="1"/>
    <col min="31" max="31" width="12.7109375" bestFit="1" customWidth="1"/>
    <col min="32" max="32" width="16.5703125" bestFit="1" customWidth="1"/>
    <col min="33" max="33" width="27.42578125" style="49" bestFit="1" customWidth="1"/>
    <col min="34" max="34" width="10.42578125" style="49" bestFit="1" customWidth="1"/>
    <col min="35" max="35" width="11.5703125" bestFit="1" customWidth="1"/>
    <col min="36" max="36" width="15.28515625" style="49" bestFit="1" customWidth="1"/>
    <col min="37" max="37" width="7.7109375" style="49" bestFit="1" customWidth="1"/>
    <col min="38" max="38" width="19" style="49" bestFit="1" customWidth="1"/>
    <col min="39" max="39" width="21" style="156" bestFit="1" customWidth="1"/>
    <col min="40" max="40" width="24.85546875" style="49" bestFit="1" customWidth="1"/>
    <col min="41" max="41" width="23.5703125" style="49" bestFit="1" customWidth="1"/>
    <col min="42" max="42" width="26.140625" style="49" bestFit="1" customWidth="1"/>
    <col min="43" max="43" width="20.5703125" style="49" bestFit="1" customWidth="1"/>
    <col min="44" max="44" width="6.42578125" style="49" bestFit="1" customWidth="1"/>
    <col min="45" max="45" width="16.7109375" style="49" bestFit="1" customWidth="1"/>
    <col min="46" max="46" width="18.85546875" style="49" bestFit="1" customWidth="1"/>
    <col min="47" max="47" width="22.42578125" bestFit="1" customWidth="1"/>
    <col min="48" max="48" width="22.7109375" style="49" bestFit="1" customWidth="1"/>
    <col min="49" max="49" width="21.28515625" bestFit="1" customWidth="1"/>
    <col min="51" max="51" width="23.85546875" style="49" bestFit="1" customWidth="1"/>
    <col min="52" max="52" width="19.28515625" style="55" bestFit="1" customWidth="1"/>
    <col min="53" max="53" width="6.85546875" style="49" bestFit="1" customWidth="1"/>
    <col min="54" max="54" width="9.28515625" style="49" customWidth="1"/>
    <col min="55" max="55" width="13.7109375" bestFit="1" customWidth="1"/>
    <col min="56" max="56" width="15.5703125" style="49" bestFit="1" customWidth="1"/>
    <col min="57" max="57" width="22" hidden="1" customWidth="1"/>
    <col min="58" max="58" width="19.85546875" style="49" hidden="1" customWidth="1"/>
    <col min="59" max="59" width="22.42578125" style="182" hidden="1" customWidth="1"/>
    <col min="60" max="60" width="20.28515625" hidden="1" customWidth="1"/>
    <col min="61" max="61" width="23.140625" hidden="1" customWidth="1"/>
    <col min="62" max="62" width="21" hidden="1" customWidth="1"/>
    <col min="63" max="63" width="20.5703125" hidden="1" customWidth="1"/>
    <col min="64" max="64" width="18.5703125" hidden="1" customWidth="1"/>
    <col min="65" max="65" width="7.140625" style="49" bestFit="1" customWidth="1"/>
    <col min="66" max="66" width="16.140625" style="49" bestFit="1" customWidth="1"/>
    <col min="67" max="67" width="30" style="49" bestFit="1" customWidth="1"/>
    <col min="68" max="68" width="12.7109375" style="49" bestFit="1" customWidth="1"/>
    <col min="69" max="69" width="25.140625" style="49" bestFit="1" customWidth="1"/>
    <col min="70" max="70" width="16.42578125" bestFit="1" customWidth="1"/>
    <col min="71" max="71" width="16" bestFit="1" customWidth="1"/>
    <col min="72" max="72" width="21.5703125" style="157" bestFit="1" customWidth="1"/>
    <col min="73" max="73" width="24" style="157" bestFit="1" customWidth="1"/>
    <col min="74" max="74" width="22.7109375" style="49" bestFit="1" customWidth="1"/>
    <col min="75" max="75" width="23.140625" style="55" bestFit="1" customWidth="1"/>
    <col min="76" max="76" width="16.42578125" style="49" bestFit="1" customWidth="1"/>
    <col min="77" max="77" width="16" style="50" bestFit="1" customWidth="1"/>
    <col min="78" max="78" width="18.140625" style="49" bestFit="1" customWidth="1"/>
    <col min="79" max="79" width="17.28515625" style="55" hidden="1" customWidth="1"/>
    <col min="80" max="80" width="15.140625" style="50" hidden="1" customWidth="1"/>
    <col min="81" max="81" width="30.7109375" style="49" customWidth="1"/>
    <col min="82" max="82" width="27.85546875" style="49" customWidth="1"/>
    <col min="83" max="83" width="27.140625" style="49" customWidth="1"/>
    <col min="84" max="84" width="24.42578125" style="49" customWidth="1"/>
    <col min="85" max="85" width="23.140625" style="49" customWidth="1"/>
    <col min="86" max="86" width="21" style="49" customWidth="1"/>
    <col min="87" max="87" width="20.5703125" style="49" customWidth="1"/>
    <col min="88" max="88" width="18.5703125" style="49" customWidth="1"/>
    <col min="89" max="89" width="19.5703125" style="49" bestFit="1" customWidth="1"/>
    <col min="90" max="90" width="24.28515625" style="49" customWidth="1"/>
    <col min="91" max="91" width="25.28515625" style="49" bestFit="1" customWidth="1"/>
    <col min="92" max="92" width="25.28515625" style="49" customWidth="1"/>
    <col min="93" max="93" width="22" style="49" bestFit="1" customWidth="1"/>
    <col min="94" max="94" width="19.5703125" style="49" bestFit="1" customWidth="1"/>
    <col min="95" max="16384" width="9.140625" style="49"/>
  </cols>
  <sheetData>
    <row r="1" spans="1:80" ht="15.75" thickBot="1">
      <c r="B1" s="156"/>
      <c r="E1" s="49"/>
      <c r="F1" s="49"/>
      <c r="G1" s="49"/>
      <c r="H1" s="49"/>
      <c r="M1" s="156"/>
      <c r="N1" s="50"/>
      <c r="O1" s="49"/>
      <c r="R1" s="49"/>
      <c r="T1" s="156"/>
      <c r="U1" s="49"/>
      <c r="V1" s="49"/>
      <c r="W1" s="182"/>
      <c r="X1" s="49"/>
      <c r="Y1" s="49"/>
      <c r="Z1" s="49"/>
      <c r="AC1" s="49"/>
      <c r="AE1" s="49"/>
      <c r="AF1" s="49"/>
      <c r="AI1" s="49"/>
      <c r="AJ1" s="55"/>
      <c r="AM1" s="49"/>
      <c r="AU1" s="182"/>
      <c r="AW1" s="49"/>
      <c r="AX1" s="49"/>
      <c r="AY1" s="55"/>
      <c r="AZ1" s="49"/>
      <c r="BB1" s="55"/>
      <c r="BC1" s="49"/>
      <c r="BE1" s="49"/>
      <c r="BG1" s="49"/>
      <c r="BH1" s="49"/>
      <c r="BI1" s="49"/>
      <c r="BJ1" s="49"/>
      <c r="BK1" s="49"/>
      <c r="BM1" s="157"/>
      <c r="BN1" s="157"/>
      <c r="BP1"/>
      <c r="BQ1"/>
      <c r="BR1" s="50"/>
      <c r="BS1" s="49"/>
      <c r="BT1" s="55"/>
      <c r="BU1" s="50"/>
      <c r="BW1" s="49"/>
      <c r="BY1" s="49"/>
      <c r="CA1" s="49"/>
      <c r="CB1" s="49"/>
    </row>
    <row r="2" spans="1:80">
      <c r="A2" s="51" t="s">
        <v>40</v>
      </c>
      <c r="B2" s="53">
        <f>WORKDAY(DATE(YEAR($A$3),MONTH($A$3),1),-1)</f>
        <v>45471</v>
      </c>
      <c r="E2" s="49"/>
      <c r="F2" s="49"/>
      <c r="G2" s="49"/>
      <c r="H2" s="49"/>
      <c r="M2" s="156"/>
      <c r="N2" s="50"/>
      <c r="O2" s="49"/>
      <c r="R2" s="49"/>
      <c r="T2" s="156"/>
      <c r="U2" s="49"/>
      <c r="V2" s="49"/>
      <c r="W2" s="182"/>
      <c r="X2" s="49"/>
      <c r="Y2" s="49"/>
      <c r="Z2" s="49"/>
      <c r="AA2" s="49" t="b">
        <v>0</v>
      </c>
      <c r="AC2" s="56" t="s">
        <v>98</v>
      </c>
      <c r="AD2" s="57">
        <f>SUMPRODUCT(Dados[Performance | Mês Atual],Dados[Peso Corrigido | Carteira])</f>
        <v>6.7280865242948622E-3</v>
      </c>
      <c r="AE2" s="49" t="s">
        <v>313</v>
      </c>
      <c r="AF2" s="49" t="s">
        <v>314</v>
      </c>
      <c r="AI2" s="49"/>
      <c r="AJ2" s="55"/>
      <c r="AM2" s="49"/>
      <c r="AU2" s="182"/>
      <c r="AW2" s="49"/>
      <c r="AX2" s="49"/>
      <c r="AY2" s="55"/>
      <c r="AZ2" s="49"/>
      <c r="BB2" s="55"/>
      <c r="BC2" s="49"/>
      <c r="BE2" s="49"/>
      <c r="BG2" s="49"/>
      <c r="BH2" s="49"/>
      <c r="BI2" s="49"/>
      <c r="BJ2" s="49"/>
      <c r="BK2" s="49"/>
      <c r="BM2" s="157"/>
      <c r="BN2" s="157"/>
      <c r="BP2"/>
      <c r="BQ2"/>
      <c r="BR2" s="50"/>
      <c r="BT2" s="55"/>
      <c r="BU2" s="50"/>
      <c r="BW2" s="49"/>
      <c r="BY2" s="49"/>
      <c r="CA2" s="49"/>
      <c r="CB2" s="49"/>
    </row>
    <row r="3" spans="1:80" ht="15.75" thickBot="1">
      <c r="A3" s="52">
        <v>45474</v>
      </c>
      <c r="B3" s="53">
        <f>WORKDAY(DATE(YEAR($A$3),MONTH($A$3)+1,1),-1)</f>
        <v>45504</v>
      </c>
      <c r="E3" s="49"/>
      <c r="F3" s="49"/>
      <c r="G3" s="49"/>
      <c r="H3" s="49"/>
      <c r="M3" s="49"/>
      <c r="N3" s="50"/>
      <c r="O3" s="49"/>
      <c r="R3" s="49"/>
      <c r="T3" s="49"/>
      <c r="U3" s="49"/>
      <c r="V3" s="49"/>
      <c r="W3" s="182"/>
      <c r="X3" s="49"/>
      <c r="Y3" s="49"/>
      <c r="Z3" s="49"/>
      <c r="AC3" s="49"/>
      <c r="AE3" s="49" t="s">
        <v>309</v>
      </c>
      <c r="AF3" s="49" t="s">
        <v>12</v>
      </c>
      <c r="AG3" s="49" t="s">
        <v>12</v>
      </c>
      <c r="AI3" s="49" t="s">
        <v>12</v>
      </c>
      <c r="AJ3" s="55" t="s">
        <v>309</v>
      </c>
      <c r="AM3" s="49"/>
      <c r="AU3" s="182"/>
      <c r="AW3" s="49"/>
      <c r="AX3" s="49"/>
      <c r="AY3" s="55"/>
      <c r="AZ3" s="49"/>
      <c r="BB3" s="55"/>
      <c r="BC3" s="49"/>
      <c r="BE3" s="49"/>
      <c r="BG3" s="49"/>
      <c r="BH3" s="49"/>
      <c r="BI3" s="49"/>
      <c r="BJ3" s="49"/>
      <c r="BK3" s="49"/>
      <c r="BM3" s="157"/>
      <c r="BN3" s="157"/>
      <c r="BP3"/>
      <c r="BQ3"/>
      <c r="BR3" s="50"/>
      <c r="BS3" s="49"/>
      <c r="BT3" s="55"/>
      <c r="BU3" s="50"/>
      <c r="BW3" s="49"/>
      <c r="BY3" s="49"/>
      <c r="CA3" s="49"/>
      <c r="CB3" s="49"/>
    </row>
    <row r="4" spans="1:80" ht="12" thickBot="1">
      <c r="B4" s="156"/>
      <c r="E4" s="49"/>
      <c r="F4" s="49"/>
      <c r="G4" s="49"/>
      <c r="H4" s="49"/>
      <c r="M4" s="49" t="s">
        <v>170</v>
      </c>
      <c r="N4" s="50"/>
      <c r="O4" s="49" t="s">
        <v>163</v>
      </c>
      <c r="P4" s="49" t="s">
        <v>142</v>
      </c>
      <c r="Q4" s="49" t="s">
        <v>171</v>
      </c>
      <c r="R4" s="49"/>
      <c r="T4" s="49"/>
      <c r="U4" s="49"/>
      <c r="V4" s="49"/>
      <c r="W4" s="182"/>
      <c r="X4" s="49"/>
      <c r="Y4" s="49"/>
      <c r="Z4" s="49"/>
      <c r="AC4" s="49"/>
      <c r="AE4" s="49" t="s">
        <v>308</v>
      </c>
      <c r="AF4" s="49" t="s">
        <v>310</v>
      </c>
      <c r="AG4" s="49" t="s">
        <v>312</v>
      </c>
      <c r="AI4" s="49"/>
      <c r="AJ4" s="55" t="s">
        <v>311</v>
      </c>
      <c r="AM4" s="49"/>
      <c r="AU4" s="182"/>
      <c r="AW4" s="49"/>
      <c r="AX4" s="49"/>
      <c r="AY4" s="55"/>
      <c r="AZ4" s="49"/>
      <c r="BB4" s="55" t="s">
        <v>193</v>
      </c>
      <c r="BC4" s="49"/>
      <c r="BE4" s="49"/>
      <c r="BG4" s="49"/>
      <c r="BH4" s="49"/>
      <c r="BI4" s="49"/>
      <c r="BJ4" s="49"/>
      <c r="BK4" s="49"/>
      <c r="BL4" s="49"/>
      <c r="BM4" s="156"/>
      <c r="BN4" s="156"/>
      <c r="BP4" s="55"/>
      <c r="BR4" s="50"/>
      <c r="BS4" s="49"/>
      <c r="BT4" s="55"/>
      <c r="BU4" s="50"/>
      <c r="BW4" s="49"/>
      <c r="BY4" s="49"/>
      <c r="CA4" s="49"/>
      <c r="CB4" s="49"/>
    </row>
    <row r="5" spans="1:80" ht="12" thickBot="1">
      <c r="B5" s="43" t="s">
        <v>6</v>
      </c>
      <c r="C5" s="43" t="s">
        <v>161</v>
      </c>
      <c r="D5" s="179" t="s">
        <v>99</v>
      </c>
      <c r="E5" s="181" t="s">
        <v>0</v>
      </c>
      <c r="F5" s="181" t="s">
        <v>7</v>
      </c>
      <c r="G5" s="181" t="s">
        <v>1</v>
      </c>
      <c r="H5" s="181" t="s">
        <v>2</v>
      </c>
      <c r="I5" s="181" t="s">
        <v>4</v>
      </c>
      <c r="J5" s="181" t="s">
        <v>5</v>
      </c>
      <c r="K5" s="181" t="s">
        <v>3</v>
      </c>
      <c r="L5" s="181" t="s">
        <v>9</v>
      </c>
      <c r="M5" s="181" t="s">
        <v>168</v>
      </c>
      <c r="N5" s="198" t="s">
        <v>8</v>
      </c>
      <c r="O5" s="181" t="s">
        <v>59</v>
      </c>
      <c r="P5" s="181" t="s">
        <v>10</v>
      </c>
      <c r="Q5" s="180" t="s">
        <v>95</v>
      </c>
      <c r="R5" s="43" t="s">
        <v>43</v>
      </c>
      <c r="S5" s="43" t="s">
        <v>159</v>
      </c>
      <c r="T5" s="43" t="s">
        <v>160</v>
      </c>
      <c r="U5" s="43" t="s">
        <v>96</v>
      </c>
      <c r="V5" s="189" t="s">
        <v>173</v>
      </c>
      <c r="W5" s="56" t="s">
        <v>174</v>
      </c>
      <c r="X5" s="44" t="s">
        <v>11</v>
      </c>
      <c r="Y5" s="169" t="s">
        <v>66</v>
      </c>
      <c r="Z5" s="45" t="s">
        <v>67</v>
      </c>
      <c r="AA5" s="45" t="s">
        <v>68</v>
      </c>
      <c r="AB5" s="44" t="s">
        <v>12</v>
      </c>
      <c r="AC5" s="172" t="s">
        <v>65</v>
      </c>
      <c r="AD5" s="173" t="s">
        <v>64</v>
      </c>
      <c r="AE5" s="173" t="s">
        <v>25</v>
      </c>
      <c r="AF5" s="173" t="s">
        <v>26</v>
      </c>
      <c r="AG5" s="173" t="s">
        <v>27</v>
      </c>
      <c r="AH5" s="173" t="s">
        <v>28</v>
      </c>
      <c r="AI5" s="173" t="s">
        <v>169</v>
      </c>
      <c r="AJ5" s="174" t="s">
        <v>141</v>
      </c>
      <c r="AK5" s="46" t="s">
        <v>69</v>
      </c>
      <c r="AL5" s="47" t="s">
        <v>18</v>
      </c>
      <c r="AM5" s="47" t="s">
        <v>15</v>
      </c>
      <c r="AN5" s="175" t="s">
        <v>13</v>
      </c>
      <c r="AO5" s="176" t="s">
        <v>14</v>
      </c>
      <c r="AP5" s="176" t="s">
        <v>16</v>
      </c>
      <c r="AQ5" s="177" t="s">
        <v>17</v>
      </c>
      <c r="AR5" s="46" t="s">
        <v>19</v>
      </c>
      <c r="AS5" s="170" t="s">
        <v>24</v>
      </c>
      <c r="AT5" s="48" t="s">
        <v>21</v>
      </c>
      <c r="AU5" s="183" t="s">
        <v>39</v>
      </c>
      <c r="AV5" s="48" t="s">
        <v>20</v>
      </c>
      <c r="AW5" s="48" t="s">
        <v>97</v>
      </c>
      <c r="AX5" s="48" t="s">
        <v>22</v>
      </c>
      <c r="AY5" s="165" t="s">
        <v>23</v>
      </c>
      <c r="AZ5" s="46" t="s">
        <v>29</v>
      </c>
      <c r="BA5" s="220" t="s">
        <v>198</v>
      </c>
      <c r="BB5" s="178" t="s">
        <v>54</v>
      </c>
      <c r="BC5" s="171" t="s">
        <v>30</v>
      </c>
      <c r="BD5" s="171" t="s">
        <v>31</v>
      </c>
      <c r="BE5" s="171" t="s">
        <v>36</v>
      </c>
      <c r="BF5" s="171" t="s">
        <v>33</v>
      </c>
      <c r="BG5" s="171" t="s">
        <v>37</v>
      </c>
      <c r="BH5" s="171" t="s">
        <v>32</v>
      </c>
      <c r="BI5" s="171" t="s">
        <v>38</v>
      </c>
      <c r="BJ5" s="171" t="s">
        <v>34</v>
      </c>
      <c r="BK5" s="171" t="s">
        <v>35</v>
      </c>
      <c r="BL5" s="46" t="s">
        <v>181</v>
      </c>
      <c r="BM5" s="156" t="s">
        <v>191</v>
      </c>
      <c r="BN5" s="49" t="s">
        <v>192</v>
      </c>
      <c r="BO5" s="49" t="s">
        <v>183</v>
      </c>
      <c r="BP5" s="200" t="s">
        <v>190</v>
      </c>
      <c r="BQ5" s="201" t="s">
        <v>185</v>
      </c>
      <c r="BR5" s="50" t="s">
        <v>186</v>
      </c>
      <c r="BS5" s="49" t="s">
        <v>187</v>
      </c>
      <c r="BT5" s="55" t="s">
        <v>188</v>
      </c>
      <c r="BU5" s="50" t="s">
        <v>189</v>
      </c>
      <c r="BW5" s="49"/>
      <c r="BY5" s="49"/>
      <c r="CA5" s="49"/>
      <c r="CB5" s="49"/>
    </row>
    <row r="6" spans="1:80" ht="11.25">
      <c r="B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BTG CDB Plus FI RF CP</v>
      </c>
      <c r="C6" s="166">
        <f t="shared" ref="C6:C12" si="0">$A$3</f>
        <v>45474</v>
      </c>
      <c r="D6" s="49" t="s">
        <v>233</v>
      </c>
      <c r="E6" s="156" t="s">
        <v>203</v>
      </c>
      <c r="F6" s="156" t="s">
        <v>52</v>
      </c>
      <c r="G6" s="156"/>
      <c r="H6" s="156" t="s">
        <v>204</v>
      </c>
      <c r="I6" s="53"/>
      <c r="L6" s="49" t="s">
        <v>137</v>
      </c>
      <c r="M6" s="156" t="s">
        <v>282</v>
      </c>
      <c r="N6" s="199"/>
      <c r="O6" s="50"/>
      <c r="R6" s="156" t="str">
        <f>IFERROR(_xlfn.XLOOKUP(Dados[[#This Row],[Subclasse]],ClasseSubClasse[SubClasse],ClasseSubClasse[Classe]),"ERRO")</f>
        <v>Fundos de Investimento</v>
      </c>
      <c r="S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BTG CDB Plus FI RF CP</v>
      </c>
      <c r="T6" s="156" t="str">
        <f>IFERROR(_xlfn.XLOOKUP(Dados[[#This Row],[Subclasse]],ClasseSubClasse[SubClasse],ClasseSubClasse[Nomenclatura]),"ERRO")</f>
        <v>Fundos - Renda Fixa</v>
      </c>
      <c r="U6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6" s="50"/>
      <c r="W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6" s="49"/>
      <c r="Y6" s="50" t="str" cm="1">
        <f t="array" ref="Y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6" s="54" t="str">
        <f>IFERROR((1+Dados[[#This Row],[Taxa | Esperada]])*Dados[[#This Row],[Saldo Líquido | Mês Anterior]]+Dados[[#This Row],[Juros / Dividendos]],"")</f>
        <v/>
      </c>
      <c r="AA6" s="54" t="str">
        <f>IFERROR(IF(Dados[[#This Row],[Classe]]="Renda Fixa",(1+Dados[[#This Row],[Taxa | Esperada]])*Dados[[#This Row],[Saldo Bruto | Mês Anterior]]+Dados[[#This Row],[Juros / Dividendos]],""),"")</f>
        <v/>
      </c>
      <c r="AC6" s="55">
        <v>691885.54</v>
      </c>
      <c r="AD6" s="55">
        <v>694574.54</v>
      </c>
      <c r="AE6" s="55">
        <v>88408.08</v>
      </c>
      <c r="AF6" s="55">
        <v>-250211.68</v>
      </c>
      <c r="AG6" s="55"/>
      <c r="AH6" s="55"/>
      <c r="AI6" s="55"/>
      <c r="AJ6" s="55">
        <v>914.21</v>
      </c>
      <c r="AL6" s="50">
        <f>Dados[[#This Row],[Saldo Bruto | Mês Anterior]]/SUM(Dados[Saldo Bruto | Mês Anterior])</f>
        <v>0.14646684773290244</v>
      </c>
      <c r="AM6" s="55">
        <f>Dados[[#This Row],[Saldo Bruto | Mês Anterior]]-Dados[[#This Row],[Saldo Líquido | Mês Anterior]]</f>
        <v>2300.0500000000466</v>
      </c>
      <c r="AN6" s="55">
        <v>847245.82</v>
      </c>
      <c r="AO6" s="55">
        <v>849545.87</v>
      </c>
      <c r="AP6" s="55">
        <v>216408.42</v>
      </c>
      <c r="AQ6" s="55">
        <v>0</v>
      </c>
      <c r="AS6" s="50">
        <f>IFERROR(Dados[[#This Row],[Saldo Bruto | Mês Atual]]/SUM(Dados[Saldo Bruto | Mês Atual]),"0,00%")</f>
        <v>0.14213558319548927</v>
      </c>
      <c r="AT6" s="55">
        <f>Dados[[#This Row],[Saldo Bruto | Mês Atual]]-Dados[[#This Row],[Saldo Líquido | Mês Atual]]</f>
        <v>2689</v>
      </c>
      <c r="AU6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8.042261449637822E-3</v>
      </c>
      <c r="AV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691885.54</v>
      </c>
      <c r="AW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694574.54</v>
      </c>
      <c r="AX6" s="55">
        <f>SUM(Dados[[#This Row],[Aplicações]:[Cashback]])</f>
        <v>-161803.59999999998</v>
      </c>
      <c r="AY6" s="55">
        <f>Dados[[#This Row],[Imposto Pago]]</f>
        <v>914.21</v>
      </c>
      <c r="AZ6" s="49"/>
      <c r="BA6" s="49" t="b">
        <f>OR(Dados[[#This Row],[Saldo Bruto | Mês Anterior]]&lt;&gt;0,Dados[[#This Row],[Saldo Bruto | Mês Atual]]&lt;&gt;0,Dados[[#This Row],[Movimentaçao | Mês Atual]]&lt;&gt;0)</f>
        <v>1</v>
      </c>
      <c r="BB6" s="55"/>
      <c r="BC6" s="55">
        <f>IF(Dados[[#This Row],[Participação]]="",IF(Dados[[#This Row],[Movimentaçao | Mês Atual]]&gt;0,Dados[[#This Row],[Saldo Bruto | Mês Atual]],Dados[[#This Row],[Saldo Bruto | Mês Atual]]-Dados[[#This Row],[Movimentaçao | Mês Atual]]),0)</f>
        <v>856378.14</v>
      </c>
      <c r="BD6" s="50">
        <f>IFERROR(Dados[[#This Row],[Saldo Corrigido]]/SUM(Dados[Saldo Corrigido]),"0,00%")</f>
        <v>0.1691911661014262</v>
      </c>
      <c r="BE6" s="50">
        <f>IFERROR(SUMPRODUCT(Dados[Performance | Mês Atual],Dados[Peso Corrigido | Carteira]),"0,00%")</f>
        <v>6.7280865242948622E-3</v>
      </c>
      <c r="BF6" s="50">
        <f>IFERROR(Dados[[#This Row],[Saldo Corrigido]]/SUMIF(Dados[Custódia],Dados[[#This Row],[Custódia]],Dados[Saldo Corrigido]),"0,00%")</f>
        <v>0.17135194644342647</v>
      </c>
      <c r="BG6" s="50" cm="1">
        <f t="array" ref="BG6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6" s="50">
        <f>IFERROR(Dados[[#This Row],[Saldo Corrigido]]/SUMIF(Dados[Subclasse],Dados[[#This Row],[Subclasse]],Dados[Saldo Corrigido]),"0,00%")</f>
        <v>1</v>
      </c>
      <c r="BI6" s="50" cm="1">
        <f t="array" ref="BI6">IFERROR(SUMPRODUCT((_xlfn._xlws.FILTER(Dados[Peso Corrigido | SubClasse],Dados[Subclasse]=Dados[[#This Row],[Subclasse]])),_xlfn._xlws.FILTER(Dados[Performance | Mês Atual],Dados[Subclasse]=Dados[[#This Row],[Subclasse]])),"0,00%")</f>
        <v>8.042261449637822E-3</v>
      </c>
      <c r="BJ6" s="50">
        <f>IFERROR(Dados[[#This Row],[Saldo Corrigido]]/SUMIF(Dados[Classe],Dados[[#This Row],[Classe]],Dados[Saldo Corrigido]),"0,00%")</f>
        <v>0.74330734208330129</v>
      </c>
      <c r="BK6" s="50" cm="1">
        <f t="array" ref="BK6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6" s="50"/>
      <c r="BM6" s="199" t="str">
        <f>IF(Dados[[#This Row],[Ticker do Ativo]]="","",Dados[[#This Row],[Ticker do Ativo]])</f>
        <v>27.717.359/0001-30</v>
      </c>
      <c r="BN6" s="199"/>
      <c r="BO6" s="50" t="str" cm="1">
        <f t="array" ref="BO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6" s="191"/>
      <c r="BQ6" s="202">
        <f>IFERROR(Dados[[#This Row],[Saldo Bruto | Mês Atual]]*(1+Dados[[#This Row],[Taxa RF / FI]])+Dados[[#This Row],[Movimentações Atualizadas]],Dados[[#This Row],[Saldo Bruto | Mês Atual]]+Dados[[#This Row],[Movimentações Atualizadas]])</f>
        <v>694574.54</v>
      </c>
      <c r="BR6" s="50">
        <f ca="1">IFERROR(Dados[[#This Row],[Saldo Atualizado]]/SUM(Dados[Saldo Atualizado]),"0,00%")</f>
        <v>0.14183069768363335</v>
      </c>
      <c r="BS6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6" s="55">
        <f>IF(Dados[[#This Row],[Participação]]="",IF(Dados[[#This Row],[Movimentações Atualizadas]]&gt;0,Dados[[#This Row],[Saldo Atualizado]],Dados[[#This Row],[Saldo Atualizado]]-Dados[[#This Row],[Movimentações Atualizadas]]),0)</f>
        <v>694574.54</v>
      </c>
      <c r="BU6" s="50">
        <f ca="1">Dados[[#This Row],[Saldo Corrigido Atualizado]]/SUM(Dados[Saldo Corrigido Atualizado])</f>
        <v>0.14183069768363335</v>
      </c>
      <c r="BW6" s="49"/>
      <c r="BY6" s="49"/>
      <c r="CA6" s="49"/>
      <c r="CB6" s="49"/>
    </row>
    <row r="7" spans="1:80" ht="11.25">
      <c r="B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BTLG11</v>
      </c>
      <c r="C7" s="166">
        <f t="shared" si="0"/>
        <v>45474</v>
      </c>
      <c r="D7" s="49" t="s">
        <v>233</v>
      </c>
      <c r="E7" s="156" t="s">
        <v>203</v>
      </c>
      <c r="F7" s="156" t="s">
        <v>48</v>
      </c>
      <c r="G7" s="156"/>
      <c r="H7" s="156" t="s">
        <v>205</v>
      </c>
      <c r="I7" s="53"/>
      <c r="L7" s="49" t="s">
        <v>236</v>
      </c>
      <c r="M7" s="156" t="s">
        <v>205</v>
      </c>
      <c r="N7" s="199"/>
      <c r="O7" s="50"/>
      <c r="R7" s="156" t="str">
        <f>IFERROR(_xlfn.XLOOKUP(Dados[[#This Row],[Subclasse]],ClasseSubClasse[SubClasse],ClasseSubClasse[Classe]),"ERRO")</f>
        <v>Bolsa de Valores</v>
      </c>
      <c r="S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BTLG11</v>
      </c>
      <c r="T7" s="156" t="str">
        <f>IFERROR(_xlfn.XLOOKUP(Dados[[#This Row],[Subclasse]],ClasseSubClasse[SubClasse],ClasseSubClasse[Nomenclatura]),"ERRO")</f>
        <v>Bolsa - Fundo Imobiliário</v>
      </c>
      <c r="U7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7" s="50"/>
      <c r="W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7" s="49"/>
      <c r="Y7" s="50" t="str" cm="1">
        <f t="array" ref="Y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7" s="54" t="str">
        <f>IFERROR((1+Dados[[#This Row],[Taxa | Esperada]])*Dados[[#This Row],[Saldo Líquido | Mês Anterior]]+Dados[[#This Row],[Juros / Dividendos]],"")</f>
        <v/>
      </c>
      <c r="AA7" s="54" t="str">
        <f>IFERROR(IF(Dados[[#This Row],[Classe]]="Renda Fixa",(1+Dados[[#This Row],[Taxa | Esperada]])*Dados[[#This Row],[Saldo Bruto | Mês Anterior]]+Dados[[#This Row],[Juros / Dividendos]],""),"")</f>
        <v/>
      </c>
      <c r="AC7" s="55">
        <v>142304.95999999999</v>
      </c>
      <c r="AD7" s="55">
        <v>142304.95999999999</v>
      </c>
      <c r="AE7" s="55"/>
      <c r="AF7" s="55"/>
      <c r="AG7" s="55">
        <v>-1074.6400000000001</v>
      </c>
      <c r="AH7" s="55"/>
      <c r="AI7" s="55"/>
      <c r="AJ7" s="55"/>
      <c r="AL7" s="50">
        <f>Dados[[#This Row],[Saldo Bruto | Mês Anterior]]/SUM(Dados[Saldo Bruto | Mês Anterior])</f>
        <v>2.4317269930061367E-2</v>
      </c>
      <c r="AM7" s="55">
        <f>Dados[[#This Row],[Saldo Bruto | Mês Anterior]]-Dados[[#This Row],[Saldo Líquido | Mês Anterior]]</f>
        <v>0</v>
      </c>
      <c r="AN7" s="55">
        <v>141046.5</v>
      </c>
      <c r="AO7" s="55">
        <v>141046.5</v>
      </c>
      <c r="AP7" s="55">
        <v>-1074.6400000000001</v>
      </c>
      <c r="AQ7" s="55">
        <v>0</v>
      </c>
      <c r="AS7" s="50">
        <f>IFERROR(Dados[[#This Row],[Saldo Bruto | Mês Atual]]/SUM(Dados[Saldo Bruto | Mês Atual]),"0,00%")</f>
        <v>2.9120846383472059E-2</v>
      </c>
      <c r="AT7" s="55">
        <f>Dados[[#This Row],[Saldo Bruto | Mês Atual]]-Dados[[#This Row],[Saldo Líquido | Mês Atual]]</f>
        <v>0</v>
      </c>
      <c r="AU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1.6541353383458635E-2</v>
      </c>
      <c r="AV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142304.95999999999</v>
      </c>
      <c r="AW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142304.95999999999</v>
      </c>
      <c r="AX7" s="55">
        <f>SUM(Dados[[#This Row],[Aplicações]:[Cashback]])</f>
        <v>-1074.6400000000001</v>
      </c>
      <c r="AY7" s="55">
        <f>Dados[[#This Row],[Imposto Pago]]</f>
        <v>0</v>
      </c>
      <c r="AZ7" s="49"/>
      <c r="BA7" s="49" t="b">
        <f>OR(Dados[[#This Row],[Saldo Bruto | Mês Anterior]]&lt;&gt;0,Dados[[#This Row],[Saldo Bruto | Mês Atual]]&lt;&gt;0,Dados[[#This Row],[Movimentaçao | Mês Atual]]&lt;&gt;0)</f>
        <v>1</v>
      </c>
      <c r="BB7" s="55"/>
      <c r="BC7" s="55">
        <f>IF(Dados[[#This Row],[Participação]]="",IF(Dados[[#This Row],[Movimentaçao | Mês Atual]]&gt;0,Dados[[#This Row],[Saldo Bruto | Mês Atual]],Dados[[#This Row],[Saldo Bruto | Mês Atual]]-Dados[[#This Row],[Movimentaçao | Mês Atual]]),0)</f>
        <v>143379.6</v>
      </c>
      <c r="BD7" s="50">
        <f>IFERROR(Dados[[#This Row],[Saldo Corrigido]]/SUM(Dados[Saldo Corrigido]),"0,00%")</f>
        <v>2.8326927774167673E-2</v>
      </c>
      <c r="BE7" s="50">
        <f>IFERROR(SUMPRODUCT(Dados[Performance | Mês Atual],Dados[Peso Corrigido | Carteira]),"0,00%")</f>
        <v>6.7280865242948622E-3</v>
      </c>
      <c r="BF7" s="50">
        <f>IFERROR(Dados[[#This Row],[Saldo Corrigido]]/SUMIF(Dados[Custódia],Dados[[#This Row],[Custódia]],Dados[Saldo Corrigido]),"0,00%")</f>
        <v>2.8688697659050372E-2</v>
      </c>
      <c r="BG7" s="50" cm="1">
        <f t="array" ref="BG7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7" s="50">
        <f>IFERROR(Dados[[#This Row],[Saldo Corrigido]]/SUMIF(Dados[Subclasse],Dados[[#This Row],[Subclasse]],Dados[Saldo Corrigido]),"0,00%")</f>
        <v>1</v>
      </c>
      <c r="BI7" s="50" cm="1">
        <f t="array" ref="BI7">IFERROR(SUMPRODUCT((_xlfn._xlws.FILTER(Dados[Peso Corrigido | SubClasse],Dados[Subclasse]=Dados[[#This Row],[Subclasse]])),_xlfn._xlws.FILTER(Dados[Performance | Mês Atual],Dados[Subclasse]=Dados[[#This Row],[Subclasse]])),"0,00%")</f>
        <v>1.6541353383458635E-2</v>
      </c>
      <c r="BJ7" s="50">
        <f>IFERROR(Dados[[#This Row],[Saldo Corrigido]]/SUMIF(Dados[Classe],Dados[[#This Row],[Classe]],Dados[Saldo Corrigido]),"0,00%")</f>
        <v>1</v>
      </c>
      <c r="BK7" s="50" cm="1">
        <f t="array" ref="BK7">IFERROR(SUMPRODUCT((_xlfn._xlws.FILTER(Dados[Peso Corrigido | Classe],Dados[Classe]=Dados[[#This Row],[Classe]])),_xlfn._xlws.FILTER(Dados[Performance | Mês Atual],Dados[Classe]=Dados[[#This Row],[Classe]])),"0,00%")</f>
        <v>1.6541353383458635E-2</v>
      </c>
      <c r="BL7" s="50"/>
      <c r="BM7" s="199" t="str">
        <f>IF(Dados[[#This Row],[Ticker do Ativo]]="","",Dados[[#This Row],[Ticker do Ativo]])</f>
        <v>BTLG11</v>
      </c>
      <c r="BN7" s="199"/>
      <c r="BO7" s="50" t="str" cm="1">
        <f t="array" ref="BO7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7" s="191"/>
      <c r="BQ7" s="202">
        <f>IFERROR(Dados[[#This Row],[Saldo Bruto | Mês Atual]]*(1+Dados[[#This Row],[Taxa RF / FI]])+Dados[[#This Row],[Movimentações Atualizadas]],Dados[[#This Row],[Saldo Bruto | Mês Atual]]+Dados[[#This Row],[Movimentações Atualizadas]])</f>
        <v>142304.95999999999</v>
      </c>
      <c r="BR7" s="50">
        <f ca="1">IFERROR(Dados[[#This Row],[Saldo Atualizado]]/SUM(Dados[Saldo Atualizado]),"0,00%")</f>
        <v>2.9058381207928429E-2</v>
      </c>
      <c r="BS7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7" s="55">
        <f>IF(Dados[[#This Row],[Participação]]="",IF(Dados[[#This Row],[Movimentações Atualizadas]]&gt;0,Dados[[#This Row],[Saldo Atualizado]],Dados[[#This Row],[Saldo Atualizado]]-Dados[[#This Row],[Movimentações Atualizadas]]),0)</f>
        <v>142304.95999999999</v>
      </c>
      <c r="BU7" s="50">
        <f ca="1">Dados[[#This Row],[Saldo Corrigido Atualizado]]/SUM(Dados[Saldo Corrigido Atualizado])</f>
        <v>2.9058381207928429E-2</v>
      </c>
      <c r="BW7" s="49"/>
      <c r="BY7" s="49"/>
      <c r="CA7" s="49"/>
      <c r="CB7" s="49"/>
    </row>
    <row r="8" spans="1:80" ht="11.25">
      <c r="B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BTG</v>
      </c>
      <c r="C8" s="166">
        <f t="shared" si="0"/>
        <v>45474</v>
      </c>
      <c r="D8" s="49" t="s">
        <v>233</v>
      </c>
      <c r="E8" s="156" t="s">
        <v>203</v>
      </c>
      <c r="F8" s="156" t="s">
        <v>41</v>
      </c>
      <c r="G8" s="156" t="s">
        <v>207</v>
      </c>
      <c r="H8" s="156" t="s">
        <v>203</v>
      </c>
      <c r="I8" s="53"/>
      <c r="L8" s="49" t="s">
        <v>137</v>
      </c>
      <c r="M8" s="156"/>
      <c r="N8" s="199"/>
      <c r="O8" s="50"/>
      <c r="R8" s="156" t="str">
        <f>IFERROR(_xlfn.XLOOKUP(Dados[[#This Row],[Subclasse]],ClasseSubClasse[SubClasse],ClasseSubClasse[Classe]),"ERRO")</f>
        <v>Corrente, Poupança e Empréstimo</v>
      </c>
      <c r="S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BTG</v>
      </c>
      <c r="T8" s="156" t="str">
        <f>IFERROR(_xlfn.XLOOKUP(Dados[[#This Row],[Subclasse]],ClasseSubClasse[SubClasse],ClasseSubClasse[Nomenclatura]),"ERRO")</f>
        <v>Conta Corrente</v>
      </c>
      <c r="U8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8" s="50"/>
      <c r="W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8" s="49"/>
      <c r="Y8" s="50" t="str" cm="1">
        <f t="array" ref="Y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8" s="54" t="str">
        <f>IFERROR((1+Dados[[#This Row],[Taxa | Esperada]])*Dados[[#This Row],[Saldo Líquido | Mês Anterior]]+Dados[[#This Row],[Juros / Dividendos]],"")</f>
        <v/>
      </c>
      <c r="AA8" s="54" t="str">
        <f>IFERROR(IF(Dados[[#This Row],[Classe]]="Renda Fixa",(1+Dados[[#This Row],[Taxa | Esperada]])*Dados[[#This Row],[Saldo Bruto | Mês Anterior]]+Dados[[#This Row],[Juros / Dividendos]],""),"")</f>
        <v/>
      </c>
      <c r="AC8" s="55">
        <v>1968.08</v>
      </c>
      <c r="AD8" s="55">
        <v>1968.08</v>
      </c>
      <c r="AE8" s="55">
        <v>338939.03</v>
      </c>
      <c r="AF8" s="55">
        <v>-336970.95</v>
      </c>
      <c r="AG8" s="55"/>
      <c r="AH8" s="55"/>
      <c r="AI8" s="55"/>
      <c r="AJ8" s="55"/>
      <c r="AL8" s="50">
        <f>Dados[[#This Row],[Saldo Bruto | Mês Anterior]]/SUM(Dados[Saldo Bruto | Mês Anterior])</f>
        <v>0</v>
      </c>
      <c r="AM8" s="55">
        <f>Dados[[#This Row],[Saldo Bruto | Mês Anterior]]-Dados[[#This Row],[Saldo Líquido | Mês Anterior]]</f>
        <v>0</v>
      </c>
      <c r="AN8" s="55">
        <v>0</v>
      </c>
      <c r="AO8" s="55">
        <v>0</v>
      </c>
      <c r="AP8" s="55">
        <v>-7.0000000006984919E-2</v>
      </c>
      <c r="AQ8" s="55">
        <v>0</v>
      </c>
      <c r="AS8" s="50">
        <f>IFERROR(Dados[[#This Row],[Saldo Bruto | Mês Atual]]/SUM(Dados[Saldo Bruto | Mês Atual]),"0,00%")</f>
        <v>4.0274179726682539E-4</v>
      </c>
      <c r="AT8" s="55">
        <f>Dados[[#This Row],[Saldo Bruto | Mês Atual]]-Dados[[#This Row],[Saldo Líquido | Mês Atual]]</f>
        <v>0</v>
      </c>
      <c r="AU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-8.3266726846886741E-15</v>
      </c>
      <c r="AV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1968.08</v>
      </c>
      <c r="AW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1968.08</v>
      </c>
      <c r="AX8" s="55">
        <f>SUM(Dados[[#This Row],[Aplicações]:[Cashback]])</f>
        <v>1968.0800000000163</v>
      </c>
      <c r="AY8" s="55">
        <f>Dados[[#This Row],[Imposto Pago]]</f>
        <v>0</v>
      </c>
      <c r="AZ8" s="49"/>
      <c r="BA8" s="49" t="b">
        <f>OR(Dados[[#This Row],[Saldo Bruto | Mês Anterior]]&lt;&gt;0,Dados[[#This Row],[Saldo Bruto | Mês Atual]]&lt;&gt;0,Dados[[#This Row],[Movimentaçao | Mês Atual]]&lt;&gt;0)</f>
        <v>1</v>
      </c>
      <c r="BB8" s="55"/>
      <c r="BC8" s="55">
        <f>IF(Dados[[#This Row],[Participação]]="",IF(Dados[[#This Row],[Movimentaçao | Mês Atual]]&gt;0,Dados[[#This Row],[Saldo Bruto | Mês Atual]],Dados[[#This Row],[Saldo Bruto | Mês Atual]]-Dados[[#This Row],[Movimentaçao | Mês Atual]]),0)</f>
        <v>1968.08</v>
      </c>
      <c r="BD8" s="50">
        <f>IFERROR(Dados[[#This Row],[Saldo Corrigido]]/SUM(Dados[Saldo Corrigido]),"0,00%")</f>
        <v>3.8882560708625153E-4</v>
      </c>
      <c r="BE8" s="50">
        <f>IFERROR(SUMPRODUCT(Dados[Performance | Mês Atual],Dados[Peso Corrigido | Carteira]),"0,00%")</f>
        <v>6.7280865242948622E-3</v>
      </c>
      <c r="BF8" s="50">
        <f>IFERROR(Dados[[#This Row],[Saldo Corrigido]]/SUMIF(Dados[Custódia],Dados[[#This Row],[Custódia]],Dados[Saldo Corrigido]),"0,00%")</f>
        <v>3.937913907475251E-4</v>
      </c>
      <c r="BG8" s="50" cm="1">
        <f t="array" ref="BG8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8" s="50">
        <f>IFERROR(Dados[[#This Row],[Saldo Corrigido]]/SUMIF(Dados[Subclasse],Dados[[#This Row],[Subclasse]],Dados[Saldo Corrigido]),"0,00%")</f>
        <v>0.99945661833786159</v>
      </c>
      <c r="BI8" s="50" cm="1">
        <f t="array" ref="BI8">IFERROR(SUMPRODUCT((_xlfn._xlws.FILTER(Dados[Peso Corrigido | SubClasse],Dados[Subclasse]=Dados[[#This Row],[Subclasse]])),_xlfn._xlws.FILTER(Dados[Performance | Mês Atual],Dados[Subclasse]=Dados[[#This Row],[Subclasse]])),"0,00%")</f>
        <v>-8.3221481234451852E-15</v>
      </c>
      <c r="BJ8" s="50">
        <f>IFERROR(Dados[[#This Row],[Saldo Corrigido]]/SUMIF(Dados[Classe],Dados[[#This Row],[Classe]],Dados[Saldo Corrigido]),"0,00%")</f>
        <v>0.99945661833786159</v>
      </c>
      <c r="BK8" s="50" cm="1">
        <f t="array" ref="BK8">IFERROR(SUMPRODUCT((_xlfn._xlws.FILTER(Dados[Peso Corrigido | Classe],Dados[Classe]=Dados[[#This Row],[Classe]])),_xlfn._xlws.FILTER(Dados[Performance | Mês Atual],Dados[Classe]=Dados[[#This Row],[Classe]])),"0,00%")</f>
        <v>-8.3221481234451852E-15</v>
      </c>
      <c r="BL8" s="50"/>
      <c r="BM8" s="199" t="str">
        <f>IF(Dados[[#This Row],[Ticker do Ativo]]="","",Dados[[#This Row],[Ticker do Ativo]])</f>
        <v/>
      </c>
      <c r="BN8" s="199"/>
      <c r="BO8" s="50" t="str" cm="1">
        <f t="array" ref="BO8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8" s="191"/>
      <c r="BQ8" s="202">
        <f>IFERROR(Dados[[#This Row],[Saldo Bruto | Mês Atual]]*(1+Dados[[#This Row],[Taxa RF / FI]])+Dados[[#This Row],[Movimentações Atualizadas]],Dados[[#This Row],[Saldo Bruto | Mês Atual]]+Dados[[#This Row],[Movimentações Atualizadas]])</f>
        <v>1968.08</v>
      </c>
      <c r="BR8" s="50">
        <f ca="1">IFERROR(Dados[[#This Row],[Saldo Atualizado]]/SUM(Dados[Saldo Atualizado]),"0,00%")</f>
        <v>4.0187790283416531E-4</v>
      </c>
      <c r="BS8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8" s="55">
        <f>IF(Dados[[#This Row],[Participação]]="",IF(Dados[[#This Row],[Movimentações Atualizadas]]&gt;0,Dados[[#This Row],[Saldo Atualizado]],Dados[[#This Row],[Saldo Atualizado]]-Dados[[#This Row],[Movimentações Atualizadas]]),0)</f>
        <v>1968.08</v>
      </c>
      <c r="BU8" s="50">
        <f ca="1">Dados[[#This Row],[Saldo Corrigido Atualizado]]/SUM(Dados[Saldo Corrigido Atualizado])</f>
        <v>4.0187790283416531E-4</v>
      </c>
      <c r="BW8" s="49"/>
      <c r="BY8" s="49"/>
      <c r="CA8" s="49"/>
      <c r="CB8" s="49"/>
    </row>
    <row r="9" spans="1:80" ht="11.25" hidden="1">
      <c r="B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BNP Paribas Match DI FIRF</v>
      </c>
      <c r="C9" s="166">
        <f t="shared" si="0"/>
        <v>45474</v>
      </c>
      <c r="D9" s="49" t="s">
        <v>233</v>
      </c>
      <c r="E9" s="156" t="s">
        <v>209</v>
      </c>
      <c r="F9" s="156" t="s">
        <v>52</v>
      </c>
      <c r="G9" s="156"/>
      <c r="H9" s="156" t="s">
        <v>284</v>
      </c>
      <c r="I9" s="53"/>
      <c r="L9" s="49" t="s">
        <v>137</v>
      </c>
      <c r="M9" s="156" t="s">
        <v>279</v>
      </c>
      <c r="N9" s="199"/>
      <c r="O9" s="50"/>
      <c r="R9" s="156" t="str">
        <f>IFERROR(_xlfn.XLOOKUP(Dados[[#This Row],[Subclasse]],ClasseSubClasse[SubClasse],ClasseSubClasse[Classe]),"ERRO")</f>
        <v>Fundos de Investimento</v>
      </c>
      <c r="S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BNP Paribas Match DI FIRF</v>
      </c>
      <c r="T9" s="156" t="str">
        <f>IFERROR(_xlfn.XLOOKUP(Dados[[#This Row],[Subclasse]],ClasseSubClasse[SubClasse],ClasseSubClasse[Nomenclatura]),"ERRO")</f>
        <v>Fundos - Renda Fixa</v>
      </c>
      <c r="U9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9" s="50"/>
      <c r="W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9" s="49"/>
      <c r="Y9" s="50" t="str" cm="1">
        <f t="array" ref="Y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9" s="54" t="str">
        <f>IFERROR((1+Dados[[#This Row],[Taxa | Esperada]])*Dados[[#This Row],[Saldo Líquido | Mês Anterior]]+Dados[[#This Row],[Juros / Dividendos]],"")</f>
        <v/>
      </c>
      <c r="AA9" s="54" t="str">
        <f>IFERROR(IF(Dados[[#This Row],[Classe]]="Renda Fixa",(1+Dados[[#This Row],[Taxa | Esperada]])*Dados[[#This Row],[Saldo Bruto | Mês Anterior]]+Dados[[#This Row],[Juros / Dividendos]],""),"")</f>
        <v/>
      </c>
      <c r="AC9" s="55"/>
      <c r="AD9" s="55"/>
      <c r="AE9" s="55"/>
      <c r="AF9" s="55"/>
      <c r="AG9" s="55"/>
      <c r="AH9" s="55"/>
      <c r="AI9" s="55"/>
      <c r="AJ9" s="55"/>
      <c r="AL9" s="50">
        <f>Dados[[#This Row],[Saldo Bruto | Mês Anterior]]/SUM(Dados[Saldo Bruto | Mês Anterior])</f>
        <v>0.1034593810113518</v>
      </c>
      <c r="AM9" s="55">
        <f>Dados[[#This Row],[Saldo Bruto | Mês Anterior]]-Dados[[#This Row],[Saldo Líquido | Mês Anterior]]</f>
        <v>2687.4899999999907</v>
      </c>
      <c r="AN9" s="55">
        <v>597403.87</v>
      </c>
      <c r="AO9" s="55">
        <v>600091.36</v>
      </c>
      <c r="AP9" s="55">
        <v>0</v>
      </c>
      <c r="AQ9" s="55">
        <v>0</v>
      </c>
      <c r="AS9" s="50">
        <f>IFERROR(Dados[[#This Row],[Saldo Bruto | Mês Atual]]/SUM(Dados[Saldo Bruto | Mês Atual]),"0,00%")</f>
        <v>0</v>
      </c>
      <c r="AT9" s="55">
        <f>Dados[[#This Row],[Saldo Bruto | Mês Atual]]-Dados[[#This Row],[Saldo Líquido | Mês Atual]]</f>
        <v>0</v>
      </c>
      <c r="AU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9" s="55">
        <f>SUM(Dados[[#This Row],[Aplicações]:[Cashback]])</f>
        <v>0</v>
      </c>
      <c r="AY9" s="55">
        <f>Dados[[#This Row],[Imposto Pago]]</f>
        <v>0</v>
      </c>
      <c r="AZ9" s="49"/>
      <c r="BA9" s="49" t="b">
        <f>OR(Dados[[#This Row],[Saldo Bruto | Mês Anterior]]&lt;&gt;0,Dados[[#This Row],[Saldo Bruto | Mês Atual]]&lt;&gt;0,Dados[[#This Row],[Movimentaçao | Mês Atual]]&lt;&gt;0)</f>
        <v>1</v>
      </c>
      <c r="BB9" s="55"/>
      <c r="BC9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9" s="50">
        <f>IFERROR(Dados[[#This Row],[Saldo Corrigido]]/SUM(Dados[Saldo Corrigido]),"0,00%")</f>
        <v>0</v>
      </c>
      <c r="BE9" s="50">
        <f>IFERROR(SUMPRODUCT(Dados[Performance | Mês Atual],Dados[Peso Corrigido | Carteira]),"0,00%")</f>
        <v>6.7280865242948622E-3</v>
      </c>
      <c r="BF9" s="50" t="str">
        <f>IFERROR(Dados[[#This Row],[Saldo Corrigido]]/SUMIF(Dados[Custódia],Dados[[#This Row],[Custódia]],Dados[Saldo Corrigido]),"0,00%")</f>
        <v>0,00%</v>
      </c>
      <c r="BG9" s="50" cm="1">
        <f t="array" ref="BG9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9" s="50">
        <f>IFERROR(Dados[[#This Row],[Saldo Corrigido]]/SUMIF(Dados[Subclasse],Dados[[#This Row],[Subclasse]],Dados[Saldo Corrigido]),"0,00%")</f>
        <v>0</v>
      </c>
      <c r="BI9" s="50" cm="1">
        <f t="array" ref="BI9">IFERROR(SUMPRODUCT((_xlfn._xlws.FILTER(Dados[Peso Corrigido | SubClasse],Dados[Subclasse]=Dados[[#This Row],[Subclasse]])),_xlfn._xlws.FILTER(Dados[Performance | Mês Atual],Dados[Subclasse]=Dados[[#This Row],[Subclasse]])),"0,00%")</f>
        <v>8.042261449637822E-3</v>
      </c>
      <c r="BJ9" s="50">
        <f>IFERROR(Dados[[#This Row],[Saldo Corrigido]]/SUMIF(Dados[Classe],Dados[[#This Row],[Classe]],Dados[Saldo Corrigido]),"0,00%")</f>
        <v>0</v>
      </c>
      <c r="BK9" s="50" cm="1">
        <f t="array" ref="BK9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9" s="50"/>
      <c r="BM9" s="199" t="str">
        <f>IF(Dados[[#This Row],[Ticker do Ativo]]="","",Dados[[#This Row],[Ticker do Ativo]])</f>
        <v>09.636.393/0001-07</v>
      </c>
      <c r="BN9" s="199"/>
      <c r="BO9" s="50" t="str" cm="1">
        <f t="array" ref="BO9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9" s="191"/>
      <c r="BQ9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9" s="50">
        <f ca="1">IFERROR(Dados[[#This Row],[Saldo Atualizado]]/SUM(Dados[Saldo Atualizado]),"0,00%")</f>
        <v>0</v>
      </c>
      <c r="BS9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9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9" s="50">
        <f ca="1">Dados[[#This Row],[Saldo Corrigido Atualizado]]/SUM(Dados[Saldo Corrigido Atualizado])</f>
        <v>0</v>
      </c>
      <c r="BW9" s="49"/>
      <c r="BY9" s="49"/>
      <c r="CA9" s="49"/>
      <c r="CB9" s="49"/>
    </row>
    <row r="10" spans="1:80" ht="11.25" hidden="1">
      <c r="B1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LIG Bradesco 12/25 13,90%aa</v>
      </c>
      <c r="C10" s="166">
        <f t="shared" si="0"/>
        <v>45474</v>
      </c>
      <c r="D10" s="49" t="s">
        <v>233</v>
      </c>
      <c r="E10" s="156" t="s">
        <v>208</v>
      </c>
      <c r="F10" s="156" t="s">
        <v>42</v>
      </c>
      <c r="G10" s="156" t="s">
        <v>229</v>
      </c>
      <c r="H10" s="156" t="s">
        <v>208</v>
      </c>
      <c r="I10" s="53">
        <v>46010</v>
      </c>
      <c r="J10" s="49" t="s">
        <v>257</v>
      </c>
      <c r="L10" s="49">
        <v>2025</v>
      </c>
      <c r="M10" s="156" t="s">
        <v>283</v>
      </c>
      <c r="N10" s="199">
        <v>0.13900000000000001</v>
      </c>
      <c r="O10" s="50"/>
      <c r="P10" s="49" t="s">
        <v>234</v>
      </c>
      <c r="R10" s="156" t="str">
        <f>IFERROR(_xlfn.XLOOKUP(Dados[[#This Row],[Subclasse]],ClasseSubClasse[SubClasse],ClasseSubClasse[Classe]),"ERRO")</f>
        <v>Renda Fixa</v>
      </c>
      <c r="S1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LIG Bradesco 12/25 13,90%aa</v>
      </c>
      <c r="T10" s="156" t="str">
        <f>IFERROR(_xlfn.XLOOKUP(Dados[[#This Row],[Subclasse]],ClasseSubClasse[SubClasse],ClasseSubClasse[Nomenclatura]),"ERRO")</f>
        <v>Renda Fixa - Prefixado</v>
      </c>
      <c r="U1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10" s="50"/>
      <c r="W1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0" s="49"/>
      <c r="Y10" s="50" t="str" cm="1">
        <f t="array" ref="Y1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0" s="54" t="str">
        <f>IFERROR((1+Dados[[#This Row],[Taxa | Esperada]])*Dados[[#This Row],[Saldo Líquido | Mês Anterior]]+Dados[[#This Row],[Juros / Dividendos]],"")</f>
        <v/>
      </c>
      <c r="AA10" s="54" t="str">
        <f>IFERROR(IF(Dados[[#This Row],[Classe]]="Renda Fixa",(1+Dados[[#This Row],[Taxa | Esperada]])*Dados[[#This Row],[Saldo Bruto | Mês Anterior]]+Dados[[#This Row],[Juros / Dividendos]],""),"")</f>
        <v/>
      </c>
      <c r="AC10" s="55"/>
      <c r="AD10" s="55"/>
      <c r="AE10" s="55"/>
      <c r="AF10" s="55"/>
      <c r="AG10" s="55"/>
      <c r="AH10" s="55"/>
      <c r="AI10" s="55"/>
      <c r="AJ10" s="55"/>
      <c r="AL10" s="50">
        <f>Dados[[#This Row],[Saldo Bruto | Mês Anterior]]/SUM(Dados[Saldo Bruto | Mês Anterior])</f>
        <v>6.3035212061656923E-2</v>
      </c>
      <c r="AM10" s="55">
        <f>Dados[[#This Row],[Saldo Bruto | Mês Anterior]]-Dados[[#This Row],[Saldo Líquido | Mês Anterior]]</f>
        <v>0</v>
      </c>
      <c r="AN10" s="55">
        <v>365620.65</v>
      </c>
      <c r="AO10" s="55">
        <v>365620.65</v>
      </c>
      <c r="AP10" s="55">
        <v>0</v>
      </c>
      <c r="AQ10" s="55">
        <v>0</v>
      </c>
      <c r="AS10" s="50">
        <f>IFERROR(Dados[[#This Row],[Saldo Bruto | Mês Atual]]/SUM(Dados[Saldo Bruto | Mês Atual]),"0,00%")</f>
        <v>0</v>
      </c>
      <c r="AT10" s="55">
        <f>Dados[[#This Row],[Saldo Bruto | Mês Atual]]-Dados[[#This Row],[Saldo Líquido | Mês Atual]]</f>
        <v>0</v>
      </c>
      <c r="AU1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-1.2121212121212122</v>
      </c>
      <c r="AV1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0" s="55">
        <f>SUM(Dados[[#This Row],[Aplicações]:[Cashback]])</f>
        <v>0</v>
      </c>
      <c r="AY10" s="55">
        <f>Dados[[#This Row],[Imposto Pago]]</f>
        <v>0</v>
      </c>
      <c r="AZ10" s="49"/>
      <c r="BA10" s="49" t="b">
        <f>OR(Dados[[#This Row],[Saldo Bruto | Mês Anterior]]&lt;&gt;0,Dados[[#This Row],[Saldo Bruto | Mês Atual]]&lt;&gt;0,Dados[[#This Row],[Movimentaçao | Mês Atual]]&lt;&gt;0)</f>
        <v>1</v>
      </c>
      <c r="BB10" s="55"/>
      <c r="BC10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0" s="50">
        <f>IFERROR(Dados[[#This Row],[Saldo Corrigido]]/SUM(Dados[Saldo Corrigido]),"0,00%")</f>
        <v>0</v>
      </c>
      <c r="BE10" s="50">
        <f>IFERROR(SUMPRODUCT(Dados[Performance | Mês Atual],Dados[Peso Corrigido | Carteira]),"0,00%")</f>
        <v>6.7280865242948622E-3</v>
      </c>
      <c r="BF10" s="50">
        <f>IFERROR(Dados[[#This Row],[Saldo Corrigido]]/SUMIF(Dados[Custódia],Dados[[#This Row],[Custódia]],Dados[Saldo Corrigido]),"0,00%")</f>
        <v>0</v>
      </c>
      <c r="BG10" s="50" cm="1">
        <f t="array" ref="BG10">IFERROR(SUMPRODUCT((_xlfn._xlws.FILTER(Dados[Peso Corrigido | Custódia],Dados[Custódia]=Dados[[#This Row],[Custódia]])),_xlfn._xlws.FILTER(Dados[Performance | Mês Atual],Dados[Custódia]=Dados[[#This Row],[Custódia]])),"0,00%")</f>
        <v>9.2076275885499444E-3</v>
      </c>
      <c r="BH10" s="50">
        <f>IFERROR(Dados[[#This Row],[Saldo Corrigido]]/SUMIF(Dados[Subclasse],Dados[[#This Row],[Subclasse]],Dados[Saldo Corrigido]),"0,00%")</f>
        <v>0</v>
      </c>
      <c r="BI10" s="50" cm="1">
        <f t="array" ref="BI10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10" s="50">
        <f>IFERROR(Dados[[#This Row],[Saldo Corrigido]]/SUMIF(Dados[Classe],Dados[[#This Row],[Classe]],Dados[Saldo Corrigido]),"0,00%")</f>
        <v>0</v>
      </c>
      <c r="BK10" s="50" cm="1">
        <f t="array" ref="BK10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0" s="50"/>
      <c r="BM10" s="199" t="str">
        <f>IF(Dados[[#This Row],[Ticker do Ativo]]="","",Dados[[#This Row],[Ticker do Ativo]])</f>
        <v>LIG02200RY9</v>
      </c>
      <c r="BN10" s="199"/>
      <c r="BO10" s="50" cm="1">
        <f t="array" aca="1" ref="BO10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2.8566903272788657E-3</v>
      </c>
      <c r="BP10" s="191"/>
      <c r="BQ10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0" s="50">
        <f ca="1">IFERROR(Dados[[#This Row],[Saldo Atualizado]]/SUM(Dados[Saldo Atualizado]),"0,00%")</f>
        <v>0</v>
      </c>
      <c r="BS10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0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10" s="50">
        <f ca="1">Dados[[#This Row],[Saldo Corrigido Atualizado]]/SUM(Dados[Saldo Corrigido Atualizado])</f>
        <v>0</v>
      </c>
      <c r="BW10" s="49"/>
      <c r="BY10" s="49"/>
      <c r="CA10" s="49"/>
      <c r="CB10" s="49"/>
    </row>
    <row r="11" spans="1:80" ht="11.25" hidden="1">
      <c r="B1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Bradesco</v>
      </c>
      <c r="C11" s="166">
        <f t="shared" si="0"/>
        <v>45474</v>
      </c>
      <c r="D11" s="49" t="s">
        <v>233</v>
      </c>
      <c r="E11" s="156" t="s">
        <v>208</v>
      </c>
      <c r="F11" s="156" t="s">
        <v>41</v>
      </c>
      <c r="G11" s="156" t="s">
        <v>207</v>
      </c>
      <c r="H11" s="156" t="s">
        <v>208</v>
      </c>
      <c r="I11" s="53"/>
      <c r="L11" s="49" t="s">
        <v>137</v>
      </c>
      <c r="M11" s="156"/>
      <c r="N11" s="199"/>
      <c r="O11" s="50"/>
      <c r="R11" s="156" t="str">
        <f>IFERROR(_xlfn.XLOOKUP(Dados[[#This Row],[Subclasse]],ClasseSubClasse[SubClasse],ClasseSubClasse[Classe]),"ERRO")</f>
        <v>Corrente, Poupança e Empréstimo</v>
      </c>
      <c r="S1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Bradesco</v>
      </c>
      <c r="T11" s="156" t="str">
        <f>IFERROR(_xlfn.XLOOKUP(Dados[[#This Row],[Subclasse]],ClasseSubClasse[SubClasse],ClasseSubClasse[Nomenclatura]),"ERRO")</f>
        <v>Conta Corrente</v>
      </c>
      <c r="U11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1" s="50"/>
      <c r="W1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1" s="49"/>
      <c r="Y11" s="50" t="str" cm="1">
        <f t="array" ref="Y1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1" s="54" t="str">
        <f>IFERROR((1+Dados[[#This Row],[Taxa | Esperada]])*Dados[[#This Row],[Saldo Líquido | Mês Anterior]]+Dados[[#This Row],[Juros / Dividendos]],"")</f>
        <v/>
      </c>
      <c r="AA11" s="54" t="str">
        <f>IFERROR(IF(Dados[[#This Row],[Classe]]="Renda Fixa",(1+Dados[[#This Row],[Taxa | Esperada]])*Dados[[#This Row],[Saldo Bruto | Mês Anterior]]+Dados[[#This Row],[Juros / Dividendos]],""),"")</f>
        <v/>
      </c>
      <c r="AC11" s="55">
        <v>1.07</v>
      </c>
      <c r="AD11" s="55">
        <v>1.07</v>
      </c>
      <c r="AE11" s="55">
        <v>0</v>
      </c>
      <c r="AF11" s="55">
        <v>0</v>
      </c>
      <c r="AG11" s="55"/>
      <c r="AH11" s="55"/>
      <c r="AI11" s="55"/>
      <c r="AJ11" s="55"/>
      <c r="AL11" s="50">
        <f>Dados[[#This Row],[Saldo Bruto | Mês Anterior]]/SUM(Dados[Saldo Bruto | Mês Anterior])</f>
        <v>1.844744734904139E-7</v>
      </c>
      <c r="AM11" s="55">
        <f>Dados[[#This Row],[Saldo Bruto | Mês Anterior]]-Dados[[#This Row],[Saldo Líquido | Mês Anterior]]</f>
        <v>0</v>
      </c>
      <c r="AN11" s="55">
        <v>1.07</v>
      </c>
      <c r="AO11" s="55">
        <v>1.07</v>
      </c>
      <c r="AP11" s="55">
        <v>0</v>
      </c>
      <c r="AQ11" s="55">
        <v>0</v>
      </c>
      <c r="AS11" s="50">
        <f>IFERROR(Dados[[#This Row],[Saldo Bruto | Mês Atual]]/SUM(Dados[Saldo Bruto | Mês Atual]),"0,00%")</f>
        <v>2.1896148686816754E-7</v>
      </c>
      <c r="AT11" s="55">
        <f>Dados[[#This Row],[Saldo Bruto | Mês Atual]]-Dados[[#This Row],[Saldo Líquido | Mês Atual]]</f>
        <v>0</v>
      </c>
      <c r="AU1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</v>
      </c>
      <c r="AV1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1.07</v>
      </c>
      <c r="AW1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1.07</v>
      </c>
      <c r="AX11" s="55">
        <f>SUM(Dados[[#This Row],[Aplicações]:[Cashback]])</f>
        <v>0</v>
      </c>
      <c r="AY11" s="55">
        <f>Dados[[#This Row],[Imposto Pago]]</f>
        <v>0</v>
      </c>
      <c r="AZ11" s="49"/>
      <c r="BA11" s="49" t="b">
        <f>OR(Dados[[#This Row],[Saldo Bruto | Mês Anterior]]&lt;&gt;0,Dados[[#This Row],[Saldo Bruto | Mês Atual]]&lt;&gt;0,Dados[[#This Row],[Movimentaçao | Mês Atual]]&lt;&gt;0)</f>
        <v>1</v>
      </c>
      <c r="BB11" s="55"/>
      <c r="BC11" s="55">
        <f>IF(Dados[[#This Row],[Participação]]="",IF(Dados[[#This Row],[Movimentaçao | Mês Atual]]&gt;0,Dados[[#This Row],[Saldo Bruto | Mês Atual]],Dados[[#This Row],[Saldo Bruto | Mês Atual]]-Dados[[#This Row],[Movimentaçao | Mês Atual]]),0)</f>
        <v>1.07</v>
      </c>
      <c r="BD11" s="50">
        <f>IFERROR(Dados[[#This Row],[Saldo Corrigido]]/SUM(Dados[Saldo Corrigido]),"0,00%")</f>
        <v>2.1139557313843399E-7</v>
      </c>
      <c r="BE11" s="50">
        <f>IFERROR(SUMPRODUCT(Dados[Performance | Mês Atual],Dados[Peso Corrigido | Carteira]),"0,00%")</f>
        <v>6.7280865242948622E-3</v>
      </c>
      <c r="BF11" s="50">
        <f>IFERROR(Dados[[#This Row],[Saldo Corrigido]]/SUMIF(Dados[Custódia],Dados[[#This Row],[Custódia]],Dados[Saldo Corrigido]),"0,00%")</f>
        <v>1.6763871006556084E-5</v>
      </c>
      <c r="BG11" s="50" cm="1">
        <f t="array" ref="BG11">IFERROR(SUMPRODUCT((_xlfn._xlws.FILTER(Dados[Peso Corrigido | Custódia],Dados[Custódia]=Dados[[#This Row],[Custódia]])),_xlfn._xlws.FILTER(Dados[Performance | Mês Atual],Dados[Custódia]=Dados[[#This Row],[Custódia]])),"0,00%")</f>
        <v>9.2076275885499444E-3</v>
      </c>
      <c r="BH11" s="50">
        <f>IFERROR(Dados[[#This Row],[Saldo Corrigido]]/SUMIF(Dados[Subclasse],Dados[[#This Row],[Subclasse]],Dados[Saldo Corrigido]),"0,00%")</f>
        <v>5.4338166213848619E-4</v>
      </c>
      <c r="BI11" s="50" cm="1">
        <f t="array" ref="BI11">IFERROR(SUMPRODUCT((_xlfn._xlws.FILTER(Dados[Peso Corrigido | SubClasse],Dados[Subclasse]=Dados[[#This Row],[Subclasse]])),_xlfn._xlws.FILTER(Dados[Performance | Mês Atual],Dados[Subclasse]=Dados[[#This Row],[Subclasse]])),"0,00%")</f>
        <v>-8.3221481234451852E-15</v>
      </c>
      <c r="BJ11" s="50">
        <f>IFERROR(Dados[[#This Row],[Saldo Corrigido]]/SUMIF(Dados[Classe],Dados[[#This Row],[Classe]],Dados[Saldo Corrigido]),"0,00%")</f>
        <v>5.4338166213848619E-4</v>
      </c>
      <c r="BK11" s="50" cm="1">
        <f t="array" ref="BK11">IFERROR(SUMPRODUCT((_xlfn._xlws.FILTER(Dados[Peso Corrigido | Classe],Dados[Classe]=Dados[[#This Row],[Classe]])),_xlfn._xlws.FILTER(Dados[Performance | Mês Atual],Dados[Classe]=Dados[[#This Row],[Classe]])),"0,00%")</f>
        <v>-8.3221481234451852E-15</v>
      </c>
      <c r="BL11" s="50"/>
      <c r="BM11" s="199" t="str">
        <f>IF(Dados[[#This Row],[Ticker do Ativo]]="","",Dados[[#This Row],[Ticker do Ativo]])</f>
        <v/>
      </c>
      <c r="BN11" s="199"/>
      <c r="BO11" s="50" t="str" cm="1">
        <f t="array" ref="BO1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11" s="191"/>
      <c r="BQ11" s="202">
        <f>IFERROR(Dados[[#This Row],[Saldo Bruto | Mês Atual]]*(1+Dados[[#This Row],[Taxa RF / FI]])+Dados[[#This Row],[Movimentações Atualizadas]],Dados[[#This Row],[Saldo Bruto | Mês Atual]]+Dados[[#This Row],[Movimentações Atualizadas]])</f>
        <v>1.07</v>
      </c>
      <c r="BR11" s="50">
        <f ca="1">IFERROR(Dados[[#This Row],[Saldo Atualizado]]/SUM(Dados[Saldo Atualizado]),"0,00%")</f>
        <v>2.1849180726015048E-7</v>
      </c>
      <c r="BS11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11" s="55">
        <f>IF(Dados[[#This Row],[Participação]]="",IF(Dados[[#This Row],[Movimentações Atualizadas]]&gt;0,Dados[[#This Row],[Saldo Atualizado]],Dados[[#This Row],[Saldo Atualizado]]-Dados[[#This Row],[Movimentações Atualizadas]]),0)</f>
        <v>1.07</v>
      </c>
      <c r="BU11" s="50">
        <f ca="1">Dados[[#This Row],[Saldo Corrigido Atualizado]]/SUM(Dados[Saldo Corrigido Atualizado])</f>
        <v>2.1849180726015048E-7</v>
      </c>
      <c r="BW11" s="49"/>
      <c r="BY11" s="49"/>
      <c r="CA11" s="49"/>
      <c r="CB11" s="49"/>
    </row>
    <row r="12" spans="1:80" ht="11.25" hidden="1">
      <c r="B1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 xml:space="preserve">CDB Bradesco Liq. Diária 101,50% CDI </v>
      </c>
      <c r="C12" s="166">
        <f t="shared" si="0"/>
        <v>45474</v>
      </c>
      <c r="D12" s="49" t="s">
        <v>233</v>
      </c>
      <c r="E12" s="156" t="s">
        <v>208</v>
      </c>
      <c r="F12" s="156" t="s">
        <v>59</v>
      </c>
      <c r="G12" s="156" t="s">
        <v>206</v>
      </c>
      <c r="H12" s="156" t="s">
        <v>290</v>
      </c>
      <c r="I12" s="53"/>
      <c r="J12" s="49" t="s">
        <v>242</v>
      </c>
      <c r="L12" s="49" t="s">
        <v>137</v>
      </c>
      <c r="M12" s="156"/>
      <c r="N12" s="199">
        <v>1.0149999999999999</v>
      </c>
      <c r="O12" s="50"/>
      <c r="R12" s="156" t="str">
        <f>IFERROR(_xlfn.XLOOKUP(Dados[[#This Row],[Subclasse]],ClasseSubClasse[SubClasse],ClasseSubClasse[Classe]),"ERRO")</f>
        <v>Renda Fixa</v>
      </c>
      <c r="S1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 xml:space="preserve">CDB Bradesco Liq. Diária 101,50% CDI </v>
      </c>
      <c r="T12" s="156" t="str">
        <f>IFERROR(_xlfn.XLOOKUP(Dados[[#This Row],[Subclasse]],ClasseSubClasse[SubClasse],ClasseSubClasse[Nomenclatura]),"ERRO")</f>
        <v>Renda Fixa - Pós-Fixado</v>
      </c>
      <c r="U12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2" s="50"/>
      <c r="W1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2" s="49"/>
      <c r="Y12" s="50" t="str" cm="1">
        <f t="array" ref="Y1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2" s="54" t="str">
        <f>IFERROR((1+Dados[[#This Row],[Taxa | Esperada]])*Dados[[#This Row],[Saldo Líquido | Mês Anterior]]+Dados[[#This Row],[Juros / Dividendos]],"")</f>
        <v/>
      </c>
      <c r="AA12" s="54" t="str">
        <f>IFERROR(IF(Dados[[#This Row],[Classe]]="Renda Fixa",(1+Dados[[#This Row],[Taxa | Esperada]])*Dados[[#This Row],[Saldo Bruto | Mês Anterior]]+Dados[[#This Row],[Juros / Dividendos]],""),"")</f>
        <v/>
      </c>
      <c r="AC12" s="55"/>
      <c r="AD12" s="55">
        <v>63826.67</v>
      </c>
      <c r="AE12" s="55"/>
      <c r="AF12" s="55"/>
      <c r="AG12" s="55"/>
      <c r="AH12" s="55"/>
      <c r="AI12" s="55"/>
      <c r="AJ12" s="55"/>
      <c r="AL12" s="50">
        <f>Dados[[#This Row],[Saldo Bruto | Mês Anterior]]/SUM(Dados[Saldo Bruto | Mês Anterior])</f>
        <v>1.0903705119629896E-2</v>
      </c>
      <c r="AM12" s="55">
        <f>Dados[[#This Row],[Saldo Bruto | Mês Anterior]]-Dados[[#This Row],[Saldo Líquido | Mês Anterior]]</f>
        <v>1590.0699999999997</v>
      </c>
      <c r="AN12" s="55">
        <v>61654.26</v>
      </c>
      <c r="AO12" s="55">
        <v>63244.33</v>
      </c>
      <c r="AP12" s="55">
        <v>0</v>
      </c>
      <c r="AQ12" s="55">
        <v>0</v>
      </c>
      <c r="AS12" s="50">
        <f>IFERROR(Dados[[#This Row],[Saldo Bruto | Mês Atual]]/SUM(Dados[Saldo Bruto | Mês Atual]),"0,00%")</f>
        <v>1.3061292116863422E-2</v>
      </c>
      <c r="AT12" s="55">
        <f>Dados[[#This Row],[Saldo Bruto | Mês Atual]]-Dados[[#This Row],[Saldo Líquido | Mês Atual]]</f>
        <v>63826.67</v>
      </c>
      <c r="AU12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9.2077819466187538E-3</v>
      </c>
      <c r="AV1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63826.67</v>
      </c>
      <c r="AX12" s="55">
        <f>SUM(Dados[[#This Row],[Aplicações]:[Cashback]])</f>
        <v>0</v>
      </c>
      <c r="AY12" s="55">
        <f>Dados[[#This Row],[Imposto Pago]]</f>
        <v>0</v>
      </c>
      <c r="AZ12" s="49"/>
      <c r="BA12" s="49" t="b">
        <f>OR(Dados[[#This Row],[Saldo Bruto | Mês Anterior]]&lt;&gt;0,Dados[[#This Row],[Saldo Bruto | Mês Atual]]&lt;&gt;0,Dados[[#This Row],[Movimentaçao | Mês Atual]]&lt;&gt;0)</f>
        <v>1</v>
      </c>
      <c r="BB12" s="55"/>
      <c r="BC12" s="55">
        <f>IF(Dados[[#This Row],[Participação]]="",IF(Dados[[#This Row],[Movimentaçao | Mês Atual]]&gt;0,Dados[[#This Row],[Saldo Bruto | Mês Atual]],Dados[[#This Row],[Saldo Bruto | Mês Atual]]-Dados[[#This Row],[Movimentaçao | Mês Atual]]),0)</f>
        <v>63826.67</v>
      </c>
      <c r="BD12" s="50">
        <f>IFERROR(Dados[[#This Row],[Saldo Corrigido]]/SUM(Dados[Saldo Corrigido]),"0,00%")</f>
        <v>1.2609977089876346E-2</v>
      </c>
      <c r="BE12" s="50">
        <f>IFERROR(SUMPRODUCT(Dados[Performance | Mês Atual],Dados[Peso Corrigido | Carteira]),"0,00%")</f>
        <v>6.7280865242948622E-3</v>
      </c>
      <c r="BF12" s="50">
        <f>IFERROR(Dados[[#This Row],[Saldo Corrigido]]/SUMIF(Dados[Custódia],Dados[[#This Row],[Custódia]],Dados[Saldo Corrigido]),"0,00%")</f>
        <v>0.99998323612899342</v>
      </c>
      <c r="BG12" s="50" cm="1">
        <f t="array" ref="BG12">IFERROR(SUMPRODUCT((_xlfn._xlws.FILTER(Dados[Peso Corrigido | Custódia],Dados[Custódia]=Dados[[#This Row],[Custódia]])),_xlfn._xlws.FILTER(Dados[Performance | Mês Atual],Dados[Custódia]=Dados[[#This Row],[Custódia]])),"0,00%")</f>
        <v>9.2076275885499444E-3</v>
      </c>
      <c r="BH12" s="50">
        <f>IFERROR(Dados[[#This Row],[Saldo Corrigido]]/SUMIF(Dados[Subclasse],Dados[[#This Row],[Subclasse]],Dados[Saldo Corrigido]),"0,00%")</f>
        <v>3.891649674234917E-2</v>
      </c>
      <c r="BI12" s="50" cm="1">
        <f t="array" ref="BI12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12" s="50">
        <f>IFERROR(Dados[[#This Row],[Saldo Corrigido]]/SUMIF(Dados[Classe],Dados[[#This Row],[Classe]],Dados[Saldo Corrigido]),"0,00%")</f>
        <v>1.6956537094589899E-2</v>
      </c>
      <c r="BK12" s="50" cm="1">
        <f t="array" ref="BK12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2" s="50"/>
      <c r="BM12" s="199" t="str">
        <f>IF(Dados[[#This Row],[Ticker do Ativo]]="","",Dados[[#This Row],[Ticker do Ativo]])</f>
        <v/>
      </c>
      <c r="BN12" s="199"/>
      <c r="BO12" s="50" t="str" cm="1">
        <f t="array" ref="BO1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12" s="191"/>
      <c r="BQ12" s="202">
        <f>IFERROR(Dados[[#This Row],[Saldo Bruto | Mês Atual]]*(1+Dados[[#This Row],[Taxa RF / FI]])+Dados[[#This Row],[Movimentações Atualizadas]],Dados[[#This Row],[Saldo Bruto | Mês Atual]]+Dados[[#This Row],[Movimentações Atualizadas]])</f>
        <v>63826.67</v>
      </c>
      <c r="BR12" s="50">
        <f ca="1">IFERROR(Dados[[#This Row],[Saldo Atualizado]]/SUM(Dados[Saldo Atualizado]),"0,00%")</f>
        <v>1.3033275214670306E-2</v>
      </c>
      <c r="BS12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12" s="55">
        <f>IF(Dados[[#This Row],[Participação]]="",IF(Dados[[#This Row],[Movimentações Atualizadas]]&gt;0,Dados[[#This Row],[Saldo Atualizado]],Dados[[#This Row],[Saldo Atualizado]]-Dados[[#This Row],[Movimentações Atualizadas]]),0)</f>
        <v>63826.67</v>
      </c>
      <c r="BU12" s="50">
        <f ca="1">Dados[[#This Row],[Saldo Corrigido Atualizado]]/SUM(Dados[Saldo Corrigido Atualizado])</f>
        <v>1.3033275214670306E-2</v>
      </c>
      <c r="BW12" s="49"/>
      <c r="BY12" s="49"/>
      <c r="CA12" s="49"/>
      <c r="CB12" s="49"/>
    </row>
    <row r="13" spans="1:80" ht="11.25">
      <c r="B1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Commodities 03/28 12,79%aa</v>
      </c>
      <c r="C13" s="166">
        <f t="shared" ref="C13:C42" si="1">$A$3</f>
        <v>45474</v>
      </c>
      <c r="D13" s="49" t="s">
        <v>233</v>
      </c>
      <c r="E13" s="156" t="s">
        <v>203</v>
      </c>
      <c r="F13" s="156" t="s">
        <v>42</v>
      </c>
      <c r="G13" s="156" t="s">
        <v>210</v>
      </c>
      <c r="H13" s="156" t="s">
        <v>211</v>
      </c>
      <c r="I13" s="53">
        <v>46827</v>
      </c>
      <c r="J13" s="49" t="s">
        <v>243</v>
      </c>
      <c r="L13" s="49">
        <v>2028</v>
      </c>
      <c r="M13" s="156" t="s">
        <v>269</v>
      </c>
      <c r="N13" s="199">
        <v>0.12790000000000001</v>
      </c>
      <c r="O13" s="50"/>
      <c r="P13" s="49" t="s">
        <v>234</v>
      </c>
      <c r="R13" s="156" t="str">
        <f>IFERROR(_xlfn.XLOOKUP(Dados[[#This Row],[Subclasse]],ClasseSubClasse[SubClasse],ClasseSubClasse[Classe]),"ERRO")</f>
        <v>Renda Fixa</v>
      </c>
      <c r="S13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Commodities 03/28 12,79%aa</v>
      </c>
      <c r="T13" s="156" t="str">
        <f>IFERROR(_xlfn.XLOOKUP(Dados[[#This Row],[Subclasse]],ClasseSubClasse[SubClasse],ClasseSubClasse[Nomenclatura]),"ERRO")</f>
        <v>Renda Fixa - Prefixado</v>
      </c>
      <c r="U1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3" s="50"/>
      <c r="W1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3" s="49"/>
      <c r="Y13" s="50" t="str" cm="1">
        <f t="array" ref="Y1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3" s="54" t="str">
        <f>IFERROR((1+Dados[[#This Row],[Taxa | Esperada]])*Dados[[#This Row],[Saldo Líquido | Mês Anterior]]+Dados[[#This Row],[Juros / Dividendos]],"")</f>
        <v/>
      </c>
      <c r="AA13" s="54" t="str">
        <f>IFERROR(IF(Dados[[#This Row],[Classe]]="Renda Fixa",(1+Dados[[#This Row],[Taxa | Esperada]])*Dados[[#This Row],[Saldo Bruto | Mês Anterior]]+Dados[[#This Row],[Juros / Dividendos]],""),"")</f>
        <v/>
      </c>
      <c r="AC13" s="55">
        <v>175940.34</v>
      </c>
      <c r="AD13" s="55">
        <v>175940.34</v>
      </c>
      <c r="AE13" s="55"/>
      <c r="AF13" s="55"/>
      <c r="AG13" s="55"/>
      <c r="AH13" s="55"/>
      <c r="AI13" s="55"/>
      <c r="AJ13" s="55"/>
      <c r="AL13" s="50">
        <f>Dados[[#This Row],[Saldo Bruto | Mês Anterior]]/SUM(Dados[Saldo Bruto | Mês Anterior])</f>
        <v>3.0001816349458477E-2</v>
      </c>
      <c r="AM13" s="55">
        <f>Dados[[#This Row],[Saldo Bruto | Mês Anterior]]-Dados[[#This Row],[Saldo Líquido | Mês Anterior]]</f>
        <v>0</v>
      </c>
      <c r="AN13" s="55">
        <v>174018.35</v>
      </c>
      <c r="AO13" s="55">
        <v>174018.35</v>
      </c>
      <c r="AP13" s="55">
        <v>0</v>
      </c>
      <c r="AQ13" s="55">
        <v>0</v>
      </c>
      <c r="AS13" s="50">
        <f>IFERROR(Dados[[#This Row],[Saldo Bruto | Mês Atual]]/SUM(Dados[Saldo Bruto | Mês Atual]),"0,00%")</f>
        <v>3.6003886398589653E-2</v>
      </c>
      <c r="AT13" s="55">
        <f>Dados[[#This Row],[Saldo Bruto | Mês Atual]]-Dados[[#This Row],[Saldo Líquido | Mês Atual]]</f>
        <v>0</v>
      </c>
      <c r="AU1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1.2993829132860638E-2</v>
      </c>
      <c r="AV13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175940.34</v>
      </c>
      <c r="AW13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175940.34</v>
      </c>
      <c r="AX13" s="55">
        <f>SUM(Dados[[#This Row],[Aplicações]:[Cashback]])</f>
        <v>0</v>
      </c>
      <c r="AY13" s="55">
        <f>Dados[[#This Row],[Imposto Pago]]</f>
        <v>0</v>
      </c>
      <c r="AZ13" s="49"/>
      <c r="BA13" s="49" t="b">
        <f>OR(Dados[[#This Row],[Saldo Bruto | Mês Anterior]]&lt;&gt;0,Dados[[#This Row],[Saldo Bruto | Mês Atual]]&lt;&gt;0,Dados[[#This Row],[Movimentaçao | Mês Atual]]&lt;&gt;0)</f>
        <v>1</v>
      </c>
      <c r="BB13" s="55"/>
      <c r="BC13" s="55">
        <f>IF(Dados[[#This Row],[Participação]]="",IF(Dados[[#This Row],[Movimentaçao | Mês Atual]]&gt;0,Dados[[#This Row],[Saldo Bruto | Mês Atual]],Dados[[#This Row],[Saldo Bruto | Mês Atual]]-Dados[[#This Row],[Movimentaçao | Mês Atual]]),0)</f>
        <v>175940.34</v>
      </c>
      <c r="BD13" s="50">
        <f>IFERROR(Dados[[#This Row],[Saldo Corrigido]]/SUM(Dados[Saldo Corrigido]),"0,00%")</f>
        <v>3.4759821506982189E-2</v>
      </c>
      <c r="BE13" s="50">
        <f>IFERROR(SUMPRODUCT(Dados[Performance | Mês Atual],Dados[Peso Corrigido | Carteira]),"0,00%")</f>
        <v>6.7280865242948622E-3</v>
      </c>
      <c r="BF13" s="50">
        <f>IFERROR(Dados[[#This Row],[Saldo Corrigido]]/SUMIF(Dados[Custódia],Dados[[#This Row],[Custódia]],Dados[Saldo Corrigido]),"0,00%")</f>
        <v>3.5203747397053183E-2</v>
      </c>
      <c r="BG13" s="50" cm="1">
        <f t="array" ref="BG13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3" s="50">
        <f>IFERROR(Dados[[#This Row],[Saldo Corrigido]]/SUMIF(Dados[Subclasse],Dados[[#This Row],[Subclasse]],Dados[Saldo Corrigido]),"0,00%")</f>
        <v>0.12342284807008573</v>
      </c>
      <c r="BI13" s="50" cm="1">
        <f t="array" ref="BI13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13" s="50">
        <f>IFERROR(Dados[[#This Row],[Saldo Corrigido]]/SUMIF(Dados[Classe],Dados[[#This Row],[Classe]],Dados[Saldo Corrigido]),"0,00%")</f>
        <v>4.6741258813044126E-2</v>
      </c>
      <c r="BK13" s="50" cm="1">
        <f t="array" ref="BK13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3" s="50"/>
      <c r="BM13" s="199" t="str">
        <f>IF(Dados[[#This Row],[Ticker do Ativo]]="","",Dados[[#This Row],[Ticker do Ativo]])</f>
        <v>CRA023003UY</v>
      </c>
      <c r="BN13" s="199"/>
      <c r="BO13" s="50" cm="1">
        <f t="array" aca="1" ref="BO13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2.6414550407325432E-3</v>
      </c>
      <c r="BP13" s="191"/>
      <c r="BQ13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176405.07849796119</v>
      </c>
      <c r="BR13" s="50">
        <f ca="1">IFERROR(Dados[[#This Row],[Saldo Atualizado]]/SUM(Dados[Saldo Atualizado]),"0,00%")</f>
        <v>3.6021555524194622E-2</v>
      </c>
      <c r="BS13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3.107594165567698E-3</v>
      </c>
      <c r="BT13" s="55">
        <f ca="1">IF(Dados[[#This Row],[Participação]]="",IF(Dados[[#This Row],[Movimentações Atualizadas]]&gt;0,Dados[[#This Row],[Saldo Atualizado]],Dados[[#This Row],[Saldo Atualizado]]-Dados[[#This Row],[Movimentações Atualizadas]]),0)</f>
        <v>176405.07849796119</v>
      </c>
      <c r="BU13" s="50">
        <f ca="1">Dados[[#This Row],[Saldo Corrigido Atualizado]]/SUM(Dados[Saldo Corrigido Atualizado])</f>
        <v>3.6021555524194622E-2</v>
      </c>
      <c r="BW13" s="49"/>
      <c r="BY13" s="49"/>
      <c r="CA13" s="49"/>
      <c r="CB13" s="49"/>
    </row>
    <row r="14" spans="1:80" ht="11.25">
      <c r="B14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Pactual 09/33 109% CDI</v>
      </c>
      <c r="C14" s="166">
        <f t="shared" si="1"/>
        <v>45474</v>
      </c>
      <c r="D14" s="49" t="s">
        <v>233</v>
      </c>
      <c r="E14" s="156" t="s">
        <v>203</v>
      </c>
      <c r="F14" s="156" t="s">
        <v>59</v>
      </c>
      <c r="G14" s="156" t="s">
        <v>210</v>
      </c>
      <c r="H14" s="156" t="s">
        <v>212</v>
      </c>
      <c r="I14" s="53">
        <v>48837</v>
      </c>
      <c r="J14" s="49" t="s">
        <v>244</v>
      </c>
      <c r="L14" s="49">
        <v>2033</v>
      </c>
      <c r="M14" s="156" t="s">
        <v>278</v>
      </c>
      <c r="N14" s="199">
        <v>1.0900000000000001</v>
      </c>
      <c r="O14" s="50" t="s">
        <v>262</v>
      </c>
      <c r="P14" s="49" t="s">
        <v>234</v>
      </c>
      <c r="R14" s="156" t="str">
        <f>IFERROR(_xlfn.XLOOKUP(Dados[[#This Row],[Subclasse]],ClasseSubClasse[SubClasse],ClasseSubClasse[Classe]),"ERRO")</f>
        <v>Renda Fixa</v>
      </c>
      <c r="S14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Pactual 09/33 109% CDI</v>
      </c>
      <c r="T14" s="156" t="str">
        <f>IFERROR(_xlfn.XLOOKUP(Dados[[#This Row],[Subclasse]],ClasseSubClasse[SubClasse],ClasseSubClasse[Nomenclatura]),"ERRO")</f>
        <v>Renda Fixa - Pós-Fixado</v>
      </c>
      <c r="U14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4" s="50"/>
      <c r="W14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4" s="49"/>
      <c r="Y14" s="50" t="str" cm="1">
        <f t="array" ref="Y1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4" s="54" t="str">
        <f>IFERROR((1+Dados[[#This Row],[Taxa | Esperada]])*Dados[[#This Row],[Saldo Líquido | Mês Anterior]]+Dados[[#This Row],[Juros / Dividendos]],"")</f>
        <v/>
      </c>
      <c r="AA14" s="54" t="str">
        <f>IFERROR(IF(Dados[[#This Row],[Classe]]="Renda Fixa",(1+Dados[[#This Row],[Taxa | Esperada]])*Dados[[#This Row],[Saldo Bruto | Mês Anterior]]+Dados[[#This Row],[Juros / Dividendos]],""),"")</f>
        <v/>
      </c>
      <c r="AC14" s="250">
        <v>208390.29</v>
      </c>
      <c r="AD14" s="55">
        <v>208390.29</v>
      </c>
      <c r="AE14" s="55"/>
      <c r="AF14" s="55"/>
      <c r="AG14" s="55"/>
      <c r="AH14" s="55"/>
      <c r="AI14" s="55"/>
      <c r="AJ14" s="55"/>
      <c r="AL14" s="50">
        <f>Dados[[#This Row],[Saldo Bruto | Mês Anterior]]/SUM(Dados[Saldo Bruto | Mês Anterior])</f>
        <v>3.5575848766750823E-2</v>
      </c>
      <c r="AM14" s="55">
        <f>Dados[[#This Row],[Saldo Bruto | Mês Anterior]]-Dados[[#This Row],[Saldo Líquido | Mês Anterior]]</f>
        <v>0</v>
      </c>
      <c r="AN14" s="55">
        <v>206349.19</v>
      </c>
      <c r="AO14" s="55">
        <v>206349.19</v>
      </c>
      <c r="AP14" s="55">
        <v>0</v>
      </c>
      <c r="AQ14" s="55">
        <v>0</v>
      </c>
      <c r="AS14" s="50">
        <f>IFERROR(Dados[[#This Row],[Saldo Bruto | Mês Atual]]/SUM(Dados[Saldo Bruto | Mês Atual]),"0,00%")</f>
        <v>4.2644343689054794E-2</v>
      </c>
      <c r="AT14" s="55">
        <f>Dados[[#This Row],[Saldo Bruto | Mês Atual]]-Dados[[#This Row],[Saldo Líquido | Mês Atual]]</f>
        <v>0</v>
      </c>
      <c r="AU14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1.163704164599361E-2</v>
      </c>
      <c r="AV14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208390.29</v>
      </c>
      <c r="AW14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208390.29</v>
      </c>
      <c r="AX14" s="55">
        <f>SUM(Dados[[#This Row],[Aplicações]:[Cashback]])</f>
        <v>0</v>
      </c>
      <c r="AY14" s="55">
        <f>Dados[[#This Row],[Imposto Pago]]</f>
        <v>0</v>
      </c>
      <c r="AZ14" s="49"/>
      <c r="BA14" s="49" t="b">
        <f>OR(Dados[[#This Row],[Saldo Bruto | Mês Anterior]]&lt;&gt;0,Dados[[#This Row],[Saldo Bruto | Mês Atual]]&lt;&gt;0,Dados[[#This Row],[Movimentaçao | Mês Atual]]&lt;&gt;0)</f>
        <v>1</v>
      </c>
      <c r="BB14" s="55"/>
      <c r="BC14" s="55">
        <f>IF(Dados[[#This Row],[Participação]]="",IF(Dados[[#This Row],[Movimentaçao | Mês Atual]]&gt;0,Dados[[#This Row],[Saldo Bruto | Mês Atual]],Dados[[#This Row],[Saldo Bruto | Mês Atual]]-Dados[[#This Row],[Movimentaçao | Mês Atual]]),0)</f>
        <v>208390.29</v>
      </c>
      <c r="BD14" s="50">
        <f>IFERROR(Dados[[#This Row],[Saldo Corrigido]]/SUM(Dados[Saldo Corrigido]),"0,00%")</f>
        <v>4.1170826907508846E-2</v>
      </c>
      <c r="BE14" s="50">
        <f>IFERROR(SUMPRODUCT(Dados[Performance | Mês Atual],Dados[Peso Corrigido | Carteira]),"0,00%")</f>
        <v>6.7280865242948622E-3</v>
      </c>
      <c r="BF14" s="50">
        <f>IFERROR(Dados[[#This Row],[Saldo Corrigido]]/SUMIF(Dados[Custódia],Dados[[#This Row],[Custódia]],Dados[Saldo Corrigido]),"0,00%")</f>
        <v>4.1696629261706884E-2</v>
      </c>
      <c r="BG14" s="50" cm="1">
        <f t="array" ref="BG14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4" s="50">
        <f>IFERROR(Dados[[#This Row],[Saldo Corrigido]]/SUMIF(Dados[Subclasse],Dados[[#This Row],[Subclasse]],Dados[Saldo Corrigido]),"0,00%")</f>
        <v>0.127060052512879</v>
      </c>
      <c r="BI14" s="50" cm="1">
        <f t="array" ref="BI14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14" s="50">
        <f>IFERROR(Dados[[#This Row],[Saldo Corrigido]]/SUMIF(Dados[Classe],Dados[[#This Row],[Classe]],Dados[Saldo Corrigido]),"0,00%")</f>
        <v>5.5362087392893083E-2</v>
      </c>
      <c r="BK14" s="50" cm="1">
        <f t="array" ref="BK14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4" s="50"/>
      <c r="BM14" s="199" t="str">
        <f>IF(Dados[[#This Row],[Ticker do Ativo]]="","",Dados[[#This Row],[Ticker do Ativo]])</f>
        <v>CRA02300HWH</v>
      </c>
      <c r="BN14" s="199"/>
      <c r="BO14" s="50" cm="1">
        <f t="array" ref="BO14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3.1610000000000002E-3</v>
      </c>
      <c r="BP14" s="191"/>
      <c r="BQ14" s="202">
        <f>IFERROR(Dados[[#This Row],[Saldo Bruto | Mês Atual]]*(1+Dados[[#This Row],[Taxa RF / FI]])+Dados[[#This Row],[Movimentações Atualizadas]],Dados[[#This Row],[Saldo Bruto | Mês Atual]]+Dados[[#This Row],[Movimentações Atualizadas]])</f>
        <v>209049.01170669001</v>
      </c>
      <c r="BR14" s="50">
        <f ca="1">IFERROR(Dados[[#This Row],[Saldo Atualizado]]/SUM(Dados[Saldo Atualizado]),"0,00%")</f>
        <v>4.2687379788544907E-2</v>
      </c>
      <c r="BS14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3.7188235294117289E-3</v>
      </c>
      <c r="BT14" s="55">
        <f>IF(Dados[[#This Row],[Participação]]="",IF(Dados[[#This Row],[Movimentações Atualizadas]]&gt;0,Dados[[#This Row],[Saldo Atualizado]],Dados[[#This Row],[Saldo Atualizado]]-Dados[[#This Row],[Movimentações Atualizadas]]),0)</f>
        <v>209049.01170669001</v>
      </c>
      <c r="BU14" s="50">
        <f ca="1">Dados[[#This Row],[Saldo Corrigido Atualizado]]/SUM(Dados[Saldo Corrigido Atualizado])</f>
        <v>4.2687379788544907E-2</v>
      </c>
      <c r="BW14" s="49"/>
      <c r="BY14" s="49"/>
      <c r="CA14" s="49"/>
      <c r="CB14" s="49"/>
    </row>
    <row r="15" spans="1:80" ht="11.25">
      <c r="B15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Pactual 09/33 11,96%aa</v>
      </c>
      <c r="C15" s="166">
        <f t="shared" si="1"/>
        <v>45474</v>
      </c>
      <c r="D15" s="49" t="s">
        <v>233</v>
      </c>
      <c r="E15" s="156" t="s">
        <v>203</v>
      </c>
      <c r="F15" s="156" t="s">
        <v>42</v>
      </c>
      <c r="G15" s="156" t="s">
        <v>210</v>
      </c>
      <c r="H15" s="156" t="s">
        <v>212</v>
      </c>
      <c r="I15" s="53">
        <v>48837</v>
      </c>
      <c r="J15" s="49" t="s">
        <v>245</v>
      </c>
      <c r="L15" s="49">
        <v>2033</v>
      </c>
      <c r="M15" s="156" t="s">
        <v>267</v>
      </c>
      <c r="N15" s="199">
        <v>0.1196</v>
      </c>
      <c r="O15" s="50"/>
      <c r="P15" s="49" t="s">
        <v>234</v>
      </c>
      <c r="R15" s="156" t="str">
        <f>IFERROR(_xlfn.XLOOKUP(Dados[[#This Row],[Subclasse]],ClasseSubClasse[SubClasse],ClasseSubClasse[Classe]),"ERRO")</f>
        <v>Renda Fixa</v>
      </c>
      <c r="S15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Pactual 09/33 11,96%aa</v>
      </c>
      <c r="T15" s="156" t="str">
        <f>IFERROR(_xlfn.XLOOKUP(Dados[[#This Row],[Subclasse]],ClasseSubClasse[SubClasse],ClasseSubClasse[Nomenclatura]),"ERRO")</f>
        <v>Renda Fixa - Prefixado</v>
      </c>
      <c r="U15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5" s="50"/>
      <c r="W15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5" s="49"/>
      <c r="Y15" s="50" t="str" cm="1">
        <f t="array" ref="Y1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5" s="54" t="str">
        <f>IFERROR((1+Dados[[#This Row],[Taxa | Esperada]])*Dados[[#This Row],[Saldo Líquido | Mês Anterior]]+Dados[[#This Row],[Juros / Dividendos]],"")</f>
        <v/>
      </c>
      <c r="AA15" s="54" t="str">
        <f>IFERROR(IF(Dados[[#This Row],[Classe]]="Renda Fixa",(1+Dados[[#This Row],[Taxa | Esperada]])*Dados[[#This Row],[Saldo Bruto | Mês Anterior]]+Dados[[#This Row],[Juros / Dividendos]],""),"")</f>
        <v/>
      </c>
      <c r="AC15" s="55">
        <v>104352.24</v>
      </c>
      <c r="AD15" s="55">
        <v>104352.24</v>
      </c>
      <c r="AE15" s="55"/>
      <c r="AF15" s="55"/>
      <c r="AG15" s="55"/>
      <c r="AH15" s="55"/>
      <c r="AI15" s="55"/>
      <c r="AJ15" s="55"/>
      <c r="AL15" s="50">
        <f>Dados[[#This Row],[Saldo Bruto | Mês Anterior]]/SUM(Dados[Saldo Bruto | Mês Anterior])</f>
        <v>1.7806348555907705E-2</v>
      </c>
      <c r="AM15" s="55">
        <f>Dados[[#This Row],[Saldo Bruto | Mês Anterior]]-Dados[[#This Row],[Saldo Líquido | Mês Anterior]]</f>
        <v>0</v>
      </c>
      <c r="AN15" s="55">
        <v>103281.46</v>
      </c>
      <c r="AO15" s="55">
        <v>103281.46</v>
      </c>
      <c r="AP15" s="55">
        <v>0</v>
      </c>
      <c r="AQ15" s="55">
        <v>0</v>
      </c>
      <c r="AS15" s="50">
        <f>IFERROR(Dados[[#This Row],[Saldo Bruto | Mês Atual]]/SUM(Dados[Saldo Bruto | Mês Atual]),"0,00%")</f>
        <v>2.1354319278900812E-2</v>
      </c>
      <c r="AT15" s="55">
        <f>Dados[[#This Row],[Saldo Bruto | Mês Atual]]-Dados[[#This Row],[Saldo Líquido | Mês Atual]]</f>
        <v>0</v>
      </c>
      <c r="AU15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1.2197166620907333E-2</v>
      </c>
      <c r="AV15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104352.24</v>
      </c>
      <c r="AW15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104352.24</v>
      </c>
      <c r="AX15" s="55">
        <f>SUM(Dados[[#This Row],[Aplicações]:[Cashback]])</f>
        <v>0</v>
      </c>
      <c r="AY15" s="55">
        <f>Dados[[#This Row],[Imposto Pago]]</f>
        <v>0</v>
      </c>
      <c r="AZ15" s="49"/>
      <c r="BA15" s="49" t="b">
        <f>OR(Dados[[#This Row],[Saldo Bruto | Mês Anterior]]&lt;&gt;0,Dados[[#This Row],[Saldo Bruto | Mês Atual]]&lt;&gt;0,Dados[[#This Row],[Movimentaçao | Mês Atual]]&lt;&gt;0)</f>
        <v>1</v>
      </c>
      <c r="BB15" s="55"/>
      <c r="BC15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104352.24</v>
      </c>
      <c r="BD15" s="50">
        <f>IFERROR(Dados[[#This Row],[Saldo Corrigido]]/SUM(Dados[Saldo Corrigido]),"0,00%")</f>
        <v>2.0616450077644316E-2</v>
      </c>
      <c r="BE15" s="50">
        <f>IFERROR(SUMPRODUCT(Dados[Performance | Mês Atual],Dados[Peso Corrigido | Carteira]),"0,00%")</f>
        <v>6.7280865242948622E-3</v>
      </c>
      <c r="BF15" s="50">
        <f>IFERROR(Dados[[#This Row],[Saldo Corrigido]]/SUMIF(Dados[Custódia],Dados[[#This Row],[Custódia]],Dados[Saldo Corrigido]),"0,00%")</f>
        <v>2.0879747630797287E-2</v>
      </c>
      <c r="BG15" s="50" cm="1">
        <f t="array" ref="BG15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5" s="50">
        <f>IFERROR(Dados[[#This Row],[Saldo Corrigido]]/SUMIF(Dados[Subclasse],Dados[[#This Row],[Subclasse]],Dados[Saldo Corrigido]),"0,00%")</f>
        <v>7.3203511277135896E-2</v>
      </c>
      <c r="BI15" s="50" cm="1">
        <f t="array" ref="BI15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15" s="50">
        <f>IFERROR(Dados[[#This Row],[Saldo Corrigido]]/SUMIF(Dados[Classe],Dados[[#This Row],[Classe]],Dados[Saldo Corrigido]),"0,00%")</f>
        <v>2.7722778400683417E-2</v>
      </c>
      <c r="BK15" s="50" cm="1">
        <f t="array" ref="BK15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5" s="50"/>
      <c r="BM15" s="199" t="str">
        <f>IF(Dados[[#This Row],[Ticker do Ativo]]="","",Dados[[#This Row],[Ticker do Ativo]])</f>
        <v>CRA02300HWK</v>
      </c>
      <c r="BN15" s="199"/>
      <c r="BO15" s="50" cm="1">
        <f t="array" aca="1" ref="BO15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2.4791552391267846E-3</v>
      </c>
      <c r="BP15" s="191"/>
      <c r="BQ15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104610.94540251062</v>
      </c>
      <c r="BR15" s="50">
        <f ca="1">IFERROR(Dados[[#This Row],[Saldo Atualizado]]/SUM(Dados[Saldo Atualizado]),"0,00%")</f>
        <v>2.1361340673072406E-2</v>
      </c>
      <c r="BS15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2.9166532225020996E-3</v>
      </c>
      <c r="BT15" s="55">
        <f ca="1">IF(Dados[[#This Row],[Participação]]="",IF(Dados[[#This Row],[Movimentações Atualizadas]]&gt;0,Dados[[#This Row],[Saldo Atualizado]],Dados[[#This Row],[Saldo Atualizado]]-Dados[[#This Row],[Movimentações Atualizadas]]),0)</f>
        <v>104610.94540251062</v>
      </c>
      <c r="BU15" s="50">
        <f ca="1">Dados[[#This Row],[Saldo Corrigido Atualizado]]/SUM(Dados[Saldo Corrigido Atualizado])</f>
        <v>2.1361340673072406E-2</v>
      </c>
      <c r="BW15" s="49"/>
      <c r="BY15" s="49"/>
      <c r="CA15" s="49"/>
      <c r="CB15" s="49"/>
    </row>
    <row r="16" spans="1:80" ht="11.25">
      <c r="B1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Camil 04/25 101% CDI</v>
      </c>
      <c r="C16" s="166">
        <f t="shared" si="1"/>
        <v>45474</v>
      </c>
      <c r="D16" s="49" t="s">
        <v>233</v>
      </c>
      <c r="E16" s="156" t="s">
        <v>203</v>
      </c>
      <c r="F16" s="156" t="s">
        <v>59</v>
      </c>
      <c r="G16" s="156" t="s">
        <v>210</v>
      </c>
      <c r="H16" s="156" t="s">
        <v>213</v>
      </c>
      <c r="I16" s="53">
        <v>45763</v>
      </c>
      <c r="J16" s="49" t="s">
        <v>246</v>
      </c>
      <c r="L16" s="49">
        <v>2025</v>
      </c>
      <c r="M16" s="156" t="s">
        <v>277</v>
      </c>
      <c r="N16" s="199">
        <v>1.01</v>
      </c>
      <c r="O16" s="50" t="s">
        <v>262</v>
      </c>
      <c r="P16" s="49" t="s">
        <v>234</v>
      </c>
      <c r="R16" s="156" t="str">
        <f>IFERROR(_xlfn.XLOOKUP(Dados[[#This Row],[Subclasse]],ClasseSubClasse[SubClasse],ClasseSubClasse[Classe]),"ERRO")</f>
        <v>Renda Fixa</v>
      </c>
      <c r="S1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Camil 04/25 101% CDI</v>
      </c>
      <c r="T16" s="156" t="str">
        <f>IFERROR(_xlfn.XLOOKUP(Dados[[#This Row],[Subclasse]],ClasseSubClasse[SubClasse],ClasseSubClasse[Nomenclatura]),"ERRO")</f>
        <v>Renda Fixa - Pós-Fixado</v>
      </c>
      <c r="U16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</v>
      </c>
      <c r="V16" s="50"/>
      <c r="W1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6" s="49"/>
      <c r="Y16" s="50" t="str" cm="1">
        <f t="array" ref="Y1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6" s="54" t="str">
        <f>IFERROR((1+Dados[[#This Row],[Taxa | Esperada]])*Dados[[#This Row],[Saldo Líquido | Mês Anterior]]+Dados[[#This Row],[Juros / Dividendos]],"")</f>
        <v/>
      </c>
      <c r="AA16" s="54" t="str">
        <f>IFERROR(IF(Dados[[#This Row],[Classe]]="Renda Fixa",(1+Dados[[#This Row],[Taxa | Esperada]])*Dados[[#This Row],[Saldo Bruto | Mês Anterior]]+Dados[[#This Row],[Juros / Dividendos]],""),"")</f>
        <v/>
      </c>
      <c r="AC16" s="55">
        <v>308972.36</v>
      </c>
      <c r="AD16" s="55">
        <v>308972.36</v>
      </c>
      <c r="AE16" s="55"/>
      <c r="AF16" s="55"/>
      <c r="AG16" s="55"/>
      <c r="AH16" s="55"/>
      <c r="AI16" s="55"/>
      <c r="AJ16" s="55"/>
      <c r="AL16" s="50">
        <f>Dados[[#This Row],[Saldo Bruto | Mês Anterior]]/SUM(Dados[Saldo Bruto | Mês Anterior])</f>
        <v>5.2784868977496568E-2</v>
      </c>
      <c r="AM16" s="55">
        <f>Dados[[#This Row],[Saldo Bruto | Mês Anterior]]-Dados[[#This Row],[Saldo Líquido | Mês Anterior]]</f>
        <v>0</v>
      </c>
      <c r="AN16" s="55">
        <v>306165.99</v>
      </c>
      <c r="AO16" s="55">
        <v>306165.99</v>
      </c>
      <c r="AP16" s="55">
        <v>0</v>
      </c>
      <c r="AQ16" s="55">
        <v>0</v>
      </c>
      <c r="AS16" s="50">
        <f>IFERROR(Dados[[#This Row],[Saldo Bruto | Mês Atual]]/SUM(Dados[Saldo Bruto | Mês Atual]),"0,00%")</f>
        <v>6.3227147053053018E-2</v>
      </c>
      <c r="AT16" s="55">
        <f>Dados[[#This Row],[Saldo Bruto | Mês Atual]]-Dados[[#This Row],[Saldo Líquido | Mês Atual]]</f>
        <v>0</v>
      </c>
      <c r="AU16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1.1457714490103743E-2</v>
      </c>
      <c r="AV1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308972.36</v>
      </c>
      <c r="AW1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308972.36</v>
      </c>
      <c r="AX16" s="55">
        <f>SUM(Dados[[#This Row],[Aplicações]:[Cashback]])</f>
        <v>0</v>
      </c>
      <c r="AY16" s="55">
        <f>Dados[[#This Row],[Imposto Pago]]</f>
        <v>0</v>
      </c>
      <c r="AZ16" s="49"/>
      <c r="BA16" s="49" t="b">
        <f>OR(Dados[[#This Row],[Saldo Bruto | Mês Anterior]]&lt;&gt;0,Dados[[#This Row],[Saldo Bruto | Mês Atual]]&lt;&gt;0,Dados[[#This Row],[Movimentaçao | Mês Atual]]&lt;&gt;0)</f>
        <v>1</v>
      </c>
      <c r="BB16" s="55"/>
      <c r="BC16" s="55">
        <f>IF(Dados[[#This Row],[Participação]]="",IF(Dados[[#This Row],[Movimentaçao | Mês Atual]]&gt;0,Dados[[#This Row],[Saldo Bruto | Mês Atual]],Dados[[#This Row],[Saldo Bruto | Mês Atual]]-Dados[[#This Row],[Movimentaçao | Mês Atual]]),0)</f>
        <v>308972.36</v>
      </c>
      <c r="BD16" s="50">
        <f>IFERROR(Dados[[#This Row],[Saldo Corrigido]]/SUM(Dados[Saldo Corrigido]),"0,00%")</f>
        <v>6.1042419744050981E-2</v>
      </c>
      <c r="BE16" s="50">
        <f>IFERROR(SUMPRODUCT(Dados[Performance | Mês Atual],Dados[Peso Corrigido | Carteira]),"0,00%")</f>
        <v>6.7280865242948622E-3</v>
      </c>
      <c r="BF16" s="50">
        <f>IFERROR(Dados[[#This Row],[Saldo Corrigido]]/SUMIF(Dados[Custódia],Dados[[#This Row],[Custódia]],Dados[Saldo Corrigido]),"0,00%")</f>
        <v>6.182200690365483E-2</v>
      </c>
      <c r="BG16" s="50" cm="1">
        <f t="array" ref="BG16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6" s="50">
        <f>IFERROR(Dados[[#This Row],[Saldo Corrigido]]/SUMIF(Dados[Subclasse],Dados[[#This Row],[Subclasse]],Dados[Saldo Corrigido]),"0,00%")</f>
        <v>0.18838710904729847</v>
      </c>
      <c r="BI16" s="50" cm="1">
        <f t="array" ref="BI16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16" s="50">
        <f>IFERROR(Dados[[#This Row],[Saldo Corrigido]]/SUMIF(Dados[Classe],Dados[[#This Row],[Classe]],Dados[Saldo Corrigido]),"0,00%")</f>
        <v>8.2083262115084252E-2</v>
      </c>
      <c r="BK16" s="50" cm="1">
        <f t="array" ref="BK16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6" s="50"/>
      <c r="BM16" s="199" t="str">
        <f>IF(Dados[[#This Row],[Ticker do Ativo]]="","",Dados[[#This Row],[Ticker do Ativo]])</f>
        <v>CRA01900133</v>
      </c>
      <c r="BN16" s="199"/>
      <c r="BO16" s="50" cm="1">
        <f t="array" ref="BO1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2.9289999999999997E-3</v>
      </c>
      <c r="BP16" s="191"/>
      <c r="BQ16" s="202">
        <f>IFERROR(Dados[[#This Row],[Saldo Bruto | Mês Atual]]*(1+Dados[[#This Row],[Taxa RF / FI]])+Dados[[#This Row],[Movimentações Atualizadas]],Dados[[#This Row],[Saldo Bruto | Mês Atual]]+Dados[[#This Row],[Movimentações Atualizadas]])</f>
        <v>309877.34004243999</v>
      </c>
      <c r="BR16" s="50">
        <f ca="1">IFERROR(Dados[[#This Row],[Saldo Atualizado]]/SUM(Dados[Saldo Atualizado]),"0,00%")</f>
        <v>6.3276317808262525E-2</v>
      </c>
      <c r="BS16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3.6612499999999493E-3</v>
      </c>
      <c r="BT16" s="55">
        <f>IF(Dados[[#This Row],[Participação]]="",IF(Dados[[#This Row],[Movimentações Atualizadas]]&gt;0,Dados[[#This Row],[Saldo Atualizado]],Dados[[#This Row],[Saldo Atualizado]]-Dados[[#This Row],[Movimentações Atualizadas]]),0)</f>
        <v>309877.34004243999</v>
      </c>
      <c r="BU16" s="50">
        <f ca="1">Dados[[#This Row],[Saldo Corrigido Atualizado]]/SUM(Dados[Saldo Corrigido Atualizado])</f>
        <v>6.3276317808262525E-2</v>
      </c>
      <c r="BW16" s="49"/>
      <c r="BY16" s="49"/>
      <c r="CA16" s="49"/>
      <c r="CB16" s="49"/>
    </row>
    <row r="17" spans="2:80" ht="11.25">
      <c r="B17" s="251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Engelhart CTP 01/28 13,58%aa</v>
      </c>
      <c r="C17" s="166">
        <f t="shared" si="1"/>
        <v>45474</v>
      </c>
      <c r="D17" s="49" t="s">
        <v>233</v>
      </c>
      <c r="E17" s="156" t="s">
        <v>203</v>
      </c>
      <c r="F17" s="156" t="s">
        <v>42</v>
      </c>
      <c r="G17" s="156" t="s">
        <v>210</v>
      </c>
      <c r="H17" s="156" t="s">
        <v>214</v>
      </c>
      <c r="I17" s="53">
        <v>46769</v>
      </c>
      <c r="J17" s="49" t="s">
        <v>247</v>
      </c>
      <c r="L17" s="49">
        <v>2028</v>
      </c>
      <c r="M17" s="156" t="s">
        <v>270</v>
      </c>
      <c r="N17" s="199">
        <v>0.1358</v>
      </c>
      <c r="O17" s="50"/>
      <c r="P17" s="49" t="s">
        <v>234</v>
      </c>
      <c r="R17" s="156" t="str">
        <f>IFERROR(_xlfn.XLOOKUP(Dados[[#This Row],[Subclasse]],ClasseSubClasse[SubClasse],ClasseSubClasse[Classe]),"ERRO")</f>
        <v>Renda Fixa</v>
      </c>
      <c r="S1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Engelhart CTP 01/28 13,58%aa</v>
      </c>
      <c r="T17" s="156" t="str">
        <f>IFERROR(_xlfn.XLOOKUP(Dados[[#This Row],[Subclasse]],ClasseSubClasse[SubClasse],ClasseSubClasse[Nomenclatura]),"ERRO")</f>
        <v>Renda Fixa - Prefixado</v>
      </c>
      <c r="U17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7" s="50"/>
      <c r="W1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7" s="49"/>
      <c r="Y17" s="50" t="str" cm="1">
        <f t="array" ref="Y1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7" s="54" t="str">
        <f>IFERROR((1+Dados[[#This Row],[Taxa | Esperada]])*Dados[[#This Row],[Saldo Líquido | Mês Anterior]]+Dados[[#This Row],[Juros / Dividendos]],"")</f>
        <v/>
      </c>
      <c r="AA17" s="54" t="str">
        <f>IFERROR(IF(Dados[[#This Row],[Classe]]="Renda Fixa",(1+Dados[[#This Row],[Taxa | Esperada]])*Dados[[#This Row],[Saldo Bruto | Mês Anterior]]+Dados[[#This Row],[Juros / Dividendos]],""),"")</f>
        <v/>
      </c>
      <c r="AC17" s="55">
        <v>103110.63</v>
      </c>
      <c r="AD17" s="55">
        <v>103110.63</v>
      </c>
      <c r="AE17" s="55"/>
      <c r="AF17" s="55"/>
      <c r="AG17" s="55"/>
      <c r="AH17" s="55"/>
      <c r="AI17" s="55"/>
      <c r="AJ17" s="55"/>
      <c r="AL17" s="50">
        <f>Dados[[#This Row],[Saldo Bruto | Mês Anterior]]/SUM(Dados[Saldo Bruto | Mês Anterior])</f>
        <v>1.7571431520310911E-2</v>
      </c>
      <c r="AM17" s="55">
        <f>Dados[[#This Row],[Saldo Bruto | Mês Anterior]]-Dados[[#This Row],[Saldo Líquido | Mês Anterior]]</f>
        <v>0</v>
      </c>
      <c r="AN17" s="55">
        <v>101918.88</v>
      </c>
      <c r="AO17" s="55">
        <v>101918.88</v>
      </c>
      <c r="AP17" s="55">
        <v>0</v>
      </c>
      <c r="AQ17" s="55">
        <v>0</v>
      </c>
      <c r="AS17" s="50">
        <f>IFERROR(Dados[[#This Row],[Saldo Bruto | Mês Atual]]/SUM(Dados[Saldo Bruto | Mês Atual]),"0,00%")</f>
        <v>2.1100240053003254E-2</v>
      </c>
      <c r="AT17" s="55">
        <f>Dados[[#This Row],[Saldo Bruto | Mês Atual]]-Dados[[#This Row],[Saldo Líquido | Mês Atual]]</f>
        <v>0</v>
      </c>
      <c r="AU1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1.3756615295707911E-2</v>
      </c>
      <c r="AV1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103110.63</v>
      </c>
      <c r="AW1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103110.63</v>
      </c>
      <c r="AX17" s="55">
        <f>SUM(Dados[[#This Row],[Aplicações]:[Cashback]])</f>
        <v>0</v>
      </c>
      <c r="AY17" s="55">
        <f>Dados[[#This Row],[Imposto Pago]]</f>
        <v>0</v>
      </c>
      <c r="AZ17" s="49"/>
      <c r="BA17" s="49" t="b">
        <f>OR(Dados[[#This Row],[Saldo Bruto | Mês Anterior]]&lt;&gt;0,Dados[[#This Row],[Saldo Bruto | Mês Atual]]&lt;&gt;0,Dados[[#This Row],[Movimentaçao | Mês Atual]]&lt;&gt;0)</f>
        <v>1</v>
      </c>
      <c r="BB17" s="55"/>
      <c r="BC17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103110.63</v>
      </c>
      <c r="BD17" s="50">
        <f>IFERROR(Dados[[#This Row],[Saldo Corrigido]]/SUM(Dados[Saldo Corrigido]),"0,00%")</f>
        <v>2.0371150210761687E-2</v>
      </c>
      <c r="BE17" s="50">
        <f>IFERROR(SUMPRODUCT(Dados[Performance | Mês Atual],Dados[Peso Corrigido | Carteira]),"0,00%")</f>
        <v>6.7280865242948622E-3</v>
      </c>
      <c r="BF17" s="50">
        <f>IFERROR(Dados[[#This Row],[Saldo Corrigido]]/SUMIF(Dados[Custódia],Dados[[#This Row],[Custódia]],Dados[Saldo Corrigido]),"0,00%")</f>
        <v>2.0631314981379562E-2</v>
      </c>
      <c r="BG17" s="50" cm="1">
        <f t="array" ref="BG17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7" s="50">
        <f>IFERROR(Dados[[#This Row],[Saldo Corrigido]]/SUMIF(Dados[Subclasse],Dados[[#This Row],[Subclasse]],Dados[Saldo Corrigido]),"0,00%")</f>
        <v>7.2332516925344259E-2</v>
      </c>
      <c r="BI17" s="50" cm="1">
        <f t="array" ref="BI17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17" s="50">
        <f>IFERROR(Dados[[#This Row],[Saldo Corrigido]]/SUMIF(Dados[Classe],Dados[[#This Row],[Classe]],Dados[Saldo Corrigido]),"0,00%")</f>
        <v>2.7392925597427131E-2</v>
      </c>
      <c r="BK17" s="50" cm="1">
        <f t="array" ref="BK17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7" s="50"/>
      <c r="BM17" s="199" t="str">
        <f>IF(Dados[[#This Row],[Ticker do Ativo]]="","",Dados[[#This Row],[Ticker do Ativo]])</f>
        <v>CRA0230020A</v>
      </c>
      <c r="BN17" s="199"/>
      <c r="BO17" s="50" cm="1">
        <f t="array" aca="1" ref="BO17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2.7948517271934037E-3</v>
      </c>
      <c r="BP17" s="191"/>
      <c r="BQ17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103398.80892234751</v>
      </c>
      <c r="BR17" s="50">
        <f ca="1">IFERROR(Dados[[#This Row],[Saldo Atualizado]]/SUM(Dados[Saldo Atualizado]),"0,00%")</f>
        <v>2.1113824887841755E-2</v>
      </c>
      <c r="BS17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3.2880608555216516E-3</v>
      </c>
      <c r="BT17" s="55">
        <f ca="1">IF(Dados[[#This Row],[Participação]]="",IF(Dados[[#This Row],[Movimentações Atualizadas]]&gt;0,Dados[[#This Row],[Saldo Atualizado]],Dados[[#This Row],[Saldo Atualizado]]-Dados[[#This Row],[Movimentações Atualizadas]]),0)</f>
        <v>103398.80892234751</v>
      </c>
      <c r="BU17" s="50">
        <f ca="1">Dados[[#This Row],[Saldo Corrigido Atualizado]]/SUM(Dados[Saldo Corrigido Atualizado])</f>
        <v>2.1113824887841755E-2</v>
      </c>
      <c r="BW17" s="49"/>
      <c r="BY17" s="49"/>
      <c r="CA17" s="49"/>
      <c r="CB17" s="49"/>
    </row>
    <row r="18" spans="2:80" ht="11.25">
      <c r="B1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FS Agrisolutions 07/30 13,20%aa</v>
      </c>
      <c r="C18" s="166">
        <f t="shared" si="1"/>
        <v>45474</v>
      </c>
      <c r="D18" s="49" t="s">
        <v>233</v>
      </c>
      <c r="E18" s="156" t="s">
        <v>203</v>
      </c>
      <c r="F18" s="156" t="s">
        <v>42</v>
      </c>
      <c r="G18" s="156" t="s">
        <v>210</v>
      </c>
      <c r="H18" s="156" t="s">
        <v>215</v>
      </c>
      <c r="I18" s="53">
        <v>47679</v>
      </c>
      <c r="J18" s="49" t="s">
        <v>258</v>
      </c>
      <c r="L18" s="49">
        <v>2030</v>
      </c>
      <c r="M18" s="156" t="s">
        <v>238</v>
      </c>
      <c r="N18" s="199">
        <v>0.13200000000000001</v>
      </c>
      <c r="O18" s="50"/>
      <c r="P18" s="49" t="s">
        <v>234</v>
      </c>
      <c r="R18" s="156" t="str">
        <f>IFERROR(_xlfn.XLOOKUP(Dados[[#This Row],[Subclasse]],ClasseSubClasse[SubClasse],ClasseSubClasse[Classe]),"ERRO")</f>
        <v>Renda Fixa</v>
      </c>
      <c r="S1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FS Agrisolutions 07/30 13,20%aa</v>
      </c>
      <c r="T18" s="156" t="str">
        <f>IFERROR(_xlfn.XLOOKUP(Dados[[#This Row],[Subclasse]],ClasseSubClasse[SubClasse],ClasseSubClasse[Nomenclatura]),"ERRO")</f>
        <v>Renda Fixa - Prefixado</v>
      </c>
      <c r="U18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8" s="50"/>
      <c r="W1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8" s="49"/>
      <c r="Y18" s="50" t="str" cm="1">
        <f t="array" ref="Y1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8" s="54" t="str">
        <f>IFERROR((1+Dados[[#This Row],[Taxa | Esperada]])*Dados[[#This Row],[Saldo Líquido | Mês Anterior]]+Dados[[#This Row],[Juros / Dividendos]],"")</f>
        <v/>
      </c>
      <c r="AA18" s="54" t="str">
        <f>IFERROR(IF(Dados[[#This Row],[Classe]]="Renda Fixa",(1+Dados[[#This Row],[Taxa | Esperada]])*Dados[[#This Row],[Saldo Bruto | Mês Anterior]]+Dados[[#This Row],[Juros / Dividendos]],""),"")</f>
        <v/>
      </c>
      <c r="AB18" s="49" t="s">
        <v>303</v>
      </c>
      <c r="AC18" s="55">
        <v>64378.97</v>
      </c>
      <c r="AD18" s="55">
        <v>64378.97</v>
      </c>
      <c r="AE18" s="55"/>
      <c r="AF18" s="55"/>
      <c r="AG18" s="55">
        <v>-632.88</v>
      </c>
      <c r="AH18" s="55"/>
      <c r="AI18" s="55"/>
      <c r="AJ18" s="55"/>
      <c r="AL18" s="50">
        <f>Dados[[#This Row],[Saldo Bruto | Mês Anterior]]/SUM(Dados[Saldo Bruto | Mês Anterior])</f>
        <v>1.1082953965745081E-2</v>
      </c>
      <c r="AM18" s="55">
        <f>Dados[[#This Row],[Saldo Bruto | Mês Anterior]]-Dados[[#This Row],[Saldo Líquido | Mês Anterior]]</f>
        <v>0</v>
      </c>
      <c r="AN18" s="55">
        <v>64284.02</v>
      </c>
      <c r="AO18" s="55">
        <v>64284.02</v>
      </c>
      <c r="AP18" s="55">
        <v>-696.5</v>
      </c>
      <c r="AQ18" s="55">
        <v>0</v>
      </c>
      <c r="AS18" s="50">
        <f>IFERROR(Dados[[#This Row],[Saldo Bruto | Mês Atual]]/SUM(Dados[Saldo Bruto | Mês Atual]),"0,00%")</f>
        <v>1.3174313078730049E-2</v>
      </c>
      <c r="AT18" s="55">
        <f>Dados[[#This Row],[Saldo Bruto | Mês Atual]]-Dados[[#This Row],[Saldo Líquido | Mês Atual]]</f>
        <v>0</v>
      </c>
      <c r="AU1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1.332011576493339E-2</v>
      </c>
      <c r="AV1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64378.97</v>
      </c>
      <c r="AW1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64378.97</v>
      </c>
      <c r="AX18" s="55">
        <f>SUM(Dados[[#This Row],[Aplicações]:[Cashback]])</f>
        <v>-632.88</v>
      </c>
      <c r="AY18" s="55">
        <f>Dados[[#This Row],[Imposto Pago]]</f>
        <v>0</v>
      </c>
      <c r="AZ18" s="49"/>
      <c r="BA18" s="49" t="b">
        <f>OR(Dados[[#This Row],[Saldo Bruto | Mês Anterior]]&lt;&gt;0,Dados[[#This Row],[Saldo Bruto | Mês Atual]]&lt;&gt;0,Dados[[#This Row],[Movimentaçao | Mês Atual]]&lt;&gt;0)</f>
        <v>1</v>
      </c>
      <c r="BB18" s="55"/>
      <c r="BC18" s="55">
        <f>IF(Dados[[#This Row],[Participação]]="",IF(Dados[[#This Row],[Movimentaçao | Mês Atual]]&gt;0,Dados[[#This Row],[Saldo Bruto | Mês Atual]],Dados[[#This Row],[Saldo Bruto | Mês Atual]]-Dados[[#This Row],[Movimentaçao | Mês Atual]]),0)</f>
        <v>65011.85</v>
      </c>
      <c r="BD18" s="50">
        <f>IFERROR(Dados[[#This Row],[Saldo Corrigido]]/SUM(Dados[Saldo Corrigido]),"0,00%")</f>
        <v>1.2844128309850373E-2</v>
      </c>
      <c r="BE18" s="50">
        <f>IFERROR(SUMPRODUCT(Dados[Performance | Mês Atual],Dados[Peso Corrigido | Carteira]),"0,00%")</f>
        <v>6.7280865242948622E-3</v>
      </c>
      <c r="BF18" s="50">
        <f>IFERROR(Dados[[#This Row],[Saldo Corrigido]]/SUMIF(Dados[Custódia],Dados[[#This Row],[Custódia]],Dados[Saldo Corrigido]),"0,00%")</f>
        <v>1.3008163706033032E-2</v>
      </c>
      <c r="BG18" s="50" cm="1">
        <f t="array" ref="BG18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8" s="50">
        <f>IFERROR(Dados[[#This Row],[Saldo Corrigido]]/SUMIF(Dados[Subclasse],Dados[[#This Row],[Subclasse]],Dados[Saldo Corrigido]),"0,00%")</f>
        <v>4.5606071269983922E-2</v>
      </c>
      <c r="BI18" s="50" cm="1">
        <f t="array" ref="BI18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18" s="50">
        <f>IFERROR(Dados[[#This Row],[Saldo Corrigido]]/SUMIF(Dados[Classe],Dados[[#This Row],[Classe]],Dados[Saldo Corrigido]),"0,00%")</f>
        <v>1.7271398399962185E-2</v>
      </c>
      <c r="BK18" s="50" cm="1">
        <f t="array" ref="BK18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8" s="50"/>
      <c r="BM18" s="199" t="str">
        <f>IF(Dados[[#This Row],[Ticker do Ativo]]="","",Dados[[#This Row],[Ticker do Ativo]])</f>
        <v>CRA024000B8</v>
      </c>
      <c r="BN18" s="199"/>
      <c r="BO18" s="50" cm="1">
        <f t="array" aca="1" ref="BO18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2.7211966793287967E-3</v>
      </c>
      <c r="BP18" s="191"/>
      <c r="BQ18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64554.157839382613</v>
      </c>
      <c r="BR18" s="50">
        <f ca="1">IFERROR(Dados[[#This Row],[Saldo Atualizado]]/SUM(Dados[Saldo Atualizado]),"0,00%")</f>
        <v>1.3181826740638988E-2</v>
      </c>
      <c r="BS18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3.2014078580338786E-3</v>
      </c>
      <c r="BT18" s="55">
        <f ca="1">IF(Dados[[#This Row],[Participação]]="",IF(Dados[[#This Row],[Movimentações Atualizadas]]&gt;0,Dados[[#This Row],[Saldo Atualizado]],Dados[[#This Row],[Saldo Atualizado]]-Dados[[#This Row],[Movimentações Atualizadas]]),0)</f>
        <v>64554.157839382613</v>
      </c>
      <c r="BU18" s="50">
        <f ca="1">Dados[[#This Row],[Saldo Corrigido Atualizado]]/SUM(Dados[Saldo Corrigido Atualizado])</f>
        <v>1.3181826740638988E-2</v>
      </c>
      <c r="BW18" s="49"/>
      <c r="BY18" s="49"/>
      <c r="CA18" s="49"/>
      <c r="CB18" s="49"/>
    </row>
    <row r="19" spans="2:80" ht="11.25">
      <c r="B1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FS Agrisolutions 12/28 12,45%aa</v>
      </c>
      <c r="C19" s="166">
        <f t="shared" si="1"/>
        <v>45474</v>
      </c>
      <c r="D19" s="49" t="s">
        <v>233</v>
      </c>
      <c r="E19" s="156" t="s">
        <v>203</v>
      </c>
      <c r="F19" s="156" t="s">
        <v>42</v>
      </c>
      <c r="G19" s="156" t="s">
        <v>210</v>
      </c>
      <c r="H19" s="156" t="s">
        <v>215</v>
      </c>
      <c r="I19" s="53">
        <v>47102</v>
      </c>
      <c r="J19" s="49" t="s">
        <v>248</v>
      </c>
      <c r="L19" s="49">
        <v>2028</v>
      </c>
      <c r="M19" s="156" t="s">
        <v>268</v>
      </c>
      <c r="N19" s="199">
        <v>0.1245</v>
      </c>
      <c r="O19" s="50"/>
      <c r="P19" s="49" t="s">
        <v>234</v>
      </c>
      <c r="R19" s="156" t="str">
        <f>IFERROR(_xlfn.XLOOKUP(Dados[[#This Row],[Subclasse]],ClasseSubClasse[SubClasse],ClasseSubClasse[Classe]),"ERRO")</f>
        <v>Renda Fixa</v>
      </c>
      <c r="S1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FS Agrisolutions 12/28 12,45%aa</v>
      </c>
      <c r="T19" s="156" t="str">
        <f>IFERROR(_xlfn.XLOOKUP(Dados[[#This Row],[Subclasse]],ClasseSubClasse[SubClasse],ClasseSubClasse[Nomenclatura]),"ERRO")</f>
        <v>Renda Fixa - Prefixado</v>
      </c>
      <c r="U19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9" s="50"/>
      <c r="W1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9" s="49"/>
      <c r="Y19" s="50" t="str" cm="1">
        <f t="array" ref="Y1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9" s="54" t="str">
        <f>IFERROR((1+Dados[[#This Row],[Taxa | Esperada]])*Dados[[#This Row],[Saldo Líquido | Mês Anterior]]+Dados[[#This Row],[Juros / Dividendos]],"")</f>
        <v/>
      </c>
      <c r="AA19" s="54" t="str">
        <f>IFERROR(IF(Dados[[#This Row],[Classe]]="Renda Fixa",(1+Dados[[#This Row],[Taxa | Esperada]])*Dados[[#This Row],[Saldo Bruto | Mês Anterior]]+Dados[[#This Row],[Juros / Dividendos]],""),"")</f>
        <v/>
      </c>
      <c r="AB19" s="49">
        <v>37</v>
      </c>
      <c r="AC19" s="55">
        <v>100560.31</v>
      </c>
      <c r="AD19" s="55">
        <v>100560.31</v>
      </c>
      <c r="AE19" s="55"/>
      <c r="AF19" s="55"/>
      <c r="AG19" s="55">
        <v>-935.6</v>
      </c>
      <c r="AH19" s="55"/>
      <c r="AI19" s="55"/>
      <c r="AJ19" s="55"/>
      <c r="AL19" s="50">
        <f>Dados[[#This Row],[Saldo Bruto | Mês Anterior]]/SUM(Dados[Saldo Bruto | Mês Anterior])</f>
        <v>1.7313005195737342E-2</v>
      </c>
      <c r="AM19" s="55">
        <f>Dados[[#This Row],[Saldo Bruto | Mês Anterior]]-Dados[[#This Row],[Saldo Líquido | Mês Anterior]]</f>
        <v>0</v>
      </c>
      <c r="AN19" s="55">
        <v>100419.94</v>
      </c>
      <c r="AO19" s="55">
        <v>100419.94</v>
      </c>
      <c r="AP19" s="55">
        <v>-1029.6400000000001</v>
      </c>
      <c r="AQ19" s="55">
        <v>0</v>
      </c>
      <c r="AS19" s="50">
        <f>IFERROR(Dados[[#This Row],[Saldo Bruto | Mês Atual]]/SUM(Dados[Saldo Bruto | Mês Atual]),"0,00%")</f>
        <v>2.0578350464975567E-2</v>
      </c>
      <c r="AT19" s="55">
        <f>Dados[[#This Row],[Saldo Bruto | Mês Atual]]-Dados[[#This Row],[Saldo Líquido | Mês Atual]]</f>
        <v>0</v>
      </c>
      <c r="AU1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1.2605534904955536E-2</v>
      </c>
      <c r="AV1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100560.31</v>
      </c>
      <c r="AW1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100560.31</v>
      </c>
      <c r="AX19" s="55">
        <f>SUM(Dados[[#This Row],[Aplicações]:[Cashback]])</f>
        <v>-935.6</v>
      </c>
      <c r="AY19" s="55">
        <f>Dados[[#This Row],[Imposto Pago]]</f>
        <v>0</v>
      </c>
      <c r="AZ19" s="49"/>
      <c r="BA19" s="49" t="b">
        <f>OR(Dados[[#This Row],[Saldo Bruto | Mês Anterior]]&lt;&gt;0,Dados[[#This Row],[Saldo Bruto | Mês Atual]]&lt;&gt;0,Dados[[#This Row],[Movimentaçao | Mês Atual]]&lt;&gt;0)</f>
        <v>1</v>
      </c>
      <c r="BB19" s="55"/>
      <c r="BC19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101495.91</v>
      </c>
      <c r="BD19" s="50">
        <f>IFERROR(Dados[[#This Row],[Saldo Corrigido]]/SUM(Dados[Saldo Corrigido]),"0,00%")</f>
        <v>2.0052136509959732E-2</v>
      </c>
      <c r="BE19" s="50">
        <f>IFERROR(SUMPRODUCT(Dados[Performance | Mês Atual],Dados[Peso Corrigido | Carteira]),"0,00%")</f>
        <v>6.7280865242948622E-3</v>
      </c>
      <c r="BF19" s="50">
        <f>IFERROR(Dados[[#This Row],[Saldo Corrigido]]/SUMIF(Dados[Custódia],Dados[[#This Row],[Custódia]],Dados[Saldo Corrigido]),"0,00%")</f>
        <v>2.0308227081259726E-2</v>
      </c>
      <c r="BG19" s="50" cm="1">
        <f t="array" ref="BG19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19" s="50">
        <f>IFERROR(Dados[[#This Row],[Saldo Corrigido]]/SUMIF(Dados[Subclasse],Dados[[#This Row],[Subclasse]],Dados[Saldo Corrigido]),"0,00%")</f>
        <v>7.1199784425022117E-2</v>
      </c>
      <c r="BI19" s="50" cm="1">
        <f t="array" ref="BI19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19" s="50">
        <f>IFERROR(Dados[[#This Row],[Saldo Corrigido]]/SUMIF(Dados[Classe],Dados[[#This Row],[Classe]],Dados[Saldo Corrigido]),"0,00%")</f>
        <v>2.696395038099525E-2</v>
      </c>
      <c r="BK19" s="50" cm="1">
        <f t="array" ref="BK19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19" s="50"/>
      <c r="BM19" s="199" t="str">
        <f>IF(Dados[[#This Row],[Ticker do Ativo]]="","",Dados[[#This Row],[Ticker do Ativo]])</f>
        <v>CRA02300S37</v>
      </c>
      <c r="BN19" s="199"/>
      <c r="BO19" s="50" cm="1">
        <f t="array" aca="1" ref="BO19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2.575112494646703E-3</v>
      </c>
      <c r="BP19" s="191"/>
      <c r="BQ19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100819.26411074655</v>
      </c>
      <c r="BR19" s="50">
        <f ca="1">IFERROR(Dados[[#This Row],[Saldo Atualizado]]/SUM(Dados[Saldo Atualizado]),"0,00%")</f>
        <v>2.0587087123547138E-2</v>
      </c>
      <c r="BS19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3.0295441113490622E-3</v>
      </c>
      <c r="BT19" s="55">
        <f ca="1">IF(Dados[[#This Row],[Participação]]="",IF(Dados[[#This Row],[Movimentações Atualizadas]]&gt;0,Dados[[#This Row],[Saldo Atualizado]],Dados[[#This Row],[Saldo Atualizado]]-Dados[[#This Row],[Movimentações Atualizadas]]),0)</f>
        <v>100819.26411074655</v>
      </c>
      <c r="BU19" s="50">
        <f ca="1">Dados[[#This Row],[Saldo Corrigido Atualizado]]/SUM(Dados[Saldo Corrigido Atualizado])</f>
        <v>2.0587087123547138E-2</v>
      </c>
      <c r="BW19" s="49"/>
      <c r="BY19" s="49"/>
      <c r="CA19" s="49"/>
      <c r="CB19" s="49"/>
    </row>
    <row r="20" spans="2:80" ht="11.25">
      <c r="B2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Klabin 03/26 98% CDI</v>
      </c>
      <c r="C20" s="166">
        <f t="shared" si="1"/>
        <v>45474</v>
      </c>
      <c r="D20" s="49" t="s">
        <v>233</v>
      </c>
      <c r="E20" s="156" t="s">
        <v>203</v>
      </c>
      <c r="F20" s="156" t="s">
        <v>59</v>
      </c>
      <c r="G20" s="156" t="s">
        <v>210</v>
      </c>
      <c r="H20" s="156" t="s">
        <v>216</v>
      </c>
      <c r="I20" s="53">
        <v>46097</v>
      </c>
      <c r="J20" s="49" t="s">
        <v>249</v>
      </c>
      <c r="L20" s="49">
        <v>2026</v>
      </c>
      <c r="M20" s="156" t="s">
        <v>272</v>
      </c>
      <c r="N20" s="199">
        <v>0.98</v>
      </c>
      <c r="O20" s="50" t="s">
        <v>262</v>
      </c>
      <c r="P20" s="49" t="s">
        <v>234</v>
      </c>
      <c r="R20" s="156" t="str">
        <f>IFERROR(_xlfn.XLOOKUP(Dados[[#This Row],[Subclasse]],ClasseSubClasse[SubClasse],ClasseSubClasse[Classe]),"ERRO")</f>
        <v>Renda Fixa</v>
      </c>
      <c r="S2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Klabin 03/26 98% CDI</v>
      </c>
      <c r="T20" s="156" t="str">
        <f>IFERROR(_xlfn.XLOOKUP(Dados[[#This Row],[Subclasse]],ClasseSubClasse[SubClasse],ClasseSubClasse[Nomenclatura]),"ERRO")</f>
        <v>Renda Fixa - Pós-Fixado</v>
      </c>
      <c r="U2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20" s="50"/>
      <c r="W2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0" s="49"/>
      <c r="Y20" s="50" t="str" cm="1">
        <f t="array" ref="Y2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0" s="54" t="str">
        <f>IFERROR((1+Dados[[#This Row],[Taxa | Esperada]])*Dados[[#This Row],[Saldo Líquido | Mês Anterior]]+Dados[[#This Row],[Juros / Dividendos]],"")</f>
        <v/>
      </c>
      <c r="AA20" s="54" t="str">
        <f>IFERROR(IF(Dados[[#This Row],[Classe]]="Renda Fixa",(1+Dados[[#This Row],[Taxa | Esperada]])*Dados[[#This Row],[Saldo Bruto | Mês Anterior]]+Dados[[#This Row],[Juros / Dividendos]],""),"")</f>
        <v/>
      </c>
      <c r="AC20" s="55">
        <v>70559.520000000004</v>
      </c>
      <c r="AD20" s="55">
        <v>70559.520000000004</v>
      </c>
      <c r="AE20" s="55"/>
      <c r="AF20" s="55"/>
      <c r="AG20" s="55"/>
      <c r="AH20" s="55"/>
      <c r="AI20" s="55"/>
      <c r="AJ20" s="55"/>
      <c r="AL20" s="50">
        <f>Dados[[#This Row],[Saldo Bruto | Mês Anterior]]/SUM(Dados[Saldo Bruto | Mês Anterior])</f>
        <v>1.2057706739305429E-2</v>
      </c>
      <c r="AM20" s="55">
        <f>Dados[[#This Row],[Saldo Bruto | Mês Anterior]]-Dados[[#This Row],[Saldo Líquido | Mês Anterior]]</f>
        <v>0</v>
      </c>
      <c r="AN20" s="55">
        <v>69937.84</v>
      </c>
      <c r="AO20" s="55">
        <v>69937.84</v>
      </c>
      <c r="AP20" s="55">
        <v>0</v>
      </c>
      <c r="AQ20" s="55">
        <v>0</v>
      </c>
      <c r="AS20" s="50">
        <f>IFERROR(Dados[[#This Row],[Saldo Bruto | Mês Atual]]/SUM(Dados[Saldo Bruto | Mês Atual]),"0,00%")</f>
        <v>1.4439081693368416E-2</v>
      </c>
      <c r="AT20" s="55">
        <f>Dados[[#This Row],[Saldo Bruto | Mês Atual]]-Dados[[#This Row],[Saldo Líquido | Mês Atual]]</f>
        <v>0</v>
      </c>
      <c r="AU2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1.0774589480480315E-2</v>
      </c>
      <c r="AV2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70559.520000000004</v>
      </c>
      <c r="AW2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70559.520000000004</v>
      </c>
      <c r="AX20" s="55">
        <f>SUM(Dados[[#This Row],[Aplicações]:[Cashback]])</f>
        <v>0</v>
      </c>
      <c r="AY20" s="55">
        <f>Dados[[#This Row],[Imposto Pago]]</f>
        <v>0</v>
      </c>
      <c r="AZ20" s="49"/>
      <c r="BA20" s="49" t="b">
        <f>OR(Dados[[#This Row],[Saldo Bruto | Mês Anterior]]&lt;&gt;0,Dados[[#This Row],[Saldo Bruto | Mês Atual]]&lt;&gt;0,Dados[[#This Row],[Movimentaçao | Mês Atual]]&lt;&gt;0)</f>
        <v>1</v>
      </c>
      <c r="BB20" s="55"/>
      <c r="BC20" s="55">
        <f>IF(Dados[[#This Row],[Participação]]="",IF(Dados[[#This Row],[Movimentaçao | Mês Atual]]&gt;0,Dados[[#This Row],[Saldo Bruto | Mês Atual]],Dados[[#This Row],[Saldo Bruto | Mês Atual]]-Dados[[#This Row],[Movimentaçao | Mês Atual]]),0)</f>
        <v>70559.520000000004</v>
      </c>
      <c r="BD20" s="50">
        <f>IFERROR(Dados[[#This Row],[Saldo Corrigido]]/SUM(Dados[Saldo Corrigido]),"0,00%")</f>
        <v>1.3940159038105417E-2</v>
      </c>
      <c r="BE20" s="50">
        <f>IFERROR(SUMPRODUCT(Dados[Performance | Mês Atual],Dados[Peso Corrigido | Carteira]),"0,00%")</f>
        <v>6.7280865242948622E-3</v>
      </c>
      <c r="BF20" s="50">
        <f>IFERROR(Dados[[#This Row],[Saldo Corrigido]]/SUMIF(Dados[Custódia],Dados[[#This Row],[Custódia]],Dados[Saldo Corrigido]),"0,00%")</f>
        <v>1.4118192101580126E-2</v>
      </c>
      <c r="BG20" s="50" cm="1">
        <f t="array" ref="BG20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0" s="50">
        <f>IFERROR(Dados[[#This Row],[Saldo Corrigido]]/SUMIF(Dados[Subclasse],Dados[[#This Row],[Subclasse]],Dados[Saldo Corrigido]),"0,00%")</f>
        <v>4.302166054130227E-2</v>
      </c>
      <c r="BI20" s="50" cm="1">
        <f t="array" ref="BI20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20" s="50">
        <f>IFERROR(Dados[[#This Row],[Saldo Corrigido]]/SUMIF(Dados[Classe],Dados[[#This Row],[Classe]],Dados[Saldo Corrigido]),"0,00%")</f>
        <v>1.8745222306857903E-2</v>
      </c>
      <c r="BK20" s="50" cm="1">
        <f t="array" ref="BK20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0" s="50"/>
      <c r="BM20" s="199" t="str">
        <f>IF(Dados[[#This Row],[Ticker do Ativo]]="","",Dados[[#This Row],[Ticker do Ativo]])</f>
        <v>CRA019001E6</v>
      </c>
      <c r="BN20" s="199"/>
      <c r="BO20" s="50" cm="1">
        <f t="array" ref="BO20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2.8419999999999999E-3</v>
      </c>
      <c r="BP20" s="191"/>
      <c r="BQ20" s="202">
        <f>IFERROR(Dados[[#This Row],[Saldo Bruto | Mês Atual]]*(1+Dados[[#This Row],[Taxa RF / FI]])+Dados[[#This Row],[Movimentações Atualizadas]],Dados[[#This Row],[Saldo Bruto | Mês Atual]]+Dados[[#This Row],[Movimentações Atualizadas]])</f>
        <v>70760.050155839999</v>
      </c>
      <c r="BR20" s="50">
        <f ca="1">IFERROR(Dados[[#This Row],[Saldo Atualizado]]/SUM(Dados[Saldo Atualizado]),"0,00%")</f>
        <v>1.4449057233989133E-2</v>
      </c>
      <c r="BS20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3.4448484848484985E-3</v>
      </c>
      <c r="BT20" s="55">
        <f>IF(Dados[[#This Row],[Participação]]="",IF(Dados[[#This Row],[Movimentações Atualizadas]]&gt;0,Dados[[#This Row],[Saldo Atualizado]],Dados[[#This Row],[Saldo Atualizado]]-Dados[[#This Row],[Movimentações Atualizadas]]),0)</f>
        <v>70760.050155839999</v>
      </c>
      <c r="BU20" s="50">
        <f ca="1">Dados[[#This Row],[Saldo Corrigido Atualizado]]/SUM(Dados[Saldo Corrigido Atualizado])</f>
        <v>1.4449057233989133E-2</v>
      </c>
      <c r="BW20" s="49"/>
      <c r="BY20" s="49"/>
      <c r="CA20" s="49"/>
      <c r="CB20" s="49"/>
    </row>
    <row r="21" spans="2:80" ht="11.25">
      <c r="B2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Raízen 07/29 100% CDI</v>
      </c>
      <c r="C21" s="166">
        <f t="shared" si="1"/>
        <v>45474</v>
      </c>
      <c r="D21" s="49" t="s">
        <v>233</v>
      </c>
      <c r="E21" s="156" t="s">
        <v>203</v>
      </c>
      <c r="F21" s="156" t="s">
        <v>59</v>
      </c>
      <c r="G21" s="156" t="s">
        <v>210</v>
      </c>
      <c r="H21" s="156" t="s">
        <v>217</v>
      </c>
      <c r="I21" s="53">
        <v>47315</v>
      </c>
      <c r="J21" s="49" t="s">
        <v>250</v>
      </c>
      <c r="L21" s="49">
        <v>2029</v>
      </c>
      <c r="M21" s="156" t="s">
        <v>265</v>
      </c>
      <c r="N21" s="199">
        <v>1</v>
      </c>
      <c r="O21" s="50" t="s">
        <v>262</v>
      </c>
      <c r="P21" s="49" t="s">
        <v>234</v>
      </c>
      <c r="R21" s="156" t="str">
        <f>IFERROR(_xlfn.XLOOKUP(Dados[[#This Row],[Subclasse]],ClasseSubClasse[SubClasse],ClasseSubClasse[Classe]),"ERRO")</f>
        <v>Renda Fixa</v>
      </c>
      <c r="S2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Raízen 07/29 100% CDI</v>
      </c>
      <c r="T21" s="156" t="str">
        <f>IFERROR(_xlfn.XLOOKUP(Dados[[#This Row],[Subclasse]],ClasseSubClasse[SubClasse],ClasseSubClasse[Nomenclatura]),"ERRO")</f>
        <v>Renda Fixa - Pós-Fixado</v>
      </c>
      <c r="U21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1" s="50"/>
      <c r="W2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1" s="49"/>
      <c r="Y21" s="50" t="str" cm="1">
        <f t="array" ref="Y2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1" s="54" t="str">
        <f>IFERROR((1+Dados[[#This Row],[Taxa | Esperada]])*Dados[[#This Row],[Saldo Líquido | Mês Anterior]]+Dados[[#This Row],[Juros / Dividendos]],"")</f>
        <v/>
      </c>
      <c r="AA21" s="54" t="str">
        <f>IFERROR(IF(Dados[[#This Row],[Classe]]="Renda Fixa",(1+Dados[[#This Row],[Taxa | Esperada]])*Dados[[#This Row],[Saldo Bruto | Mês Anterior]]+Dados[[#This Row],[Juros / Dividendos]],""),"")</f>
        <v/>
      </c>
      <c r="AC21" s="55">
        <v>200944.51</v>
      </c>
      <c r="AD21" s="55">
        <v>200944.51</v>
      </c>
      <c r="AE21" s="55"/>
      <c r="AF21" s="55"/>
      <c r="AG21" s="55">
        <v>-10449.950000000001</v>
      </c>
      <c r="AH21" s="55"/>
      <c r="AI21" s="55"/>
      <c r="AJ21" s="55"/>
      <c r="AL21" s="50">
        <f>Dados[[#This Row],[Saldo Bruto | Mês Anterior]]/SUM(Dados[Saldo Bruto | Mês Anterior])</f>
        <v>3.612648265733321E-2</v>
      </c>
      <c r="AM21" s="55">
        <f>Dados[[#This Row],[Saldo Bruto | Mês Anterior]]-Dados[[#This Row],[Saldo Líquido | Mês Anterior]]</f>
        <v>0</v>
      </c>
      <c r="AN21" s="55">
        <v>209543.01</v>
      </c>
      <c r="AO21" s="55">
        <v>209543.01</v>
      </c>
      <c r="AP21" s="55">
        <v>0</v>
      </c>
      <c r="AQ21" s="55">
        <v>0</v>
      </c>
      <c r="AS21" s="50">
        <f>IFERROR(Dados[[#This Row],[Saldo Bruto | Mês Atual]]/SUM(Dados[Saldo Bruto | Mês Atual]),"0,00%")</f>
        <v>4.1120662324855478E-2</v>
      </c>
      <c r="AT21" s="55">
        <f>Dados[[#This Row],[Saldo Bruto | Mês Atual]]-Dados[[#This Row],[Saldo Líquido | Mês Atual]]</f>
        <v>0</v>
      </c>
      <c r="AU2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1.039488967247462E-2</v>
      </c>
      <c r="AV2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200944.51</v>
      </c>
      <c r="AW2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200944.51</v>
      </c>
      <c r="AX21" s="55">
        <f>SUM(Dados[[#This Row],[Aplicações]:[Cashback]])</f>
        <v>-10449.950000000001</v>
      </c>
      <c r="AY21" s="55">
        <f>Dados[[#This Row],[Imposto Pago]]</f>
        <v>0</v>
      </c>
      <c r="AZ21" s="49"/>
      <c r="BA21" s="49" t="b">
        <f>OR(Dados[[#This Row],[Saldo Bruto | Mês Anterior]]&lt;&gt;0,Dados[[#This Row],[Saldo Bruto | Mês Atual]]&lt;&gt;0,Dados[[#This Row],[Movimentaçao | Mês Atual]]&lt;&gt;0)</f>
        <v>1</v>
      </c>
      <c r="BB21" s="55"/>
      <c r="BC21" s="55">
        <f>IF(Dados[[#This Row],[Participação]]="",IF(Dados[[#This Row],[Movimentaçao | Mês Atual]]&gt;0,Dados[[#This Row],[Saldo Bruto | Mês Atual]],Dados[[#This Row],[Saldo Bruto | Mês Atual]]-Dados[[#This Row],[Movimentaçao | Mês Atual]]),0)</f>
        <v>211394.46000000002</v>
      </c>
      <c r="BD21" s="50">
        <f>IFERROR(Dados[[#This Row],[Saldo Corrigido]]/SUM(Dados[Saldo Corrigido]),"0,00%")</f>
        <v>4.1764348626158652E-2</v>
      </c>
      <c r="BE21" s="50">
        <f>IFERROR(SUMPRODUCT(Dados[Performance | Mês Atual],Dados[Peso Corrigido | Carteira]),"0,00%")</f>
        <v>6.7280865242948622E-3</v>
      </c>
      <c r="BF21" s="50">
        <f>IFERROR(Dados[[#This Row],[Saldo Corrigido]]/SUMIF(Dados[Custódia],Dados[[#This Row],[Custódia]],Dados[Saldo Corrigido]),"0,00%")</f>
        <v>4.2297730986404047E-2</v>
      </c>
      <c r="BG21" s="50" cm="1">
        <f t="array" ref="BG21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1" s="50">
        <f>IFERROR(Dados[[#This Row],[Saldo Corrigido]]/SUMIF(Dados[Subclasse],Dados[[#This Row],[Subclasse]],Dados[Saldo Corrigido]),"0,00%")</f>
        <v>0.12889175972897635</v>
      </c>
      <c r="BI21" s="50" cm="1">
        <f t="array" ref="BI21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21" s="50">
        <f>IFERROR(Dados[[#This Row],[Saldo Corrigido]]/SUMIF(Dados[Classe],Dados[[#This Row],[Classe]],Dados[Saldo Corrigido]),"0,00%")</f>
        <v>5.6160191383645759E-2</v>
      </c>
      <c r="BK21" s="50" cm="1">
        <f t="array" ref="BK21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1" s="50"/>
      <c r="BM21" s="199" t="str">
        <f>IF(Dados[[#This Row],[Ticker do Ativo]]="","",Dados[[#This Row],[Ticker do Ativo]])</f>
        <v>VBRR11</v>
      </c>
      <c r="BN21" s="199"/>
      <c r="BO21" s="50" cm="1">
        <f t="array" ref="BO2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2.8999999999999998E-3</v>
      </c>
      <c r="BP21" s="191"/>
      <c r="BQ21" s="202">
        <f>IFERROR(Dados[[#This Row],[Saldo Bruto | Mês Atual]]*(1+Dados[[#This Row],[Taxa RF / FI]])+Dados[[#This Row],[Movimentações Atualizadas]],Dados[[#This Row],[Saldo Bruto | Mês Atual]]+Dados[[#This Row],[Movimentações Atualizadas]])</f>
        <v>201527.249079</v>
      </c>
      <c r="BR21" s="50">
        <f ca="1">IFERROR(Dados[[#This Row],[Saldo Atualizado]]/SUM(Dados[Saldo Atualizado]),"0,00%")</f>
        <v>4.1151451274240379E-2</v>
      </c>
      <c r="BS21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3.4117647058822384E-3</v>
      </c>
      <c r="BT21" s="55">
        <f>IF(Dados[[#This Row],[Participação]]="",IF(Dados[[#This Row],[Movimentações Atualizadas]]&gt;0,Dados[[#This Row],[Saldo Atualizado]],Dados[[#This Row],[Saldo Atualizado]]-Dados[[#This Row],[Movimentações Atualizadas]]),0)</f>
        <v>201527.249079</v>
      </c>
      <c r="BU21" s="50">
        <f ca="1">Dados[[#This Row],[Saldo Corrigido Atualizado]]/SUM(Dados[Saldo Corrigido Atualizado])</f>
        <v>4.1151451274240379E-2</v>
      </c>
      <c r="BW21" s="49"/>
      <c r="BY21" s="49"/>
      <c r="CA21" s="49"/>
      <c r="CB21" s="49"/>
    </row>
    <row r="22" spans="2:80" ht="11.25">
      <c r="B2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São Martinho 04/26 98,50% CDI</v>
      </c>
      <c r="C22" s="166">
        <f t="shared" si="1"/>
        <v>45474</v>
      </c>
      <c r="D22" s="49" t="s">
        <v>233</v>
      </c>
      <c r="E22" s="156" t="s">
        <v>203</v>
      </c>
      <c r="F22" s="156" t="s">
        <v>59</v>
      </c>
      <c r="G22" s="156" t="s">
        <v>210</v>
      </c>
      <c r="H22" s="156" t="s">
        <v>218</v>
      </c>
      <c r="I22" s="53">
        <v>46127</v>
      </c>
      <c r="J22" s="49" t="s">
        <v>286</v>
      </c>
      <c r="L22" s="49">
        <v>2026</v>
      </c>
      <c r="M22" s="156" t="s">
        <v>273</v>
      </c>
      <c r="N22" s="199">
        <v>0.98499999999999999</v>
      </c>
      <c r="O22" s="50" t="s">
        <v>262</v>
      </c>
      <c r="P22" s="49" t="s">
        <v>234</v>
      </c>
      <c r="R22" s="156" t="str">
        <f>IFERROR(_xlfn.XLOOKUP(Dados[[#This Row],[Subclasse]],ClasseSubClasse[SubClasse],ClasseSubClasse[Classe]),"ERRO")</f>
        <v>Renda Fixa</v>
      </c>
      <c r="S2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São Martinho 04/26 98,50% CDI</v>
      </c>
      <c r="T22" s="156" t="str">
        <f>IFERROR(_xlfn.XLOOKUP(Dados[[#This Row],[Subclasse]],ClasseSubClasse[SubClasse],ClasseSubClasse[Nomenclatura]),"ERRO")</f>
        <v>Renda Fixa - Pós-Fixado</v>
      </c>
      <c r="U22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22" s="50"/>
      <c r="W2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2" s="49"/>
      <c r="Y22" s="50" t="str" cm="1">
        <f t="array" ref="Y2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2" s="54" t="str">
        <f>IFERROR((1+Dados[[#This Row],[Taxa | Esperada]])*Dados[[#This Row],[Saldo Líquido | Mês Anterior]]+Dados[[#This Row],[Juros / Dividendos]],"")</f>
        <v/>
      </c>
      <c r="AA22" s="54" t="str">
        <f>IFERROR(IF(Dados[[#This Row],[Classe]]="Renda Fixa",(1+Dados[[#This Row],[Taxa | Esperada]])*Dados[[#This Row],[Saldo Bruto | Mês Anterior]]+Dados[[#This Row],[Juros / Dividendos]],""),"")</f>
        <v/>
      </c>
      <c r="AC22" s="55">
        <v>308875.37</v>
      </c>
      <c r="AD22" s="55">
        <v>308875.37</v>
      </c>
      <c r="AE22" s="55"/>
      <c r="AF22" s="55"/>
      <c r="AG22" s="55"/>
      <c r="AH22" s="55"/>
      <c r="AI22" s="55"/>
      <c r="AJ22" s="55"/>
      <c r="AL22" s="50">
        <f>Dados[[#This Row],[Saldo Bruto | Mês Anterior]]/SUM(Dados[Saldo Bruto | Mês Anterior])</f>
        <v>5.2780412281104298E-2</v>
      </c>
      <c r="AM22" s="55">
        <f>Dados[[#This Row],[Saldo Bruto | Mês Anterior]]-Dados[[#This Row],[Saldo Líquido | Mês Anterior]]</f>
        <v>0</v>
      </c>
      <c r="AN22" s="55">
        <v>306140.14</v>
      </c>
      <c r="AO22" s="55">
        <v>306140.14</v>
      </c>
      <c r="AP22" s="55">
        <v>0</v>
      </c>
      <c r="AQ22" s="55">
        <v>0</v>
      </c>
      <c r="AS22" s="50">
        <f>IFERROR(Dados[[#This Row],[Saldo Bruto | Mês Atual]]/SUM(Dados[Saldo Bruto | Mês Atual]),"0,00%")</f>
        <v>6.3207299319771384E-2</v>
      </c>
      <c r="AT22" s="55">
        <f>Dados[[#This Row],[Saldo Bruto | Mês Atual]]-Dados[[#This Row],[Saldo Líquido | Mês Atual]]</f>
        <v>0</v>
      </c>
      <c r="AU22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1.0829779796371326E-2</v>
      </c>
      <c r="AV2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308875.37</v>
      </c>
      <c r="AW2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308875.37</v>
      </c>
      <c r="AX22" s="55">
        <f>SUM(Dados[[#This Row],[Aplicações]:[Cashback]])</f>
        <v>0</v>
      </c>
      <c r="AY22" s="55">
        <f>Dados[[#This Row],[Imposto Pago]]</f>
        <v>0</v>
      </c>
      <c r="AZ22" s="49"/>
      <c r="BA22" s="49" t="b">
        <f>OR(Dados[[#This Row],[Saldo Bruto | Mês Anterior]]&lt;&gt;0,Dados[[#This Row],[Saldo Bruto | Mês Atual]]&lt;&gt;0,Dados[[#This Row],[Movimentaçao | Mês Atual]]&lt;&gt;0)</f>
        <v>1</v>
      </c>
      <c r="BB22" s="55"/>
      <c r="BC22" s="55">
        <f>IF(Dados[[#This Row],[Participação]]="",IF(Dados[[#This Row],[Movimentaçao | Mês Atual]]&gt;0,Dados[[#This Row],[Saldo Bruto | Mês Atual]],Dados[[#This Row],[Saldo Bruto | Mês Atual]]-Dados[[#This Row],[Movimentaçao | Mês Atual]]),0)</f>
        <v>308875.37</v>
      </c>
      <c r="BD22" s="50">
        <f>IFERROR(Dados[[#This Row],[Saldo Corrigido]]/SUM(Dados[Saldo Corrigido]),"0,00%")</f>
        <v>6.1023257821958742E-2</v>
      </c>
      <c r="BE22" s="50">
        <f>IFERROR(SUMPRODUCT(Dados[Performance | Mês Atual],Dados[Peso Corrigido | Carteira]),"0,00%")</f>
        <v>6.7280865242948622E-3</v>
      </c>
      <c r="BF22" s="50">
        <f>IFERROR(Dados[[#This Row],[Saldo Corrigido]]/SUMIF(Dados[Custódia],Dados[[#This Row],[Custódia]],Dados[Saldo Corrigido]),"0,00%")</f>
        <v>6.1802600260129875E-2</v>
      </c>
      <c r="BG22" s="50" cm="1">
        <f t="array" ref="BG22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2" s="50">
        <f>IFERROR(Dados[[#This Row],[Saldo Corrigido]]/SUMIF(Dados[Subclasse],Dados[[#This Row],[Subclasse]],Dados[Saldo Corrigido]),"0,00%")</f>
        <v>0.18832797215328473</v>
      </c>
      <c r="BI22" s="50" cm="1">
        <f t="array" ref="BI22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22" s="50">
        <f>IFERROR(Dados[[#This Row],[Saldo Corrigido]]/SUMIF(Dados[Classe],Dados[[#This Row],[Classe]],Dados[Saldo Corrigido]),"0,00%")</f>
        <v>8.2057495229034827E-2</v>
      </c>
      <c r="BK22" s="50" cm="1">
        <f t="array" ref="BK22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2" s="50"/>
      <c r="BM22" s="199" t="str">
        <f>IF(Dados[[#This Row],[Ticker do Ativo]]="","",Dados[[#This Row],[Ticker do Ativo]])</f>
        <v>CRA019000RT</v>
      </c>
      <c r="BN22" s="199"/>
      <c r="BO22" s="50" cm="1">
        <f t="array" ref="BO2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2.8564999999999997E-3</v>
      </c>
      <c r="BP22" s="191"/>
      <c r="BQ22" s="202">
        <f>IFERROR(Dados[[#This Row],[Saldo Bruto | Mês Atual]]*(1+Dados[[#This Row],[Taxa RF / FI]])+Dados[[#This Row],[Movimentações Atualizadas]],Dados[[#This Row],[Saldo Bruto | Mês Atual]]+Dados[[#This Row],[Movimentações Atualizadas]])</f>
        <v>309757.67249440501</v>
      </c>
      <c r="BR22" s="50">
        <f ca="1">IFERROR(Dados[[#This Row],[Saldo Atualizado]]/SUM(Dados[Saldo Atualizado]),"0,00%")</f>
        <v>6.3251881940187243E-2</v>
      </c>
      <c r="BS22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3.4624242424242907E-3</v>
      </c>
      <c r="BT22" s="55">
        <f>IF(Dados[[#This Row],[Participação]]="",IF(Dados[[#This Row],[Movimentações Atualizadas]]&gt;0,Dados[[#This Row],[Saldo Atualizado]],Dados[[#This Row],[Saldo Atualizado]]-Dados[[#This Row],[Movimentações Atualizadas]]),0)</f>
        <v>309757.67249440501</v>
      </c>
      <c r="BU22" s="50">
        <f ca="1">Dados[[#This Row],[Saldo Corrigido Atualizado]]/SUM(Dados[Saldo Corrigido Atualizado])</f>
        <v>6.3251881940187243E-2</v>
      </c>
      <c r="BW22" s="49"/>
      <c r="BY22" s="49"/>
      <c r="CA22" s="49"/>
      <c r="CB22" s="49"/>
    </row>
    <row r="23" spans="2:80" ht="11.25">
      <c r="B2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São Salvador 04/30 106,50% CDI</v>
      </c>
      <c r="C23" s="166">
        <f t="shared" si="1"/>
        <v>45474</v>
      </c>
      <c r="D23" s="49" t="s">
        <v>233</v>
      </c>
      <c r="E23" s="156" t="s">
        <v>203</v>
      </c>
      <c r="F23" s="156" t="s">
        <v>59</v>
      </c>
      <c r="G23" s="156" t="s">
        <v>210</v>
      </c>
      <c r="H23" s="156" t="s">
        <v>298</v>
      </c>
      <c r="I23" s="53">
        <v>47588</v>
      </c>
      <c r="J23" s="49" t="s">
        <v>299</v>
      </c>
      <c r="L23" s="49">
        <v>2030</v>
      </c>
      <c r="M23" s="156" t="s">
        <v>300</v>
      </c>
      <c r="N23" s="199">
        <v>1.0649999999999999</v>
      </c>
      <c r="O23" s="50" t="s">
        <v>262</v>
      </c>
      <c r="P23" s="49" t="s">
        <v>234</v>
      </c>
      <c r="R23" s="156" t="str">
        <f>IFERROR(_xlfn.XLOOKUP(Dados[[#This Row],[Subclasse]],ClasseSubClasse[SubClasse],ClasseSubClasse[Classe]),"ERRO")</f>
        <v>Renda Fixa</v>
      </c>
      <c r="S23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São Salvador 04/30 106,50% CDI</v>
      </c>
      <c r="T23" s="156" t="str">
        <f>IFERROR(_xlfn.XLOOKUP(Dados[[#This Row],[Subclasse]],ClasseSubClasse[SubClasse],ClasseSubClasse[Nomenclatura]),"ERRO")</f>
        <v>Renda Fixa - Pós-Fixado</v>
      </c>
      <c r="U2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3" s="50"/>
      <c r="W2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3" s="49"/>
      <c r="Y23" s="50" t="str" cm="1">
        <f t="array" ref="Y2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3" s="54" t="str">
        <f>IFERROR((1+Dados[[#This Row],[Taxa | Esperada]])*Dados[[#This Row],[Saldo Líquido | Mês Anterior]]+Dados[[#This Row],[Juros / Dividendos]],"")</f>
        <v/>
      </c>
      <c r="AA23" s="54" t="str">
        <f>IFERROR(IF(Dados[[#This Row],[Classe]]="Renda Fixa",(1+Dados[[#This Row],[Taxa | Esperada]])*Dados[[#This Row],[Saldo Bruto | Mês Anterior]]+Dados[[#This Row],[Juros / Dividendos]],""),"")</f>
        <v/>
      </c>
      <c r="AC23" s="55">
        <v>76520.5</v>
      </c>
      <c r="AD23" s="55">
        <v>76520.5</v>
      </c>
      <c r="AE23" s="55"/>
      <c r="AF23" s="55"/>
      <c r="AG23" s="55"/>
      <c r="AH23" s="55"/>
      <c r="AI23" s="55"/>
      <c r="AJ23" s="55"/>
      <c r="AL23" s="219">
        <f>Dados[[#This Row],[Saldo Bruto | Mês Anterior]]/SUM(Dados[Saldo Bruto | Mês Anterior])</f>
        <v>1.3066330405447016E-2</v>
      </c>
      <c r="AM23" s="55">
        <f>Dados[[#This Row],[Saldo Bruto | Mês Anterior]]-Dados[[#This Row],[Saldo Líquido | Mês Anterior]]</f>
        <v>0</v>
      </c>
      <c r="AN23" s="55">
        <v>75788.12</v>
      </c>
      <c r="AO23" s="55">
        <v>75788.12</v>
      </c>
      <c r="AP23" s="55">
        <v>0</v>
      </c>
      <c r="AQ23" s="55">
        <v>0</v>
      </c>
      <c r="AS23" s="50">
        <f>IFERROR(Dados[[#This Row],[Saldo Bruto | Mês Atual]]/SUM(Dados[Saldo Bruto | Mês Atual]),"0,00%")</f>
        <v>1.5658918183080014E-2</v>
      </c>
      <c r="AT23" s="55">
        <f>Dados[[#This Row],[Saldo Bruto | Mês Atual]]-Dados[[#This Row],[Saldo Líquido | Mês Atual]]</f>
        <v>0</v>
      </c>
      <c r="AU2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1.1368846851086608E-2</v>
      </c>
      <c r="AV23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76520.5</v>
      </c>
      <c r="AW23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76520.5</v>
      </c>
      <c r="AX23" s="55">
        <f>SUM(Dados[[#This Row],[Aplicações]:[Cashback]])</f>
        <v>0</v>
      </c>
      <c r="AY23" s="55">
        <f>Dados[[#This Row],[Imposto Pago]]</f>
        <v>0</v>
      </c>
      <c r="BA23" s="49" t="b">
        <f>OR(Dados[[#This Row],[Saldo Bruto | Mês Anterior]]&lt;&gt;0,Dados[[#This Row],[Saldo Bruto | Mês Atual]]&lt;&gt;0,Dados[[#This Row],[Movimentaçao | Mês Atual]]&lt;&gt;0)</f>
        <v>1</v>
      </c>
      <c r="BB23" s="55"/>
      <c r="BC23" s="55">
        <f>IF(Dados[[#This Row],[Participação]]="",IF(Dados[[#This Row],[Movimentaçao | Mês Atual]]&gt;0,Dados[[#This Row],[Saldo Bruto | Mês Atual]],Dados[[#This Row],[Saldo Bruto | Mês Atual]]-Dados[[#This Row],[Movimentaçao | Mês Atual]]),0)</f>
        <v>76520.5</v>
      </c>
      <c r="BD23" s="50">
        <f>IFERROR(Dados[[#This Row],[Saldo Corrigido]]/SUM(Dados[Saldo Corrigido]),"0,00%")</f>
        <v>1.5117845751719193E-2</v>
      </c>
      <c r="BE23" s="50">
        <f>IFERROR(SUMPRODUCT(Dados[Performance | Mês Atual],Dados[Peso Corrigido | Carteira]),"0,00%")</f>
        <v>6.7280865242948622E-3</v>
      </c>
      <c r="BF23" s="50">
        <f>IFERROR(Dados[[#This Row],[Saldo Corrigido]]/SUMIF(Dados[Custódia],Dados[[#This Row],[Custódia]],Dados[Saldo Corrigido]),"0,00%")</f>
        <v>1.5310919330360552E-2</v>
      </c>
      <c r="BG23" s="50" cm="1">
        <f t="array" ref="BG23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3" s="50">
        <f>IFERROR(Dados[[#This Row],[Saldo Corrigido]]/SUMIF(Dados[Subclasse],Dados[[#This Row],[Subclasse]],Dados[Saldo Corrigido]),"0,00%")</f>
        <v>4.6656198560459598E-2</v>
      </c>
      <c r="BI23" s="50" cm="1">
        <f t="array" ref="BI23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23" s="50">
        <f>IFERROR(Dados[[#This Row],[Saldo Corrigido]]/SUMIF(Dados[Classe],Dados[[#This Row],[Classe]],Dados[Saldo Corrigido]),"0,00%")</f>
        <v>2.0328848375554709E-2</v>
      </c>
      <c r="BK23" s="50" cm="1">
        <f t="array" ref="BK23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3" s="50"/>
      <c r="BM23" s="199" t="str">
        <f>IF(Dados[[#This Row],[Ticker do Ativo]]="","",Dados[[#This Row],[Ticker do Ativo]])</f>
        <v>CRA024004MP</v>
      </c>
      <c r="BN23" s="199"/>
      <c r="BO23" s="50" cm="1">
        <f t="array" ref="BO23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3.0884999999999997E-3</v>
      </c>
      <c r="BP23" s="191"/>
      <c r="BQ23" s="202">
        <f>IFERROR(Dados[[#This Row],[Saldo Bruto | Mês Atual]]*(1+Dados[[#This Row],[Taxa RF / FI]])+Dados[[#This Row],[Movimentações Atualizadas]],Dados[[#This Row],[Saldo Bruto | Mês Atual]]+Dados[[#This Row],[Movimentações Atualizadas]])</f>
        <v>76756.833564250002</v>
      </c>
      <c r="BR23" s="50">
        <f ca="1">IFERROR(Dados[[#This Row],[Saldo Atualizado]]/SUM(Dados[Saldo Atualizado]),"0,00%")</f>
        <v>1.5673588116840709E-2</v>
      </c>
      <c r="BS23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3.6335294117647641E-3</v>
      </c>
      <c r="BT23" s="55">
        <f>IF(Dados[[#This Row],[Participação]]="",IF(Dados[[#This Row],[Movimentações Atualizadas]]&gt;0,Dados[[#This Row],[Saldo Atualizado]],Dados[[#This Row],[Saldo Atualizado]]-Dados[[#This Row],[Movimentações Atualizadas]]),0)</f>
        <v>76756.833564250002</v>
      </c>
      <c r="BU23" s="219">
        <f ca="1">Dados[[#This Row],[Saldo Corrigido Atualizado]]/SUM(Dados[Saldo Corrigido Atualizado])</f>
        <v>1.5673588116840709E-2</v>
      </c>
      <c r="BW23" s="49"/>
      <c r="BY23" s="49"/>
      <c r="CA23" s="49"/>
      <c r="CB23" s="49"/>
    </row>
    <row r="24" spans="2:80" ht="11.25">
      <c r="B24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São Salvador 04/31 12,33%aa</v>
      </c>
      <c r="C24" s="166">
        <f t="shared" si="1"/>
        <v>45474</v>
      </c>
      <c r="D24" s="49" t="s">
        <v>233</v>
      </c>
      <c r="E24" s="156" t="s">
        <v>203</v>
      </c>
      <c r="F24" s="156" t="s">
        <v>42</v>
      </c>
      <c r="G24" s="156" t="s">
        <v>210</v>
      </c>
      <c r="H24" s="156" t="s">
        <v>298</v>
      </c>
      <c r="I24" s="53">
        <v>47953</v>
      </c>
      <c r="J24" s="49" t="s">
        <v>301</v>
      </c>
      <c r="L24" s="49">
        <v>2031</v>
      </c>
      <c r="M24" s="156" t="s">
        <v>302</v>
      </c>
      <c r="N24" s="199">
        <v>0.12330000000000001</v>
      </c>
      <c r="O24" s="50"/>
      <c r="P24" s="49" t="s">
        <v>234</v>
      </c>
      <c r="R24" s="156" t="str">
        <f>IFERROR(_xlfn.XLOOKUP(Dados[[#This Row],[Subclasse]],ClasseSubClasse[SubClasse],ClasseSubClasse[Classe]),"ERRO")</f>
        <v>Renda Fixa</v>
      </c>
      <c r="S24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São Salvador 04/31 12,33%aa</v>
      </c>
      <c r="T24" s="156" t="str">
        <f>IFERROR(_xlfn.XLOOKUP(Dados[[#This Row],[Subclasse]],ClasseSubClasse[SubClasse],ClasseSubClasse[Nomenclatura]),"ERRO")</f>
        <v>Renda Fixa - Prefixado</v>
      </c>
      <c r="U24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4" s="50"/>
      <c r="W24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4" s="49"/>
      <c r="Y24" s="50" t="str" cm="1">
        <f t="array" ref="Y2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4" s="54" t="str">
        <f>IFERROR((1+Dados[[#This Row],[Taxa | Esperada]])*Dados[[#This Row],[Saldo Líquido | Mês Anterior]]+Dados[[#This Row],[Juros / Dividendos]],"")</f>
        <v/>
      </c>
      <c r="AA24" s="54" t="str">
        <f>IFERROR(IF(Dados[[#This Row],[Classe]]="Renda Fixa",(1+Dados[[#This Row],[Taxa | Esperada]])*Dados[[#This Row],[Saldo Bruto | Mês Anterior]]+Dados[[#This Row],[Juros / Dividendos]],""),"")</f>
        <v/>
      </c>
      <c r="AC24" s="55">
        <v>102239.54</v>
      </c>
      <c r="AD24" s="55">
        <v>102239.54</v>
      </c>
      <c r="AE24" s="55"/>
      <c r="AF24" s="55"/>
      <c r="AG24" s="55"/>
      <c r="AH24" s="55"/>
      <c r="AI24" s="55"/>
      <c r="AJ24" s="55"/>
      <c r="AL24" s="219">
        <f>Dados[[#This Row],[Saldo Bruto | Mês Anterior]]/SUM(Dados[Saldo Bruto | Mês Anterior])</f>
        <v>1.7440635670485208E-2</v>
      </c>
      <c r="AM24" s="55">
        <f>Dados[[#This Row],[Saldo Bruto | Mês Anterior]]-Dados[[#This Row],[Saldo Líquido | Mês Anterior]]</f>
        <v>0</v>
      </c>
      <c r="AN24" s="55">
        <v>101160.23</v>
      </c>
      <c r="AO24" s="55">
        <v>101160.23</v>
      </c>
      <c r="AP24" s="55">
        <v>0</v>
      </c>
      <c r="AQ24" s="55">
        <v>0</v>
      </c>
      <c r="AS24" s="50">
        <f>IFERROR(Dados[[#This Row],[Saldo Bruto | Mês Atual]]/SUM(Dados[Saldo Bruto | Mês Atual]),"0,00%")</f>
        <v>2.0921982892633167E-2</v>
      </c>
      <c r="AT24" s="55">
        <f>Dados[[#This Row],[Saldo Bruto | Mês Atual]]-Dados[[#This Row],[Saldo Líquido | Mês Atual]]</f>
        <v>0</v>
      </c>
      <c r="AU24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1.2552131115046324E-2</v>
      </c>
      <c r="AV24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102239.54</v>
      </c>
      <c r="AW24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102239.54</v>
      </c>
      <c r="AX24" s="55">
        <f>SUM(Dados[[#This Row],[Aplicações]:[Cashback]])</f>
        <v>0</v>
      </c>
      <c r="AY24" s="55">
        <f>Dados[[#This Row],[Imposto Pago]]</f>
        <v>0</v>
      </c>
      <c r="BA24" s="49" t="b">
        <f>OR(Dados[[#This Row],[Saldo Bruto | Mês Anterior]]&lt;&gt;0,Dados[[#This Row],[Saldo Bruto | Mês Atual]]&lt;&gt;0,Dados[[#This Row],[Movimentaçao | Mês Atual]]&lt;&gt;0)</f>
        <v>1</v>
      </c>
      <c r="BB24" s="55"/>
      <c r="BC24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102239.54</v>
      </c>
      <c r="BD24" s="50">
        <f>IFERROR(Dados[[#This Row],[Saldo Corrigido]]/SUM(Dados[Saldo Corrigido]),"0,00%")</f>
        <v>2.0199052481971819E-2</v>
      </c>
      <c r="BE24" s="50">
        <f>IFERROR(SUMPRODUCT(Dados[Performance | Mês Atual],Dados[Peso Corrigido | Carteira]),"0,00%")</f>
        <v>6.7280865242948622E-3</v>
      </c>
      <c r="BF24" s="50">
        <f>IFERROR(Dados[[#This Row],[Saldo Corrigido]]/SUMIF(Dados[Custódia],Dados[[#This Row],[Custódia]],Dados[Saldo Corrigido]),"0,00%")</f>
        <v>2.0457019351849123E-2</v>
      </c>
      <c r="BG24" s="50" cm="1">
        <f t="array" ref="BG24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4" s="50">
        <f>IFERROR(Dados[[#This Row],[Saldo Corrigido]]/SUMIF(Dados[Subclasse],Dados[[#This Row],[Subclasse]],Dados[Saldo Corrigido]),"0,00%")</f>
        <v>7.1721443826784997E-2</v>
      </c>
      <c r="BI24" s="50" cm="1">
        <f t="array" ref="BI24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24" s="50">
        <f>IFERROR(Dados[[#This Row],[Saldo Corrigido]]/SUMIF(Dados[Classe],Dados[[#This Row],[Classe]],Dados[Saldo Corrigido]),"0,00%")</f>
        <v>2.7161507133989723E-2</v>
      </c>
      <c r="BK24" s="50" cm="1">
        <f t="array" ref="BK24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4" s="50"/>
      <c r="BM24" s="199" t="str">
        <f>IF(Dados[[#This Row],[Ticker do Ativo]]="","",Dados[[#This Row],[Ticker do Ativo]])</f>
        <v>CRA024004MQ</v>
      </c>
      <c r="BN24" s="199"/>
      <c r="BO24" s="50" cm="1">
        <f t="array" aca="1" ref="BO24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2.5516506272087458E-3</v>
      </c>
      <c r="BP24" s="191"/>
      <c r="BQ24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102500.41958636652</v>
      </c>
      <c r="BR24" s="50">
        <f ca="1">IFERROR(Dados[[#This Row],[Saldo Atualizado]]/SUM(Dados[Saldo Atualizado]),"0,00%")</f>
        <v>2.093037562649434E-2</v>
      </c>
      <c r="BS24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3.0019419143632303E-3</v>
      </c>
      <c r="BT24" s="55">
        <f ca="1">IF(Dados[[#This Row],[Participação]]="",IF(Dados[[#This Row],[Movimentações Atualizadas]]&gt;0,Dados[[#This Row],[Saldo Atualizado]],Dados[[#This Row],[Saldo Atualizado]]-Dados[[#This Row],[Movimentações Atualizadas]]),0)</f>
        <v>102500.41958636652</v>
      </c>
      <c r="BU24" s="219">
        <f ca="1">Dados[[#This Row],[Saldo Corrigido Atualizado]]/SUM(Dados[Saldo Corrigido Atualizado])</f>
        <v>2.093037562649434E-2</v>
      </c>
      <c r="BW24" s="49"/>
      <c r="BY24" s="49"/>
      <c r="CA24" s="49"/>
      <c r="CB24" s="49"/>
    </row>
    <row r="25" spans="2:80" ht="11.25">
      <c r="B25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Vicunha Textil 02/31 12,90%aa</v>
      </c>
      <c r="C25" s="166">
        <f t="shared" si="1"/>
        <v>45474</v>
      </c>
      <c r="D25" s="49" t="s">
        <v>233</v>
      </c>
      <c r="E25" s="156" t="s">
        <v>203</v>
      </c>
      <c r="F25" s="156" t="s">
        <v>42</v>
      </c>
      <c r="G25" s="156" t="s">
        <v>210</v>
      </c>
      <c r="H25" s="156" t="s">
        <v>287</v>
      </c>
      <c r="I25" s="53">
        <v>47896</v>
      </c>
      <c r="J25" s="49" t="s">
        <v>288</v>
      </c>
      <c r="L25" s="49">
        <v>2031</v>
      </c>
      <c r="M25" s="156" t="s">
        <v>289</v>
      </c>
      <c r="N25" s="199">
        <v>0.129</v>
      </c>
      <c r="O25" s="50"/>
      <c r="P25" s="49" t="s">
        <v>234</v>
      </c>
      <c r="R25" s="156" t="str">
        <f>IFERROR(_xlfn.XLOOKUP(Dados[[#This Row],[Subclasse]],ClasseSubClasse[SubClasse],ClasseSubClasse[Classe]),"ERRO")</f>
        <v>Renda Fixa</v>
      </c>
      <c r="S25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Vicunha Textil 02/31 12,90%aa</v>
      </c>
      <c r="T25" s="156" t="str">
        <f>IFERROR(_xlfn.XLOOKUP(Dados[[#This Row],[Subclasse]],ClasseSubClasse[SubClasse],ClasseSubClasse[Nomenclatura]),"ERRO")</f>
        <v>Renda Fixa - Prefixado</v>
      </c>
      <c r="U25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5" s="50"/>
      <c r="W25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5" s="49"/>
      <c r="Y25" s="50" t="str" cm="1">
        <f t="array" ref="Y2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5" s="54" t="str">
        <f>IFERROR((1+Dados[[#This Row],[Taxa | Esperada]])*Dados[[#This Row],[Saldo Líquido | Mês Anterior]]+Dados[[#This Row],[Juros / Dividendos]],"")</f>
        <v/>
      </c>
      <c r="AA25" s="54" t="str">
        <f>IFERROR(IF(Dados[[#This Row],[Classe]]="Renda Fixa",(1+Dados[[#This Row],[Taxa | Esperada]])*Dados[[#This Row],[Saldo Bruto | Mês Anterior]]+Dados[[#This Row],[Juros / Dividendos]],""),"")</f>
        <v/>
      </c>
      <c r="AC25" s="55">
        <v>210979.57</v>
      </c>
      <c r="AD25" s="55">
        <v>210979.57</v>
      </c>
      <c r="AE25" s="55"/>
      <c r="AF25" s="55"/>
      <c r="AG25" s="55"/>
      <c r="AH25" s="55"/>
      <c r="AI25" s="55"/>
      <c r="AJ25" s="55"/>
      <c r="AL25" s="219">
        <f>Dados[[#This Row],[Saldo Bruto | Mês Anterior]]/SUM(Dados[Saldo Bruto | Mês Anterior])</f>
        <v>3.5973570559414657E-2</v>
      </c>
      <c r="AM25" s="55">
        <f>Dados[[#This Row],[Saldo Bruto | Mês Anterior]]-Dados[[#This Row],[Saldo Líquido | Mês Anterior]]</f>
        <v>0</v>
      </c>
      <c r="AN25" s="55">
        <v>208656.08</v>
      </c>
      <c r="AO25" s="55">
        <v>208656.08</v>
      </c>
      <c r="AP25" s="55">
        <v>0</v>
      </c>
      <c r="AQ25" s="55">
        <v>0</v>
      </c>
      <c r="AS25" s="50">
        <f>IFERROR(Dados[[#This Row],[Saldo Bruto | Mês Atual]]/SUM(Dados[Saldo Bruto | Mês Atual]),"0,00%")</f>
        <v>4.3174205930847323E-2</v>
      </c>
      <c r="AT25" s="55">
        <f>Dados[[#This Row],[Saldo Bruto | Mês Atual]]-Dados[[#This Row],[Saldo Líquido | Mês Atual]]</f>
        <v>0</v>
      </c>
      <c r="AU25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1.3100589482266015E-2</v>
      </c>
      <c r="AV25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210979.57</v>
      </c>
      <c r="AW25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210979.57</v>
      </c>
      <c r="AX25" s="55">
        <f>SUM(Dados[[#This Row],[Aplicações]:[Cashback]])</f>
        <v>0</v>
      </c>
      <c r="AY25" s="55">
        <f>Dados[[#This Row],[Imposto Pago]]</f>
        <v>0</v>
      </c>
      <c r="BA25" s="49" t="b">
        <f>OR(Dados[[#This Row],[Saldo Bruto | Mês Anterior]]&lt;&gt;0,Dados[[#This Row],[Saldo Bruto | Mês Atual]]&lt;&gt;0,Dados[[#This Row],[Movimentaçao | Mês Atual]]&lt;&gt;0)</f>
        <v>1</v>
      </c>
      <c r="BB25" s="55"/>
      <c r="BC25" s="55">
        <f>IF(Dados[[#This Row],[Participação]]="",IF(Dados[[#This Row],[Movimentaçao | Mês Atual]]&gt;0,Dados[[#This Row],[Saldo Bruto | Mês Atual]],Dados[[#This Row],[Saldo Bruto | Mês Atual]]-Dados[[#This Row],[Movimentaçao | Mês Atual]]),0)</f>
        <v>210979.57</v>
      </c>
      <c r="BD25" s="50">
        <f>IFERROR(Dados[[#This Row],[Saldo Corrigido]]/SUM(Dados[Saldo Corrigido]),"0,00%")</f>
        <v>4.1682380486589114E-2</v>
      </c>
      <c r="BE25" s="50">
        <f>IFERROR(SUMPRODUCT(Dados[Performance | Mês Atual],Dados[Peso Corrigido | Carteira]),"0,00%")</f>
        <v>6.7280865242948622E-3</v>
      </c>
      <c r="BF25" s="50">
        <f>IFERROR(Dados[[#This Row],[Saldo Corrigido]]/SUMIF(Dados[Custódia],Dados[[#This Row],[Custódia]],Dados[Saldo Corrigido]),"0,00%")</f>
        <v>4.2214716012364761E-2</v>
      </c>
      <c r="BG25" s="50" cm="1">
        <f t="array" ref="BG25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5" s="50">
        <f>IFERROR(Dados[[#This Row],[Saldo Corrigido]]/SUMIF(Dados[Subclasse],Dados[[#This Row],[Subclasse]],Dados[Saldo Corrigido]),"0,00%")</f>
        <v>0.14800300723530499</v>
      </c>
      <c r="BI25" s="50" cm="1">
        <f t="array" ref="BI25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25" s="50">
        <f>IFERROR(Dados[[#This Row],[Saldo Corrigido]]/SUMIF(Dados[Classe],Dados[[#This Row],[Classe]],Dados[Saldo Corrigido]),"0,00%")</f>
        <v>5.6049969470530529E-2</v>
      </c>
      <c r="BK25" s="50" cm="1">
        <f t="array" ref="BK25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5" s="50"/>
      <c r="BM25" s="199" t="str">
        <f>IF(Dados[[#This Row],[Ticker do Ativo]]="","",Dados[[#This Row],[Ticker do Ativo]])</f>
        <v>CRA0240020B</v>
      </c>
      <c r="BN25" s="199"/>
      <c r="BO25" s="50" cm="1">
        <f t="array" aca="1" ref="BO25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2.6628769323415735E-3</v>
      </c>
      <c r="BP25" s="191"/>
      <c r="BQ25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211541.38263014835</v>
      </c>
      <c r="BR25" s="50">
        <f ca="1">IFERROR(Dados[[#This Row],[Saldo Atualizado]]/SUM(Dados[Saldo Atualizado]),"0,00%")</f>
        <v>4.3196316823525337E-2</v>
      </c>
      <c r="BS25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3.1327963909900864E-3</v>
      </c>
      <c r="BT25" s="55">
        <f ca="1">IF(Dados[[#This Row],[Participação]]="",IF(Dados[[#This Row],[Movimentações Atualizadas]]&gt;0,Dados[[#This Row],[Saldo Atualizado]],Dados[[#This Row],[Saldo Atualizado]]-Dados[[#This Row],[Movimentações Atualizadas]]),0)</f>
        <v>211541.38263014835</v>
      </c>
      <c r="BU25" s="219">
        <f ca="1">Dados[[#This Row],[Saldo Corrigido Atualizado]]/SUM(Dados[Saldo Corrigido Atualizado])</f>
        <v>4.3196316823525337E-2</v>
      </c>
      <c r="BW25" s="49"/>
      <c r="BY25" s="49"/>
      <c r="CA25" s="49"/>
      <c r="CB25" s="49"/>
    </row>
    <row r="26" spans="2:80" ht="11.25">
      <c r="B2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Allos 04/31 11,67%aa</v>
      </c>
      <c r="C26" s="166">
        <f t="shared" si="1"/>
        <v>45474</v>
      </c>
      <c r="D26" s="49" t="s">
        <v>233</v>
      </c>
      <c r="E26" s="156" t="s">
        <v>203</v>
      </c>
      <c r="F26" s="156" t="s">
        <v>42</v>
      </c>
      <c r="G26" s="156" t="s">
        <v>219</v>
      </c>
      <c r="H26" s="156" t="s">
        <v>291</v>
      </c>
      <c r="I26" s="53">
        <v>47953</v>
      </c>
      <c r="J26" s="49" t="s">
        <v>292</v>
      </c>
      <c r="L26" s="49">
        <v>2031</v>
      </c>
      <c r="M26" s="156" t="s">
        <v>293</v>
      </c>
      <c r="N26" s="199">
        <v>0.1167</v>
      </c>
      <c r="O26" s="50"/>
      <c r="P26" s="49" t="s">
        <v>234</v>
      </c>
      <c r="R26" s="156" t="str">
        <f>IFERROR(_xlfn.XLOOKUP(Dados[[#This Row],[Subclasse]],ClasseSubClasse[SubClasse],ClasseSubClasse[Classe]),"ERRO")</f>
        <v>Renda Fixa</v>
      </c>
      <c r="S2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Allos 04/31 11,67%aa</v>
      </c>
      <c r="T26" s="156" t="str">
        <f>IFERROR(_xlfn.XLOOKUP(Dados[[#This Row],[Subclasse]],ClasseSubClasse[SubClasse],ClasseSubClasse[Nomenclatura]),"ERRO")</f>
        <v>Renda Fixa - Prefixado</v>
      </c>
      <c r="U26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6" s="50"/>
      <c r="W2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6" s="49"/>
      <c r="Y26" s="50" t="str" cm="1">
        <f t="array" ref="Y2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6" s="54" t="str">
        <f>IFERROR((1+Dados[[#This Row],[Taxa | Esperada]])*Dados[[#This Row],[Saldo Líquido | Mês Anterior]]+Dados[[#This Row],[Juros / Dividendos]],"")</f>
        <v/>
      </c>
      <c r="AA26" s="54" t="str">
        <f>IFERROR(IF(Dados[[#This Row],[Classe]]="Renda Fixa",(1+Dados[[#This Row],[Taxa | Esperada]])*Dados[[#This Row],[Saldo Bruto | Mês Anterior]]+Dados[[#This Row],[Juros / Dividendos]],""),"")</f>
        <v/>
      </c>
      <c r="AC26" s="55">
        <v>206497.49</v>
      </c>
      <c r="AD26" s="55">
        <v>206497.49</v>
      </c>
      <c r="AE26" s="55"/>
      <c r="AF26" s="55"/>
      <c r="AG26" s="55"/>
      <c r="AH26" s="55"/>
      <c r="AI26" s="55"/>
      <c r="AJ26" s="55"/>
      <c r="AL26" s="219">
        <f>Dados[[#This Row],[Saldo Bruto | Mês Anterior]]/SUM(Dados[Saldo Bruto | Mês Anterior])</f>
        <v>3.524460329884254E-2</v>
      </c>
      <c r="AM26" s="55">
        <f>Dados[[#This Row],[Saldo Bruto | Mês Anterior]]-Dados[[#This Row],[Saldo Líquido | Mês Anterior]]</f>
        <v>0</v>
      </c>
      <c r="AN26" s="55">
        <v>204427.88</v>
      </c>
      <c r="AO26" s="55">
        <v>204427.88</v>
      </c>
      <c r="AP26" s="55">
        <v>0</v>
      </c>
      <c r="AQ26" s="55">
        <v>0</v>
      </c>
      <c r="AS26" s="50">
        <f>IFERROR(Dados[[#This Row],[Saldo Bruto | Mês Atual]]/SUM(Dados[Saldo Bruto | Mês Atual]),"0,00%")</f>
        <v>4.2257006957892106E-2</v>
      </c>
      <c r="AT26" s="55">
        <f>Dados[[#This Row],[Saldo Bruto | Mês Atual]]-Dados[[#This Row],[Saldo Líquido | Mês Atual]]</f>
        <v>0</v>
      </c>
      <c r="AU26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1.1910485468604607E-2</v>
      </c>
      <c r="AV2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206497.49</v>
      </c>
      <c r="AW2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206497.49</v>
      </c>
      <c r="AX26" s="55">
        <f>SUM(Dados[[#This Row],[Aplicações]:[Cashback]])</f>
        <v>0</v>
      </c>
      <c r="AY26" s="55">
        <f>Dados[[#This Row],[Imposto Pago]]</f>
        <v>0</v>
      </c>
      <c r="BA26" s="49" t="b">
        <f>OR(Dados[[#This Row],[Saldo Bruto | Mês Anterior]]&lt;&gt;0,Dados[[#This Row],[Saldo Bruto | Mês Atual]]&lt;&gt;0,Dados[[#This Row],[Movimentaçao | Mês Atual]]&lt;&gt;0)</f>
        <v>1</v>
      </c>
      <c r="BB26" s="55"/>
      <c r="BC26" s="55">
        <f>IF(Dados[[#This Row],[Participação]]="",IF(Dados[[#This Row],[Movimentaçao | Mês Atual]]&gt;0,Dados[[#This Row],[Saldo Bruto | Mês Atual]],Dados[[#This Row],[Saldo Bruto | Mês Atual]]-Dados[[#This Row],[Movimentaçao | Mês Atual]]),0)</f>
        <v>206497.49</v>
      </c>
      <c r="BD26" s="50">
        <f>IFERROR(Dados[[#This Row],[Saldo Corrigido]]/SUM(Dados[Saldo Corrigido]),"0,00%")</f>
        <v>4.0796874065605643E-2</v>
      </c>
      <c r="BE26" s="50">
        <f>IFERROR(SUMPRODUCT(Dados[Performance | Mês Atual],Dados[Peso Corrigido | Carteira]),"0,00%")</f>
        <v>6.7280865242948622E-3</v>
      </c>
      <c r="BF26" s="50">
        <f>IFERROR(Dados[[#This Row],[Saldo Corrigido]]/SUMIF(Dados[Custódia],Dados[[#This Row],[Custódia]],Dados[Saldo Corrigido]),"0,00%")</f>
        <v>4.131790057973922E-2</v>
      </c>
      <c r="BG26" s="50" cm="1">
        <f t="array" ref="BG26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6" s="50">
        <f>IFERROR(Dados[[#This Row],[Saldo Corrigido]]/SUMIF(Dados[Subclasse],Dados[[#This Row],[Subclasse]],Dados[Saldo Corrigido]),"0,00%")</f>
        <v>0.14485881029401243</v>
      </c>
      <c r="BI26" s="50" cm="1">
        <f t="array" ref="BI26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26" s="50">
        <f>IFERROR(Dados[[#This Row],[Saldo Corrigido]]/SUMIF(Dados[Classe],Dados[[#This Row],[Classe]],Dados[Saldo Corrigido]),"0,00%")</f>
        <v>5.4859235945173189E-2</v>
      </c>
      <c r="BK26" s="50" cm="1">
        <f t="array" ref="BK26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6" s="50"/>
      <c r="BM26" s="199" t="str">
        <f>IF(Dados[[#This Row],[Ticker do Ativo]]="","",Dados[[#This Row],[Ticker do Ativo]])</f>
        <v>24D0006603</v>
      </c>
      <c r="BN26" s="199"/>
      <c r="BO26" s="50" cm="1">
        <f t="array" aca="1" ref="BO26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2.4221705343046018E-3</v>
      </c>
      <c r="BP26" s="191"/>
      <c r="BQ26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206997.66213568585</v>
      </c>
      <c r="BR26" s="50">
        <f ca="1">IFERROR(Dados[[#This Row],[Saldo Atualizado]]/SUM(Dados[Saldo Atualizado]),"0,00%")</f>
        <v>4.2268498409955155E-2</v>
      </c>
      <c r="BS26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2.8496123932995315E-3</v>
      </c>
      <c r="BT26" s="55">
        <f ca="1">IF(Dados[[#This Row],[Participação]]="",IF(Dados[[#This Row],[Movimentações Atualizadas]]&gt;0,Dados[[#This Row],[Saldo Atualizado]],Dados[[#This Row],[Saldo Atualizado]]-Dados[[#This Row],[Movimentações Atualizadas]]),0)</f>
        <v>206997.66213568585</v>
      </c>
      <c r="BU26" s="219">
        <f ca="1">Dados[[#This Row],[Saldo Corrigido Atualizado]]/SUM(Dados[Saldo Corrigido Atualizado])</f>
        <v>4.2268498409955155E-2</v>
      </c>
      <c r="BV26" s="55"/>
      <c r="BW26" s="49"/>
      <c r="BX26" s="50"/>
      <c r="BY26" s="49"/>
      <c r="BZ26" s="55"/>
      <c r="CA26" s="50"/>
      <c r="CB26" s="49"/>
    </row>
    <row r="27" spans="2:80" ht="11.25">
      <c r="B2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Automob 04/30 IPCA+ 8,15%aa</v>
      </c>
      <c r="C27" s="166">
        <f t="shared" si="1"/>
        <v>45474</v>
      </c>
      <c r="D27" s="49" t="s">
        <v>233</v>
      </c>
      <c r="E27" s="156" t="s">
        <v>203</v>
      </c>
      <c r="F27" s="156" t="s">
        <v>58</v>
      </c>
      <c r="G27" s="156" t="s">
        <v>219</v>
      </c>
      <c r="H27" s="156" t="s">
        <v>220</v>
      </c>
      <c r="I27" s="53">
        <v>47588</v>
      </c>
      <c r="J27" s="49" t="s">
        <v>251</v>
      </c>
      <c r="L27" s="49">
        <v>2030</v>
      </c>
      <c r="M27" s="156" t="s">
        <v>264</v>
      </c>
      <c r="N27" s="199">
        <v>8.1500000000000003E-2</v>
      </c>
      <c r="O27" s="50"/>
      <c r="P27" s="49" t="s">
        <v>234</v>
      </c>
      <c r="R27" s="156" t="str">
        <f>IFERROR(_xlfn.XLOOKUP(Dados[[#This Row],[Subclasse]],ClasseSubClasse[SubClasse],ClasseSubClasse[Classe]),"ERRO")</f>
        <v>Renda Fixa</v>
      </c>
      <c r="S2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Automob 04/30 IPCA+ 8,15%aa</v>
      </c>
      <c r="T27" s="156" t="str">
        <f>IFERROR(_xlfn.XLOOKUP(Dados[[#This Row],[Subclasse]],ClasseSubClasse[SubClasse],ClasseSubClasse[Nomenclatura]),"ERRO")</f>
        <v>Renda Fixa - Inflação</v>
      </c>
      <c r="U27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7" s="50"/>
      <c r="W2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7" s="49"/>
      <c r="Y27" s="50" t="str" cm="1">
        <f t="array" ref="Y2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7" s="54" t="str">
        <f>IFERROR((1+Dados[[#This Row],[Taxa | Esperada]])*Dados[[#This Row],[Saldo Líquido | Mês Anterior]]+Dados[[#This Row],[Juros / Dividendos]],"")</f>
        <v/>
      </c>
      <c r="AA27" s="54" t="str">
        <f>IFERROR(IF(Dados[[#This Row],[Classe]]="Renda Fixa",(1+Dados[[#This Row],[Taxa | Esperada]])*Dados[[#This Row],[Saldo Bruto | Mês Anterior]]+Dados[[#This Row],[Juros / Dividendos]],""),"")</f>
        <v/>
      </c>
      <c r="AC27" s="55">
        <v>215377.42</v>
      </c>
      <c r="AD27" s="55">
        <v>215377.42</v>
      </c>
      <c r="AE27" s="55"/>
      <c r="AF27" s="55"/>
      <c r="AG27" s="55"/>
      <c r="AH27" s="55"/>
      <c r="AI27" s="55"/>
      <c r="AJ27" s="55"/>
      <c r="AL27" s="50">
        <f>Dados[[#This Row],[Saldo Bruto | Mês Anterior]]/SUM(Dados[Saldo Bruto | Mês Anterior])</f>
        <v>3.6773303607266099E-2</v>
      </c>
      <c r="AM27" s="55">
        <f>Dados[[#This Row],[Saldo Bruto | Mês Anterior]]-Dados[[#This Row],[Saldo Líquido | Mês Anterior]]</f>
        <v>0</v>
      </c>
      <c r="AN27" s="55">
        <v>213294.74</v>
      </c>
      <c r="AO27" s="55">
        <v>213294.74</v>
      </c>
      <c r="AP27" s="55">
        <v>0</v>
      </c>
      <c r="AQ27" s="55">
        <v>0</v>
      </c>
      <c r="AS27" s="50">
        <f>IFERROR(Dados[[#This Row],[Saldo Bruto | Mês Atual]]/SUM(Dados[Saldo Bruto | Mês Atual]),"0,00%")</f>
        <v>4.4074168337411034E-2</v>
      </c>
      <c r="AT27" s="55">
        <f>Dados[[#This Row],[Saldo Bruto | Mês Atual]]-Dados[[#This Row],[Saldo Líquido | Mês Atual]]</f>
        <v>0</v>
      </c>
      <c r="AU2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1.1487445797800203E-2</v>
      </c>
      <c r="AV2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215377.42</v>
      </c>
      <c r="AW2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215377.42</v>
      </c>
      <c r="AX27" s="55">
        <f>SUM(Dados[[#This Row],[Aplicações]:[Cashback]])</f>
        <v>0</v>
      </c>
      <c r="AY27" s="55">
        <f>Dados[[#This Row],[Imposto Pago]]</f>
        <v>0</v>
      </c>
      <c r="AZ27" s="49"/>
      <c r="BA27" s="49" t="b">
        <f>OR(Dados[[#This Row],[Saldo Bruto | Mês Anterior]]&lt;&gt;0,Dados[[#This Row],[Saldo Bruto | Mês Atual]]&lt;&gt;0,Dados[[#This Row],[Movimentaçao | Mês Atual]]&lt;&gt;0)</f>
        <v>1</v>
      </c>
      <c r="BB27" s="55"/>
      <c r="BC27" s="55">
        <f>IF(Dados[[#This Row],[Participação]]="",IF(Dados[[#This Row],[Movimentaçao | Mês Atual]]&gt;0,Dados[[#This Row],[Saldo Bruto | Mês Atual]],Dados[[#This Row],[Saldo Bruto | Mês Atual]]-Dados[[#This Row],[Movimentaçao | Mês Atual]]),0)</f>
        <v>215377.42</v>
      </c>
      <c r="BD27" s="50">
        <f>IFERROR(Dados[[#This Row],[Saldo Corrigido]]/SUM(Dados[Saldo Corrigido]),"0,00%")</f>
        <v>4.255124592708151E-2</v>
      </c>
      <c r="BE27" s="50">
        <f>IFERROR(SUMPRODUCT(Dados[Performance | Mês Atual],Dados[Peso Corrigido | Carteira]),"0,00%")</f>
        <v>6.7280865242948622E-3</v>
      </c>
      <c r="BF27" s="50">
        <f>IFERROR(Dados[[#This Row],[Saldo Corrigido]]/SUMIF(Dados[Custódia],Dados[[#This Row],[Custódia]],Dados[Saldo Corrigido]),"0,00%")</f>
        <v>4.3094677938607086E-2</v>
      </c>
      <c r="BG27" s="50" cm="1">
        <f t="array" ref="BG27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7" s="50">
        <f>IFERROR(Dados[[#This Row],[Saldo Corrigido]]/SUMIF(Dados[Subclasse],Dados[[#This Row],[Subclasse]],Dados[Saldo Corrigido]),"0,00%")</f>
        <v>0.30832865101363932</v>
      </c>
      <c r="BI27" s="50" cm="1">
        <f t="array" ref="BI27">IFERROR(SUMPRODUCT((_xlfn._xlws.FILTER(Dados[Peso Corrigido | SubClasse],Dados[Subclasse]=Dados[[#This Row],[Subclasse]])),_xlfn._xlws.FILTER(Dados[Performance | Mês Atual],Dados[Subclasse]=Dados[[#This Row],[Subclasse]])),"0,00%")</f>
        <v>-9.3299780881783458E-3</v>
      </c>
      <c r="BJ27" s="50">
        <f>IFERROR(Dados[[#This Row],[Saldo Corrigido]]/SUMIF(Dados[Classe],Dados[[#This Row],[Classe]],Dados[Saldo Corrigido]),"0,00%")</f>
        <v>5.7218326000198182E-2</v>
      </c>
      <c r="BK27" s="50" cm="1">
        <f t="array" ref="BK27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7" s="50"/>
      <c r="BM27" s="199" t="str">
        <f>IF(Dados[[#This Row],[Ticker do Ativo]]="","",Dados[[#This Row],[Ticker do Ativo]])</f>
        <v>22L2288690</v>
      </c>
      <c r="BN27" s="199"/>
      <c r="BO27" s="50" cm="1">
        <f t="array" aca="1" ref="BO27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3.7221503426796421E-3</v>
      </c>
      <c r="BP27" s="191"/>
      <c r="BQ27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216179.08713765847</v>
      </c>
      <c r="BR27" s="50">
        <f ca="1">IFERROR(Dados[[#This Row],[Saldo Atualizado]]/SUM(Dados[Saldo Atualizado]),"0,00%")</f>
        <v>4.414332657995939E-2</v>
      </c>
      <c r="BS27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4.3790004031525201E-3</v>
      </c>
      <c r="BT27" s="55">
        <f ca="1">IF(Dados[[#This Row],[Participação]]="",IF(Dados[[#This Row],[Movimentações Atualizadas]]&gt;0,Dados[[#This Row],[Saldo Atualizado]],Dados[[#This Row],[Saldo Atualizado]]-Dados[[#This Row],[Movimentações Atualizadas]]),0)</f>
        <v>216179.08713765847</v>
      </c>
      <c r="BU27" s="50">
        <f ca="1">Dados[[#This Row],[Saldo Corrigido Atualizado]]/SUM(Dados[Saldo Corrigido Atualizado])</f>
        <v>4.414332657995939E-2</v>
      </c>
      <c r="BV27" s="55"/>
      <c r="BW27" s="49"/>
      <c r="BX27" s="50"/>
      <c r="BY27" s="49"/>
      <c r="BZ27" s="55"/>
      <c r="CA27" s="50"/>
      <c r="CB27" s="49"/>
    </row>
    <row r="28" spans="2:80" ht="11.25">
      <c r="B2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Cyrella 07/24 100% CDI</v>
      </c>
      <c r="C28" s="166">
        <f t="shared" si="1"/>
        <v>45474</v>
      </c>
      <c r="D28" s="49" t="s">
        <v>233</v>
      </c>
      <c r="E28" s="156" t="s">
        <v>203</v>
      </c>
      <c r="F28" s="156" t="s">
        <v>59</v>
      </c>
      <c r="G28" s="156" t="s">
        <v>219</v>
      </c>
      <c r="H28" s="156" t="s">
        <v>221</v>
      </c>
      <c r="I28" s="53">
        <v>45490</v>
      </c>
      <c r="J28" s="49" t="s">
        <v>250</v>
      </c>
      <c r="L28" s="49">
        <v>2024</v>
      </c>
      <c r="M28" s="156" t="s">
        <v>275</v>
      </c>
      <c r="N28" s="199">
        <v>1</v>
      </c>
      <c r="O28" s="50" t="s">
        <v>262</v>
      </c>
      <c r="P28" s="49" t="s">
        <v>234</v>
      </c>
      <c r="R28" s="156" t="str">
        <f>IFERROR(_xlfn.XLOOKUP(Dados[[#This Row],[Subclasse]],ClasseSubClasse[SubClasse],ClasseSubClasse[Classe]),"ERRO")</f>
        <v>Renda Fixa</v>
      </c>
      <c r="S2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Cyrella 07/24 100% CDI</v>
      </c>
      <c r="T28" s="156" t="str">
        <f>IFERROR(_xlfn.XLOOKUP(Dados[[#This Row],[Subclasse]],ClasseSubClasse[SubClasse],ClasseSubClasse[Nomenclatura]),"ERRO")</f>
        <v>Renda Fixa - Pós-Fixado</v>
      </c>
      <c r="U28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0.22500000000000001</v>
      </c>
      <c r="V28" s="50"/>
      <c r="W2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8" s="49"/>
      <c r="Y28" s="50" t="str" cm="1">
        <f t="array" ref="Y2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8" s="54" t="str">
        <f>IFERROR((1+Dados[[#This Row],[Taxa | Esperada]])*Dados[[#This Row],[Saldo Líquido | Mês Anterior]]+Dados[[#This Row],[Juros / Dividendos]],"")</f>
        <v/>
      </c>
      <c r="AA28" s="54" t="str">
        <f>IFERROR(IF(Dados[[#This Row],[Classe]]="Renda Fixa",(1+Dados[[#This Row],[Taxa | Esperada]])*Dados[[#This Row],[Saldo Bruto | Mês Anterior]]+Dados[[#This Row],[Juros / Dividendos]],""),"")</f>
        <v/>
      </c>
      <c r="AC28" s="55"/>
      <c r="AD28" s="55"/>
      <c r="AE28" s="55"/>
      <c r="AF28" s="55"/>
      <c r="AG28" s="55"/>
      <c r="AH28" s="55"/>
      <c r="AI28" s="55"/>
      <c r="AJ28" s="55"/>
      <c r="AL28" s="50">
        <f>Dados[[#This Row],[Saldo Bruto | Mês Anterior]]/SUM(Dados[Saldo Bruto | Mês Anterior])</f>
        <v>9.0237292084100872E-3</v>
      </c>
      <c r="AM28" s="55">
        <f>Dados[[#This Row],[Saldo Bruto | Mês Anterior]]-Dados[[#This Row],[Saldo Líquido | Mês Anterior]]</f>
        <v>0</v>
      </c>
      <c r="AN28" s="55">
        <v>52339.98</v>
      </c>
      <c r="AO28" s="55">
        <v>52339.98</v>
      </c>
      <c r="AP28" s="55">
        <v>0</v>
      </c>
      <c r="AQ28" s="55">
        <v>0</v>
      </c>
      <c r="AS28" s="50">
        <f>IFERROR(Dados[[#This Row],[Saldo Bruto | Mês Atual]]/SUM(Dados[Saldo Bruto | Mês Atual]),"0,00%")</f>
        <v>0</v>
      </c>
      <c r="AT28" s="55">
        <f>Dados[[#This Row],[Saldo Bruto | Mês Atual]]-Dados[[#This Row],[Saldo Líquido | Mês Atual]]</f>
        <v>0</v>
      </c>
      <c r="AU2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-1.2903225806451613</v>
      </c>
      <c r="AV2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8" s="55">
        <f>SUM(Dados[[#This Row],[Aplicações]:[Cashback]])</f>
        <v>0</v>
      </c>
      <c r="AY28" s="55">
        <f>Dados[[#This Row],[Imposto Pago]]</f>
        <v>0</v>
      </c>
      <c r="AZ28" s="49"/>
      <c r="BA28" s="49" t="b">
        <f>OR(Dados[[#This Row],[Saldo Bruto | Mês Anterior]]&lt;&gt;0,Dados[[#This Row],[Saldo Bruto | Mês Atual]]&lt;&gt;0,Dados[[#This Row],[Movimentaçao | Mês Atual]]&lt;&gt;0)</f>
        <v>1</v>
      </c>
      <c r="BB28" s="55"/>
      <c r="BC28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8" s="50">
        <f>IFERROR(Dados[[#This Row],[Saldo Corrigido]]/SUM(Dados[Saldo Corrigido]),"0,00%")</f>
        <v>0</v>
      </c>
      <c r="BE28" s="50">
        <f>IFERROR(SUMPRODUCT(Dados[Performance | Mês Atual],Dados[Peso Corrigido | Carteira]),"0,00%")</f>
        <v>6.7280865242948622E-3</v>
      </c>
      <c r="BF28" s="50">
        <f>IFERROR(Dados[[#This Row],[Saldo Corrigido]]/SUMIF(Dados[Custódia],Dados[[#This Row],[Custódia]],Dados[Saldo Corrigido]),"0,00%")</f>
        <v>0</v>
      </c>
      <c r="BG28" s="50" cm="1">
        <f t="array" ref="BG28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8" s="50">
        <f>IFERROR(Dados[[#This Row],[Saldo Corrigido]]/SUMIF(Dados[Subclasse],Dados[[#This Row],[Subclasse]],Dados[Saldo Corrigido]),"0,00%")</f>
        <v>0</v>
      </c>
      <c r="BI28" s="50" cm="1">
        <f t="array" ref="BI28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28" s="50">
        <f>IFERROR(Dados[[#This Row],[Saldo Corrigido]]/SUMIF(Dados[Classe],Dados[[#This Row],[Classe]],Dados[Saldo Corrigido]),"0,00%")</f>
        <v>0</v>
      </c>
      <c r="BK28" s="50" cm="1">
        <f t="array" ref="BK28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8" s="50"/>
      <c r="BM28" s="199" t="str">
        <f>IF(Dados[[#This Row],[Ticker do Ativo]]="","",Dados[[#This Row],[Ticker do Ativo]])</f>
        <v>CRA019003V2</v>
      </c>
      <c r="BN28" s="199"/>
      <c r="BO28" s="50" cm="1">
        <f t="array" ref="BO28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2.8999999999999998E-3</v>
      </c>
      <c r="BP28" s="191"/>
      <c r="BQ28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8" s="50">
        <f ca="1">IFERROR(Dados[[#This Row],[Saldo Atualizado]]/SUM(Dados[Saldo Atualizado]),"0,00%")</f>
        <v>0</v>
      </c>
      <c r="BS28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8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28" s="50">
        <f ca="1">Dados[[#This Row],[Saldo Corrigido Atualizado]]/SUM(Dados[Saldo Corrigido Atualizado])</f>
        <v>0</v>
      </c>
      <c r="BV28" s="55"/>
      <c r="BW28" s="49"/>
      <c r="BX28" s="50"/>
      <c r="BY28" s="49"/>
      <c r="BZ28" s="55"/>
      <c r="CA28" s="50"/>
      <c r="CB28" s="49"/>
    </row>
    <row r="29" spans="2:80" ht="11.25">
      <c r="B2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Dasa 01/29 12,30%aa</v>
      </c>
      <c r="C29" s="166">
        <f t="shared" si="1"/>
        <v>45474</v>
      </c>
      <c r="D29" s="49" t="s">
        <v>233</v>
      </c>
      <c r="E29" s="156" t="s">
        <v>203</v>
      </c>
      <c r="F29" s="156" t="s">
        <v>42</v>
      </c>
      <c r="G29" s="156" t="s">
        <v>219</v>
      </c>
      <c r="H29" s="156" t="s">
        <v>231</v>
      </c>
      <c r="I29" s="53">
        <v>47133</v>
      </c>
      <c r="J29" s="49" t="s">
        <v>259</v>
      </c>
      <c r="L29" s="49">
        <v>2029</v>
      </c>
      <c r="M29" s="156" t="s">
        <v>239</v>
      </c>
      <c r="N29" s="199">
        <v>0.123</v>
      </c>
      <c r="O29" s="50"/>
      <c r="P29" s="49" t="s">
        <v>234</v>
      </c>
      <c r="R29" s="156" t="str">
        <f>IFERROR(_xlfn.XLOOKUP(Dados[[#This Row],[Subclasse]],ClasseSubClasse[SubClasse],ClasseSubClasse[Classe]),"ERRO")</f>
        <v>Renda Fixa</v>
      </c>
      <c r="S2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Dasa 01/29 12,30%aa</v>
      </c>
      <c r="T29" s="156" t="str">
        <f>IFERROR(_xlfn.XLOOKUP(Dados[[#This Row],[Subclasse]],ClasseSubClasse[SubClasse],ClasseSubClasse[Nomenclatura]),"ERRO")</f>
        <v>Renda Fixa - Prefixado</v>
      </c>
      <c r="U29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9" s="50"/>
      <c r="W2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9" s="49"/>
      <c r="Y29" s="50" t="str" cm="1">
        <f t="array" ref="Y2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9" s="54" t="str">
        <f>IFERROR((1+Dados[[#This Row],[Taxa | Esperada]])*Dados[[#This Row],[Saldo Líquido | Mês Anterior]]+Dados[[#This Row],[Juros / Dividendos]],"")</f>
        <v/>
      </c>
      <c r="AA29" s="54" t="str">
        <f>IFERROR(IF(Dados[[#This Row],[Classe]]="Renda Fixa",(1+Dados[[#This Row],[Taxa | Esperada]])*Dados[[#This Row],[Saldo Bruto | Mês Anterior]]+Dados[[#This Row],[Juros / Dividendos]],""),"")</f>
        <v/>
      </c>
      <c r="AC29" s="55">
        <v>75415.44</v>
      </c>
      <c r="AD29" s="55">
        <v>75415.44</v>
      </c>
      <c r="AE29" s="55"/>
      <c r="AF29" s="55"/>
      <c r="AG29" s="55"/>
      <c r="AH29" s="55"/>
      <c r="AI29" s="55"/>
      <c r="AJ29" s="55"/>
      <c r="AL29" s="50">
        <f>Dados[[#This Row],[Saldo Bruto | Mês Anterior]]/SUM(Dados[Saldo Bruto | Mês Anterior])</f>
        <v>1.3552067210691776E-2</v>
      </c>
      <c r="AM29" s="55">
        <f>Dados[[#This Row],[Saldo Bruto | Mês Anterior]]-Dados[[#This Row],[Saldo Líquido | Mês Anterior]]</f>
        <v>0</v>
      </c>
      <c r="AN29" s="55">
        <v>78605.52</v>
      </c>
      <c r="AO29" s="55">
        <v>78605.52</v>
      </c>
      <c r="AP29" s="55">
        <v>0</v>
      </c>
      <c r="AQ29" s="55">
        <v>0</v>
      </c>
      <c r="AS29" s="50">
        <f>IFERROR(Dados[[#This Row],[Saldo Bruto | Mês Atual]]/SUM(Dados[Saldo Bruto | Mês Atual]),"0,00%")</f>
        <v>1.54327821263711E-2</v>
      </c>
      <c r="AT29" s="55">
        <f>Dados[[#This Row],[Saldo Bruto | Mês Atual]]-Dados[[#This Row],[Saldo Líquido | Mês Atual]]</f>
        <v>0</v>
      </c>
      <c r="AU2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-4.7745187540488843E-2</v>
      </c>
      <c r="AV2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75415.44</v>
      </c>
      <c r="AW2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75415.44</v>
      </c>
      <c r="AX29" s="55">
        <f>SUM(Dados[[#This Row],[Aplicações]:[Cashback]])</f>
        <v>0</v>
      </c>
      <c r="AY29" s="55">
        <f>Dados[[#This Row],[Imposto Pago]]</f>
        <v>0</v>
      </c>
      <c r="AZ29" s="49"/>
      <c r="BA29" s="49" t="b">
        <f>OR(Dados[[#This Row],[Saldo Bruto | Mês Anterior]]&lt;&gt;0,Dados[[#This Row],[Saldo Bruto | Mês Atual]]&lt;&gt;0,Dados[[#This Row],[Movimentaçao | Mês Atual]]&lt;&gt;0)</f>
        <v>1</v>
      </c>
      <c r="BB29" s="55"/>
      <c r="BC29" s="55">
        <f>IF(Dados[[#This Row],[Participação]]="",IF(Dados[[#This Row],[Movimentaçao | Mês Atual]]&gt;0,Dados[[#This Row],[Saldo Bruto | Mês Atual]],Dados[[#This Row],[Saldo Bruto | Mês Atual]]-Dados[[#This Row],[Movimentaçao | Mês Atual]]),0)</f>
        <v>75415.44</v>
      </c>
      <c r="BD29" s="50">
        <f>IFERROR(Dados[[#This Row],[Saldo Corrigido]]/SUM(Dados[Saldo Corrigido]),"0,00%")</f>
        <v>1.4899523516156242E-2</v>
      </c>
      <c r="BE29" s="50">
        <f>IFERROR(SUMPRODUCT(Dados[Performance | Mês Atual],Dados[Peso Corrigido | Carteira]),"0,00%")</f>
        <v>6.7280865242948622E-3</v>
      </c>
      <c r="BF29" s="50">
        <f>IFERROR(Dados[[#This Row],[Saldo Corrigido]]/SUMIF(Dados[Custódia],Dados[[#This Row],[Custódia]],Dados[Saldo Corrigido]),"0,00%")</f>
        <v>1.5089808849963689E-2</v>
      </c>
      <c r="BG29" s="50" cm="1">
        <f t="array" ref="BG29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29" s="50">
        <f>IFERROR(Dados[[#This Row],[Saldo Corrigido]]/SUMIF(Dados[Subclasse],Dados[[#This Row],[Subclasse]],Dados[Saldo Corrigido]),"0,00%")</f>
        <v>5.2904231020916903E-2</v>
      </c>
      <c r="BI29" s="50" cm="1">
        <f t="array" ref="BI29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29" s="50">
        <f>IFERROR(Dados[[#This Row],[Saldo Corrigido]]/SUMIF(Dados[Classe],Dados[[#This Row],[Classe]],Dados[Saldo Corrigido]),"0,00%")</f>
        <v>2.0035272181124584E-2</v>
      </c>
      <c r="BK29" s="50" cm="1">
        <f t="array" ref="BK29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29" s="50"/>
      <c r="BM29" s="199" t="str">
        <f>IF(Dados[[#This Row],[Ticker do Ativo]]="","",Dados[[#This Row],[Ticker do Ativo]])</f>
        <v>24A2715837</v>
      </c>
      <c r="BN29" s="199"/>
      <c r="BO29" s="50" cm="1">
        <f t="array" aca="1" ref="BO29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2.5457813299776255E-3</v>
      </c>
      <c r="BP29" s="191"/>
      <c r="BQ29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75607.431219144055</v>
      </c>
      <c r="BR29" s="50">
        <f ca="1">IFERROR(Dados[[#This Row],[Saldo Atualizado]]/SUM(Dados[Saldo Atualizado]),"0,00%")</f>
        <v>1.5438882513428323E-2</v>
      </c>
      <c r="BS29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2.9950368587972065E-3</v>
      </c>
      <c r="BT29" s="55">
        <f ca="1">IF(Dados[[#This Row],[Participação]]="",IF(Dados[[#This Row],[Movimentações Atualizadas]]&gt;0,Dados[[#This Row],[Saldo Atualizado]],Dados[[#This Row],[Saldo Atualizado]]-Dados[[#This Row],[Movimentações Atualizadas]]),0)</f>
        <v>75607.431219144055</v>
      </c>
      <c r="BU29" s="50">
        <f ca="1">Dados[[#This Row],[Saldo Corrigido Atualizado]]/SUM(Dados[Saldo Corrigido Atualizado])</f>
        <v>1.5438882513428323E-2</v>
      </c>
      <c r="BV29" s="55"/>
      <c r="BW29" s="49"/>
      <c r="BX29" s="50"/>
      <c r="BY29" s="49"/>
      <c r="BZ29" s="55"/>
      <c r="CA29" s="50"/>
      <c r="CB29" s="49"/>
    </row>
    <row r="30" spans="2:80" ht="11.25">
      <c r="B3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Dasa 01/31 12,85%aa</v>
      </c>
      <c r="C30" s="166">
        <f t="shared" si="1"/>
        <v>45474</v>
      </c>
      <c r="D30" s="49" t="s">
        <v>233</v>
      </c>
      <c r="E30" s="156" t="s">
        <v>203</v>
      </c>
      <c r="F30" s="156" t="s">
        <v>42</v>
      </c>
      <c r="G30" s="156" t="s">
        <v>219</v>
      </c>
      <c r="H30" s="156" t="s">
        <v>231</v>
      </c>
      <c r="I30" s="53">
        <v>47863</v>
      </c>
      <c r="J30" s="49" t="s">
        <v>260</v>
      </c>
      <c r="L30" s="49">
        <v>2031</v>
      </c>
      <c r="M30" s="156" t="s">
        <v>240</v>
      </c>
      <c r="N30" s="199">
        <v>0.1285</v>
      </c>
      <c r="O30" s="50"/>
      <c r="P30" s="49" t="s">
        <v>234</v>
      </c>
      <c r="R30" s="156" t="str">
        <f>IFERROR(_xlfn.XLOOKUP(Dados[[#This Row],[Subclasse]],ClasseSubClasse[SubClasse],ClasseSubClasse[Classe]),"ERRO")</f>
        <v>Renda Fixa</v>
      </c>
      <c r="S3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Dasa 01/31 12,85%aa</v>
      </c>
      <c r="T30" s="156" t="str">
        <f>IFERROR(_xlfn.XLOOKUP(Dados[[#This Row],[Subclasse]],ClasseSubClasse[SubClasse],ClasseSubClasse[Nomenclatura]),"ERRO")</f>
        <v>Renda Fixa - Prefixado</v>
      </c>
      <c r="U3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0" s="50"/>
      <c r="W3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0" s="49"/>
      <c r="Y30" s="50" t="str" cm="1">
        <f t="array" ref="Y3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0" s="54" t="str">
        <f>IFERROR((1+Dados[[#This Row],[Taxa | Esperada]])*Dados[[#This Row],[Saldo Líquido | Mês Anterior]]+Dados[[#This Row],[Juros / Dividendos]],"")</f>
        <v/>
      </c>
      <c r="AA30" s="54" t="str">
        <f>IFERROR(IF(Dados[[#This Row],[Classe]]="Renda Fixa",(1+Dados[[#This Row],[Taxa | Esperada]])*Dados[[#This Row],[Saldo Bruto | Mês Anterior]]+Dados[[#This Row],[Juros / Dividendos]],""),"")</f>
        <v/>
      </c>
      <c r="AC30" s="55">
        <v>75432.990000000005</v>
      </c>
      <c r="AD30" s="55">
        <v>75432.990000000005</v>
      </c>
      <c r="AE30" s="55"/>
      <c r="AF30" s="55"/>
      <c r="AG30" s="55"/>
      <c r="AH30" s="55"/>
      <c r="AI30" s="55"/>
      <c r="AJ30" s="55"/>
      <c r="AL30" s="50">
        <f>Dados[[#This Row],[Saldo Bruto | Mês Anterior]]/SUM(Dados[Saldo Bruto | Mês Anterior])</f>
        <v>1.357889359207038E-2</v>
      </c>
      <c r="AM30" s="55">
        <f>Dados[[#This Row],[Saldo Bruto | Mês Anterior]]-Dados[[#This Row],[Saldo Líquido | Mês Anterior]]</f>
        <v>0</v>
      </c>
      <c r="AN30" s="55">
        <v>78761.119999999995</v>
      </c>
      <c r="AO30" s="55">
        <v>78761.119999999995</v>
      </c>
      <c r="AP30" s="55">
        <v>0</v>
      </c>
      <c r="AQ30" s="55">
        <v>0</v>
      </c>
      <c r="AS30" s="50">
        <f>IFERROR(Dados[[#This Row],[Saldo Bruto | Mês Atual]]/SUM(Dados[Saldo Bruto | Mês Atual]),"0,00%")</f>
        <v>1.5436373504029545E-2</v>
      </c>
      <c r="AT30" s="55">
        <f>Dados[[#This Row],[Saldo Bruto | Mês Atual]]-Dados[[#This Row],[Saldo Líquido | Mês Atual]]</f>
        <v>0</v>
      </c>
      <c r="AU3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-4.9712942868556494E-2</v>
      </c>
      <c r="AV3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75432.990000000005</v>
      </c>
      <c r="AW3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75432.990000000005</v>
      </c>
      <c r="AX30" s="55">
        <f>SUM(Dados[[#This Row],[Aplicações]:[Cashback]])</f>
        <v>0</v>
      </c>
      <c r="AY30" s="55">
        <f>Dados[[#This Row],[Imposto Pago]]</f>
        <v>0</v>
      </c>
      <c r="AZ30" s="49"/>
      <c r="BA30" s="49" t="b">
        <f>OR(Dados[[#This Row],[Saldo Bruto | Mês Anterior]]&lt;&gt;0,Dados[[#This Row],[Saldo Bruto | Mês Atual]]&lt;&gt;0,Dados[[#This Row],[Movimentaçao | Mês Atual]]&lt;&gt;0)</f>
        <v>1</v>
      </c>
      <c r="BB30" s="55"/>
      <c r="BC30" s="55">
        <f>IF(Dados[[#This Row],[Participação]]="",IF(Dados[[#This Row],[Movimentaçao | Mês Atual]]&gt;0,Dados[[#This Row],[Saldo Bruto | Mês Atual]],Dados[[#This Row],[Saldo Bruto | Mês Atual]]-Dados[[#This Row],[Movimentaçao | Mês Atual]]),0)</f>
        <v>75432.990000000005</v>
      </c>
      <c r="BD30" s="50">
        <f>IFERROR(Dados[[#This Row],[Saldo Corrigido]]/SUM(Dados[Saldo Corrigido]),"0,00%")</f>
        <v>1.4902990798687626E-2</v>
      </c>
      <c r="BE30" s="50">
        <f>IFERROR(SUMPRODUCT(Dados[Performance | Mês Atual],Dados[Peso Corrigido | Carteira]),"0,00%")</f>
        <v>6.7280865242948622E-3</v>
      </c>
      <c r="BF30" s="50">
        <f>IFERROR(Dados[[#This Row],[Saldo Corrigido]]/SUMIF(Dados[Custódia],Dados[[#This Row],[Custódia]],Dados[Saldo Corrigido]),"0,00%")</f>
        <v>1.5093320413979186E-2</v>
      </c>
      <c r="BG30" s="50" cm="1">
        <f t="array" ref="BG30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0" s="50">
        <f>IFERROR(Dados[[#This Row],[Saldo Corrigido]]/SUMIF(Dados[Subclasse],Dados[[#This Row],[Subclasse]],Dados[Saldo Corrigido]),"0,00%")</f>
        <v>5.2916542415697827E-2</v>
      </c>
      <c r="BI30" s="50" cm="1">
        <f t="array" ref="BI30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30" s="50">
        <f>IFERROR(Dados[[#This Row],[Saldo Corrigido]]/SUMIF(Dados[Classe],Dados[[#This Row],[Classe]],Dados[Saldo Corrigido]),"0,00%")</f>
        <v>2.0039934608696162E-2</v>
      </c>
      <c r="BK30" s="50" cm="1">
        <f t="array" ref="BK30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0" s="50"/>
      <c r="BM30" s="199" t="str">
        <f>IF(Dados[[#This Row],[Ticker do Ativo]]="","",Dados[[#This Row],[Ticker do Ativo]])</f>
        <v>24A2721829</v>
      </c>
      <c r="BN30" s="199"/>
      <c r="BO30" s="50" cm="1">
        <f t="array" aca="1" ref="BO30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2.6531422407258809E-3</v>
      </c>
      <c r="BP30" s="191"/>
      <c r="BQ30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75633.124452113261</v>
      </c>
      <c r="BR30" s="50">
        <f ca="1">IFERROR(Dados[[#This Row],[Saldo Atualizado]]/SUM(Dados[Saldo Atualizado]),"0,00%")</f>
        <v>1.5444129018947761E-2</v>
      </c>
      <c r="BS30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3.1213438126186837E-3</v>
      </c>
      <c r="BT30" s="55">
        <f ca="1">IF(Dados[[#This Row],[Participação]]="",IF(Dados[[#This Row],[Movimentações Atualizadas]]&gt;0,Dados[[#This Row],[Saldo Atualizado]],Dados[[#This Row],[Saldo Atualizado]]-Dados[[#This Row],[Movimentações Atualizadas]]),0)</f>
        <v>75633.124452113261</v>
      </c>
      <c r="BU30" s="50">
        <f ca="1">Dados[[#This Row],[Saldo Corrigido Atualizado]]/SUM(Dados[Saldo Corrigido Atualizado])</f>
        <v>1.5444129018947761E-2</v>
      </c>
      <c r="BV30" s="55"/>
      <c r="BW30" s="49"/>
      <c r="BX30" s="50"/>
      <c r="BY30" s="49"/>
      <c r="BZ30" s="55"/>
      <c r="CA30" s="50"/>
      <c r="CB30" s="49"/>
    </row>
    <row r="31" spans="2:80" ht="11.25">
      <c r="B3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Localiza 11/32 99% CDI</v>
      </c>
      <c r="C31" s="166">
        <f t="shared" si="1"/>
        <v>45474</v>
      </c>
      <c r="D31" s="49" t="s">
        <v>233</v>
      </c>
      <c r="E31" s="156" t="s">
        <v>203</v>
      </c>
      <c r="F31" s="156" t="s">
        <v>59</v>
      </c>
      <c r="G31" s="156" t="s">
        <v>219</v>
      </c>
      <c r="H31" s="156" t="s">
        <v>222</v>
      </c>
      <c r="I31" s="53">
        <v>48540</v>
      </c>
      <c r="J31" s="49" t="s">
        <v>252</v>
      </c>
      <c r="L31" s="49">
        <v>2032</v>
      </c>
      <c r="M31" s="156" t="s">
        <v>274</v>
      </c>
      <c r="N31" s="199">
        <v>0.99</v>
      </c>
      <c r="O31" s="50" t="s">
        <v>262</v>
      </c>
      <c r="P31" s="49" t="s">
        <v>234</v>
      </c>
      <c r="R31" s="156" t="str">
        <f>IFERROR(_xlfn.XLOOKUP(Dados[[#This Row],[Subclasse]],ClasseSubClasse[SubClasse],ClasseSubClasse[Classe]),"ERRO")</f>
        <v>Renda Fixa</v>
      </c>
      <c r="S3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Localiza 11/32 99% CDI</v>
      </c>
      <c r="T31" s="156" t="str">
        <f>IFERROR(_xlfn.XLOOKUP(Dados[[#This Row],[Subclasse]],ClasseSubClasse[SubClasse],ClasseSubClasse[Nomenclatura]),"ERRO")</f>
        <v>Renda Fixa - Pós-Fixado</v>
      </c>
      <c r="U31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1" s="50"/>
      <c r="W3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1" s="49"/>
      <c r="Y31" s="50" t="str" cm="1">
        <f t="array" ref="Y3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1" s="54" t="str">
        <f>IFERROR((1+Dados[[#This Row],[Taxa | Esperada]])*Dados[[#This Row],[Saldo Líquido | Mês Anterior]]+Dados[[#This Row],[Juros / Dividendos]],"")</f>
        <v/>
      </c>
      <c r="AA31" s="54" t="str">
        <f>IFERROR(IF(Dados[[#This Row],[Classe]]="Renda Fixa",(1+Dados[[#This Row],[Taxa | Esperada]])*Dados[[#This Row],[Saldo Bruto | Mês Anterior]]+Dados[[#This Row],[Juros / Dividendos]],""),"")</f>
        <v/>
      </c>
      <c r="AC31" s="55">
        <v>138647.67000000001</v>
      </c>
      <c r="AD31" s="55">
        <v>138647.67000000001</v>
      </c>
      <c r="AE31" s="55"/>
      <c r="AF31" s="55"/>
      <c r="AG31" s="55"/>
      <c r="AH31" s="55"/>
      <c r="AI31" s="55"/>
      <c r="AJ31" s="55"/>
      <c r="AL31" s="50">
        <f>Dados[[#This Row],[Saldo Bruto | Mês Anterior]]/SUM(Dados[Saldo Bruto | Mês Anterior])</f>
        <v>2.3690949783532915E-2</v>
      </c>
      <c r="AM31" s="55">
        <f>Dados[[#This Row],[Saldo Bruto | Mês Anterior]]-Dados[[#This Row],[Saldo Líquido | Mês Anterior]]</f>
        <v>0</v>
      </c>
      <c r="AN31" s="55">
        <v>137413.68</v>
      </c>
      <c r="AO31" s="55">
        <v>137413.68</v>
      </c>
      <c r="AP31" s="55">
        <v>0</v>
      </c>
      <c r="AQ31" s="55">
        <v>0</v>
      </c>
      <c r="AS31" s="50">
        <f>IFERROR(Dados[[#This Row],[Saldo Bruto | Mês Atual]]/SUM(Dados[Saldo Bruto | Mês Atual]),"0,00%")</f>
        <v>2.8372429882249559E-2</v>
      </c>
      <c r="AT31" s="55">
        <f>Dados[[#This Row],[Saldo Bruto | Mês Atual]]-Dados[[#This Row],[Saldo Líquido | Mês Atual]]</f>
        <v>0</v>
      </c>
      <c r="AU3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1.0564835620270852E-2</v>
      </c>
      <c r="AV3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138647.67000000001</v>
      </c>
      <c r="AW3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138647.67000000001</v>
      </c>
      <c r="AX31" s="55">
        <f>SUM(Dados[[#This Row],[Aplicações]:[Cashback]])</f>
        <v>0</v>
      </c>
      <c r="AY31" s="55">
        <f>Dados[[#This Row],[Imposto Pago]]</f>
        <v>0</v>
      </c>
      <c r="AZ31" s="49"/>
      <c r="BA31" s="49" t="b">
        <f>OR(Dados[[#This Row],[Saldo Bruto | Mês Anterior]]&lt;&gt;0,Dados[[#This Row],[Saldo Bruto | Mês Atual]]&lt;&gt;0,Dados[[#This Row],[Movimentaçao | Mês Atual]]&lt;&gt;0)</f>
        <v>1</v>
      </c>
      <c r="BB31" s="55"/>
      <c r="BC31" s="55">
        <f>IF(Dados[[#This Row],[Participação]]="",IF(Dados[[#This Row],[Movimentaçao | Mês Atual]]&gt;0,Dados[[#This Row],[Saldo Bruto | Mês Atual]],Dados[[#This Row],[Saldo Bruto | Mês Atual]]-Dados[[#This Row],[Movimentaçao | Mês Atual]]),0)</f>
        <v>138647.67000000001</v>
      </c>
      <c r="BD31" s="50">
        <f>IFERROR(Dados[[#This Row],[Saldo Corrigido]]/SUM(Dados[Saldo Corrigido]),"0,00%")</f>
        <v>2.7392059499026598E-2</v>
      </c>
      <c r="BE31" s="50">
        <f>IFERROR(SUMPRODUCT(Dados[Performance | Mês Atual],Dados[Peso Corrigido | Carteira]),"0,00%")</f>
        <v>6.7280865242948622E-3</v>
      </c>
      <c r="BF31" s="50">
        <f>IFERROR(Dados[[#This Row],[Saldo Corrigido]]/SUMIF(Dados[Custódia],Dados[[#This Row],[Custódia]],Dados[Saldo Corrigido]),"0,00%")</f>
        <v>2.7741889960369456E-2</v>
      </c>
      <c r="BG31" s="50" cm="1">
        <f t="array" ref="BG31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1" s="50">
        <f>IFERROR(Dados[[#This Row],[Saldo Corrigido]]/SUMIF(Dados[Subclasse],Dados[[#This Row],[Subclasse]],Dados[Saldo Corrigido]),"0,00%")</f>
        <v>8.4536473513177224E-2</v>
      </c>
      <c r="BI31" s="50" cm="1">
        <f t="array" ref="BI31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31" s="50">
        <f>IFERROR(Dados[[#This Row],[Saldo Corrigido]]/SUMIF(Dados[Classe],Dados[[#This Row],[Classe]],Dados[Saldo Corrigido]),"0,00%")</f>
        <v>3.6833887142059263E-2</v>
      </c>
      <c r="BK31" s="50" cm="1">
        <f t="array" ref="BK31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1" s="50"/>
      <c r="BM31" s="199" t="str">
        <f>IF(Dados[[#This Row],[Ticker do Ativo]]="","",Dados[[#This Row],[Ticker do Ativo]])</f>
        <v>17K0231156</v>
      </c>
      <c r="BN31" s="199"/>
      <c r="BO31" s="50" cm="1">
        <f t="array" ref="BO3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2.8709999999999999E-3</v>
      </c>
      <c r="BP31" s="191"/>
      <c r="BQ31" s="202">
        <f>IFERROR(Dados[[#This Row],[Saldo Bruto | Mês Atual]]*(1+Dados[[#This Row],[Taxa RF / FI]])+Dados[[#This Row],[Movimentações Atualizadas]],Dados[[#This Row],[Saldo Bruto | Mês Atual]]+Dados[[#This Row],[Movimentações Atualizadas]])</f>
        <v>139045.72746057002</v>
      </c>
      <c r="BR31" s="50">
        <f ca="1">IFERROR(Dados[[#This Row],[Saldo Atualizado]]/SUM(Dados[Saldo Atualizado]),"0,00%")</f>
        <v>2.8392852602488108E-2</v>
      </c>
      <c r="BS31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3.3776470588236093E-3</v>
      </c>
      <c r="BT31" s="55">
        <f>IF(Dados[[#This Row],[Participação]]="",IF(Dados[[#This Row],[Movimentações Atualizadas]]&gt;0,Dados[[#This Row],[Saldo Atualizado]],Dados[[#This Row],[Saldo Atualizado]]-Dados[[#This Row],[Movimentações Atualizadas]]),0)</f>
        <v>139045.72746057002</v>
      </c>
      <c r="BU31" s="50">
        <f ca="1">Dados[[#This Row],[Saldo Corrigido Atualizado]]/SUM(Dados[Saldo Corrigido Atualizado])</f>
        <v>2.8392852602488108E-2</v>
      </c>
      <c r="BV31" s="55"/>
      <c r="BW31" s="49"/>
      <c r="BX31" s="50"/>
      <c r="BY31" s="49"/>
      <c r="BZ31" s="55"/>
      <c r="CA31" s="50"/>
      <c r="CB31" s="49"/>
    </row>
    <row r="32" spans="2:80" ht="11.25">
      <c r="B3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MRV 05/24 100,40% CDI</v>
      </c>
      <c r="C32" s="166">
        <f t="shared" si="1"/>
        <v>45474</v>
      </c>
      <c r="D32" s="49" t="s">
        <v>233</v>
      </c>
      <c r="E32" s="156" t="s">
        <v>203</v>
      </c>
      <c r="F32" s="156" t="s">
        <v>59</v>
      </c>
      <c r="G32" s="156" t="s">
        <v>219</v>
      </c>
      <c r="H32" s="156" t="s">
        <v>223</v>
      </c>
      <c r="I32" s="53">
        <v>45440</v>
      </c>
      <c r="J32" s="49" t="s">
        <v>285</v>
      </c>
      <c r="L32" s="49">
        <v>2024</v>
      </c>
      <c r="M32" s="156" t="s">
        <v>276</v>
      </c>
      <c r="N32" s="199">
        <v>1.004</v>
      </c>
      <c r="O32" s="50" t="s">
        <v>262</v>
      </c>
      <c r="P32" s="49" t="s">
        <v>234</v>
      </c>
      <c r="R32" s="156" t="str">
        <f>IFERROR(_xlfn.XLOOKUP(Dados[[#This Row],[Subclasse]],ClasseSubClasse[SubClasse],ClasseSubClasse[Classe]),"ERRO")</f>
        <v>Renda Fixa</v>
      </c>
      <c r="S3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MRV 05/24 100,40% CDI</v>
      </c>
      <c r="T32" s="156" t="str">
        <f>IFERROR(_xlfn.XLOOKUP(Dados[[#This Row],[Subclasse]],ClasseSubClasse[SubClasse],ClasseSubClasse[Nomenclatura]),"ERRO")</f>
        <v>Renda Fixa - Pós-Fixado</v>
      </c>
      <c r="U32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0.22500000000000001</v>
      </c>
      <c r="V32" s="50"/>
      <c r="W3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>Sim</v>
      </c>
      <c r="X32" s="49"/>
      <c r="Y32" s="50" t="str" cm="1">
        <f t="array" ref="Y3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2" s="54" t="str">
        <f>IFERROR((1+Dados[[#This Row],[Taxa | Esperada]])*Dados[[#This Row],[Saldo Líquido | Mês Anterior]]+Dados[[#This Row],[Juros / Dividendos]],"")</f>
        <v/>
      </c>
      <c r="AA32" s="54" t="str">
        <f>IFERROR(IF(Dados[[#This Row],[Classe]]="Renda Fixa",(1+Dados[[#This Row],[Taxa | Esperada]])*Dados[[#This Row],[Saldo Bruto | Mês Anterior]]+Dados[[#This Row],[Juros / Dividendos]],""),"")</f>
        <v/>
      </c>
      <c r="AC32" s="55"/>
      <c r="AD32" s="55"/>
      <c r="AE32" s="55"/>
      <c r="AF32" s="55"/>
      <c r="AG32" s="55"/>
      <c r="AH32" s="55"/>
      <c r="AI32" s="55"/>
      <c r="AJ32" s="55"/>
      <c r="AL32" s="50">
        <f>Dados[[#This Row],[Saldo Bruto | Mês Anterior]]/SUM(Dados[Saldo Bruto | Mês Anterior])</f>
        <v>0</v>
      </c>
      <c r="AM32" s="55">
        <f>Dados[[#This Row],[Saldo Bruto | Mês Anterior]]-Dados[[#This Row],[Saldo Líquido | Mês Anterior]]</f>
        <v>0</v>
      </c>
      <c r="AN32" s="55">
        <v>0</v>
      </c>
      <c r="AO32" s="55">
        <v>0</v>
      </c>
      <c r="AP32" s="55">
        <v>0</v>
      </c>
      <c r="AQ32" s="55">
        <v>0</v>
      </c>
      <c r="AS32" s="50">
        <f>IFERROR(Dados[[#This Row],[Saldo Bruto | Mês Atual]]/SUM(Dados[Saldo Bruto | Mês Atual]),"0,00%")</f>
        <v>0</v>
      </c>
      <c r="AT32" s="55">
        <f>Dados[[#This Row],[Saldo Bruto | Mês Atual]]-Dados[[#This Row],[Saldo Líquido | Mês Atual]]</f>
        <v>0</v>
      </c>
      <c r="AU32" s="184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3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2" s="55">
        <f>SUM(Dados[[#This Row],[Aplicações]:[Cashback]])</f>
        <v>0</v>
      </c>
      <c r="AY32" s="55">
        <f>Dados[[#This Row],[Imposto Pago]]</f>
        <v>0</v>
      </c>
      <c r="AZ32" s="49"/>
      <c r="BA32" s="49" t="b">
        <f>OR(Dados[[#This Row],[Saldo Bruto | Mês Anterior]]&lt;&gt;0,Dados[[#This Row],[Saldo Bruto | Mês Atual]]&lt;&gt;0,Dados[[#This Row],[Movimentaçao | Mês Atual]]&lt;&gt;0)</f>
        <v>0</v>
      </c>
      <c r="BB32" s="55"/>
      <c r="BC32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2" s="50">
        <f>IFERROR(Dados[[#This Row],[Saldo Corrigido]]/SUM(Dados[Saldo Corrigido]),"0,00%")</f>
        <v>0</v>
      </c>
      <c r="BE32" s="50">
        <f>IFERROR(SUMPRODUCT(Dados[Performance | Mês Atual],Dados[Peso Corrigido | Carteira]),"0,00%")</f>
        <v>6.7280865242948622E-3</v>
      </c>
      <c r="BF32" s="50">
        <f>IFERROR(Dados[[#This Row],[Saldo Corrigido]]/SUMIF(Dados[Custódia],Dados[[#This Row],[Custódia]],Dados[Saldo Corrigido]),"0,00%")</f>
        <v>0</v>
      </c>
      <c r="BG32" s="50" cm="1">
        <f t="array" ref="BG32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2" s="50">
        <f>IFERROR(Dados[[#This Row],[Saldo Corrigido]]/SUMIF(Dados[Subclasse],Dados[[#This Row],[Subclasse]],Dados[Saldo Corrigido]),"0,00%")</f>
        <v>0</v>
      </c>
      <c r="BI32" s="50" cm="1">
        <f t="array" ref="BI32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32" s="50">
        <f>IFERROR(Dados[[#This Row],[Saldo Corrigido]]/SUMIF(Dados[Classe],Dados[[#This Row],[Classe]],Dados[Saldo Corrigido]),"0,00%")</f>
        <v>0</v>
      </c>
      <c r="BK32" s="50" cm="1">
        <f t="array" ref="BK32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2" s="50"/>
      <c r="BM32" s="199" t="str">
        <f>IF(Dados[[#This Row],[Ticker do Ativo]]="","",Dados[[#This Row],[Ticker do Ativo]])</f>
        <v>19E0967202</v>
      </c>
      <c r="BN32" s="199"/>
      <c r="BO32" s="50" cm="1">
        <f t="array" ref="BO3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2.9115999999999999E-3</v>
      </c>
      <c r="BP32" s="191"/>
      <c r="BQ32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2" s="50">
        <f ca="1">IFERROR(Dados[[#This Row],[Saldo Atualizado]]/SUM(Dados[Saldo Atualizado]),"0,00%")</f>
        <v>0</v>
      </c>
      <c r="BS32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2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32" s="50">
        <f ca="1">Dados[[#This Row],[Saldo Corrigido Atualizado]]/SUM(Dados[Saldo Corrigido Atualizado])</f>
        <v>0</v>
      </c>
      <c r="BV32" s="55"/>
      <c r="BW32" s="49"/>
      <c r="BX32" s="50"/>
      <c r="BY32" s="49"/>
      <c r="BZ32" s="55"/>
      <c r="CA32" s="50"/>
      <c r="CB32" s="49"/>
    </row>
    <row r="33" spans="2:80" ht="11.25">
      <c r="B3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3R Petroleum 10/33 IPCA+ 7,60%aa</v>
      </c>
      <c r="C33" s="166">
        <f t="shared" si="1"/>
        <v>45474</v>
      </c>
      <c r="D33" s="49" t="s">
        <v>233</v>
      </c>
      <c r="E33" s="156" t="s">
        <v>203</v>
      </c>
      <c r="F33" s="156" t="s">
        <v>58</v>
      </c>
      <c r="G33" s="156" t="s">
        <v>224</v>
      </c>
      <c r="H33" s="156" t="s">
        <v>232</v>
      </c>
      <c r="I33" s="53">
        <v>48869</v>
      </c>
      <c r="J33" s="49" t="s">
        <v>261</v>
      </c>
      <c r="L33" s="49">
        <v>2033</v>
      </c>
      <c r="M33" s="156" t="s">
        <v>241</v>
      </c>
      <c r="N33" s="199">
        <v>7.5999999999999998E-2</v>
      </c>
      <c r="O33" s="50"/>
      <c r="P33" s="49" t="s">
        <v>234</v>
      </c>
      <c r="R33" s="156" t="str">
        <f>IFERROR(_xlfn.XLOOKUP(Dados[[#This Row],[Subclasse]],ClasseSubClasse[SubClasse],ClasseSubClasse[Classe]),"ERRO")</f>
        <v>Renda Fixa</v>
      </c>
      <c r="S33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3R Petroleum 10/33 IPCA+ 7,60%aa</v>
      </c>
      <c r="T33" s="156" t="str">
        <f>IFERROR(_xlfn.XLOOKUP(Dados[[#This Row],[Subclasse]],ClasseSubClasse[SubClasse],ClasseSubClasse[Nomenclatura]),"ERRO")</f>
        <v>Renda Fixa - Inflação</v>
      </c>
      <c r="U3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3" s="50"/>
      <c r="W3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3" s="49"/>
      <c r="Y33" s="50" t="str" cm="1">
        <f t="array" ref="Y3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3" s="54" t="str">
        <f>IFERROR((1+Dados[[#This Row],[Taxa | Esperada]])*Dados[[#This Row],[Saldo Líquido | Mês Anterior]]+Dados[[#This Row],[Juros / Dividendos]],"")</f>
        <v/>
      </c>
      <c r="AA33" s="54" t="str">
        <f>IFERROR(IF(Dados[[#This Row],[Classe]]="Renda Fixa",(1+Dados[[#This Row],[Taxa | Esperada]])*Dados[[#This Row],[Saldo Bruto | Mês Anterior]]+Dados[[#This Row],[Juros / Dividendos]],""),"")</f>
        <v/>
      </c>
      <c r="AC33" s="55">
        <v>82759.350000000006</v>
      </c>
      <c r="AD33" s="55">
        <v>82759.350000000006</v>
      </c>
      <c r="AE33" s="55"/>
      <c r="AF33" s="55"/>
      <c r="AG33" s="55"/>
      <c r="AH33" s="55"/>
      <c r="AI33" s="55"/>
      <c r="AJ33" s="55"/>
      <c r="AL33" s="50">
        <f>Dados[[#This Row],[Saldo Bruto | Mês Anterior]]/SUM(Dados[Saldo Bruto | Mês Anterior])</f>
        <v>1.4132330805025621E-2</v>
      </c>
      <c r="AM33" s="55">
        <f>Dados[[#This Row],[Saldo Bruto | Mês Anterior]]-Dados[[#This Row],[Saldo Líquido | Mês Anterior]]</f>
        <v>0</v>
      </c>
      <c r="AN33" s="55">
        <v>81971.199999999997</v>
      </c>
      <c r="AO33" s="55">
        <v>81971.199999999997</v>
      </c>
      <c r="AP33" s="55">
        <v>0</v>
      </c>
      <c r="AQ33" s="55">
        <v>0</v>
      </c>
      <c r="AS33" s="50">
        <f>IFERROR(Dados[[#This Row],[Saldo Bruto | Mês Atual]]/SUM(Dados[Saldo Bruto | Mês Atual]),"0,00%")</f>
        <v>1.6935617129199141E-2</v>
      </c>
      <c r="AT33" s="55">
        <f>Dados[[#This Row],[Saldo Bruto | Mês Atual]]-Dados[[#This Row],[Saldo Líquido | Mês Atual]]</f>
        <v>0</v>
      </c>
      <c r="AU3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1.1311720386155818E-2</v>
      </c>
      <c r="AV33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82759.350000000006</v>
      </c>
      <c r="AW33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82759.350000000006</v>
      </c>
      <c r="AX33" s="55">
        <f>SUM(Dados[[#This Row],[Aplicações]:[Cashback]])</f>
        <v>0</v>
      </c>
      <c r="AY33" s="55">
        <f>Dados[[#This Row],[Imposto Pago]]</f>
        <v>0</v>
      </c>
      <c r="AZ33" s="49"/>
      <c r="BA33" s="49" t="b">
        <f>OR(Dados[[#This Row],[Saldo Bruto | Mês Anterior]]&lt;&gt;0,Dados[[#This Row],[Saldo Bruto | Mês Atual]]&lt;&gt;0,Dados[[#This Row],[Movimentaçao | Mês Atual]]&lt;&gt;0)</f>
        <v>1</v>
      </c>
      <c r="BB33" s="55"/>
      <c r="BC33" s="55">
        <f>IF(Dados[[#This Row],[Participação]]="",IF(Dados[[#This Row],[Movimentaçao | Mês Atual]]&gt;0,Dados[[#This Row],[Saldo Bruto | Mês Atual]],Dados[[#This Row],[Saldo Bruto | Mês Atual]]-Dados[[#This Row],[Movimentaçao | Mês Atual]]),0)</f>
        <v>82759.350000000006</v>
      </c>
      <c r="BD33" s="50">
        <f>IFERROR(Dados[[#This Row],[Saldo Corrigido]]/SUM(Dados[Saldo Corrigido]),"0,00%")</f>
        <v>1.6350430117583418E-2</v>
      </c>
      <c r="BE33" s="50">
        <f>IFERROR(SUMPRODUCT(Dados[Performance | Mês Atual],Dados[Peso Corrigido | Carteira]),"0,00%")</f>
        <v>6.7280865242948622E-3</v>
      </c>
      <c r="BF33" s="50">
        <f>IFERROR(Dados[[#This Row],[Saldo Corrigido]]/SUMIF(Dados[Custódia],Dados[[#This Row],[Custódia]],Dados[Saldo Corrigido]),"0,00%")</f>
        <v>1.6559245322274093E-2</v>
      </c>
      <c r="BG33" s="50" cm="1">
        <f t="array" ref="BG33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3" s="50">
        <f>IFERROR(Dados[[#This Row],[Saldo Corrigido]]/SUMIF(Dados[Subclasse],Dados[[#This Row],[Subclasse]],Dados[Saldo Corrigido]),"0,00%")</f>
        <v>0.1184761092609691</v>
      </c>
      <c r="BI33" s="50" cm="1">
        <f t="array" ref="BI33">IFERROR(SUMPRODUCT((_xlfn._xlws.FILTER(Dados[Peso Corrigido | SubClasse],Dados[Subclasse]=Dados[[#This Row],[Subclasse]])),_xlfn._xlws.FILTER(Dados[Performance | Mês Atual],Dados[Subclasse]=Dados[[#This Row],[Subclasse]])),"0,00%")</f>
        <v>-9.3299780881783458E-3</v>
      </c>
      <c r="BJ33" s="50">
        <f>IFERROR(Dados[[#This Row],[Saldo Corrigido]]/SUMIF(Dados[Classe],Dados[[#This Row],[Classe]],Dados[Saldo Corrigido]),"0,00%")</f>
        <v>2.1986294885807906E-2</v>
      </c>
      <c r="BK33" s="50" cm="1">
        <f t="array" ref="BK33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3" s="50"/>
      <c r="BM33" s="199" t="str">
        <f>IF(Dados[[#This Row],[Ticker do Ativo]]="","",Dados[[#This Row],[Ticker do Ativo]])</f>
        <v>RRRP13</v>
      </c>
      <c r="BN33" s="199"/>
      <c r="BO33" s="50" cm="1">
        <f t="array" aca="1" ref="BO33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3.6099926188741804E-3</v>
      </c>
      <c r="BP33" s="191"/>
      <c r="BQ33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83058.11064264283</v>
      </c>
      <c r="BR33" s="50">
        <f ca="1">IFERROR(Dados[[#This Row],[Saldo Atualizado]]/SUM(Dados[Saldo Atualizado]),"0,00%")</f>
        <v>1.6960295983107075E-2</v>
      </c>
      <c r="BS33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4.2470501398519768E-3</v>
      </c>
      <c r="BT33" s="55">
        <f ca="1">IF(Dados[[#This Row],[Participação]]="",IF(Dados[[#This Row],[Movimentações Atualizadas]]&gt;0,Dados[[#This Row],[Saldo Atualizado]],Dados[[#This Row],[Saldo Atualizado]]-Dados[[#This Row],[Movimentações Atualizadas]]),0)</f>
        <v>83058.11064264283</v>
      </c>
      <c r="BU33" s="50">
        <f ca="1">Dados[[#This Row],[Saldo Corrigido Atualizado]]/SUM(Dados[Saldo Corrigido Atualizado])</f>
        <v>1.6960295983107075E-2</v>
      </c>
      <c r="BV33" s="55"/>
      <c r="BW33" s="49"/>
      <c r="BX33" s="50"/>
      <c r="BY33" s="49"/>
      <c r="BZ33" s="55"/>
      <c r="CA33" s="50"/>
      <c r="CB33" s="49"/>
    </row>
    <row r="34" spans="2:80" ht="11.25">
      <c r="B34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Éxes FIC FIM</v>
      </c>
      <c r="C34" s="166">
        <f t="shared" si="1"/>
        <v>45474</v>
      </c>
      <c r="D34" s="49" t="s">
        <v>233</v>
      </c>
      <c r="E34" s="156" t="s">
        <v>203</v>
      </c>
      <c r="F34" s="156" t="s">
        <v>53</v>
      </c>
      <c r="G34" s="156"/>
      <c r="H34" s="156" t="s">
        <v>228</v>
      </c>
      <c r="I34" s="53"/>
      <c r="L34" s="49" t="s">
        <v>237</v>
      </c>
      <c r="M34" s="156" t="s">
        <v>280</v>
      </c>
      <c r="N34" s="199"/>
      <c r="O34" s="50"/>
      <c r="R34" s="156" t="str">
        <f>IFERROR(_xlfn.XLOOKUP(Dados[[#This Row],[Subclasse]],ClasseSubClasse[SubClasse],ClasseSubClasse[Classe]),"ERRO")</f>
        <v>Fundos de Investimento</v>
      </c>
      <c r="S34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Éxes FIC FIM</v>
      </c>
      <c r="T34" s="156" t="str">
        <f>IFERROR(_xlfn.XLOOKUP(Dados[[#This Row],[Subclasse]],ClasseSubClasse[SubClasse],ClasseSubClasse[Nomenclatura]),"ERRO")</f>
        <v>Fundos - Multimercado</v>
      </c>
      <c r="U34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34" s="50"/>
      <c r="W34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4" s="49"/>
      <c r="Y34" s="50" t="str" cm="1">
        <f t="array" ref="Y3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4" s="54" t="str">
        <f>IFERROR((1+Dados[[#This Row],[Taxa | Esperada]])*Dados[[#This Row],[Saldo Líquido | Mês Anterior]]+Dados[[#This Row],[Juros / Dividendos]],"")</f>
        <v/>
      </c>
      <c r="AA34" s="54" t="str">
        <f>IFERROR(IF(Dados[[#This Row],[Classe]]="Renda Fixa",(1+Dados[[#This Row],[Taxa | Esperada]])*Dados[[#This Row],[Saldo Bruto | Mês Anterior]]+Dados[[#This Row],[Juros / Dividendos]],""),"")</f>
        <v/>
      </c>
      <c r="AC34" s="55">
        <v>115947.12</v>
      </c>
      <c r="AD34" s="55">
        <v>116835.13</v>
      </c>
      <c r="AE34" s="55"/>
      <c r="AF34" s="55"/>
      <c r="AG34" s="55"/>
      <c r="AH34" s="55"/>
      <c r="AI34" s="55"/>
      <c r="AJ34" s="55"/>
      <c r="AL34" s="50">
        <f>Dados[[#This Row],[Saldo Bruto | Mês Anterior]]/SUM(Dados[Saldo Bruto | Mês Anterior])</f>
        <v>1.988574826921265E-2</v>
      </c>
      <c r="AM34" s="55">
        <f>Dados[[#This Row],[Saldo Bruto | Mês Anterior]]-Dados[[#This Row],[Saldo Líquido | Mês Anterior]]</f>
        <v>626.80000000000291</v>
      </c>
      <c r="AN34" s="55">
        <v>114715.72</v>
      </c>
      <c r="AO34" s="55">
        <v>115342.52</v>
      </c>
      <c r="AP34" s="55">
        <v>-16.96</v>
      </c>
      <c r="AQ34" s="55">
        <v>0</v>
      </c>
      <c r="AS34" s="50">
        <f>IFERROR(Dados[[#This Row],[Saldo Bruto | Mês Atual]]/SUM(Dados[Saldo Bruto | Mês Atual]),"0,00%")</f>
        <v>2.3908779236668828E-2</v>
      </c>
      <c r="AT34" s="55">
        <f>Dados[[#This Row],[Saldo Bruto | Mês Atual]]-Dados[[#This Row],[Saldo Líquido | Mês Atual]]</f>
        <v>888.01000000000931</v>
      </c>
      <c r="AU34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1.2940674436452415E-2</v>
      </c>
      <c r="AV34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115947.12</v>
      </c>
      <c r="AW34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116835.13</v>
      </c>
      <c r="AX34" s="55">
        <f>SUM(Dados[[#This Row],[Aplicações]:[Cashback]])</f>
        <v>0</v>
      </c>
      <c r="AY34" s="55">
        <f>Dados[[#This Row],[Imposto Pago]]</f>
        <v>0</v>
      </c>
      <c r="AZ34" s="49"/>
      <c r="BA34" s="49" t="b">
        <f>OR(Dados[[#This Row],[Saldo Bruto | Mês Anterior]]&lt;&gt;0,Dados[[#This Row],[Saldo Bruto | Mês Atual]]&lt;&gt;0,Dados[[#This Row],[Movimentaçao | Mês Atual]]&lt;&gt;0)</f>
        <v>1</v>
      </c>
      <c r="BB34" s="55"/>
      <c r="BC34" s="55">
        <f>IF(Dados[[#This Row],[Participação]]="",IF(Dados[[#This Row],[Movimentaçao | Mês Atual]]&gt;0,Dados[[#This Row],[Saldo Bruto | Mês Atual]],Dados[[#This Row],[Saldo Bruto | Mês Atual]]-Dados[[#This Row],[Movimentaçao | Mês Atual]]),0)</f>
        <v>116835.13</v>
      </c>
      <c r="BD34" s="50">
        <f>IFERROR(Dados[[#This Row],[Saldo Corrigido]]/SUM(Dados[Saldo Corrigido]),"0,00%")</f>
        <v>2.3082644176685461E-2</v>
      </c>
      <c r="BE34" s="50">
        <f>IFERROR(SUMPRODUCT(Dados[Performance | Mês Atual],Dados[Peso Corrigido | Carteira]),"0,00%")</f>
        <v>6.7280865242948622E-3</v>
      </c>
      <c r="BF34" s="50">
        <f>IFERROR(Dados[[#This Row],[Saldo Corrigido]]/SUMIF(Dados[Custódia],Dados[[#This Row],[Custódia]],Dados[Saldo Corrigido]),"0,00%")</f>
        <v>2.3377438077145186E-2</v>
      </c>
      <c r="BG34" s="50" cm="1">
        <f t="array" ref="BG34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4" s="50">
        <f>IFERROR(Dados[[#This Row],[Saldo Corrigido]]/SUMIF(Dados[Subclasse],Dados[[#This Row],[Subclasse]],Dados[Saldo Corrigido]),"0,00%")</f>
        <v>0.39505980854287187</v>
      </c>
      <c r="BI34" s="50" cm="1">
        <f t="array" ref="BI34">IFERROR(SUMPRODUCT((_xlfn._xlws.FILTER(Dados[Peso Corrigido | SubClasse],Dados[Subclasse]=Dados[[#This Row],[Subclasse]])),_xlfn._xlws.FILTER(Dados[Performance | Mês Atual],Dados[Subclasse]=Dados[[#This Row],[Subclasse]])),"0,00%")</f>
        <v>1.8265952450361278E-2</v>
      </c>
      <c r="BJ34" s="50">
        <f>IFERROR(Dados[[#This Row],[Saldo Corrigido]]/SUMIF(Dados[Classe],Dados[[#This Row],[Classe]],Dados[Saldo Corrigido]),"0,00%")</f>
        <v>0.10140895229093189</v>
      </c>
      <c r="BK34" s="50" cm="1">
        <f t="array" ref="BK34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34" s="50"/>
      <c r="BM34" s="199" t="str">
        <f>IF(Dados[[#This Row],[Ticker do Ativo]]="","",Dados[[#This Row],[Ticker do Ativo]])</f>
        <v>38.065.069/0001-76</v>
      </c>
      <c r="BN34" s="199"/>
      <c r="BO34" s="50" t="str" cm="1">
        <f t="array" ref="BO34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34" s="191"/>
      <c r="BQ34" s="202">
        <f>IFERROR(Dados[[#This Row],[Saldo Bruto | Mês Atual]]*(1+Dados[[#This Row],[Taxa RF / FI]])+Dados[[#This Row],[Movimentações Atualizadas]],Dados[[#This Row],[Saldo Bruto | Mês Atual]]+Dados[[#This Row],[Movimentações Atualizadas]])</f>
        <v>116835.13</v>
      </c>
      <c r="BR34" s="50">
        <f ca="1">IFERROR(Dados[[#This Row],[Saldo Atualizado]]/SUM(Dados[Saldo Atualizado]),"0,00%")</f>
        <v>2.3857494116985629E-2</v>
      </c>
      <c r="BS34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34" s="55">
        <f>IF(Dados[[#This Row],[Participação]]="",IF(Dados[[#This Row],[Movimentações Atualizadas]]&gt;0,Dados[[#This Row],[Saldo Atualizado]],Dados[[#This Row],[Saldo Atualizado]]-Dados[[#This Row],[Movimentações Atualizadas]]),0)</f>
        <v>116835.13</v>
      </c>
      <c r="BU34" s="50">
        <f ca="1">Dados[[#This Row],[Saldo Corrigido Atualizado]]/SUM(Dados[Saldo Corrigido Atualizado])</f>
        <v>2.3857494116985629E-2</v>
      </c>
      <c r="BV34" s="55"/>
      <c r="BW34" s="49"/>
      <c r="BX34" s="50"/>
      <c r="BY34" s="49"/>
      <c r="BZ34" s="55"/>
      <c r="CA34" s="50"/>
      <c r="CB34" s="49"/>
    </row>
    <row r="35" spans="2:80" ht="11.25">
      <c r="B35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09/29 13,97%aa</v>
      </c>
      <c r="C35" s="166">
        <f t="shared" si="1"/>
        <v>45474</v>
      </c>
      <c r="D35" s="49" t="s">
        <v>233</v>
      </c>
      <c r="E35" s="156" t="s">
        <v>203</v>
      </c>
      <c r="F35" s="156" t="s">
        <v>42</v>
      </c>
      <c r="G35" s="156" t="s">
        <v>224</v>
      </c>
      <c r="H35" s="156" t="s">
        <v>225</v>
      </c>
      <c r="I35" s="53">
        <v>47378</v>
      </c>
      <c r="J35" s="49" t="s">
        <v>253</v>
      </c>
      <c r="L35" s="49">
        <v>2029</v>
      </c>
      <c r="M35" s="156" t="s">
        <v>271</v>
      </c>
      <c r="N35" s="199">
        <v>0.13969999999999999</v>
      </c>
      <c r="O35" s="50"/>
      <c r="P35" s="49" t="s">
        <v>234</v>
      </c>
      <c r="R35" s="156" t="str">
        <f>IFERROR(_xlfn.XLOOKUP(Dados[[#This Row],[Subclasse]],ClasseSubClasse[SubClasse],ClasseSubClasse[Classe]),"ERRO")</f>
        <v>Renda Fixa</v>
      </c>
      <c r="S35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09/29 13,97%aa</v>
      </c>
      <c r="T35" s="156" t="str">
        <f>IFERROR(_xlfn.XLOOKUP(Dados[[#This Row],[Subclasse]],ClasseSubClasse[SubClasse],ClasseSubClasse[Nomenclatura]),"ERRO")</f>
        <v>Renda Fixa - Prefixado</v>
      </c>
      <c r="U35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5" s="50"/>
      <c r="W35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5" s="49"/>
      <c r="Y35" s="50" t="str" cm="1">
        <f t="array" ref="Y3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5" s="54" t="str">
        <f>IFERROR((1+Dados[[#This Row],[Taxa | Esperada]])*Dados[[#This Row],[Saldo Líquido | Mês Anterior]]+Dados[[#This Row],[Juros / Dividendos]],"")</f>
        <v/>
      </c>
      <c r="AA35" s="54" t="str">
        <f>IFERROR(IF(Dados[[#This Row],[Classe]]="Renda Fixa",(1+Dados[[#This Row],[Taxa | Esperada]])*Dados[[#This Row],[Saldo Bruto | Mês Anterior]]+Dados[[#This Row],[Juros / Dividendos]],""),"")</f>
        <v/>
      </c>
      <c r="AC35" s="55">
        <v>105051.84</v>
      </c>
      <c r="AD35" s="55">
        <v>105051.84</v>
      </c>
      <c r="AE35" s="55"/>
      <c r="AF35" s="55"/>
      <c r="AG35" s="55"/>
      <c r="AH35" s="55"/>
      <c r="AI35" s="55"/>
      <c r="AJ35" s="55"/>
      <c r="AL35" s="50">
        <f>Dados[[#This Row],[Saldo Bruto | Mês Anterior]]/SUM(Dados[Saldo Bruto | Mês Anterior])</f>
        <v>1.7896751392281009E-2</v>
      </c>
      <c r="AM35" s="55">
        <f>Dados[[#This Row],[Saldo Bruto | Mês Anterior]]-Dados[[#This Row],[Saldo Líquido | Mês Anterior]]</f>
        <v>0</v>
      </c>
      <c r="AN35" s="55">
        <v>103805.82</v>
      </c>
      <c r="AO35" s="55">
        <v>103805.82</v>
      </c>
      <c r="AP35" s="55">
        <v>0</v>
      </c>
      <c r="AQ35" s="55">
        <v>0</v>
      </c>
      <c r="AS35" s="50">
        <f>IFERROR(Dados[[#This Row],[Saldo Bruto | Mês Atual]]/SUM(Dados[Saldo Bruto | Mês Atual]),"0,00%")</f>
        <v>2.149748325666994E-2</v>
      </c>
      <c r="AT35" s="55">
        <f>Dados[[#This Row],[Saldo Bruto | Mês Atual]]-Dados[[#This Row],[Saldo Líquido | Mês Atual]]</f>
        <v>0</v>
      </c>
      <c r="AU35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1.412161555443541E-2</v>
      </c>
      <c r="AV35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105051.84</v>
      </c>
      <c r="AW35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105051.84</v>
      </c>
      <c r="AX35" s="55">
        <f>SUM(Dados[[#This Row],[Aplicações]:[Cashback]])</f>
        <v>0</v>
      </c>
      <c r="AY35" s="55">
        <f>Dados[[#This Row],[Imposto Pago]]</f>
        <v>0</v>
      </c>
      <c r="AZ35" s="49"/>
      <c r="BA35" s="49" t="b">
        <f>OR(Dados[[#This Row],[Saldo Bruto | Mês Anterior]]&lt;&gt;0,Dados[[#This Row],[Saldo Bruto | Mês Atual]]&lt;&gt;0,Dados[[#This Row],[Movimentaçao | Mês Atual]]&lt;&gt;0)</f>
        <v>1</v>
      </c>
      <c r="BB35" s="55"/>
      <c r="BC35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105051.84</v>
      </c>
      <c r="BD35" s="50">
        <f>IFERROR(Dados[[#This Row],[Saldo Corrigido]]/SUM(Dados[Saldo Corrigido]),"0,00%")</f>
        <v>2.0754667220604733E-2</v>
      </c>
      <c r="BE35" s="50">
        <f>IFERROR(SUMPRODUCT(Dados[Performance | Mês Atual],Dados[Peso Corrigido | Carteira]),"0,00%")</f>
        <v>6.7280865242948622E-3</v>
      </c>
      <c r="BF35" s="50">
        <f>IFERROR(Dados[[#This Row],[Saldo Corrigido]]/SUMIF(Dados[Custódia],Dados[[#This Row],[Custódia]],Dados[Saldo Corrigido]),"0,00%")</f>
        <v>2.10197299775347E-2</v>
      </c>
      <c r="BG35" s="50" cm="1">
        <f t="array" ref="BG35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5" s="50">
        <f>IFERROR(Dados[[#This Row],[Saldo Corrigido]]/SUMIF(Dados[Subclasse],Dados[[#This Row],[Subclasse]],Dados[Saldo Corrigido]),"0,00%")</f>
        <v>7.3694283458830168E-2</v>
      </c>
      <c r="BI35" s="50" cm="1">
        <f t="array" ref="BI35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35" s="50">
        <f>IFERROR(Dados[[#This Row],[Saldo Corrigido]]/SUMIF(Dados[Classe],Dados[[#This Row],[Classe]],Dados[Saldo Corrigido]),"0,00%")</f>
        <v>2.7908637906613694E-2</v>
      </c>
      <c r="BK35" s="50" cm="1">
        <f t="array" ref="BK35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5" s="50"/>
      <c r="BM35" s="199" t="str">
        <f>IF(Dados[[#This Row],[Ticker do Ativo]]="","",Dados[[#This Row],[Ticker do Ativo]])</f>
        <v>ENAT32</v>
      </c>
      <c r="BN35" s="199"/>
      <c r="BO35" s="50" cm="1">
        <f t="array" aca="1" ref="BO35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2.8701948680320832E-3</v>
      </c>
      <c r="BP35" s="191"/>
      <c r="BQ35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105353.35925204532</v>
      </c>
      <c r="BR35" s="50">
        <f ca="1">IFERROR(Dados[[#This Row],[Saldo Atualizado]]/SUM(Dados[Saldo Atualizado]),"0,00%")</f>
        <v>2.1512940059726426E-2</v>
      </c>
      <c r="BS35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3.3766998447436274E-3</v>
      </c>
      <c r="BT35" s="55">
        <f ca="1">IF(Dados[[#This Row],[Participação]]="",IF(Dados[[#This Row],[Movimentações Atualizadas]]&gt;0,Dados[[#This Row],[Saldo Atualizado]],Dados[[#This Row],[Saldo Atualizado]]-Dados[[#This Row],[Movimentações Atualizadas]]),0)</f>
        <v>105353.35925204532</v>
      </c>
      <c r="BU35" s="50">
        <f ca="1">Dados[[#This Row],[Saldo Corrigido Atualizado]]/SUM(Dados[Saldo Corrigido Atualizado])</f>
        <v>2.1512940059726426E-2</v>
      </c>
      <c r="BV35" s="55"/>
      <c r="BW35" s="49"/>
      <c r="BX35" s="50"/>
      <c r="BY35" s="49"/>
      <c r="BZ35" s="55"/>
      <c r="CA35" s="50"/>
      <c r="CB35" s="49"/>
    </row>
    <row r="36" spans="2:80" ht="11.25" hidden="1">
      <c r="B3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XP</v>
      </c>
      <c r="C36" s="166">
        <f t="shared" si="1"/>
        <v>45474</v>
      </c>
      <c r="D36" s="49" t="s">
        <v>233</v>
      </c>
      <c r="E36" s="156" t="s">
        <v>209</v>
      </c>
      <c r="F36" s="156" t="s">
        <v>41</v>
      </c>
      <c r="G36" s="156" t="s">
        <v>207</v>
      </c>
      <c r="H36" s="156" t="s">
        <v>209</v>
      </c>
      <c r="I36" s="53"/>
      <c r="L36" s="49" t="s">
        <v>137</v>
      </c>
      <c r="M36" s="156"/>
      <c r="N36" s="199"/>
      <c r="O36" s="50"/>
      <c r="R36" s="156" t="str">
        <f>IFERROR(_xlfn.XLOOKUP(Dados[[#This Row],[Subclasse]],ClasseSubClasse[SubClasse],ClasseSubClasse[Classe]),"ERRO")</f>
        <v>Corrente, Poupança e Empréstimo</v>
      </c>
      <c r="S3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XP</v>
      </c>
      <c r="T36" s="156" t="str">
        <f>IFERROR(_xlfn.XLOOKUP(Dados[[#This Row],[Subclasse]],ClasseSubClasse[SubClasse],ClasseSubClasse[Nomenclatura]),"ERRO")</f>
        <v>Conta Corrente</v>
      </c>
      <c r="U36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36" s="50"/>
      <c r="W3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6" s="49"/>
      <c r="Y36" s="50" t="str" cm="1">
        <f t="array" ref="Y3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6" s="54" t="str">
        <f>IFERROR((1+Dados[[#This Row],[Taxa | Esperada]])*Dados[[#This Row],[Saldo Líquido | Mês Anterior]]+Dados[[#This Row],[Juros / Dividendos]],"")</f>
        <v/>
      </c>
      <c r="AA36" s="54" t="str">
        <f>IFERROR(IF(Dados[[#This Row],[Classe]]="Renda Fixa",(1+Dados[[#This Row],[Taxa | Esperada]])*Dados[[#This Row],[Saldo Bruto | Mês Anterior]]+Dados[[#This Row],[Juros / Dividendos]],""),"")</f>
        <v/>
      </c>
      <c r="AC36" s="55"/>
      <c r="AD36" s="55"/>
      <c r="AE36" s="55"/>
      <c r="AF36" s="55"/>
      <c r="AG36" s="55"/>
      <c r="AH36" s="55"/>
      <c r="AI36" s="55"/>
      <c r="AJ36" s="55"/>
      <c r="AL36" s="50">
        <f>Dados[[#This Row],[Saldo Bruto | Mês Anterior]]/SUM(Dados[Saldo Bruto | Mês Anterior])</f>
        <v>0</v>
      </c>
      <c r="AM36" s="55">
        <f>Dados[[#This Row],[Saldo Bruto | Mês Anterior]]-Dados[[#This Row],[Saldo Líquido | Mês Anterior]]</f>
        <v>0</v>
      </c>
      <c r="AN36" s="55">
        <v>0</v>
      </c>
      <c r="AO36" s="55">
        <v>0</v>
      </c>
      <c r="AP36" s="55">
        <v>0</v>
      </c>
      <c r="AQ36" s="55">
        <v>0</v>
      </c>
      <c r="AS36" s="50">
        <f>IFERROR(Dados[[#This Row],[Saldo Bruto | Mês Atual]]/SUM(Dados[Saldo Bruto | Mês Atual]),"0,00%")</f>
        <v>0</v>
      </c>
      <c r="AT36" s="55">
        <f>Dados[[#This Row],[Saldo Bruto | Mês Atual]]-Dados[[#This Row],[Saldo Líquido | Mês Atual]]</f>
        <v>0</v>
      </c>
      <c r="AU36" s="184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3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6" s="55">
        <f>SUM(Dados[[#This Row],[Aplicações]:[Cashback]])</f>
        <v>0</v>
      </c>
      <c r="AY36" s="55">
        <f>Dados[[#This Row],[Imposto Pago]]</f>
        <v>0</v>
      </c>
      <c r="AZ36" s="49"/>
      <c r="BA36" s="49" t="b">
        <f>OR(Dados[[#This Row],[Saldo Bruto | Mês Anterior]]&lt;&gt;0,Dados[[#This Row],[Saldo Bruto | Mês Atual]]&lt;&gt;0,Dados[[#This Row],[Movimentaçao | Mês Atual]]&lt;&gt;0)</f>
        <v>0</v>
      </c>
      <c r="BB36" s="55"/>
      <c r="BC36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6" s="50">
        <f>IFERROR(Dados[[#This Row],[Saldo Corrigido]]/SUM(Dados[Saldo Corrigido]),"0,00%")</f>
        <v>0</v>
      </c>
      <c r="BE36" s="50">
        <f>IFERROR(SUMPRODUCT(Dados[Performance | Mês Atual],Dados[Peso Corrigido | Carteira]),"0,00%")</f>
        <v>6.7280865242948622E-3</v>
      </c>
      <c r="BF36" s="50" t="str">
        <f>IFERROR(Dados[[#This Row],[Saldo Corrigido]]/SUMIF(Dados[Custódia],Dados[[#This Row],[Custódia]],Dados[Saldo Corrigido]),"0,00%")</f>
        <v>0,00%</v>
      </c>
      <c r="BG36" s="50" cm="1">
        <f t="array" ref="BG36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36" s="50">
        <f>IFERROR(Dados[[#This Row],[Saldo Corrigido]]/SUMIF(Dados[Subclasse],Dados[[#This Row],[Subclasse]],Dados[Saldo Corrigido]),"0,00%")</f>
        <v>0</v>
      </c>
      <c r="BI36" s="50" cm="1">
        <f t="array" ref="BI36">IFERROR(SUMPRODUCT((_xlfn._xlws.FILTER(Dados[Peso Corrigido | SubClasse],Dados[Subclasse]=Dados[[#This Row],[Subclasse]])),_xlfn._xlws.FILTER(Dados[Performance | Mês Atual],Dados[Subclasse]=Dados[[#This Row],[Subclasse]])),"0,00%")</f>
        <v>-8.3221481234451852E-15</v>
      </c>
      <c r="BJ36" s="50">
        <f>IFERROR(Dados[[#This Row],[Saldo Corrigido]]/SUMIF(Dados[Classe],Dados[[#This Row],[Classe]],Dados[Saldo Corrigido]),"0,00%")</f>
        <v>0</v>
      </c>
      <c r="BK36" s="50" cm="1">
        <f t="array" ref="BK36">IFERROR(SUMPRODUCT((_xlfn._xlws.FILTER(Dados[Peso Corrigido | Classe],Dados[Classe]=Dados[[#This Row],[Classe]])),_xlfn._xlws.FILTER(Dados[Performance | Mês Atual],Dados[Classe]=Dados[[#This Row],[Classe]])),"0,00%")</f>
        <v>-8.3221481234451852E-15</v>
      </c>
      <c r="BL36" s="50"/>
      <c r="BM36" s="199" t="str">
        <f>IF(Dados[[#This Row],[Ticker do Ativo]]="","",Dados[[#This Row],[Ticker do Ativo]])</f>
        <v/>
      </c>
      <c r="BN36" s="199"/>
      <c r="BO36" s="50" t="str" cm="1">
        <f t="array" ref="BO3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36" s="191"/>
      <c r="BQ36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6" s="50">
        <f ca="1">IFERROR(Dados[[#This Row],[Saldo Atualizado]]/SUM(Dados[Saldo Atualizado]),"0,00%")</f>
        <v>0</v>
      </c>
      <c r="BS36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6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36" s="50">
        <f ca="1">Dados[[#This Row],[Saldo Corrigido Atualizado]]/SUM(Dados[Saldo Corrigido Atualizado])</f>
        <v>0</v>
      </c>
      <c r="BV36" s="55"/>
      <c r="BW36" s="49"/>
      <c r="BX36" s="50"/>
      <c r="BY36" s="49"/>
      <c r="BZ36" s="55"/>
      <c r="CA36" s="50"/>
      <c r="CB36" s="49"/>
    </row>
    <row r="37" spans="2:80" ht="11.25">
      <c r="B3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Quantitas Galápagos FIM</v>
      </c>
      <c r="C37" s="166">
        <f t="shared" si="1"/>
        <v>45474</v>
      </c>
      <c r="D37" s="49" t="s">
        <v>233</v>
      </c>
      <c r="E37" s="156" t="s">
        <v>203</v>
      </c>
      <c r="F37" s="156" t="s">
        <v>53</v>
      </c>
      <c r="G37" s="156"/>
      <c r="H37" s="156" t="s">
        <v>230</v>
      </c>
      <c r="I37" s="53"/>
      <c r="L37" s="49" t="s">
        <v>235</v>
      </c>
      <c r="M37" s="156" t="s">
        <v>281</v>
      </c>
      <c r="N37" s="199"/>
      <c r="O37" s="50"/>
      <c r="R37" s="156" t="str">
        <f>IFERROR(_xlfn.XLOOKUP(Dados[[#This Row],[Subclasse]],ClasseSubClasse[SubClasse],ClasseSubClasse[Classe]),"ERRO")</f>
        <v>Fundos de Investimento</v>
      </c>
      <c r="S3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Quantitas Galápagos FIM</v>
      </c>
      <c r="T37" s="156" t="str">
        <f>IFERROR(_xlfn.XLOOKUP(Dados[[#This Row],[Subclasse]],ClasseSubClasse[SubClasse],ClasseSubClasse[Nomenclatura]),"ERRO")</f>
        <v>Fundos - Multimercado</v>
      </c>
      <c r="U37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37" s="50"/>
      <c r="W3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7" s="49"/>
      <c r="Y37" s="50" t="str" cm="1">
        <f t="array" ref="Y3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7" s="54" t="str">
        <f>IFERROR((1+Dados[[#This Row],[Taxa | Esperada]])*Dados[[#This Row],[Saldo Líquido | Mês Anterior]]+Dados[[#This Row],[Juros / Dividendos]],"")</f>
        <v/>
      </c>
      <c r="AA37" s="54" t="str">
        <f>IFERROR(IF(Dados[[#This Row],[Classe]]="Renda Fixa",(1+Dados[[#This Row],[Taxa | Esperada]])*Dados[[#This Row],[Saldo Bruto | Mês Anterior]]+Dados[[#This Row],[Juros / Dividendos]],""),"")</f>
        <v/>
      </c>
      <c r="AC37" s="55">
        <v>178037.08</v>
      </c>
      <c r="AD37" s="55">
        <v>178905.23</v>
      </c>
      <c r="AE37" s="55"/>
      <c r="AF37" s="55"/>
      <c r="AG37" s="55"/>
      <c r="AH37" s="55"/>
      <c r="AI37" s="55"/>
      <c r="AJ37" s="55"/>
      <c r="AL37" s="50">
        <f>Dados[[#This Row],[Saldo Bruto | Mês Anterior]]/SUM(Dados[Saldo Bruto | Mês Anterior])</f>
        <v>3.0187947645089301E-2</v>
      </c>
      <c r="AM37" s="55">
        <f>Dados[[#This Row],[Saldo Bruto | Mês Anterior]]-Dados[[#This Row],[Saldo Líquido | Mês Anterior]]</f>
        <v>201.88000000000466</v>
      </c>
      <c r="AN37" s="55">
        <v>174896.08</v>
      </c>
      <c r="AO37" s="55">
        <v>175097.96</v>
      </c>
      <c r="AP37" s="55">
        <v>-65.260000000000005</v>
      </c>
      <c r="AQ37" s="55">
        <v>0</v>
      </c>
      <c r="AS37" s="50">
        <f>IFERROR(Dados[[#This Row],[Saldo Bruto | Mês Atual]]/SUM(Dados[Saldo Bruto | Mês Atual]),"0,00%")</f>
        <v>3.6610612307749063E-2</v>
      </c>
      <c r="AT37" s="55">
        <f>Dados[[#This Row],[Saldo Bruto | Mês Atual]]-Dados[[#This Row],[Saldo Líquido | Mês Atual]]</f>
        <v>868.15000000002328</v>
      </c>
      <c r="AU3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2.1743657093435065E-2</v>
      </c>
      <c r="AV3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178037.08</v>
      </c>
      <c r="AW3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178905.23</v>
      </c>
      <c r="AX37" s="55">
        <f>SUM(Dados[[#This Row],[Aplicações]:[Cashback]])</f>
        <v>0</v>
      </c>
      <c r="AY37" s="55">
        <f>Dados[[#This Row],[Imposto Pago]]</f>
        <v>0</v>
      </c>
      <c r="AZ37" s="49"/>
      <c r="BA37" s="49" t="b">
        <f>OR(Dados[[#This Row],[Saldo Bruto | Mês Anterior]]&lt;&gt;0,Dados[[#This Row],[Saldo Bruto | Mês Atual]]&lt;&gt;0,Dados[[#This Row],[Movimentaçao | Mês Atual]]&lt;&gt;0)</f>
        <v>1</v>
      </c>
      <c r="BB37" s="55"/>
      <c r="BC37" s="55">
        <f>IF(Dados[[#This Row],[Participação]]="",IF(Dados[[#This Row],[Movimentaçao | Mês Atual]]&gt;0,Dados[[#This Row],[Saldo Bruto | Mês Atual]],Dados[[#This Row],[Saldo Bruto | Mês Atual]]-Dados[[#This Row],[Movimentaçao | Mês Atual]]),0)</f>
        <v>178905.23</v>
      </c>
      <c r="BD37" s="50">
        <f>IFERROR(Dados[[#This Row],[Saldo Corrigido]]/SUM(Dados[Saldo Corrigido]),"0,00%")</f>
        <v>3.5345582834872297E-2</v>
      </c>
      <c r="BE37" s="50">
        <f>IFERROR(SUMPRODUCT(Dados[Performance | Mês Atual],Dados[Peso Corrigido | Carteira]),"0,00%")</f>
        <v>6.7280865242948622E-3</v>
      </c>
      <c r="BF37" s="50">
        <f>IFERROR(Dados[[#This Row],[Saldo Corrigido]]/SUMIF(Dados[Custódia],Dados[[#This Row],[Custódia]],Dados[Saldo Corrigido]),"0,00%")</f>
        <v>3.5796989621207399E-2</v>
      </c>
      <c r="BG37" s="50" cm="1">
        <f t="array" ref="BG37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7" s="50">
        <f>IFERROR(Dados[[#This Row],[Saldo Corrigido]]/SUMIF(Dados[Subclasse],Dados[[#This Row],[Subclasse]],Dados[Saldo Corrigido]),"0,00%")</f>
        <v>0.60494019145712818</v>
      </c>
      <c r="BI37" s="50" cm="1">
        <f t="array" ref="BI37">IFERROR(SUMPRODUCT((_xlfn._xlws.FILTER(Dados[Peso Corrigido | SubClasse],Dados[Subclasse]=Dados[[#This Row],[Subclasse]])),_xlfn._xlws.FILTER(Dados[Performance | Mês Atual],Dados[Subclasse]=Dados[[#This Row],[Subclasse]])),"0,00%")</f>
        <v>1.8265952450361278E-2</v>
      </c>
      <c r="BJ37" s="50">
        <f>IFERROR(Dados[[#This Row],[Saldo Corrigido]]/SUMIF(Dados[Classe],Dados[[#This Row],[Classe]],Dados[Saldo Corrigido]),"0,00%")</f>
        <v>0.15528370562576679</v>
      </c>
      <c r="BK37" s="50" cm="1">
        <f t="array" ref="BK37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37" s="50"/>
      <c r="BM37" s="199" t="str">
        <f>IF(Dados[[#This Row],[Ticker do Ativo]]="","",Dados[[#This Row],[Ticker do Ativo]])</f>
        <v>27.928.186/0001-08</v>
      </c>
      <c r="BN37" s="199"/>
      <c r="BO37" s="50" t="str" cm="1">
        <f t="array" ref="BO37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37" s="191"/>
      <c r="BQ37" s="202">
        <f>IFERROR(Dados[[#This Row],[Saldo Bruto | Mês Atual]]*(1+Dados[[#This Row],[Taxa RF / FI]])+Dados[[#This Row],[Movimentações Atualizadas]],Dados[[#This Row],[Saldo Bruto | Mês Atual]]+Dados[[#This Row],[Movimentações Atualizadas]])</f>
        <v>178905.23</v>
      </c>
      <c r="BR37" s="50">
        <f ca="1">IFERROR(Dados[[#This Row],[Saldo Atualizado]]/SUM(Dados[Saldo Atualizado]),"0,00%")</f>
        <v>3.653208133737653E-2</v>
      </c>
      <c r="BS37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37" s="55">
        <f>IF(Dados[[#This Row],[Participação]]="",IF(Dados[[#This Row],[Movimentações Atualizadas]]&gt;0,Dados[[#This Row],[Saldo Atualizado]],Dados[[#This Row],[Saldo Atualizado]]-Dados[[#This Row],[Movimentações Atualizadas]]),0)</f>
        <v>178905.23</v>
      </c>
      <c r="BU37" s="50">
        <f ca="1">Dados[[#This Row],[Saldo Corrigido Atualizado]]/SUM(Dados[Saldo Corrigido Atualizado])</f>
        <v>3.653208133737653E-2</v>
      </c>
    </row>
    <row r="38" spans="2:80" ht="11.25">
      <c r="B3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12/29 IPCA+ 9,46%aa</v>
      </c>
      <c r="C38" s="166">
        <f t="shared" si="1"/>
        <v>45474</v>
      </c>
      <c r="D38" s="49" t="s">
        <v>233</v>
      </c>
      <c r="E38" s="156" t="s">
        <v>203</v>
      </c>
      <c r="F38" s="156" t="s">
        <v>58</v>
      </c>
      <c r="G38" s="156" t="s">
        <v>224</v>
      </c>
      <c r="H38" s="156" t="s">
        <v>225</v>
      </c>
      <c r="I38" s="53">
        <v>47469</v>
      </c>
      <c r="J38" s="49" t="s">
        <v>254</v>
      </c>
      <c r="L38" s="49">
        <v>2029</v>
      </c>
      <c r="M38" s="156" t="s">
        <v>266</v>
      </c>
      <c r="N38" s="199">
        <v>9.4600000000000004E-2</v>
      </c>
      <c r="O38" s="50"/>
      <c r="P38" s="49" t="s">
        <v>234</v>
      </c>
      <c r="R38" s="156" t="str">
        <f>IFERROR(_xlfn.XLOOKUP(Dados[[#This Row],[Subclasse]],ClasseSubClasse[SubClasse],ClasseSubClasse[Classe]),"ERRO")</f>
        <v>Renda Fixa</v>
      </c>
      <c r="S3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12/29 IPCA+ 9,46%aa</v>
      </c>
      <c r="T38" s="156" t="str">
        <f>IFERROR(_xlfn.XLOOKUP(Dados[[#This Row],[Subclasse]],ClasseSubClasse[SubClasse],ClasseSubClasse[Nomenclatura]),"ERRO")</f>
        <v>Renda Fixa - Inflação</v>
      </c>
      <c r="U38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8" s="50"/>
      <c r="W3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8" s="49"/>
      <c r="Y38" s="50" t="str" cm="1">
        <f t="array" ref="Y3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8" s="54" t="str">
        <f>IFERROR((1+Dados[[#This Row],[Taxa | Esperada]])*Dados[[#This Row],[Saldo Líquido | Mês Anterior]]+Dados[[#This Row],[Juros / Dividendos]],"")</f>
        <v/>
      </c>
      <c r="AA38" s="54" t="str">
        <f>IFERROR(IF(Dados[[#This Row],[Classe]]="Renda Fixa",(1+Dados[[#This Row],[Taxa | Esperada]])*Dados[[#This Row],[Saldo Bruto | Mês Anterior]]+Dados[[#This Row],[Juros / Dividendos]],""),"")</f>
        <v/>
      </c>
      <c r="AC38" s="55">
        <v>160006.18</v>
      </c>
      <c r="AD38" s="55">
        <v>160006.18</v>
      </c>
      <c r="AE38" s="55"/>
      <c r="AF38" s="55"/>
      <c r="AG38" s="55"/>
      <c r="AH38" s="55"/>
      <c r="AI38" s="55"/>
      <c r="AJ38" s="55"/>
      <c r="AL38" s="50">
        <f>Dados[[#This Row],[Saldo Bruto | Mês Anterior]]/SUM(Dados[Saldo Bruto | Mês Anterior])</f>
        <v>2.7285757298807112E-2</v>
      </c>
      <c r="AM38" s="55">
        <f>Dados[[#This Row],[Saldo Bruto | Mês Anterior]]-Dados[[#This Row],[Saldo Líquido | Mês Anterior]]</f>
        <v>0</v>
      </c>
      <c r="AN38" s="55">
        <v>158264.5</v>
      </c>
      <c r="AO38" s="55">
        <v>158264.5</v>
      </c>
      <c r="AP38" s="55">
        <v>-7358.39</v>
      </c>
      <c r="AQ38" s="55">
        <v>0</v>
      </c>
      <c r="AS38" s="50">
        <f>IFERROR(Dados[[#This Row],[Saldo Bruto | Mês Atual]]/SUM(Dados[Saldo Bruto | Mês Atual]),"0,00%")</f>
        <v>3.2743169234481916E-2</v>
      </c>
      <c r="AT38" s="55">
        <f>Dados[[#This Row],[Saldo Bruto | Mês Atual]]-Dados[[#This Row],[Saldo Líquido | Mês Atual]]</f>
        <v>0</v>
      </c>
      <c r="AU3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1.294690403797215E-2</v>
      </c>
      <c r="AV3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160006.18</v>
      </c>
      <c r="AW3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160006.18</v>
      </c>
      <c r="AX38" s="55">
        <f>SUM(Dados[[#This Row],[Aplicações]:[Cashback]])</f>
        <v>0</v>
      </c>
      <c r="AY38" s="55">
        <f>Dados[[#This Row],[Imposto Pago]]</f>
        <v>0</v>
      </c>
      <c r="AZ38" s="49"/>
      <c r="BA38" s="49" t="b">
        <f>OR(Dados[[#This Row],[Saldo Bruto | Mês Anterior]]&lt;&gt;0,Dados[[#This Row],[Saldo Bruto | Mês Atual]]&lt;&gt;0,Dados[[#This Row],[Movimentaçao | Mês Atual]]&lt;&gt;0)</f>
        <v>1</v>
      </c>
      <c r="BB38" s="55"/>
      <c r="BC38" s="55">
        <f>IF(Dados[[#This Row],[Participação]]="",IF(Dados[[#This Row],[Movimentaçao | Mês Atual]]&gt;0,Dados[[#This Row],[Saldo Bruto | Mês Atual]],Dados[[#This Row],[Saldo Bruto | Mês Atual]]-Dados[[#This Row],[Movimentaçao | Mês Atual]]),0)</f>
        <v>160006.18</v>
      </c>
      <c r="BD38" s="50">
        <f>IFERROR(Dados[[#This Row],[Saldo Corrigido]]/SUM(Dados[Saldo Corrigido]),"0,00%")</f>
        <v>3.1611773950272364E-2</v>
      </c>
      <c r="BE38" s="50">
        <f>IFERROR(SUMPRODUCT(Dados[Performance | Mês Atual],Dados[Peso Corrigido | Carteira]),"0,00%")</f>
        <v>6.7280865242948622E-3</v>
      </c>
      <c r="BF38" s="50">
        <f>IFERROR(Dados[[#This Row],[Saldo Corrigido]]/SUMIF(Dados[Custódia],Dados[[#This Row],[Custódia]],Dados[Saldo Corrigido]),"0,00%")</f>
        <v>3.2015495381487964E-2</v>
      </c>
      <c r="BG38" s="50" cm="1">
        <f t="array" ref="BG38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8" s="50">
        <f>IFERROR(Dados[[#This Row],[Saldo Corrigido]]/SUMIF(Dados[Subclasse],Dados[[#This Row],[Subclasse]],Dados[Saldo Corrigido]),"0,00%")</f>
        <v>0.22906063984444403</v>
      </c>
      <c r="BI38" s="50" cm="1">
        <f t="array" ref="BI38">IFERROR(SUMPRODUCT((_xlfn._xlws.FILTER(Dados[Peso Corrigido | SubClasse],Dados[Subclasse]=Dados[[#This Row],[Subclasse]])),_xlfn._xlws.FILTER(Dados[Performance | Mês Atual],Dados[Subclasse]=Dados[[#This Row],[Subclasse]])),"0,00%")</f>
        <v>-9.3299780881783458E-3</v>
      </c>
      <c r="BJ38" s="50">
        <f>IFERROR(Dados[[#This Row],[Saldo Corrigido]]/SUMIF(Dados[Classe],Dados[[#This Row],[Classe]],Dados[Saldo Corrigido]),"0,00%")</f>
        <v>4.250810400313268E-2</v>
      </c>
      <c r="BK38" s="50" cm="1">
        <f t="array" ref="BK38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8" s="50"/>
      <c r="BM38" s="199" t="str">
        <f>IF(Dados[[#This Row],[Ticker do Ativo]]="","",Dados[[#This Row],[Ticker do Ativo]])</f>
        <v>ENAT11</v>
      </c>
      <c r="BN38" s="199"/>
      <c r="BO38" s="50" cm="1">
        <f t="array" aca="1" ref="BO38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3.9870586783135042E-3</v>
      </c>
      <c r="BP38" s="191"/>
      <c r="BQ38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160644.1340285528</v>
      </c>
      <c r="BR38" s="50">
        <f ca="1">IFERROR(Dados[[#This Row],[Saldo Atualizado]]/SUM(Dados[Saldo Atualizado]),"0,00%")</f>
        <v>3.2803202962280689E-2</v>
      </c>
      <c r="BS38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4.6906572686041224E-3</v>
      </c>
      <c r="BT38" s="55">
        <f ca="1">IF(Dados[[#This Row],[Participação]]="",IF(Dados[[#This Row],[Movimentações Atualizadas]]&gt;0,Dados[[#This Row],[Saldo Atualizado]],Dados[[#This Row],[Saldo Atualizado]]-Dados[[#This Row],[Movimentações Atualizadas]]),0)</f>
        <v>160644.1340285528</v>
      </c>
      <c r="BU38" s="50">
        <f ca="1">Dados[[#This Row],[Saldo Corrigido Atualizado]]/SUM(Dados[Saldo Corrigido Atualizado])</f>
        <v>3.2803202962280689E-2</v>
      </c>
    </row>
    <row r="39" spans="2:80" ht="11.25">
      <c r="B3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Paranaguá 07/30 IPCA+ 5,40%aa</v>
      </c>
      <c r="C39" s="166">
        <f t="shared" si="1"/>
        <v>45474</v>
      </c>
      <c r="D39" s="49" t="s">
        <v>233</v>
      </c>
      <c r="E39" s="156" t="s">
        <v>203</v>
      </c>
      <c r="F39" s="156" t="s">
        <v>58</v>
      </c>
      <c r="G39" s="156" t="s">
        <v>224</v>
      </c>
      <c r="H39" s="156" t="s">
        <v>226</v>
      </c>
      <c r="I39" s="53">
        <v>47679</v>
      </c>
      <c r="J39" s="49" t="s">
        <v>255</v>
      </c>
      <c r="L39" s="49">
        <v>2030</v>
      </c>
      <c r="M39" s="156" t="s">
        <v>263</v>
      </c>
      <c r="N39" s="199">
        <v>5.3999999999999999E-2</v>
      </c>
      <c r="O39" s="50"/>
      <c r="P39" s="49" t="s">
        <v>234</v>
      </c>
      <c r="R39" s="156" t="str">
        <f>IFERROR(_xlfn.XLOOKUP(Dados[[#This Row],[Subclasse]],ClasseSubClasse[SubClasse],ClasseSubClasse[Classe]),"ERRO")</f>
        <v>Renda Fixa</v>
      </c>
      <c r="S3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Paranaguá 07/30 IPCA+ 5,40%aa</v>
      </c>
      <c r="T39" s="156" t="str">
        <f>IFERROR(_xlfn.XLOOKUP(Dados[[#This Row],[Subclasse]],ClasseSubClasse[SubClasse],ClasseSubClasse[Nomenclatura]),"ERRO")</f>
        <v>Renda Fixa - Inflação</v>
      </c>
      <c r="U39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9" s="50"/>
      <c r="W3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9" s="49"/>
      <c r="Y39" s="50" t="str" cm="1">
        <f t="array" ref="Y3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9" s="54" t="str">
        <f>IFERROR((1+Dados[[#This Row],[Taxa | Esperada]])*Dados[[#This Row],[Saldo Líquido | Mês Anterior]]+Dados[[#This Row],[Juros / Dividendos]],"")</f>
        <v/>
      </c>
      <c r="AA39" s="54" t="str">
        <f>IFERROR(IF(Dados[[#This Row],[Classe]]="Renda Fixa",(1+Dados[[#This Row],[Taxa | Esperada]])*Dados[[#This Row],[Saldo Bruto | Mês Anterior]]+Dados[[#This Row],[Juros / Dividendos]],""),"")</f>
        <v/>
      </c>
      <c r="AC39" s="55">
        <v>116772.1</v>
      </c>
      <c r="AD39" s="55">
        <v>116772.1</v>
      </c>
      <c r="AE39" s="55"/>
      <c r="AF39" s="55"/>
      <c r="AG39" s="55"/>
      <c r="AH39" s="55"/>
      <c r="AI39" s="55"/>
      <c r="AJ39" s="55"/>
      <c r="AL39" s="50">
        <f>Dados[[#This Row],[Saldo Bruto | Mês Anterior]]/SUM(Dados[Saldo Bruto | Mês Anterior])</f>
        <v>2.2287588673452839E-2</v>
      </c>
      <c r="AM39" s="55">
        <f>Dados[[#This Row],[Saldo Bruto | Mês Anterior]]-Dados[[#This Row],[Saldo Líquido | Mês Anterior]]</f>
        <v>0</v>
      </c>
      <c r="AN39" s="55">
        <v>129273.82</v>
      </c>
      <c r="AO39" s="55">
        <v>129273.82</v>
      </c>
      <c r="AP39" s="55">
        <v>0</v>
      </c>
      <c r="AQ39" s="55">
        <v>0</v>
      </c>
      <c r="AS39" s="50">
        <f>IFERROR(Dados[[#This Row],[Saldo Bruto | Mês Atual]]/SUM(Dados[Saldo Bruto | Mês Atual]),"0,00%")</f>
        <v>2.3895880972633968E-2</v>
      </c>
      <c r="AT39" s="55">
        <f>Dados[[#This Row],[Saldo Bruto | Mês Atual]]-Dados[[#This Row],[Saldo Líquido | Mês Atual]]</f>
        <v>0</v>
      </c>
      <c r="AU3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-0.11377327507110827</v>
      </c>
      <c r="AV3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116772.1</v>
      </c>
      <c r="AW3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116772.1</v>
      </c>
      <c r="AX39" s="55">
        <f>SUM(Dados[[#This Row],[Aplicações]:[Cashback]])</f>
        <v>0</v>
      </c>
      <c r="AY39" s="55">
        <f>Dados[[#This Row],[Imposto Pago]]</f>
        <v>0</v>
      </c>
      <c r="AZ39" s="49"/>
      <c r="BA39" s="49" t="b">
        <f>OR(Dados[[#This Row],[Saldo Bruto | Mês Anterior]]&lt;&gt;0,Dados[[#This Row],[Saldo Bruto | Mês Atual]]&lt;&gt;0,Dados[[#This Row],[Movimentaçao | Mês Atual]]&lt;&gt;0)</f>
        <v>1</v>
      </c>
      <c r="BB39" s="55"/>
      <c r="BC39" s="55">
        <f>IF(Dados[[#This Row],[Participação]]="",IF(Dados[[#This Row],[Movimentaçao | Mês Atual]]&gt;0,Dados[[#This Row],[Saldo Bruto | Mês Atual]],Dados[[#This Row],[Saldo Bruto | Mês Atual]]-Dados[[#This Row],[Movimentaçao | Mês Atual]]),0)</f>
        <v>116772.1</v>
      </c>
      <c r="BD39" s="50">
        <f>IFERROR(Dados[[#This Row],[Saldo Corrigido]]/SUM(Dados[Saldo Corrigido]),"0,00%")</f>
        <v>2.3070191594465914E-2</v>
      </c>
      <c r="BE39" s="50">
        <f>IFERROR(SUMPRODUCT(Dados[Performance | Mês Atual],Dados[Peso Corrigido | Carteira]),"0,00%")</f>
        <v>6.7280865242948622E-3</v>
      </c>
      <c r="BF39" s="50">
        <f>IFERROR(Dados[[#This Row],[Saldo Corrigido]]/SUMIF(Dados[Custódia],Dados[[#This Row],[Custódia]],Dados[Saldo Corrigido]),"0,00%")</f>
        <v>2.336482646005705E-2</v>
      </c>
      <c r="BG39" s="50" cm="1">
        <f t="array" ref="BG39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39" s="50">
        <f>IFERROR(Dados[[#This Row],[Saldo Corrigido]]/SUMIF(Dados[Subclasse],Dados[[#This Row],[Subclasse]],Dados[Saldo Corrigido]),"0,00%")</f>
        <v>0.16716786777847834</v>
      </c>
      <c r="BI39" s="50" cm="1">
        <f t="array" ref="BI39">IFERROR(SUMPRODUCT((_xlfn._xlws.FILTER(Dados[Peso Corrigido | SubClasse],Dados[Subclasse]=Dados[[#This Row],[Subclasse]])),_xlfn._xlws.FILTER(Dados[Performance | Mês Atual],Dados[Subclasse]=Dados[[#This Row],[Subclasse]])),"0,00%")</f>
        <v>-9.3299780881783458E-3</v>
      </c>
      <c r="BJ39" s="50">
        <f>IFERROR(Dados[[#This Row],[Saldo Corrigido]]/SUMIF(Dados[Classe],Dados[[#This Row],[Classe]],Dados[Saldo Corrigido]),"0,00%")</f>
        <v>3.1022305335107747E-2</v>
      </c>
      <c r="BK39" s="50" cm="1">
        <f t="array" ref="BK39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39" s="50"/>
      <c r="BM39" s="199" t="str">
        <f>IF(Dados[[#This Row],[Ticker do Ativo]]="","",Dados[[#This Row],[Ticker do Ativo]])</f>
        <v>PASN12</v>
      </c>
      <c r="BN39" s="199"/>
      <c r="BO39" s="50" cm="1">
        <f t="array" aca="1" ref="BO39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3.1556826141596606E-3</v>
      </c>
      <c r="BP39" s="191"/>
      <c r="BQ39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117140.59568578893</v>
      </c>
      <c r="BR39" s="50">
        <f ca="1">IFERROR(Dados[[#This Row],[Saldo Atualizado]]/SUM(Dados[Saldo Atualizado]),"0,00%")</f>
        <v>2.391986958403608E-2</v>
      </c>
      <c r="BS39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3.7125677813643065E-3</v>
      </c>
      <c r="BT39" s="55">
        <f ca="1">IF(Dados[[#This Row],[Participação]]="",IF(Dados[[#This Row],[Movimentações Atualizadas]]&gt;0,Dados[[#This Row],[Saldo Atualizado]],Dados[[#This Row],[Saldo Atualizado]]-Dados[[#This Row],[Movimentações Atualizadas]]),0)</f>
        <v>117140.59568578893</v>
      </c>
      <c r="BU39" s="50">
        <f ca="1">Dados[[#This Row],[Saldo Corrigido Atualizado]]/SUM(Dados[Saldo Corrigido Atualizado])</f>
        <v>2.391986958403608E-2</v>
      </c>
    </row>
    <row r="40" spans="2:80" ht="11.25">
      <c r="B4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Via Brasil 12/30 IPCA+ 8,90%aa</v>
      </c>
      <c r="C40" s="166">
        <f t="shared" si="1"/>
        <v>45474</v>
      </c>
      <c r="D40" s="49" t="s">
        <v>233</v>
      </c>
      <c r="E40" s="156" t="s">
        <v>203</v>
      </c>
      <c r="F40" s="156" t="s">
        <v>58</v>
      </c>
      <c r="G40" s="156" t="s">
        <v>224</v>
      </c>
      <c r="H40" s="156" t="s">
        <v>227</v>
      </c>
      <c r="I40" s="53">
        <v>47833</v>
      </c>
      <c r="J40" s="49" t="s">
        <v>256</v>
      </c>
      <c r="L40" s="49">
        <v>2030</v>
      </c>
      <c r="M40" s="156" t="s">
        <v>265</v>
      </c>
      <c r="N40" s="199">
        <v>8.8999999999999996E-2</v>
      </c>
      <c r="O40" s="50"/>
      <c r="P40" s="49" t="s">
        <v>234</v>
      </c>
      <c r="R40" s="156" t="str">
        <f>IFERROR(_xlfn.XLOOKUP(Dados[[#This Row],[Subclasse]],ClasseSubClasse[SubClasse],ClasseSubClasse[Classe]),"ERRO")</f>
        <v>Renda Fixa</v>
      </c>
      <c r="S4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Via Brasil 12/30 IPCA+ 8,90%aa</v>
      </c>
      <c r="T40" s="156" t="str">
        <f>IFERROR(_xlfn.XLOOKUP(Dados[[#This Row],[Subclasse]],ClasseSubClasse[SubClasse],ClasseSubClasse[Nomenclatura]),"ERRO")</f>
        <v>Renda Fixa - Inflação</v>
      </c>
      <c r="U4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40" s="50"/>
      <c r="W4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0" s="49"/>
      <c r="Y40" s="50" t="str" cm="1">
        <f t="array" ref="Y4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0" s="54" t="str">
        <f>IFERROR((1+Dados[[#This Row],[Taxa | Esperada]])*Dados[[#This Row],[Saldo Líquido | Mês Anterior]]+Dados[[#This Row],[Juros / Dividendos]],"")</f>
        <v/>
      </c>
      <c r="AA40" s="54" t="str">
        <f>IFERROR(IF(Dados[[#This Row],[Classe]]="Renda Fixa",(1+Dados[[#This Row],[Taxa | Esperada]])*Dados[[#This Row],[Saldo Bruto | Mês Anterior]]+Dados[[#This Row],[Juros / Dividendos]],""),"")</f>
        <v/>
      </c>
      <c r="AC40" s="55">
        <v>123616.92</v>
      </c>
      <c r="AD40" s="55">
        <v>123616.92</v>
      </c>
      <c r="AE40" s="55"/>
      <c r="AF40" s="55"/>
      <c r="AG40" s="55"/>
      <c r="AH40" s="55"/>
      <c r="AI40" s="55"/>
      <c r="AJ40" s="55"/>
      <c r="AL40" s="50">
        <f>Dados[[#This Row],[Saldo Bruto | Mês Anterior]]/SUM(Dados[Saldo Bruto | Mês Anterior])</f>
        <v>2.1125444316036229E-2</v>
      </c>
      <c r="AM40" s="55">
        <f>Dados[[#This Row],[Saldo Bruto | Mês Anterior]]-Dados[[#This Row],[Saldo Líquido | Mês Anterior]]</f>
        <v>0</v>
      </c>
      <c r="AN40" s="55">
        <v>122533.08</v>
      </c>
      <c r="AO40" s="55">
        <v>122533.08</v>
      </c>
      <c r="AP40" s="55">
        <v>-5101.63</v>
      </c>
      <c r="AQ40" s="55">
        <v>0</v>
      </c>
      <c r="AS40" s="50">
        <f>IFERROR(Dados[[#This Row],[Saldo Bruto | Mês Atual]]/SUM(Dados[Saldo Bruto | Mês Atual]),"0,00%")</f>
        <v>2.5296583743236744E-2</v>
      </c>
      <c r="AT40" s="55">
        <f>Dados[[#This Row],[Saldo Bruto | Mês Atual]]-Dados[[#This Row],[Saldo Líquido | Mês Atual]]</f>
        <v>0</v>
      </c>
      <c r="AU4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1.0406217507573841E-2</v>
      </c>
      <c r="AV4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123616.92</v>
      </c>
      <c r="AW4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123616.92</v>
      </c>
      <c r="AX40" s="55">
        <f>SUM(Dados[[#This Row],[Aplicações]:[Cashback]])</f>
        <v>0</v>
      </c>
      <c r="AY40" s="55">
        <f>Dados[[#This Row],[Imposto Pago]]</f>
        <v>0</v>
      </c>
      <c r="AZ40" s="49"/>
      <c r="BA40" s="49" t="b">
        <f>OR(Dados[[#This Row],[Saldo Bruto | Mês Anterior]]&lt;&gt;0,Dados[[#This Row],[Saldo Bruto | Mês Atual]]&lt;&gt;0,Dados[[#This Row],[Movimentaçao | Mês Atual]]&lt;&gt;0)</f>
        <v>1</v>
      </c>
      <c r="BB40" s="55"/>
      <c r="BC40" s="55">
        <f>IF(Dados[[#This Row],[Participação]]="",IF(Dados[[#This Row],[Movimentaçao | Mês Atual]]&gt;0,Dados[[#This Row],[Saldo Bruto | Mês Atual]],Dados[[#This Row],[Saldo Bruto | Mês Atual]]-Dados[[#This Row],[Movimentaçao | Mês Atual]]),0)</f>
        <v>123616.92</v>
      </c>
      <c r="BD40" s="50">
        <f>IFERROR(Dados[[#This Row],[Saldo Corrigido]]/SUM(Dados[Saldo Corrigido]),"0,00%")</f>
        <v>2.442249500281116E-2</v>
      </c>
      <c r="BE40" s="50">
        <f>IFERROR(SUMPRODUCT(Dados[Performance | Mês Atual],Dados[Peso Corrigido | Carteira]),"0,00%")</f>
        <v>6.7280865242948622E-3</v>
      </c>
      <c r="BF40" s="50">
        <f>IFERROR(Dados[[#This Row],[Saldo Corrigido]]/SUMIF(Dados[Custódia],Dados[[#This Row],[Custódia]],Dados[Saldo Corrigido]),"0,00%")</f>
        <v>2.4734400454618489E-2</v>
      </c>
      <c r="BG40" s="50" cm="1">
        <f t="array" ref="BG40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40" s="50">
        <f>IFERROR(Dados[[#This Row],[Saldo Corrigido]]/SUMIF(Dados[Subclasse],Dados[[#This Row],[Subclasse]],Dados[Saldo Corrigido]),"0,00%")</f>
        <v>0.1769667321024691</v>
      </c>
      <c r="BI40" s="50" cm="1">
        <f t="array" ref="BI40">IFERROR(SUMPRODUCT((_xlfn._xlws.FILTER(Dados[Peso Corrigido | SubClasse],Dados[Subclasse]=Dados[[#This Row],[Subclasse]])),_xlfn._xlws.FILTER(Dados[Performance | Mês Atual],Dados[Subclasse]=Dados[[#This Row],[Subclasse]])),"0,00%")</f>
        <v>-9.3299780881783458E-3</v>
      </c>
      <c r="BJ40" s="50">
        <f>IFERROR(Dados[[#This Row],[Saldo Corrigido]]/SUMIF(Dados[Classe],Dados[[#This Row],[Classe]],Dados[Saldo Corrigido]),"0,00%")</f>
        <v>3.2840737100947807E-2</v>
      </c>
      <c r="BK40" s="50" cm="1">
        <f t="array" ref="BK40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40" s="50"/>
      <c r="BM40" s="199" t="str">
        <f>IF(Dados[[#This Row],[Ticker do Ativo]]="","",Dados[[#This Row],[Ticker do Ativo]])</f>
        <v>VBRR11</v>
      </c>
      <c r="BN40" s="199"/>
      <c r="BO40" s="50" cm="1">
        <f t="array" aca="1" ref="BO40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3.8741969451894231E-3</v>
      </c>
      <c r="BP40" s="191"/>
      <c r="BQ40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124095.83629383772</v>
      </c>
      <c r="BR40" s="50">
        <f ca="1">IFERROR(Dados[[#This Row],[Saldo Atualizado]]/SUM(Dados[Saldo Atualizado]),"0,00%")</f>
        <v>2.5340115462897547E-2</v>
      </c>
      <c r="BS40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4.55787875904638E-3</v>
      </c>
      <c r="BT40" s="55">
        <f ca="1">IF(Dados[[#This Row],[Participação]]="",IF(Dados[[#This Row],[Movimentações Atualizadas]]&gt;0,Dados[[#This Row],[Saldo Atualizado]],Dados[[#This Row],[Saldo Atualizado]]-Dados[[#This Row],[Movimentações Atualizadas]]),0)</f>
        <v>124095.83629383772</v>
      </c>
      <c r="BU40" s="50">
        <f ca="1">Dados[[#This Row],[Saldo Corrigido Atualizado]]/SUM(Dados[Saldo Corrigido Atualizado])</f>
        <v>2.5340115462897547E-2</v>
      </c>
    </row>
    <row r="41" spans="2:80" ht="11.25">
      <c r="B4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LCA Bco. ABC 04/25 96% CDI</v>
      </c>
      <c r="C41" s="166">
        <f t="shared" si="1"/>
        <v>45474</v>
      </c>
      <c r="D41" s="49" t="s">
        <v>233</v>
      </c>
      <c r="E41" s="156" t="s">
        <v>203</v>
      </c>
      <c r="F41" s="156" t="s">
        <v>59</v>
      </c>
      <c r="G41" s="156" t="s">
        <v>294</v>
      </c>
      <c r="H41" s="156" t="s">
        <v>295</v>
      </c>
      <c r="I41" s="53">
        <v>45764</v>
      </c>
      <c r="J41" s="49" t="s">
        <v>296</v>
      </c>
      <c r="L41" s="49">
        <v>2025</v>
      </c>
      <c r="M41" s="156" t="s">
        <v>297</v>
      </c>
      <c r="N41" s="199">
        <v>0.96</v>
      </c>
      <c r="O41" s="50" t="s">
        <v>262</v>
      </c>
      <c r="P41" s="49" t="s">
        <v>234</v>
      </c>
      <c r="R41" s="156" t="str">
        <f>IFERROR(_xlfn.XLOOKUP(Dados[[#This Row],[Subclasse]],ClasseSubClasse[SubClasse],ClasseSubClasse[Classe]),"ERRO")</f>
        <v>Renda Fixa</v>
      </c>
      <c r="S4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LCA Bco. ABC 04/25 96% CDI</v>
      </c>
      <c r="T41" s="156" t="str">
        <f>IFERROR(_xlfn.XLOOKUP(Dados[[#This Row],[Subclasse]],ClasseSubClasse[SubClasse],ClasseSubClasse[Nomenclatura]),"ERRO")</f>
        <v>Renda Fixa - Pós-Fixado</v>
      </c>
      <c r="U41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</v>
      </c>
      <c r="V41" s="50"/>
      <c r="W4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1" s="49"/>
      <c r="Y41" s="50" t="str" cm="1">
        <f t="array" ref="Y4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1" s="54" t="str">
        <f>IFERROR((1+Dados[[#This Row],[Taxa | Esperada]])*Dados[[#This Row],[Saldo Líquido | Mês Anterior]]+Dados[[#This Row],[Juros / Dividendos]],"")</f>
        <v/>
      </c>
      <c r="AA41" s="54" t="str">
        <f>IFERROR(IF(Dados[[#This Row],[Classe]]="Renda Fixa",(1+Dados[[#This Row],[Taxa | Esperada]])*Dados[[#This Row],[Saldo Bruto | Mês Anterior]]+Dados[[#This Row],[Juros / Dividendos]],""),"")</f>
        <v/>
      </c>
      <c r="AC41" s="55">
        <v>102803.01</v>
      </c>
      <c r="AD41" s="55">
        <v>102803.01</v>
      </c>
      <c r="AE41" s="55"/>
      <c r="AF41" s="55"/>
      <c r="AG41" s="55"/>
      <c r="AH41" s="55"/>
      <c r="AI41" s="55"/>
      <c r="AJ41" s="55"/>
      <c r="AL41" s="219">
        <f>Dados[[#This Row],[Saldo Bruto | Mês Anterior]]/SUM(Dados[Saldo Bruto | Mês Anterior])</f>
        <v>1.7570872924708939E-2</v>
      </c>
      <c r="AM41" s="55">
        <f>Dados[[#This Row],[Saldo Bruto | Mês Anterior]]-Dados[[#This Row],[Saldo Líquido | Mês Anterior]]</f>
        <v>0</v>
      </c>
      <c r="AN41" s="55">
        <v>101915.64</v>
      </c>
      <c r="AO41" s="55">
        <v>101915.64</v>
      </c>
      <c r="AP41" s="55">
        <v>0</v>
      </c>
      <c r="AQ41" s="55">
        <v>0</v>
      </c>
      <c r="AS41" s="50">
        <f>IFERROR(Dados[[#This Row],[Saldo Bruto | Mês Atual]]/SUM(Dados[Saldo Bruto | Mês Atual]),"0,00%")</f>
        <v>2.1037289648713171E-2</v>
      </c>
      <c r="AT41" s="55">
        <f>Dados[[#This Row],[Saldo Bruto | Mês Atual]]-Dados[[#This Row],[Saldo Líquido | Mês Atual]]</f>
        <v>0</v>
      </c>
      <c r="AU4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1.0883633758272948E-2</v>
      </c>
      <c r="AV4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102803.01</v>
      </c>
      <c r="AW4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102803.01</v>
      </c>
      <c r="AX41" s="55">
        <f>SUM(Dados[[#This Row],[Aplicações]:[Cashback]])</f>
        <v>0</v>
      </c>
      <c r="AY41" s="55">
        <f>Dados[[#This Row],[Imposto Pago]]</f>
        <v>0</v>
      </c>
      <c r="BA41" s="49" t="b">
        <f>OR(Dados[[#This Row],[Saldo Bruto | Mês Anterior]]&lt;&gt;0,Dados[[#This Row],[Saldo Bruto | Mês Atual]]&lt;&gt;0,Dados[[#This Row],[Movimentaçao | Mês Atual]]&lt;&gt;0)</f>
        <v>1</v>
      </c>
      <c r="BB41" s="55"/>
      <c r="BC41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102803.01</v>
      </c>
      <c r="BD41" s="50">
        <f>IFERROR(Dados[[#This Row],[Saldo Corrigido]]/SUM(Dados[Saldo Corrigido]),"0,00%")</f>
        <v>2.0310374971314167E-2</v>
      </c>
      <c r="BE41" s="50">
        <f>IFERROR(SUMPRODUCT(Dados[Performance | Mês Atual],Dados[Peso Corrigido | Carteira]),"0,00%")</f>
        <v>6.7280865242948622E-3</v>
      </c>
      <c r="BF41" s="50">
        <f>IFERROR(Dados[[#This Row],[Saldo Corrigido]]/SUMIF(Dados[Custódia],Dados[[#This Row],[Custódia]],Dados[Saldo Corrigido]),"0,00%")</f>
        <v>2.0569763566995108E-2</v>
      </c>
      <c r="BG41" s="50" cm="1">
        <f t="array" ref="BG41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41" s="50">
        <f>IFERROR(Dados[[#This Row],[Saldo Corrigido]]/SUMIF(Dados[Subclasse],Dados[[#This Row],[Subclasse]],Dados[Saldo Corrigido]),"0,00%")</f>
        <v>6.2681211533810066E-2</v>
      </c>
      <c r="BI41" s="50" cm="1">
        <f t="array" ref="BI41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41" s="50">
        <f>IFERROR(Dados[[#This Row],[Saldo Corrigido]]/SUMIF(Dados[Classe],Dados[[#This Row],[Classe]],Dados[Saldo Corrigido]),"0,00%")</f>
        <v>2.7311201610557098E-2</v>
      </c>
      <c r="BK41" s="50" cm="1">
        <f t="array" ref="BK41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41" s="50"/>
      <c r="BM41" s="199" t="str">
        <f>IF(Dados[[#This Row],[Ticker do Ativo]]="","",Dados[[#This Row],[Ticker do Ativo]])</f>
        <v>24D03080808</v>
      </c>
      <c r="BN41" s="199"/>
      <c r="BO41" s="50" cm="1">
        <f t="array" ref="BO4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2.7839999999999996E-3</v>
      </c>
      <c r="BP41" s="191"/>
      <c r="BQ41" s="202">
        <f>IFERROR(Dados[[#This Row],[Saldo Bruto | Mês Atual]]*(1+Dados[[#This Row],[Taxa RF / FI]])+Dados[[#This Row],[Movimentações Atualizadas]],Dados[[#This Row],[Saldo Bruto | Mês Atual]]+Dados[[#This Row],[Movimentações Atualizadas]])</f>
        <v>103089.21357983998</v>
      </c>
      <c r="BR41" s="50">
        <f ca="1">IFERROR(Dados[[#This Row],[Saldo Atualizado]]/SUM(Dados[Saldo Atualizado]),"0,00%")</f>
        <v>2.1050606153352226E-2</v>
      </c>
      <c r="BS41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3.4799999999998721E-3</v>
      </c>
      <c r="BT41" s="55">
        <f>IF(Dados[[#This Row],[Participação]]="",IF(Dados[[#This Row],[Movimentações Atualizadas]]&gt;0,Dados[[#This Row],[Saldo Atualizado]],Dados[[#This Row],[Saldo Atualizado]]-Dados[[#This Row],[Movimentações Atualizadas]]),0)</f>
        <v>103089.21357983998</v>
      </c>
      <c r="BU41" s="219">
        <f ca="1">Dados[[#This Row],[Saldo Corrigido Atualizado]]/SUM(Dados[Saldo Corrigido Atualizado])</f>
        <v>2.1050606153352226E-2</v>
      </c>
    </row>
    <row r="42" spans="2:80" ht="11.25">
      <c r="B4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Eco Sec. 06/30 15,00%aa</v>
      </c>
      <c r="C42" s="166">
        <f t="shared" si="1"/>
        <v>45474</v>
      </c>
      <c r="D42" s="49" t="s">
        <v>233</v>
      </c>
      <c r="E42" s="156" t="s">
        <v>203</v>
      </c>
      <c r="F42" s="156" t="s">
        <v>42</v>
      </c>
      <c r="G42" s="156" t="s">
        <v>210</v>
      </c>
      <c r="H42" s="156" t="s">
        <v>305</v>
      </c>
      <c r="I42" s="53">
        <v>47649</v>
      </c>
      <c r="J42" s="49" t="s">
        <v>306</v>
      </c>
      <c r="L42" s="49">
        <v>2030</v>
      </c>
      <c r="M42" s="156" t="s">
        <v>307</v>
      </c>
      <c r="N42" s="199">
        <v>0.15</v>
      </c>
      <c r="O42" s="50"/>
      <c r="P42" s="49" t="s">
        <v>234</v>
      </c>
      <c r="R42" s="156" t="str">
        <f>IFERROR(_xlfn.XLOOKUP(Dados[[#This Row],[Subclasse]],ClasseSubClasse[SubClasse],ClasseSubClasse[Classe]),"ERRO")</f>
        <v>Renda Fixa</v>
      </c>
      <c r="S4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Eco Sec. 06/30 15,00%aa</v>
      </c>
      <c r="T42" s="156" t="str">
        <f>IFERROR(_xlfn.XLOOKUP(Dados[[#This Row],[Subclasse]],ClasseSubClasse[SubClasse],ClasseSubClasse[Nomenclatura]),"ERRO")</f>
        <v>Renda Fixa - Prefixado</v>
      </c>
      <c r="U42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42" s="50"/>
      <c r="W4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2" s="49"/>
      <c r="Y42" s="50" t="str" cm="1">
        <f t="array" ref="Y4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2" s="54" t="str">
        <f>IFERROR((1+Dados[[#This Row],[Taxa | Esperada]])*Dados[[#This Row],[Saldo Líquido | Mês Anterior]]+Dados[[#This Row],[Juros / Dividendos]],"")</f>
        <v/>
      </c>
      <c r="AA42" s="54" t="str">
        <f>IFERROR(IF(Dados[[#This Row],[Classe]]="Renda Fixa",(1+Dados[[#This Row],[Taxa | Esperada]])*Dados[[#This Row],[Saldo Bruto | Mês Anterior]]+Dados[[#This Row],[Juros / Dividendos]],""),"")</f>
        <v/>
      </c>
      <c r="AC42" s="55">
        <v>99980.83</v>
      </c>
      <c r="AD42" s="55">
        <v>99980.83</v>
      </c>
      <c r="AE42" s="55">
        <v>99541.18</v>
      </c>
      <c r="AF42" s="55"/>
      <c r="AG42" s="55"/>
      <c r="AH42" s="55"/>
      <c r="AI42" s="55"/>
      <c r="AJ42" s="55"/>
      <c r="AL42" s="219">
        <f>Dados[[#This Row],[Saldo Bruto | Mês Anterior]]/SUM(Dados[Saldo Bruto | Mês Anterior])</f>
        <v>0</v>
      </c>
      <c r="AM42" s="55">
        <f>Dados[[#This Row],[Saldo Bruto | Mês Anterior]]-Dados[[#This Row],[Saldo Líquido | Mês Anterior]]</f>
        <v>0</v>
      </c>
      <c r="AN42" s="55"/>
      <c r="AO42" s="55"/>
      <c r="AP42" s="55"/>
      <c r="AQ42" s="55"/>
      <c r="AS42" s="50">
        <f>IFERROR(Dados[[#This Row],[Saldo Bruto | Mês Atual]]/SUM(Dados[Saldo Bruto | Mês Atual]),"0,00%")</f>
        <v>2.0459767472068683E-2</v>
      </c>
      <c r="AT42" s="55">
        <f>Dados[[#This Row],[Saldo Bruto | Mês Atual]]-Dados[[#This Row],[Saldo Líquido | Mês Atual]]</f>
        <v>0</v>
      </c>
      <c r="AU42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5.1961941190336496E-3</v>
      </c>
      <c r="AV4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99980.83</v>
      </c>
      <c r="AW4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99980.83</v>
      </c>
      <c r="AX42" s="55">
        <f>SUM(Dados[[#This Row],[Aplicações]:[Cashback]])</f>
        <v>99541.18</v>
      </c>
      <c r="AY42" s="55">
        <f>Dados[[#This Row],[Imposto Pago]]</f>
        <v>0</v>
      </c>
      <c r="BA42" s="49" t="b">
        <f>OR(Dados[[#This Row],[Saldo Bruto | Mês Anterior]]&lt;&gt;0,Dados[[#This Row],[Saldo Bruto | Mês Atual]]&lt;&gt;0,Dados[[#This Row],[Movimentaçao | Mês Atual]]&lt;&gt;0)</f>
        <v>1</v>
      </c>
      <c r="BB42" s="55"/>
      <c r="BC42" s="55">
        <f>IF(Dados[[#This Row],[Participação]]="",IF(Dados[[#This Row],[Movimentaçao | Mês Atual]]&gt;0,Dados[[#This Row],[Saldo Bruto | Mês Atual]],Dados[[#This Row],[Saldo Bruto | Mês Atual]]-Dados[[#This Row],[Movimentaçao | Mês Atual]]),0)</f>
        <v>99980.83</v>
      </c>
      <c r="BD42" s="50">
        <f>IFERROR(Dados[[#This Row],[Saldo Corrigido]]/SUM(Dados[Saldo Corrigido]),"0,00%")</f>
        <v>1.9752808281033957E-2</v>
      </c>
      <c r="BE42" s="50">
        <f>IFERROR(SUMPRODUCT(Dados[Performance | Mês Atual],Dados[Peso Corrigido | Carteira]),"0,00%")</f>
        <v>6.7280865242948622E-3</v>
      </c>
      <c r="BF42" s="50">
        <f>IFERROR(Dados[[#This Row],[Saldo Corrigido]]/SUMIF(Dados[Custódia],Dados[[#This Row],[Custódia]],Dados[Saldo Corrigido]),"0,00%")</f>
        <v>2.0005076060826736E-2</v>
      </c>
      <c r="BG42" s="50" cm="1">
        <f t="array" ref="BG42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42" s="50">
        <f>IFERROR(Dados[[#This Row],[Saldo Corrigido]]/SUMIF(Dados[Subclasse],Dados[[#This Row],[Subclasse]],Dados[Saldo Corrigido]),"0,00%")</f>
        <v>7.013694978088067E-2</v>
      </c>
      <c r="BI42" s="50" cm="1">
        <f t="array" ref="BI42">IFERROR(SUMPRODUCT((_xlfn._xlws.FILTER(Dados[Peso Corrigido | SubClasse],Dados[Subclasse]=Dados[[#This Row],[Subclasse]])),_xlfn._xlws.FILTER(Dados[Performance | Mês Atual],Dados[Subclasse]=Dados[[#This Row],[Subclasse]])),"0,00%")</f>
        <v>5.8097413740659616E-3</v>
      </c>
      <c r="BJ42" s="50">
        <f>IFERROR(Dados[[#This Row],[Saldo Corrigido]]/SUMIF(Dados[Classe],Dados[[#This Row],[Classe]],Dados[Saldo Corrigido]),"0,00%")</f>
        <v>2.6561446063892834E-2</v>
      </c>
      <c r="BK42" s="50" cm="1">
        <f t="array" ref="BK42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42" s="50"/>
      <c r="BM42" s="199" t="str">
        <f>IF(Dados[[#This Row],[Ticker do Ativo]]="","",Dados[[#This Row],[Ticker do Ativo]])</f>
        <v>CRA0240066D</v>
      </c>
      <c r="BN42" s="199"/>
      <c r="BO42" s="50" cm="1">
        <f t="array" aca="1" ref="BO42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3.0679720720163672E-3</v>
      </c>
      <c r="BP42" s="191"/>
      <c r="BQ42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100287.56839417701</v>
      </c>
      <c r="BR42" s="50">
        <f ca="1">IFERROR(Dados[[#This Row],[Saldo Atualizado]]/SUM(Dados[Saldo Atualizado]),"0,00%")</f>
        <v>2.0478515947822132E-2</v>
      </c>
      <c r="BS42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3.6093789082545496E-3</v>
      </c>
      <c r="BT42" s="55">
        <f ca="1">IF(Dados[[#This Row],[Participação]]="",IF(Dados[[#This Row],[Movimentações Atualizadas]]&gt;0,Dados[[#This Row],[Saldo Atualizado]],Dados[[#This Row],[Saldo Atualizado]]-Dados[[#This Row],[Movimentações Atualizadas]]),0)</f>
        <v>100287.56839417701</v>
      </c>
      <c r="BU42" s="219">
        <f ca="1">Dados[[#This Row],[Saldo Corrigido Atualizado]]/SUM(Dados[Saldo Corrigido Atualizado])</f>
        <v>2.0478515947822132E-2</v>
      </c>
    </row>
    <row r="43" spans="2:80" ht="11.25">
      <c r="B4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Fs Bio 02/26 CDI+ 2,75%aa</v>
      </c>
      <c r="C43" s="166">
        <f>$A$3</f>
        <v>45474</v>
      </c>
      <c r="D43" s="49" t="s">
        <v>233</v>
      </c>
      <c r="E43" s="156" t="s">
        <v>203</v>
      </c>
      <c r="F43" s="156" t="s">
        <v>59</v>
      </c>
      <c r="G43" s="156" t="s">
        <v>210</v>
      </c>
      <c r="H43" s="156" t="s">
        <v>315</v>
      </c>
      <c r="I43" s="53">
        <v>46071</v>
      </c>
      <c r="J43" s="49" t="s">
        <v>316</v>
      </c>
      <c r="L43" s="49">
        <v>2026</v>
      </c>
      <c r="M43" s="156" t="s">
        <v>317</v>
      </c>
      <c r="N43" s="199" t="s">
        <v>318</v>
      </c>
      <c r="O43" s="50" t="s">
        <v>309</v>
      </c>
      <c r="P43" s="49" t="s">
        <v>319</v>
      </c>
      <c r="Q43" s="252"/>
      <c r="R43" s="253" t="str">
        <f>IFERROR(_xlfn.XLOOKUP(Dados[[#This Row],[Subclasse]],ClasseSubClasse[SubClasse],ClasseSubClasse[Classe]),"ERRO")</f>
        <v>Renda Fixa</v>
      </c>
      <c r="S43" s="252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Fs Bio 02/26 CDI+ 2,75%aa</v>
      </c>
      <c r="T43" s="253" t="str">
        <f>IFERROR(_xlfn.XLOOKUP(Dados[[#This Row],[Subclasse]],ClasseSubClasse[SubClasse],ClasseSubClasse[Nomenclatura]),"ERRO")</f>
        <v>Renda Fixa - Pós-Fixado</v>
      </c>
      <c r="U4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43" s="50"/>
      <c r="W4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3" s="49"/>
      <c r="Y43" s="50" t="str" cm="1">
        <f t="array" ref="Y4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3" s="54" t="str">
        <f>IFERROR((1+Dados[[#This Row],[Taxa | Esperada]])*Dados[[#This Row],[Saldo Líquido | Mês Anterior]]+Dados[[#This Row],[Juros / Dividendos]],"")</f>
        <v/>
      </c>
      <c r="AA43" s="54" t="str">
        <f>IFERROR(IF(Dados[[#This Row],[Classe]]="Renda Fixa",(1+Dados[[#This Row],[Taxa | Esperada]])*Dados[[#This Row],[Saldo Bruto | Mês Anterior]]+Dados[[#This Row],[Juros / Dividendos]],""),"")</f>
        <v/>
      </c>
      <c r="AB43" s="49" t="s">
        <v>320</v>
      </c>
      <c r="AC43" s="55">
        <v>150103.04999999999</v>
      </c>
      <c r="AD43" s="55">
        <v>150103.04999999999</v>
      </c>
      <c r="AE43" s="55">
        <v>149021.69</v>
      </c>
      <c r="AF43" s="55"/>
      <c r="AG43" s="55"/>
      <c r="AH43" s="55"/>
      <c r="AI43" s="55"/>
      <c r="AJ43" s="55"/>
      <c r="AL43" s="219">
        <f>Dados[[#This Row],[Saldo Bruto | Mês Anterior]]/SUM(Dados[Saldo Bruto | Mês Anterior])</f>
        <v>0</v>
      </c>
      <c r="AM43" s="55">
        <f>Dados[[#This Row],[Saldo Bruto | Mês Anterior]]-Dados[[#This Row],[Saldo Líquido | Mês Anterior]]</f>
        <v>0</v>
      </c>
      <c r="AN43" s="55"/>
      <c r="AO43" s="55"/>
      <c r="AP43" s="55"/>
      <c r="AQ43" s="55"/>
      <c r="AS43" s="50">
        <f>IFERROR(Dados[[#This Row],[Saldo Bruto | Mês Atual]]/SUM(Dados[Saldo Bruto | Mês Atual]),"0,00%")</f>
        <v>3.0716623375184011E-2</v>
      </c>
      <c r="AT43" s="55">
        <f>Dados[[#This Row],[Saldo Bruto | Mês Atual]]-Dados[[#This Row],[Saldo Líquido | Mês Atual]]</f>
        <v>0</v>
      </c>
      <c r="AU4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8.7956283004129374E-3</v>
      </c>
      <c r="AV43" s="250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150103.04999999999</v>
      </c>
      <c r="AW43" s="250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150103.04999999999</v>
      </c>
      <c r="AX43" s="250">
        <f>SUM(Dados[[#This Row],[Aplicações]:[Cashback]])</f>
        <v>149021.69</v>
      </c>
      <c r="AY43" s="55">
        <f>Dados[[#This Row],[Imposto Pago]]</f>
        <v>0</v>
      </c>
      <c r="BA43" s="252" t="b">
        <f>OR(Dados[[#This Row],[Saldo Bruto | Mês Anterior]]&lt;&gt;0,Dados[[#This Row],[Saldo Bruto | Mês Atual]]&lt;&gt;0,Dados[[#This Row],[Movimentaçao | Mês Atual]]&lt;&gt;0)</f>
        <v>1</v>
      </c>
      <c r="BB43" s="55"/>
      <c r="BC43" s="250">
        <f>IF(Dados[[#This Row],[Participação]]="",IF(Dados[[#This Row],[Movimentaçao | Mês Atual]]&gt;0,Dados[[#This Row],[Saldo Bruto | Mês Atual]],Dados[[#This Row],[Saldo Bruto | Mês Atual]]-Dados[[#This Row],[Movimentaçao | Mês Atual]]),0)</f>
        <v>150103.04999999999</v>
      </c>
      <c r="BD43" s="50">
        <f>IFERROR(Dados[[#This Row],[Saldo Corrigido]]/SUM(Dados[Saldo Corrigido]),"0,00%")</f>
        <v>2.9655252602408422E-2</v>
      </c>
      <c r="BE43" s="50">
        <f>IFERROR(SUMPRODUCT(Dados[Performance | Mês Atual],Dados[Peso Corrigido | Carteira]),"0,00%")</f>
        <v>6.7280865242948622E-3</v>
      </c>
      <c r="BF43" s="50">
        <f>IFERROR(Dados[[#This Row],[Saldo Corrigido]]/SUMIF(Dados[Custódia],Dados[[#This Row],[Custódia]],Dados[Saldo Corrigido]),"0,00%")</f>
        <v>3.0033986837397515E-2</v>
      </c>
      <c r="BG43" s="50" cm="1">
        <f t="array" ref="BG43">IFERROR(SUMPRODUCT((_xlfn._xlws.FILTER(Dados[Peso Corrigido | Custódia],Dados[Custódia]=Dados[[#This Row],[Custódia]])),_xlfn._xlws.FILTER(Dados[Performance | Mês Atual],Dados[Custódia]=Dados[[#This Row],[Custódia]])),"0,00%")</f>
        <v>6.6964197197430641E-3</v>
      </c>
      <c r="BH43" s="50">
        <f>IFERROR(Dados[[#This Row],[Saldo Corrigido]]/SUMIF(Dados[Subclasse],Dados[[#This Row],[Subclasse]],Dados[Saldo Corrigido]),"0,00%")</f>
        <v>9.1521065666463161E-2</v>
      </c>
      <c r="BI43" s="50" cm="1">
        <f t="array" ref="BI43">IFERROR(SUMPRODUCT((_xlfn._xlws.FILTER(Dados[Peso Corrigido | SubClasse],Dados[Subclasse]=Dados[[#This Row],[Subclasse]])),_xlfn._xlws.FILTER(Dados[Performance | Mês Atual],Dados[Subclasse]=Dados[[#This Row],[Subclasse]])),"0,00%")</f>
        <v>1.0749056016727062E-2</v>
      </c>
      <c r="BJ43" s="50">
        <f>IFERROR(Dados[[#This Row],[Saldo Corrigido]]/SUMIF(Dados[Classe],Dados[[#This Row],[Classe]],Dados[Saldo Corrigido]),"0,00%")</f>
        <v>3.9877185122396054E-2</v>
      </c>
      <c r="BK43" s="50" cm="1">
        <f t="array" ref="BK43">IFERROR(SUMPRODUCT((_xlfn._xlws.FILTER(Dados[Peso Corrigido | Classe],Dados[Classe]=Dados[[#This Row],[Classe]])),_xlfn._xlws.FILTER(Dados[Performance | Mês Atual],Dados[Classe]=Dados[[#This Row],[Classe]])),"0,00%")</f>
        <v>5.1523143304668803E-3</v>
      </c>
      <c r="BL43" s="50"/>
      <c r="BM43" s="199" t="str">
        <f>IF(Dados[[#This Row],[Ticker do Ativo]]="","",Dados[[#This Row],[Ticker do Ativo]])</f>
        <v>CRA022001E1</v>
      </c>
      <c r="BN43" s="199"/>
      <c r="BO43" s="50" t="str" cm="1">
        <f t="array" aca="1" ref="BO43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43" s="191"/>
      <c r="BQ43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150103.04999999999</v>
      </c>
      <c r="BR43" s="50">
        <f ca="1">IFERROR(Dados[[#This Row],[Saldo Atualizado]]/SUM(Dados[Saldo Atualizado]),"0,00%")</f>
        <v>3.0650735205383854E-2</v>
      </c>
      <c r="BS43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43" s="250">
        <f ca="1">IF(Dados[[#This Row],[Participação]]="",IF(Dados[[#This Row],[Movimentações Atualizadas]]&gt;0,Dados[[#This Row],[Saldo Atualizado]],Dados[[#This Row],[Saldo Atualizado]]-Dados[[#This Row],[Movimentações Atualizadas]]),0)</f>
        <v>150103.04999999999</v>
      </c>
      <c r="BU43" s="219">
        <f ca="1">Dados[[#This Row],[Saldo Corrigido Atualizado]]/SUM(Dados[Saldo Corrigido Atualizado])</f>
        <v>3.0650735205383854E-2</v>
      </c>
    </row>
    <row r="55" spans="27:27">
      <c r="AA55" s="49" t="s">
        <v>304</v>
      </c>
    </row>
  </sheetData>
  <phoneticPr fontId="27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>
                  <from>
                    <xdr:col>24</xdr:col>
                    <xdr:colOff>85725</xdr:colOff>
                    <xdr:row>0</xdr:row>
                    <xdr:rowOff>38100</xdr:rowOff>
                  </from>
                  <to>
                    <xdr:col>26</xdr:col>
                    <xdr:colOff>1209675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6F0-BE8C-4AE2-8780-017A91E14A1D}">
  <sheetPr codeName="Planilha8"/>
  <dimension ref="B1:AY45"/>
  <sheetViews>
    <sheetView topLeftCell="E1" workbookViewId="0">
      <selection activeCell="J24" sqref="J24"/>
    </sheetView>
  </sheetViews>
  <sheetFormatPr defaultRowHeight="15"/>
  <cols>
    <col min="2" max="2" width="16.85546875" bestFit="1" customWidth="1"/>
    <col min="3" max="3" width="31.85546875" bestFit="1" customWidth="1"/>
    <col min="4" max="4" width="23.42578125" bestFit="1" customWidth="1"/>
    <col min="5" max="5" width="14.5703125" bestFit="1" customWidth="1"/>
    <col min="6" max="6" width="9.140625" customWidth="1"/>
    <col min="7" max="7" width="5.42578125" bestFit="1" customWidth="1"/>
    <col min="8" max="8" width="15.85546875" bestFit="1" customWidth="1"/>
    <col min="9" max="9" width="14.42578125" bestFit="1" customWidth="1"/>
    <col min="10" max="10" width="14" bestFit="1" customWidth="1"/>
    <col min="11" max="11" width="20" bestFit="1" customWidth="1"/>
    <col min="12" max="12" width="19.28515625" bestFit="1" customWidth="1"/>
    <col min="13" max="13" width="9.140625" customWidth="1"/>
    <col min="14" max="14" width="9.42578125" bestFit="1" customWidth="1"/>
    <col min="15" max="15" width="13.140625" bestFit="1" customWidth="1"/>
    <col min="16" max="16" width="14.42578125" bestFit="1" customWidth="1"/>
    <col min="17" max="17" width="16.5703125" bestFit="1" customWidth="1"/>
    <col min="18" max="18" width="8.5703125" bestFit="1" customWidth="1"/>
    <col min="19" max="19" width="13.5703125" bestFit="1" customWidth="1"/>
    <col min="20" max="20" width="9.7109375" bestFit="1" customWidth="1"/>
    <col min="21" max="21" width="15.28515625" bestFit="1" customWidth="1"/>
    <col min="22" max="22" width="15.85546875" bestFit="1" customWidth="1"/>
    <col min="23" max="23" width="19" bestFit="1" customWidth="1"/>
    <col min="24" max="24" width="19" customWidth="1"/>
    <col min="25" max="25" width="24.7109375" bestFit="1" customWidth="1"/>
    <col min="26" max="31" width="10.7109375" bestFit="1" customWidth="1"/>
    <col min="32" max="32" width="9.140625" bestFit="1" customWidth="1"/>
    <col min="33" max="34" width="9.140625" customWidth="1"/>
    <col min="35" max="35" width="8.7109375" bestFit="1" customWidth="1"/>
    <col min="36" max="36" width="15.85546875" bestFit="1" customWidth="1"/>
    <col min="37" max="37" width="14.42578125" bestFit="1" customWidth="1"/>
    <col min="38" max="38" width="7.140625" bestFit="1" customWidth="1"/>
    <col min="39" max="40" width="12.42578125" bestFit="1" customWidth="1"/>
    <col min="41" max="41" width="14.5703125" bestFit="1" customWidth="1"/>
    <col min="42" max="42" width="15.85546875" bestFit="1" customWidth="1"/>
    <col min="43" max="43" width="14.42578125" bestFit="1" customWidth="1"/>
    <col min="44" max="44" width="7.140625" bestFit="1" customWidth="1"/>
    <col min="45" max="45" width="12.42578125" bestFit="1" customWidth="1"/>
    <col min="46" max="46" width="7.28515625" bestFit="1" customWidth="1"/>
    <col min="47" max="47" width="31.85546875" bestFit="1" customWidth="1"/>
    <col min="48" max="49" width="15.85546875" bestFit="1" customWidth="1"/>
    <col min="50" max="50" width="7.140625" bestFit="1" customWidth="1"/>
    <col min="51" max="52" width="12.42578125" bestFit="1" customWidth="1"/>
  </cols>
  <sheetData>
    <row r="1" spans="2:51">
      <c r="N1" s="185">
        <v>12</v>
      </c>
      <c r="O1" t="s">
        <v>165</v>
      </c>
    </row>
    <row r="2" spans="2:51" ht="15.75" thickBot="1">
      <c r="AI2" s="244" t="s">
        <v>0</v>
      </c>
      <c r="AJ2" s="244"/>
      <c r="AK2" s="244"/>
      <c r="AL2" s="244"/>
      <c r="AM2" s="244"/>
      <c r="AO2" s="244" t="s">
        <v>63</v>
      </c>
      <c r="AP2" s="244"/>
      <c r="AQ2" s="244"/>
      <c r="AR2" s="244"/>
      <c r="AS2" s="244"/>
      <c r="AU2" s="244" t="s">
        <v>43</v>
      </c>
      <c r="AV2" s="244"/>
      <c r="AW2" s="244"/>
      <c r="AX2" s="244"/>
      <c r="AY2" s="244"/>
    </row>
    <row r="3" spans="2:51" ht="15.75" thickBot="1">
      <c r="B3" s="18" t="s">
        <v>63</v>
      </c>
      <c r="C3" s="18" t="s">
        <v>43</v>
      </c>
      <c r="D3" s="18" t="s">
        <v>143</v>
      </c>
      <c r="E3" s="18" t="s">
        <v>135</v>
      </c>
      <c r="G3" s="28"/>
      <c r="H3" s="28" t="s">
        <v>72</v>
      </c>
      <c r="I3" s="28" t="s">
        <v>73</v>
      </c>
      <c r="J3" s="28" t="s">
        <v>76</v>
      </c>
      <c r="K3" s="28" t="s">
        <v>77</v>
      </c>
      <c r="L3" s="28" t="s">
        <v>78</v>
      </c>
      <c r="N3" s="37">
        <f>Dados!$A$3</f>
        <v>45474</v>
      </c>
      <c r="O3" s="36" t="s">
        <v>94</v>
      </c>
      <c r="P3" s="232"/>
      <c r="Q3" s="233"/>
      <c r="R3" s="233"/>
      <c r="S3" s="233"/>
      <c r="T3" s="233"/>
      <c r="U3" s="234"/>
      <c r="V3" s="38">
        <f>$H$11</f>
        <v>4886704.1199999992</v>
      </c>
      <c r="W3" s="38">
        <f>$I$11</f>
        <v>75634.28</v>
      </c>
      <c r="X3" s="38">
        <f>ABS(SUM(Dados[Cashback]))</f>
        <v>0</v>
      </c>
      <c r="Y3" s="39">
        <f>$K$11</f>
        <v>0</v>
      </c>
      <c r="Z3" s="39">
        <f>$K$4</f>
        <v>0</v>
      </c>
      <c r="AA3" s="39">
        <f>$K$5</f>
        <v>0</v>
      </c>
      <c r="AB3" s="39">
        <f>$K$6</f>
        <v>0</v>
      </c>
      <c r="AC3" s="39">
        <f>$K$7</f>
        <v>0</v>
      </c>
      <c r="AD3" s="39">
        <f>$K$8</f>
        <v>0</v>
      </c>
      <c r="AE3" s="39">
        <f>$K$9</f>
        <v>0</v>
      </c>
      <c r="AI3" s="28" t="s">
        <v>0</v>
      </c>
      <c r="AJ3" s="28" t="s">
        <v>72</v>
      </c>
      <c r="AK3" s="28" t="s">
        <v>73</v>
      </c>
      <c r="AL3" s="28" t="s">
        <v>74</v>
      </c>
      <c r="AM3" s="28" t="s">
        <v>75</v>
      </c>
      <c r="AO3" s="28" t="s">
        <v>63</v>
      </c>
      <c r="AP3" s="28" t="s">
        <v>72</v>
      </c>
      <c r="AQ3" s="28" t="s">
        <v>73</v>
      </c>
      <c r="AR3" s="28" t="s">
        <v>74</v>
      </c>
      <c r="AS3" s="28" t="s">
        <v>75</v>
      </c>
      <c r="AU3" s="28" t="s">
        <v>43</v>
      </c>
      <c r="AV3" s="28" t="s">
        <v>72</v>
      </c>
      <c r="AW3" s="28" t="s">
        <v>73</v>
      </c>
      <c r="AX3" s="28" t="s">
        <v>74</v>
      </c>
      <c r="AY3" s="28" t="s">
        <v>75</v>
      </c>
    </row>
    <row r="4" spans="2:51">
      <c r="B4" t="s">
        <v>44</v>
      </c>
      <c r="C4" t="s">
        <v>45</v>
      </c>
      <c r="D4" t="s">
        <v>154</v>
      </c>
      <c r="E4">
        <f>COUNTIFS(Dados[Subclasse],ClasseSubClasse[[#This Row],[SubClasse]],Dados[Lista?],TRUE)</f>
        <v>0</v>
      </c>
      <c r="G4" t="str" cm="1">
        <f t="array" ref="G4:G6">_xlfn._xlws.SORT(_xlfn.UNIQUE(Dados[Custódia]))</f>
        <v>Bradesco</v>
      </c>
      <c r="H4" s="24">
        <f>IF(G4="","",SUMIF(Dados[Custódia],G4,Dados[Saldo Bruto | Mês Atual]))</f>
        <v>63827.74</v>
      </c>
      <c r="I4" s="24">
        <f>IF(G4="","",SUMIF(Dados[Custódia],G4,Dados[Movimentaçao | Mês Atual]))</f>
        <v>0</v>
      </c>
      <c r="J4" s="41">
        <f>IF(G4="","",SUMIF(Dados[Custódia],G4,Dados[Peso Corrigido | Carteira]))</f>
        <v>1.2610188485449484E-2</v>
      </c>
      <c r="K4" s="235"/>
      <c r="L4" s="41">
        <f>IF(G4="","",_xlfn.XLOOKUP(G4,Dados[Custódia],Dados[Performance Custódia]))</f>
        <v>9.2076275885499444E-3</v>
      </c>
      <c r="AI4" t="str" cm="1">
        <f t="array" ref="AI4:AI6">_xlfn._xlws.SORT(_xlfn.UNIQUE(Dados[Custódia]),1,1)</f>
        <v>Bradesco</v>
      </c>
      <c r="AJ4" s="24">
        <f>IF(AI4="","",SUMIF(Dados[Custódia],AI4,Dados[Saldo Bruto | Mês Atual]))</f>
        <v>63827.74</v>
      </c>
      <c r="AK4" s="24">
        <f>IF(AI4="","",SUMIF(Dados[Custódia],AI4,Dados[Movimentaçao | Mês Atual]))</f>
        <v>0</v>
      </c>
      <c r="AL4" s="26">
        <f>IF(AI4="","",AJ4/SUM($AJ$4:$AJ$27))</f>
        <v>1.3061511078350291E-2</v>
      </c>
      <c r="AM4" s="26">
        <f>IF(AI4="","",_xlfn.XLOOKUP(AI4,Dados[Custódia],Dados[Performance Custódia]))</f>
        <v>9.2076275885499444E-3</v>
      </c>
      <c r="AO4" t="str" cm="1">
        <f t="array" ref="AO4:AO10">_xlfn._xlws.SORT(_xlfn.UNIQUE(Dados[Subclasse]),1,1)</f>
        <v>Conta Corrente</v>
      </c>
      <c r="AP4" s="24">
        <f>IF(AO4="","",SUMIF(Dados[Subclasse],AO4,Dados[Saldo Bruto | Mês Atual]))</f>
        <v>1969.1499999999999</v>
      </c>
      <c r="AQ4" s="24">
        <f>IF(AO4="","",SUMIF(Dados[Movimentaçao | Mês Atual],AO4,Dados[Movimentaçao | Mês Atual]))</f>
        <v>0</v>
      </c>
      <c r="AR4" s="26">
        <f>IF(AO4="","",AP4/SUM($AP$4:$AP$27))</f>
        <v>4.0296075875369345E-4</v>
      </c>
      <c r="AS4" s="26">
        <f>IF(AO4="","",_xlfn.XLOOKUP(AO4,Dados[Subclasse],Dados[Performance SubClasse]))</f>
        <v>-8.3221481234451852E-15</v>
      </c>
      <c r="AU4" t="str" cm="1">
        <f t="array" ref="AU4:AU7">_xlfn._xlws.SORT(_xlfn.UNIQUE(Dados[Classe]),1,1)</f>
        <v>Bolsa de Valores</v>
      </c>
      <c r="AV4" s="24">
        <f>IF(AU4="","",SUMIF(Dados[Classe],AU4,Dados[Saldo Bruto | Mês Atual]))</f>
        <v>142304.95999999999</v>
      </c>
      <c r="AW4" s="24">
        <f>IF(AU4="","",SUMIF(Dados[Classe],AU4,Dados[Movimentaçao | Mês Atual]))</f>
        <v>-1074.6400000000001</v>
      </c>
      <c r="AX4" s="26">
        <f>IF(AU4="","",AV4/SUM($AV$4:$AV$27))</f>
        <v>2.9120846383472059E-2</v>
      </c>
      <c r="AY4" s="26">
        <f>IF(AU4="","",_xlfn.XLOOKUP(AU4,Dados[Classe],Dados[Performance Classe]))</f>
        <v>1.6541353383458635E-2</v>
      </c>
    </row>
    <row r="5" spans="2:51">
      <c r="B5" t="s">
        <v>166</v>
      </c>
      <c r="C5" t="s">
        <v>45</v>
      </c>
      <c r="D5" t="s">
        <v>167</v>
      </c>
      <c r="E5">
        <f>COUNTIFS(Dados[Subclasse],ClasseSubClasse[[#This Row],[SubClasse]],Dados[Lista?],TRUE)</f>
        <v>0</v>
      </c>
      <c r="G5" s="23" t="str">
        <v>BTG</v>
      </c>
      <c r="H5" s="25">
        <f>IF(G5="","",SUMIF(Dados[Custódia],G5,Dados[Saldo Bruto | Mês Atual]))</f>
        <v>4822876.379999999</v>
      </c>
      <c r="I5" s="25">
        <f>IF(G5="","",SUMIF(Dados[Custódia],G5,Dados[Movimentaçao | Mês Atual]))</f>
        <v>75634.28</v>
      </c>
      <c r="J5" s="42">
        <f>IF(G5="","",SUMIF(Dados[Custódia],G5,Dados[Peso Corrigido | Carteira]))</f>
        <v>0.98738981151455063</v>
      </c>
      <c r="K5" s="236"/>
      <c r="L5" s="42">
        <f>IF(G5="","",_xlfn.XLOOKUP(G5,Dados[Custódia],Dados[Performance Custódia]))</f>
        <v>6.6964197197430641E-3</v>
      </c>
      <c r="Z5" s="18" t="str" cm="1">
        <f t="array" ref="Z5:AB5">TRANSPOSE(_xlfn._xlws.SORT(_xlfn.UNIQUE(Dados[Custódia])))</f>
        <v>Bradesco</v>
      </c>
      <c r="AA5" s="18" t="str">
        <v>BTG</v>
      </c>
      <c r="AB5" s="18" t="str">
        <v>XP</v>
      </c>
      <c r="AC5" s="18"/>
      <c r="AD5" s="18"/>
      <c r="AE5" s="18"/>
      <c r="AI5" s="23" t="str">
        <v>BTG</v>
      </c>
      <c r="AJ5" s="25">
        <f>IF(AI5="","",SUMIF(Dados[Custódia],AI5,Dados[Saldo Bruto | Mês Atual]))</f>
        <v>4822876.379999999</v>
      </c>
      <c r="AK5" s="25">
        <f>IF(AI5="","",SUMIF(Dados[Custódia],AI5,Dados[Movimentaçao | Mês Atual]))</f>
        <v>75634.28</v>
      </c>
      <c r="AL5" s="27">
        <f t="shared" ref="AL5:AL27" si="0">IF(AI5="","",AJ5/SUM($AJ$4:$AJ$27))</f>
        <v>0.9869384889216497</v>
      </c>
      <c r="AM5" s="27">
        <f>IF(AI5="","",_xlfn.XLOOKUP(AI5,Dados[Custódia],Dados[Performance Custódia]))</f>
        <v>6.6964197197430641E-3</v>
      </c>
      <c r="AO5" s="23" t="str">
        <v>Fundo Imobiliário</v>
      </c>
      <c r="AP5" s="25">
        <f>IF(AO5="","",SUMIF(Dados[Subclasse],AO5,Dados[Saldo Bruto | Mês Atual]))</f>
        <v>142304.95999999999</v>
      </c>
      <c r="AQ5" s="25">
        <f>IF(AO5="","",SUMIF(Dados[Movimentaçao | Mês Atual],AO5,Dados[Movimentaçao | Mês Atual]))</f>
        <v>0</v>
      </c>
      <c r="AR5" s="27">
        <f t="shared" ref="AR5:AR27" si="1">IF(AO5="","",AP5/SUM($AP$4:$AP$27))</f>
        <v>2.9120846383472055E-2</v>
      </c>
      <c r="AS5" s="27">
        <f>IF(AO5="","",_xlfn.XLOOKUP(AO5,Dados[Subclasse],Dados[Performance SubClasse]))</f>
        <v>1.6541353383458635E-2</v>
      </c>
      <c r="AU5" s="23" t="str">
        <v>Corrente, Poupança e Empréstimo</v>
      </c>
      <c r="AV5" s="25">
        <f>IF(AU5="","",SUMIF(Dados[Classe],AU5,Dados[Saldo Bruto | Mês Atual]))</f>
        <v>1969.1499999999999</v>
      </c>
      <c r="AW5" s="25">
        <f>IF(AU5="","",SUMIF(Dados[Classe],AU5,Dados[Movimentaçao | Mês Atual]))</f>
        <v>1968.0800000000163</v>
      </c>
      <c r="AX5" s="27">
        <f t="shared" ref="AX5:AX27" si="2">IF(AU5="","",AV5/SUM($AV$4:$AV$27))</f>
        <v>4.0296075875369351E-4</v>
      </c>
      <c r="AY5" s="27">
        <f>IF(AU5="","",_xlfn.XLOOKUP(AU5,Dados[Classe],Dados[Performance Classe]))</f>
        <v>-8.3221481234451852E-15</v>
      </c>
    </row>
    <row r="6" spans="2:51">
      <c r="B6" t="s">
        <v>46</v>
      </c>
      <c r="C6" t="s">
        <v>47</v>
      </c>
      <c r="D6" t="s">
        <v>144</v>
      </c>
      <c r="E6">
        <f>COUNTIFS(Dados[Subclasse],ClasseSubClasse[[#This Row],[SubClasse]],Dados[Lista?],TRUE)</f>
        <v>0</v>
      </c>
      <c r="G6" t="str">
        <v>XP</v>
      </c>
      <c r="H6" s="24">
        <f>IF(G6="","",SUMIF(Dados[Custódia],G6,Dados[Saldo Bruto | Mês Atual]))</f>
        <v>0</v>
      </c>
      <c r="I6" s="24">
        <f>IF(G6="","",SUMIF(Dados[Custódia],G6,Dados[Movimentaçao | Mês Atual]))</f>
        <v>0</v>
      </c>
      <c r="J6" s="41">
        <f>IF(G6="","",SUMIF(Dados[Custódia],G6,Dados[Peso Corrigido | Carteira]))</f>
        <v>0</v>
      </c>
      <c r="K6" s="237"/>
      <c r="L6" s="41">
        <f>IF(G6="","",_xlfn.XLOOKUP(G6,Dados[Custódia],Dados[Performance Custódia]))</f>
        <v>0</v>
      </c>
      <c r="N6" s="28" t="s">
        <v>40</v>
      </c>
      <c r="O6" s="28" t="s">
        <v>92</v>
      </c>
      <c r="P6" s="28" t="s">
        <v>80</v>
      </c>
      <c r="Q6" s="28" t="s">
        <v>85</v>
      </c>
      <c r="R6" s="28" t="s">
        <v>81</v>
      </c>
      <c r="S6" s="28" t="s">
        <v>83</v>
      </c>
      <c r="T6" s="28" t="s">
        <v>82</v>
      </c>
      <c r="U6" s="28" t="s">
        <v>84</v>
      </c>
      <c r="V6" s="28" t="s">
        <v>72</v>
      </c>
      <c r="W6" s="28" t="s">
        <v>73</v>
      </c>
      <c r="X6" s="28" t="s">
        <v>169</v>
      </c>
      <c r="Y6" s="28" t="s">
        <v>36</v>
      </c>
      <c r="Z6" s="28" t="s">
        <v>87</v>
      </c>
      <c r="AA6" s="28" t="s">
        <v>86</v>
      </c>
      <c r="AB6" s="28" t="s">
        <v>88</v>
      </c>
      <c r="AC6" s="28" t="s">
        <v>89</v>
      </c>
      <c r="AD6" s="28" t="s">
        <v>90</v>
      </c>
      <c r="AE6" s="28" t="s">
        <v>91</v>
      </c>
      <c r="AF6" s="28" t="s">
        <v>93</v>
      </c>
      <c r="AI6" t="str">
        <v>XP</v>
      </c>
      <c r="AJ6" s="24">
        <f>IF(AI6="","",SUMIF(Dados[Custódia],AI6,Dados[Saldo Bruto | Mês Atual]))</f>
        <v>0</v>
      </c>
      <c r="AK6" s="24">
        <f>IF(AI6="","",SUMIF(Dados[Custódia],AI6,Dados[Movimentaçao | Mês Atual]))</f>
        <v>0</v>
      </c>
      <c r="AL6" s="26">
        <f t="shared" si="0"/>
        <v>0</v>
      </c>
      <c r="AM6" s="26">
        <f>IF(AI6="","",_xlfn.XLOOKUP(AI6,Dados[Custódia],Dados[Performance Custódia]))</f>
        <v>0</v>
      </c>
      <c r="AO6" t="str">
        <v>Inflação</v>
      </c>
      <c r="AP6" s="24">
        <f>IF(AO6="","",SUMIF(Dados[Subclasse],AO6,Dados[Saldo Bruto | Mês Atual]))</f>
        <v>698531.97000000009</v>
      </c>
      <c r="AQ6" s="24">
        <f>IF(AO6="","",SUMIF(Dados[Movimentaçao | Mês Atual],AO6,Dados[Movimentaçao | Mês Atual]))</f>
        <v>0</v>
      </c>
      <c r="AR6" s="26">
        <f t="shared" si="1"/>
        <v>0.14294541941696279</v>
      </c>
      <c r="AS6" s="26">
        <f>IF(AO6="","",_xlfn.XLOOKUP(AO6,Dados[Subclasse],Dados[Performance SubClasse]))</f>
        <v>-9.3299780881783458E-3</v>
      </c>
      <c r="AU6" t="str">
        <v>Fundos de Investimento</v>
      </c>
      <c r="AV6" s="24">
        <f>IF(AU6="","",SUMIF(Dados[Classe],AU6,Dados[Saldo Bruto | Mês Atual]))</f>
        <v>990314.9</v>
      </c>
      <c r="AW6" s="24">
        <f>IF(AU6="","",SUMIF(Dados[Classe],AU6,Dados[Movimentaçao | Mês Atual]))</f>
        <v>-161803.59999999998</v>
      </c>
      <c r="AX6" s="26">
        <f t="shared" si="2"/>
        <v>0.20265497473990715</v>
      </c>
      <c r="AY6" s="26">
        <f>IF(AU6="","",_xlfn.XLOOKUP(AU6,Dados[Classe],Dados[Performance Classe]))</f>
        <v>1.0666607866332559E-2</v>
      </c>
    </row>
    <row r="7" spans="2:51">
      <c r="B7" t="s">
        <v>49</v>
      </c>
      <c r="C7" t="s">
        <v>47</v>
      </c>
      <c r="D7" t="s">
        <v>146</v>
      </c>
      <c r="E7">
        <f>COUNTIFS(Dados[Subclasse],ClasseSubClasse[[#This Row],[SubClasse]],Dados[Lista?],TRUE)</f>
        <v>0</v>
      </c>
      <c r="G7" s="23"/>
      <c r="H7" s="25" t="str">
        <f>IF(G7="","",SUMIF(Dados[Custódia],G7,Dados[Saldo Bruto | Mês Atual]))</f>
        <v/>
      </c>
      <c r="I7" s="25" t="str">
        <f>IF(G7="","",SUMIF(Dados[Custódia],G7,Dados[Movimentaçao | Mês Atual]))</f>
        <v/>
      </c>
      <c r="J7" s="42" t="str">
        <f>IF(G7="","",SUMIF(Dados[Custódia],G7,Dados[Peso Corrigido | Carteira]))</f>
        <v/>
      </c>
      <c r="K7" s="236"/>
      <c r="L7" s="42" t="str">
        <f>IF(G7="","",_xlfn.XLOOKUP(G7,Dados[Custódia],Dados[Performance Custódia]))</f>
        <v/>
      </c>
      <c r="N7" s="40">
        <v>45444</v>
      </c>
      <c r="O7" s="18" t="s">
        <v>94</v>
      </c>
      <c r="P7" s="18">
        <v>20</v>
      </c>
      <c r="Q7" s="19">
        <v>3.8999999999999998E-3</v>
      </c>
      <c r="R7" s="19">
        <v>7.9000000000000008E-3</v>
      </c>
      <c r="S7" s="19">
        <v>1.4800000000000001E-2</v>
      </c>
      <c r="T7" s="19">
        <v>2.0999999999999999E-3</v>
      </c>
      <c r="U7" s="18">
        <v>5.5589000000000004</v>
      </c>
      <c r="V7" s="30">
        <v>5800260.4900000012</v>
      </c>
      <c r="W7" s="30">
        <v>201065.32999999996</v>
      </c>
      <c r="X7" s="30">
        <v>137.97000000000003</v>
      </c>
      <c r="Y7" s="19">
        <v>8.7622644755645466E-3</v>
      </c>
      <c r="Z7" s="19">
        <v>1.15E-2</v>
      </c>
      <c r="AA7" s="19">
        <v>8.6E-3</v>
      </c>
      <c r="AB7" s="19">
        <v>8.0999999999999996E-3</v>
      </c>
      <c r="AC7" s="19">
        <v>0</v>
      </c>
      <c r="AD7" s="19">
        <v>0</v>
      </c>
      <c r="AE7" s="19">
        <v>0</v>
      </c>
      <c r="AF7" s="18">
        <f>YEAR(TabelaHistóricoDados[[#This Row],[Mês]])</f>
        <v>2024</v>
      </c>
      <c r="AI7" s="23"/>
      <c r="AJ7" s="25" t="str">
        <f>IF(AI7="","",SUMIF(Dados[Custódia],AI7,Dados[Saldo Bruto | Mês Atual]))</f>
        <v/>
      </c>
      <c r="AK7" s="25" t="str">
        <f>IF(AI7="","",SUMIF(Dados[Custódia],AI7,Dados[Movimentaçao | Mês Atual]))</f>
        <v/>
      </c>
      <c r="AL7" s="27" t="str">
        <f t="shared" si="0"/>
        <v/>
      </c>
      <c r="AM7" s="27" t="str">
        <f>IF(AI7="","",_xlfn.XLOOKUP(AI7,Dados[Custódia],Dados[Performance Custódia]))</f>
        <v/>
      </c>
      <c r="AO7" s="23" t="str">
        <v>Multimercado</v>
      </c>
      <c r="AP7" s="25">
        <f>IF(AO7="","",SUMIF(Dados[Subclasse],AO7,Dados[Saldo Bruto | Mês Atual]))</f>
        <v>295740.36</v>
      </c>
      <c r="AQ7" s="25">
        <f>IF(AO7="","",SUMIF(Dados[Movimentaçao | Mês Atual],AO7,Dados[Movimentaçao | Mês Atual]))</f>
        <v>0</v>
      </c>
      <c r="AR7" s="27">
        <f t="shared" si="1"/>
        <v>6.0519391544417871E-2</v>
      </c>
      <c r="AS7" s="27">
        <f>IF(AO7="","",_xlfn.XLOOKUP(AO7,Dados[Subclasse],Dados[Performance SubClasse]))</f>
        <v>1.8265952450361278E-2</v>
      </c>
      <c r="AU7" s="23" t="str">
        <v>Renda Fixa</v>
      </c>
      <c r="AV7" s="25">
        <f>IF(AU7="","",SUMIF(Dados[Classe],AU7,Dados[Saldo Bruto | Mês Atual]))</f>
        <v>3752115.1099999994</v>
      </c>
      <c r="AW7" s="25">
        <f>IF(AU7="","",SUMIF(Dados[Classe],AU7,Dados[Movimentaçao | Mês Atual]))</f>
        <v>236544.44</v>
      </c>
      <c r="AX7" s="27">
        <f t="shared" si="2"/>
        <v>0.76782121811786719</v>
      </c>
      <c r="AY7" s="27">
        <f>IF(AU7="","",_xlfn.XLOOKUP(AU7,Dados[Classe],Dados[Performance Classe]))</f>
        <v>5.1523143304668803E-3</v>
      </c>
    </row>
    <row r="8" spans="2:51">
      <c r="B8" t="s">
        <v>50</v>
      </c>
      <c r="C8" t="s">
        <v>47</v>
      </c>
      <c r="D8" t="s">
        <v>147</v>
      </c>
      <c r="E8">
        <f>COUNTIFS(Dados[Subclasse],ClasseSubClasse[[#This Row],[SubClasse]],Dados[Lista?],TRUE)</f>
        <v>0</v>
      </c>
      <c r="H8" s="24" t="str">
        <f>IF(G8="","",SUMIF(Dados[Custódia],G8,Dados[Saldo Bruto | Mês Atual]))</f>
        <v/>
      </c>
      <c r="I8" s="24" t="str">
        <f>IF(G8="","",SUMIF(Dados[Custódia],G8,Dados[Movimentaçao | Mês Atual]))</f>
        <v/>
      </c>
      <c r="J8" s="41" t="str">
        <f>IF(G8="","",SUMIF(Dados[Custódia],G8,Dados[Peso Corrigido | Carteira]))</f>
        <v/>
      </c>
      <c r="K8" s="237"/>
      <c r="L8" s="41" t="str">
        <f>IF(G8="","",_xlfn.XLOOKUP(G8,Dados[Custódia],Dados[Performance Custódia]))</f>
        <v/>
      </c>
      <c r="N8" s="40">
        <v>45413</v>
      </c>
      <c r="O8" s="18" t="s">
        <v>94</v>
      </c>
      <c r="P8" s="18">
        <v>21</v>
      </c>
      <c r="Q8" s="19">
        <v>4.4000000000000003E-3</v>
      </c>
      <c r="R8" s="19">
        <v>8.3000000000000001E-3</v>
      </c>
      <c r="S8" s="19">
        <v>-3.04E-2</v>
      </c>
      <c r="T8" s="19">
        <v>4.5999999999999999E-3</v>
      </c>
      <c r="U8" s="18">
        <v>5.2416</v>
      </c>
      <c r="V8" s="30">
        <v>5555407.3799999999</v>
      </c>
      <c r="W8" s="30">
        <v>-9457.4199999998964</v>
      </c>
      <c r="X8" s="30">
        <v>1203.3099999999997</v>
      </c>
      <c r="Y8" s="19">
        <v>1.0608358688931185E-2</v>
      </c>
      <c r="Z8" s="19">
        <v>1.2500000000000001E-2</v>
      </c>
      <c r="AA8" s="19">
        <v>1.0699999999999999E-2</v>
      </c>
      <c r="AB8" s="19">
        <v>8.5000000000000006E-3</v>
      </c>
      <c r="AC8" s="19">
        <v>0</v>
      </c>
      <c r="AD8" s="19">
        <v>0</v>
      </c>
      <c r="AE8" s="19">
        <v>0</v>
      </c>
      <c r="AF8" s="18">
        <f>YEAR(TabelaHistóricoDados[[#This Row],[Mês]])</f>
        <v>2024</v>
      </c>
      <c r="AJ8" s="24" t="str">
        <f>IF(AI8="","",SUMIF(Dados[Custódia],AI8,Dados[Saldo Bruto | Mês Atual]))</f>
        <v/>
      </c>
      <c r="AK8" s="24" t="str">
        <f>IF(AI8="","",SUMIF(Dados[Custódia],AI8,Dados[Movimentaçao | Mês Atual]))</f>
        <v/>
      </c>
      <c r="AL8" s="26" t="str">
        <f t="shared" si="0"/>
        <v/>
      </c>
      <c r="AM8" s="26" t="str">
        <f>IF(AI8="","",_xlfn.XLOOKUP(AI8,Dados[Custódia],Dados[Performance Custódia]))</f>
        <v/>
      </c>
      <c r="AO8" t="str">
        <v>Pós-Fixado</v>
      </c>
      <c r="AP8" s="24">
        <f>IF(AO8="","",SUMIF(Dados[Subclasse],AO8,Dados[Saldo Bruto | Mês Atual]))</f>
        <v>1629642.9500000002</v>
      </c>
      <c r="AQ8" s="24">
        <f>IF(AO8="","",SUMIF(Dados[Movimentaçao | Mês Atual],AO8,Dados[Movimentaçao | Mês Atual]))</f>
        <v>0</v>
      </c>
      <c r="AR8" s="26">
        <f t="shared" si="1"/>
        <v>0.33348508728619325</v>
      </c>
      <c r="AS8" s="26">
        <f>IF(AO8="","",_xlfn.XLOOKUP(AO8,Dados[Subclasse],Dados[Performance SubClasse]))</f>
        <v>1.0749056016727062E-2</v>
      </c>
      <c r="AV8" s="24" t="str">
        <f>IF(AU8="","",SUMIF(Dados[Classe],AU8,Dados[Saldo Bruto | Mês Atual]))</f>
        <v/>
      </c>
      <c r="AW8" s="24" t="str">
        <f>IF(AU8="","",SUMIF(Dados[Classe],AU8,Dados[Movimentaçao | Mês Atual]))</f>
        <v/>
      </c>
      <c r="AX8" s="26" t="str">
        <f t="shared" si="2"/>
        <v/>
      </c>
      <c r="AY8" s="26" t="str">
        <f>IF(AU8="","",_xlfn.XLOOKUP(AU8,Dados[Classe],Dados[Performance Classe]))</f>
        <v/>
      </c>
    </row>
    <row r="9" spans="2:51">
      <c r="B9" t="s">
        <v>60</v>
      </c>
      <c r="C9" t="s">
        <v>47</v>
      </c>
      <c r="D9" t="s">
        <v>148</v>
      </c>
      <c r="E9">
        <f>COUNTIFS(Dados[Subclasse],ClasseSubClasse[[#This Row],[SubClasse]],Dados[Lista?],TRUE)</f>
        <v>0</v>
      </c>
      <c r="G9" s="23"/>
      <c r="H9" s="25" t="str">
        <f>IF(G9="","",SUMIF(Dados[Custódia],G9,Dados[Saldo Bruto | Mês Atual]))</f>
        <v/>
      </c>
      <c r="I9" s="25" t="str">
        <f>IF(G9="","",SUMIF(Dados[Custódia],G9,Dados[Movimentaçao | Mês Atual]))</f>
        <v/>
      </c>
      <c r="J9" s="42" t="str">
        <f>IF(G9="","",SUMIF(Dados[Custódia],G9,Dados[Peso Corrigido | Carteira]))</f>
        <v/>
      </c>
      <c r="K9" s="236"/>
      <c r="L9" s="42" t="str">
        <f>IF(G9="","",_xlfn.XLOOKUP(G9,Dados[Custódia],Dados[Performance Custódia]))</f>
        <v/>
      </c>
      <c r="N9" s="40">
        <v>45383</v>
      </c>
      <c r="O9" s="18" t="s">
        <v>94</v>
      </c>
      <c r="P9" s="18">
        <v>22</v>
      </c>
      <c r="Q9" s="19">
        <v>2.0999999999999999E-3</v>
      </c>
      <c r="R9" s="19">
        <v>8.8999999999999999E-3</v>
      </c>
      <c r="S9" s="19">
        <v>-1.7000000000000001E-2</v>
      </c>
      <c r="T9" s="19">
        <v>3.8E-3</v>
      </c>
      <c r="U9" s="18">
        <v>5.1718000000000002</v>
      </c>
      <c r="V9" s="30">
        <v>5512063.1399999997</v>
      </c>
      <c r="W9" s="30">
        <v>-3441.9399999999587</v>
      </c>
      <c r="X9" s="30">
        <v>1509.1</v>
      </c>
      <c r="Y9" s="19">
        <v>9.0479074790295443E-3</v>
      </c>
      <c r="Z9" s="19">
        <v>1.2699999999999999E-2</v>
      </c>
      <c r="AA9" s="19">
        <v>8.6999999999999994E-3</v>
      </c>
      <c r="AB9" s="19">
        <v>9.2999999999999992E-3</v>
      </c>
      <c r="AC9" s="19">
        <v>0</v>
      </c>
      <c r="AD9" s="19">
        <v>0</v>
      </c>
      <c r="AE9" s="19">
        <v>0</v>
      </c>
      <c r="AF9" s="18">
        <f>YEAR(TabelaHistóricoDados[[#This Row],[Mês]])</f>
        <v>2024</v>
      </c>
      <c r="AI9" s="23"/>
      <c r="AJ9" s="25" t="str">
        <f>IF(AI9="","",SUMIF(Dados[Custódia],AI9,Dados[Saldo Bruto | Mês Atual]))</f>
        <v/>
      </c>
      <c r="AK9" s="25" t="str">
        <f>IF(AI9="","",SUMIF(Dados[Custódia],AI9,Dados[Movimentaçao | Mês Atual]))</f>
        <v/>
      </c>
      <c r="AL9" s="27" t="str">
        <f t="shared" si="0"/>
        <v/>
      </c>
      <c r="AM9" s="27" t="str">
        <f>IF(AI9="","",_xlfn.XLOOKUP(AI9,Dados[Custódia],Dados[Performance Custódia]))</f>
        <v/>
      </c>
      <c r="AO9" s="23" t="str">
        <v>Prefixado</v>
      </c>
      <c r="AP9" s="25">
        <f>IF(AO9="","",SUMIF(Dados[Subclasse],AO9,Dados[Saldo Bruto | Mês Atual]))</f>
        <v>1423940.1900000002</v>
      </c>
      <c r="AQ9" s="25">
        <f>IF(AO9="","",SUMIF(Dados[Movimentaçao | Mês Atual],AO9,Dados[Movimentaçao | Mês Atual]))</f>
        <v>0</v>
      </c>
      <c r="AR9" s="27">
        <f t="shared" si="1"/>
        <v>0.29139071141471118</v>
      </c>
      <c r="AS9" s="27">
        <f>IF(AO9="","",_xlfn.XLOOKUP(AO9,Dados[Subclasse],Dados[Performance SubClasse]))</f>
        <v>5.8097413740659616E-3</v>
      </c>
      <c r="AU9" s="23"/>
      <c r="AV9" s="25" t="str">
        <f>IF(AU9="","",SUMIF(Dados[Classe],AU9,Dados[Saldo Bruto | Mês Atual]))</f>
        <v/>
      </c>
      <c r="AW9" s="25" t="str">
        <f>IF(AU9="","",SUMIF(Dados[Classe],AU9,Dados[Movimentaçao | Mês Atual]))</f>
        <v/>
      </c>
      <c r="AX9" s="27" t="str">
        <f t="shared" si="2"/>
        <v/>
      </c>
      <c r="AY9" s="27" t="str">
        <f>IF(AU9="","",_xlfn.XLOOKUP(AU9,Dados[Classe],Dados[Performance Classe]))</f>
        <v/>
      </c>
    </row>
    <row r="10" spans="2:51" ht="15.75" thickBot="1">
      <c r="B10" t="s">
        <v>48</v>
      </c>
      <c r="C10" t="s">
        <v>47</v>
      </c>
      <c r="D10" t="s">
        <v>149</v>
      </c>
      <c r="E10">
        <f>COUNTIFS(Dados[Subclasse],ClasseSubClasse[[#This Row],[SubClasse]],Dados[Lista?],TRUE)</f>
        <v>1</v>
      </c>
      <c r="J10" s="18"/>
      <c r="K10" s="238"/>
      <c r="L10" s="18"/>
      <c r="N10" s="40">
        <v>45352</v>
      </c>
      <c r="O10" s="18" t="s">
        <v>94</v>
      </c>
      <c r="P10" s="18">
        <v>20</v>
      </c>
      <c r="Q10" s="19">
        <v>3.5999999999999999E-3</v>
      </c>
      <c r="R10" s="19">
        <v>8.3000000000000001E-3</v>
      </c>
      <c r="S10" s="19">
        <v>-7.1000000000000004E-3</v>
      </c>
      <c r="T10" s="19">
        <v>1.6000000000000001E-3</v>
      </c>
      <c r="U10" s="18">
        <v>4.9962</v>
      </c>
      <c r="V10" s="30">
        <v>5470320.2300000004</v>
      </c>
      <c r="W10" s="30">
        <v>1983.2399999999932</v>
      </c>
      <c r="X10" s="30">
        <v>102.61</v>
      </c>
      <c r="Y10" s="19">
        <v>1.1261528023406185E-2</v>
      </c>
      <c r="Z10" s="19">
        <v>1.24E-2</v>
      </c>
      <c r="AA10" s="19">
        <v>1.15E-2</v>
      </c>
      <c r="AB10" s="19">
        <v>8.6390421658060212E-3</v>
      </c>
      <c r="AC10" s="19">
        <v>0</v>
      </c>
      <c r="AD10" s="19">
        <v>0</v>
      </c>
      <c r="AE10" s="19">
        <v>0</v>
      </c>
      <c r="AF10" s="18">
        <f>YEAR(TabelaHistóricoDados[[#This Row],[Mês]])</f>
        <v>2024</v>
      </c>
      <c r="AJ10" s="24" t="str">
        <f>IF(AI10="","",SUMIF(Dados[Custódia],AI10,Dados[Saldo Bruto | Mês Atual]))</f>
        <v/>
      </c>
      <c r="AK10" s="24" t="str">
        <f>IF(AI10="","",SUMIF(Dados[Custódia],AI10,Dados[Movimentaçao | Mês Atual]))</f>
        <v/>
      </c>
      <c r="AL10" s="26" t="str">
        <f t="shared" si="0"/>
        <v/>
      </c>
      <c r="AM10" s="26" t="str">
        <f>IF(AI10="","",_xlfn.XLOOKUP(AI10,Dados[Custódia],Dados[Performance Custódia]))</f>
        <v/>
      </c>
      <c r="AO10" t="str">
        <v>Renda Fixa</v>
      </c>
      <c r="AP10" s="24">
        <f>IF(AO10="","",SUMIF(Dados[Subclasse],AO10,Dados[Saldo Bruto | Mês Atual]))</f>
        <v>694574.54</v>
      </c>
      <c r="AQ10" s="24">
        <f>IF(AO10="","",SUMIF(Dados[Movimentaçao | Mês Atual],AO10,Dados[Movimentaçao | Mês Atual]))</f>
        <v>0</v>
      </c>
      <c r="AR10" s="26">
        <f t="shared" si="1"/>
        <v>0.14213558319548925</v>
      </c>
      <c r="AS10" s="26">
        <f>IF(AO10="","",_xlfn.XLOOKUP(AO10,Dados[Subclasse],Dados[Performance SubClasse]))</f>
        <v>8.042261449637822E-3</v>
      </c>
      <c r="AV10" s="24" t="str">
        <f>IF(AU10="","",SUMIF(Dados[Classe],AU10,Dados[Saldo Bruto | Mês Atual]))</f>
        <v/>
      </c>
      <c r="AW10" s="24" t="str">
        <f>IF(AU10="","",SUMIF(Dados[Classe],AU10,Dados[Movimentaçao | Mês Atual]))</f>
        <v/>
      </c>
      <c r="AX10" s="26" t="str">
        <f t="shared" si="2"/>
        <v/>
      </c>
      <c r="AY10" s="26" t="str">
        <f>IF(AU10="","",_xlfn.XLOOKUP(AU10,Dados[Classe],Dados[Performance Classe]))</f>
        <v/>
      </c>
    </row>
    <row r="11" spans="2:51" ht="15.75" thickBot="1">
      <c r="B11" t="s">
        <v>61</v>
      </c>
      <c r="C11" t="s">
        <v>61</v>
      </c>
      <c r="D11" t="s">
        <v>61</v>
      </c>
      <c r="E11">
        <f>COUNTIFS(Dados[Subclasse],ClasseSubClasse[[#This Row],[SubClasse]],Dados[Lista?],TRUE)</f>
        <v>0</v>
      </c>
      <c r="G11" s="20" t="s">
        <v>79</v>
      </c>
      <c r="H11" s="34">
        <f>SUM(H4:H9)</f>
        <v>4886704.1199999992</v>
      </c>
      <c r="I11" s="34">
        <f>SUM(I4:I9)</f>
        <v>75634.28</v>
      </c>
      <c r="J11" s="21">
        <f>SUM(J4:J9)</f>
        <v>1.0000000000000002</v>
      </c>
      <c r="K11" s="164">
        <f>SUMPRODUCT($J$4:$J$9,$K$4:$K$9)</f>
        <v>0</v>
      </c>
      <c r="L11" s="35">
        <f>SUMPRODUCT($J$4:$J$9,$L$4:$L$9)</f>
        <v>6.7280865242948639E-3</v>
      </c>
      <c r="N11" s="40">
        <v>45323</v>
      </c>
      <c r="O11" s="18" t="s">
        <v>94</v>
      </c>
      <c r="P11" s="18">
        <v>21</v>
      </c>
      <c r="Q11" s="19">
        <v>7.7999999999999996E-3</v>
      </c>
      <c r="R11" s="19">
        <v>8.0000000000000002E-3</v>
      </c>
      <c r="S11" s="19">
        <v>9.9000000000000008E-3</v>
      </c>
      <c r="T11" s="19">
        <v>8.3000000000000001E-3</v>
      </c>
      <c r="U11" s="18">
        <v>4.9832999999999998</v>
      </c>
      <c r="V11" s="30">
        <v>5414351.0599999996</v>
      </c>
      <c r="W11" s="30">
        <v>254731.51999999996</v>
      </c>
      <c r="X11" s="30">
        <v>2085.7799999999997</v>
      </c>
      <c r="Y11" s="19">
        <v>1.0361453850162806E-2</v>
      </c>
      <c r="Z11" s="19">
        <v>1.18E-2</v>
      </c>
      <c r="AA11" s="19">
        <v>1.0500000000000001E-2</v>
      </c>
      <c r="AB11" s="19">
        <v>8.3000000000000001E-3</v>
      </c>
      <c r="AC11" s="19">
        <v>0</v>
      </c>
      <c r="AD11" s="19">
        <v>0</v>
      </c>
      <c r="AE11" s="19">
        <v>0</v>
      </c>
      <c r="AF11" s="18">
        <f>YEAR(TabelaHistóricoDados[[#This Row],[Mês]])</f>
        <v>2024</v>
      </c>
      <c r="AI11" s="23"/>
      <c r="AJ11" s="25" t="str">
        <f>IF(AI11="","",SUMIF(Dados[Custódia],AI11,Dados[Saldo Bruto | Mês Atual]))</f>
        <v/>
      </c>
      <c r="AK11" s="25" t="str">
        <f>IF(AI11="","",SUMIF(Dados[Custódia],AI11,Dados[Movimentaçao | Mês Atual]))</f>
        <v/>
      </c>
      <c r="AL11" s="27" t="str">
        <f t="shared" si="0"/>
        <v/>
      </c>
      <c r="AM11" s="27" t="str">
        <f>IF(AI11="","",_xlfn.XLOOKUP(AI11,Dados[Custódia],Dados[Performance Custódia]))</f>
        <v/>
      </c>
      <c r="AO11" s="23"/>
      <c r="AP11" s="25" t="str">
        <f>IF(AO11="","",SUMIF(Dados[Subclasse],AO11,Dados[Saldo Bruto | Mês Atual]))</f>
        <v/>
      </c>
      <c r="AQ11" s="25" t="str">
        <f>IF(AO11="","",SUMIF(Dados[Movimentaçao | Mês Atual],AO11,Dados[Movimentaçao | Mês Atual]))</f>
        <v/>
      </c>
      <c r="AR11" s="27" t="str">
        <f t="shared" si="1"/>
        <v/>
      </c>
      <c r="AS11" s="27" t="str">
        <f>IF(AO11="","",_xlfn.XLOOKUP(AO11,Dados[Subclasse],Dados[Performance SubClasse]))</f>
        <v/>
      </c>
      <c r="AU11" s="23"/>
      <c r="AV11" s="25" t="str">
        <f>IF(AU11="","",SUMIF(Dados[Classe],AU11,Dados[Saldo Bruto | Mês Atual]))</f>
        <v/>
      </c>
      <c r="AW11" s="25" t="str">
        <f>IF(AU11="","",SUMIF(Dados[Classe],AU11,Dados[Movimentaçao | Mês Atual]))</f>
        <v/>
      </c>
      <c r="AX11" s="27" t="str">
        <f t="shared" si="2"/>
        <v/>
      </c>
      <c r="AY11" s="27" t="str">
        <f>IF(AU11="","",_xlfn.XLOOKUP(AU11,Dados[Classe],Dados[Performance Classe]))</f>
        <v/>
      </c>
    </row>
    <row r="12" spans="2:51">
      <c r="B12" t="s">
        <v>41</v>
      </c>
      <c r="C12" t="s">
        <v>51</v>
      </c>
      <c r="D12" t="s">
        <v>41</v>
      </c>
      <c r="E12">
        <f>COUNTIFS(Dados[Subclasse],ClasseSubClasse[[#This Row],[SubClasse]],Dados[Lista?],TRUE)</f>
        <v>2</v>
      </c>
      <c r="N12" s="40">
        <v>45292</v>
      </c>
      <c r="O12" s="18" t="s">
        <v>94</v>
      </c>
      <c r="P12" s="18">
        <v>21</v>
      </c>
      <c r="Q12" s="19">
        <v>3.0999999999999999E-3</v>
      </c>
      <c r="R12" s="19">
        <v>9.7000000000000003E-3</v>
      </c>
      <c r="S12" s="19">
        <v>-4.7899999999999998E-2</v>
      </c>
      <c r="T12" s="19">
        <v>4.1999999999999997E-3</v>
      </c>
      <c r="U12" s="18">
        <v>4.9535</v>
      </c>
      <c r="V12" s="30">
        <v>5111174.74</v>
      </c>
      <c r="W12" s="30">
        <v>-2285.1900000000437</v>
      </c>
      <c r="X12" s="30">
        <v>2692.4395904825165</v>
      </c>
      <c r="Y12" s="19">
        <v>1.0861781214877405E-2</v>
      </c>
      <c r="Z12" s="19">
        <v>1.29E-2</v>
      </c>
      <c r="AA12" s="19">
        <v>1.0800000000000001E-2</v>
      </c>
      <c r="AB12" s="19">
        <v>9.9000000000000008E-3</v>
      </c>
      <c r="AC12" s="19"/>
      <c r="AD12" s="19"/>
      <c r="AE12" s="19"/>
      <c r="AF12" s="18">
        <f>YEAR(TabelaHistóricoDados[[#This Row],[Mês]])</f>
        <v>2024</v>
      </c>
      <c r="AJ12" s="24" t="str">
        <f>IF(AI12="","",SUMIF(Dados[Custódia],AI12,Dados[Saldo Bruto | Mês Atual]))</f>
        <v/>
      </c>
      <c r="AK12" s="24" t="str">
        <f>IF(AI12="","",SUMIF(Dados[Custódia],AI12,Dados[Movimentaçao | Mês Atual]))</f>
        <v/>
      </c>
      <c r="AL12" s="26" t="str">
        <f t="shared" si="0"/>
        <v/>
      </c>
      <c r="AM12" s="26" t="str">
        <f>IF(AI12="","",_xlfn.XLOOKUP(AI12,Dados[Custódia],Dados[Performance Custódia]))</f>
        <v/>
      </c>
      <c r="AP12" s="24" t="str">
        <f>IF(AO12="","",SUMIF(Dados[Subclasse],AO12,Dados[Saldo Bruto | Mês Atual]))</f>
        <v/>
      </c>
      <c r="AQ12" s="24" t="str">
        <f>IF(AO12="","",SUMIF(Dados[Movimentaçao | Mês Atual],AO12,Dados[Movimentaçao | Mês Atual]))</f>
        <v/>
      </c>
      <c r="AR12" s="26" t="str">
        <f t="shared" si="1"/>
        <v/>
      </c>
      <c r="AS12" s="26" t="str">
        <f>IF(AO12="","",_xlfn.XLOOKUP(AO12,Dados[Subclasse],Dados[Performance SubClasse]))</f>
        <v/>
      </c>
      <c r="AV12" s="24" t="str">
        <f>IF(AU12="","",SUMIF(Dados[Classe],AU12,Dados[Saldo Bruto | Mês Atual]))</f>
        <v/>
      </c>
      <c r="AW12" s="24" t="str">
        <f>IF(AU12="","",SUMIF(Dados[Classe],AU12,Dados[Movimentaçao | Mês Atual]))</f>
        <v/>
      </c>
      <c r="AX12" s="26" t="str">
        <f t="shared" si="2"/>
        <v/>
      </c>
      <c r="AY12" s="26" t="str">
        <f>IF(AU12="","",_xlfn.XLOOKUP(AU12,Dados[Classe],Dados[Performance Classe]))</f>
        <v/>
      </c>
    </row>
    <row r="13" spans="2:51">
      <c r="B13" t="s">
        <v>62</v>
      </c>
      <c r="C13" t="s">
        <v>51</v>
      </c>
      <c r="D13" t="s">
        <v>62</v>
      </c>
      <c r="E13">
        <f>COUNTIFS(Dados[Subclasse],ClasseSubClasse[[#This Row],[SubClasse]],Dados[Lista?],TRUE)</f>
        <v>0</v>
      </c>
      <c r="N13" s="40">
        <v>45261</v>
      </c>
      <c r="O13" s="18" t="s">
        <v>94</v>
      </c>
      <c r="P13" s="18">
        <v>19</v>
      </c>
      <c r="Q13" s="19">
        <v>5.5999999999999999E-3</v>
      </c>
      <c r="R13" s="19">
        <v>8.8999999999999999E-3</v>
      </c>
      <c r="S13" s="19">
        <v>5.3800000000000001E-2</v>
      </c>
      <c r="T13" s="19">
        <v>5.5999999999999999E-3</v>
      </c>
      <c r="U13" s="18">
        <v>4.8413000000000004</v>
      </c>
      <c r="V13" s="30">
        <v>5061293.9194766227</v>
      </c>
      <c r="W13" s="30">
        <v>-1218.480000000025</v>
      </c>
      <c r="X13" s="30">
        <v>1027.46</v>
      </c>
      <c r="Y13" s="19">
        <v>1.0845988849807937E-2</v>
      </c>
      <c r="Z13" s="19">
        <v>1.2E-2</v>
      </c>
      <c r="AA13" s="19">
        <v>1.0999999999999999E-2</v>
      </c>
      <c r="AB13" s="19">
        <v>9.1999999999999998E-3</v>
      </c>
      <c r="AC13" s="19"/>
      <c r="AD13" s="19"/>
      <c r="AE13" s="19"/>
      <c r="AF13" s="18">
        <f>YEAR(TabelaHistóricoDados[[#This Row],[Mês]])</f>
        <v>2023</v>
      </c>
      <c r="AI13" s="23"/>
      <c r="AJ13" s="25" t="str">
        <f>IF(AI13="","",SUMIF(Dados[Custódia],AI13,Dados[Saldo Bruto | Mês Atual]))</f>
        <v/>
      </c>
      <c r="AK13" s="25" t="str">
        <f>IF(AI13="","",SUMIF(Dados[Custódia],AI13,Dados[Movimentaçao | Mês Atual]))</f>
        <v/>
      </c>
      <c r="AL13" s="27" t="str">
        <f t="shared" si="0"/>
        <v/>
      </c>
      <c r="AM13" s="27" t="str">
        <f>IF(AI13="","",_xlfn.XLOOKUP(AI13,Dados[Custódia],Dados[Performance Custódia]))</f>
        <v/>
      </c>
      <c r="AO13" s="23"/>
      <c r="AP13" s="25" t="str">
        <f>IF(AO13="","",SUMIF(Dados[Subclasse],AO13,Dados[Saldo Bruto | Mês Atual]))</f>
        <v/>
      </c>
      <c r="AQ13" s="25" t="str">
        <f>IF(AO13="","",SUMIF(Dados[Movimentaçao | Mês Atual],AO13,Dados[Movimentaçao | Mês Atual]))</f>
        <v/>
      </c>
      <c r="AR13" s="27" t="str">
        <f t="shared" si="1"/>
        <v/>
      </c>
      <c r="AS13" s="27" t="str">
        <f>IF(AO13="","",_xlfn.XLOOKUP(AO13,Dados[Subclasse],Dados[Performance SubClasse]))</f>
        <v/>
      </c>
      <c r="AU13" s="23"/>
      <c r="AV13" s="25" t="str">
        <f>IF(AU13="","",SUMIF(Dados[Classe],AU13,Dados[Saldo Bruto | Mês Atual]))</f>
        <v/>
      </c>
      <c r="AW13" s="25" t="str">
        <f>IF(AU13="","",SUMIF(Dados[Classe],AU13,Dados[Movimentaçao | Mês Atual]))</f>
        <v/>
      </c>
      <c r="AX13" s="27" t="str">
        <f t="shared" si="2"/>
        <v/>
      </c>
      <c r="AY13" s="27" t="str">
        <f>IF(AU13="","",_xlfn.XLOOKUP(AU13,Dados[Classe],Dados[Performance Classe]))</f>
        <v/>
      </c>
    </row>
    <row r="14" spans="2:51">
      <c r="B14" t="s">
        <v>195</v>
      </c>
      <c r="C14" t="s">
        <v>51</v>
      </c>
      <c r="D14" t="s">
        <v>195</v>
      </c>
      <c r="E14">
        <f>COUNTIFS(Dados[Subclasse],ClasseSubClasse[[#This Row],[SubClasse]],Dados[Lista?],TRUE)</f>
        <v>0</v>
      </c>
      <c r="N14" s="40">
        <v>45231</v>
      </c>
      <c r="O14" s="18" t="s">
        <v>94</v>
      </c>
      <c r="P14" s="18">
        <v>20</v>
      </c>
      <c r="Q14" s="19">
        <v>3.3E-3</v>
      </c>
      <c r="R14" s="19">
        <v>9.1999999999999998E-3</v>
      </c>
      <c r="S14" s="19">
        <v>0.12540000000000001</v>
      </c>
      <c r="T14" s="19">
        <v>2.8E-3</v>
      </c>
      <c r="U14" s="18">
        <v>4.9355000000000002</v>
      </c>
      <c r="V14" s="30">
        <v>5011284.97</v>
      </c>
      <c r="W14" s="30">
        <v>-4285.7399999999816</v>
      </c>
      <c r="X14" s="30">
        <v>143.08000000000001</v>
      </c>
      <c r="Y14" s="19">
        <v>1.17E-2</v>
      </c>
      <c r="Z14" s="19">
        <v>1.17E-2</v>
      </c>
      <c r="AA14" s="19">
        <v>9.7999999999999997E-3</v>
      </c>
      <c r="AB14" s="19">
        <v>1.8599999999999998E-2</v>
      </c>
      <c r="AC14" s="19"/>
      <c r="AD14" s="19"/>
      <c r="AE14" s="19"/>
      <c r="AF14" s="18">
        <f>YEAR(TabelaHistóricoDados[[#This Row],[Mês]])</f>
        <v>2023</v>
      </c>
      <c r="AJ14" s="24" t="str">
        <f>IF(AI14="","",SUMIF(Dados[Custódia],AI14,Dados[Saldo Bruto | Mês Atual]))</f>
        <v/>
      </c>
      <c r="AK14" s="24" t="str">
        <f>IF(AI14="","",SUMIF(Dados[Custódia],AI14,Dados[Movimentaçao | Mês Atual]))</f>
        <v/>
      </c>
      <c r="AL14" s="26" t="str">
        <f t="shared" si="0"/>
        <v/>
      </c>
      <c r="AM14" s="26" t="str">
        <f>IF(AI14="","",_xlfn.XLOOKUP(AI14,Dados[Custódia],Dados[Performance Custódia]))</f>
        <v/>
      </c>
      <c r="AP14" s="24" t="str">
        <f>IF(AO14="","",SUMIF(Dados[Subclasse],AO14,Dados[Saldo Bruto | Mês Atual]))</f>
        <v/>
      </c>
      <c r="AQ14" s="24" t="str">
        <f>IF(AO14="","",SUMIF(Dados[Movimentaçao | Mês Atual],AO14,Dados[Movimentaçao | Mês Atual]))</f>
        <v/>
      </c>
      <c r="AR14" s="26" t="str">
        <f t="shared" si="1"/>
        <v/>
      </c>
      <c r="AS14" s="26" t="str">
        <f>IF(AO14="","",_xlfn.XLOOKUP(AO14,Dados[Subclasse],Dados[Performance SubClasse]))</f>
        <v/>
      </c>
      <c r="AV14" s="24" t="str">
        <f>IF(AU14="","",SUMIF(Dados[Classe],AU14,Dados[Saldo Bruto | Mês Atual]))</f>
        <v/>
      </c>
      <c r="AW14" s="24" t="str">
        <f>IF(AU14="","",SUMIF(Dados[Classe],AU14,Dados[Movimentaçao | Mês Atual]))</f>
        <v/>
      </c>
      <c r="AX14" s="26" t="str">
        <f t="shared" si="2"/>
        <v/>
      </c>
      <c r="AY14" s="26" t="str">
        <f>IF(AU14="","",_xlfn.XLOOKUP(AU14,Dados[Classe],Dados[Performance Classe]))</f>
        <v/>
      </c>
    </row>
    <row r="15" spans="2:51">
      <c r="B15" t="s">
        <v>52</v>
      </c>
      <c r="C15" t="s">
        <v>194</v>
      </c>
      <c r="D15" t="s">
        <v>152</v>
      </c>
      <c r="E15">
        <f>COUNTIFS(Dados[Subclasse],ClasseSubClasse[[#This Row],[SubClasse]],Dados[Lista?],TRUE)</f>
        <v>2</v>
      </c>
      <c r="N15" s="40">
        <v>45200</v>
      </c>
      <c r="O15" s="18" t="s">
        <v>94</v>
      </c>
      <c r="P15" s="18">
        <v>21</v>
      </c>
      <c r="Q15" s="19">
        <v>2.0999999999999999E-3</v>
      </c>
      <c r="R15" s="19">
        <v>0.01</v>
      </c>
      <c r="S15" s="19">
        <v>-2.9399999999999999E-2</v>
      </c>
      <c r="T15" s="19">
        <v>2.3999999999999998E-3</v>
      </c>
      <c r="U15" s="18">
        <v>5.0575000000000001</v>
      </c>
      <c r="V15" s="30">
        <v>4965396.2347996775</v>
      </c>
      <c r="W15" s="30"/>
      <c r="X15" s="30">
        <v>153.52000000000001</v>
      </c>
      <c r="Y15" s="19">
        <v>8.5000000000000006E-3</v>
      </c>
      <c r="Z15" s="19">
        <v>1.24E-2</v>
      </c>
      <c r="AA15" s="19">
        <v>1.0699999999999999E-2</v>
      </c>
      <c r="AB15" s="19">
        <v>-4.7000000000000002E-3</v>
      </c>
      <c r="AC15" s="19"/>
      <c r="AD15" s="19"/>
      <c r="AE15" s="19"/>
      <c r="AF15" s="18">
        <f>YEAR(TabelaHistóricoDados[[#This Row],[Mês]])</f>
        <v>2023</v>
      </c>
      <c r="AI15" s="23"/>
      <c r="AJ15" s="25" t="str">
        <f>IF(AI15="","",SUMIF(Dados[Custódia],AI15,Dados[Saldo Bruto | Mês Atual]))</f>
        <v/>
      </c>
      <c r="AK15" s="25" t="str">
        <f>IF(AI15="","",SUMIF(Dados[Custódia],AI15,Dados[Movimentaçao | Mês Atual]))</f>
        <v/>
      </c>
      <c r="AL15" s="27" t="str">
        <f t="shared" si="0"/>
        <v/>
      </c>
      <c r="AM15" s="27" t="str">
        <f>IF(AI15="","",_xlfn.XLOOKUP(AI15,Dados[Custódia],Dados[Performance Custódia]))</f>
        <v/>
      </c>
      <c r="AO15" s="23"/>
      <c r="AP15" s="25" t="str">
        <f>IF(AO15="","",SUMIF(Dados[Subclasse],AO15,Dados[Saldo Bruto | Mês Atual]))</f>
        <v/>
      </c>
      <c r="AQ15" s="25" t="str">
        <f>IF(AO15="","",SUMIF(Dados[Movimentaçao | Mês Atual],AO15,Dados[Movimentaçao | Mês Atual]))</f>
        <v/>
      </c>
      <c r="AR15" s="27" t="str">
        <f t="shared" si="1"/>
        <v/>
      </c>
      <c r="AS15" s="27" t="str">
        <f>IF(AO15="","",_xlfn.XLOOKUP(AO15,Dados[Subclasse],Dados[Performance SubClasse]))</f>
        <v/>
      </c>
      <c r="AU15" s="23"/>
      <c r="AV15" s="25" t="str">
        <f>IF(AU15="","",SUMIF(Dados[Classe],AU15,Dados[Saldo Bruto | Mês Atual]))</f>
        <v/>
      </c>
      <c r="AW15" s="25" t="str">
        <f>IF(AU15="","",SUMIF(Dados[Classe],AU15,Dados[Movimentaçao | Mês Atual]))</f>
        <v/>
      </c>
      <c r="AX15" s="27" t="str">
        <f t="shared" si="2"/>
        <v/>
      </c>
      <c r="AY15" s="27" t="str">
        <f>IF(AU15="","",_xlfn.XLOOKUP(AU15,Dados[Classe],Dados[Performance Classe]))</f>
        <v/>
      </c>
    </row>
    <row r="16" spans="2:51">
      <c r="B16" t="s">
        <v>134</v>
      </c>
      <c r="C16" t="s">
        <v>194</v>
      </c>
      <c r="D16" t="s">
        <v>153</v>
      </c>
      <c r="E16">
        <f>COUNTIFS(Dados[Subclasse],ClasseSubClasse[[#This Row],[SubClasse]],Dados[Lista?],TRUE)</f>
        <v>0</v>
      </c>
      <c r="N16" s="40">
        <v>45170</v>
      </c>
      <c r="O16" s="18" t="s">
        <v>94</v>
      </c>
      <c r="P16" s="18">
        <v>20</v>
      </c>
      <c r="Q16" s="19">
        <v>3.5000000000000001E-3</v>
      </c>
      <c r="R16" s="19">
        <v>9.7000000000000003E-3</v>
      </c>
      <c r="S16" s="19">
        <v>7.1000000000000004E-3</v>
      </c>
      <c r="T16" s="19">
        <v>2.5999999999999999E-3</v>
      </c>
      <c r="U16" s="18">
        <v>5.0076000000000001</v>
      </c>
      <c r="V16" s="30">
        <v>4921373.2809390696</v>
      </c>
      <c r="W16" s="30"/>
      <c r="X16" s="30">
        <v>3147.56</v>
      </c>
      <c r="Y16" s="19">
        <v>7.9000000000000008E-3</v>
      </c>
      <c r="Z16" s="19">
        <v>1.18E-2</v>
      </c>
      <c r="AA16" s="19">
        <v>1.04E-2</v>
      </c>
      <c r="AB16" s="19">
        <v>-1.3899999999999999E-2</v>
      </c>
      <c r="AC16" s="19"/>
      <c r="AD16" s="19"/>
      <c r="AE16" s="19"/>
      <c r="AF16" s="18">
        <f>YEAR(TabelaHistóricoDados[[#This Row],[Mês]])</f>
        <v>2023</v>
      </c>
      <c r="AJ16" s="24" t="str">
        <f>IF(AI16="","",SUMIF(Dados[Custódia],AI16,Dados[Saldo Bruto | Mês Atual]))</f>
        <v/>
      </c>
      <c r="AK16" s="24" t="str">
        <f>IF(AI16="","",SUMIF(Dados[Custódia],AI16,Dados[Movimentaçao | Mês Atual]))</f>
        <v/>
      </c>
      <c r="AL16" s="26" t="str">
        <f t="shared" si="0"/>
        <v/>
      </c>
      <c r="AM16" s="26" t="str">
        <f>IF(AI16="","",_xlfn.XLOOKUP(AI16,Dados[Custódia],Dados[Performance Custódia]))</f>
        <v/>
      </c>
      <c r="AP16" s="24" t="str">
        <f>IF(AO16="","",SUMIF(Dados[Subclasse],AO16,Dados[Saldo Bruto | Mês Atual]))</f>
        <v/>
      </c>
      <c r="AQ16" s="24" t="str">
        <f>IF(AO16="","",SUMIF(Dados[Movimentaçao | Mês Atual],AO16,Dados[Movimentaçao | Mês Atual]))</f>
        <v/>
      </c>
      <c r="AR16" s="26" t="str">
        <f t="shared" si="1"/>
        <v/>
      </c>
      <c r="AS16" s="26" t="str">
        <f>IF(AO16="","",_xlfn.XLOOKUP(AO16,Dados[Subclasse],Dados[Performance SubClasse]))</f>
        <v/>
      </c>
      <c r="AV16" s="24" t="str">
        <f>IF(AU16="","",SUMIF(Dados[Classe],AU16,Dados[Saldo Bruto | Mês Atual]))</f>
        <v/>
      </c>
      <c r="AW16" s="24" t="str">
        <f>IF(AU16="","",SUMIF(Dados[Classe],AU16,Dados[Movimentaçao | Mês Atual]))</f>
        <v/>
      </c>
      <c r="AX16" s="26" t="str">
        <f t="shared" si="2"/>
        <v/>
      </c>
      <c r="AY16" s="26" t="str">
        <f>IF(AU16="","",_xlfn.XLOOKUP(AU16,Dados[Classe],Dados[Performance Classe]))</f>
        <v/>
      </c>
    </row>
    <row r="17" spans="2:51">
      <c r="B17" t="s">
        <v>45</v>
      </c>
      <c r="C17" t="s">
        <v>194</v>
      </c>
      <c r="D17" t="s">
        <v>145</v>
      </c>
      <c r="E17">
        <f>COUNTIFS(Dados[Subclasse],ClasseSubClasse[[#This Row],[SubClasse]],Dados[Lista?],TRUE)</f>
        <v>0</v>
      </c>
      <c r="N17" s="40">
        <v>45139</v>
      </c>
      <c r="O17" s="18" t="s">
        <v>94</v>
      </c>
      <c r="P17" s="18">
        <v>23</v>
      </c>
      <c r="Q17" s="19">
        <v>2.8E-3</v>
      </c>
      <c r="R17" s="19">
        <v>1.14E-2</v>
      </c>
      <c r="S17" s="19">
        <v>-5.0900000000000001E-2</v>
      </c>
      <c r="T17" s="19">
        <v>2.3E-3</v>
      </c>
      <c r="U17" s="18">
        <v>4.9218999999999999</v>
      </c>
      <c r="V17" s="30">
        <v>4895776.5467528747</v>
      </c>
      <c r="W17" s="30"/>
      <c r="X17" s="30">
        <v>4054.46</v>
      </c>
      <c r="Y17" s="19">
        <v>0.01</v>
      </c>
      <c r="Z17" s="19">
        <v>1.3599999999999999E-2</v>
      </c>
      <c r="AA17" s="19">
        <v>1.37E-2</v>
      </c>
      <c r="AB17" s="19">
        <v>-8.0000000000000002E-3</v>
      </c>
      <c r="AC17" s="19"/>
      <c r="AD17" s="19"/>
      <c r="AE17" s="19"/>
      <c r="AF17" s="18">
        <f>YEAR(TabelaHistóricoDados[[#This Row],[Mês]])</f>
        <v>2023</v>
      </c>
      <c r="AI17" s="23"/>
      <c r="AJ17" s="25" t="str">
        <f>IF(AI17="","",SUMIF(Dados[Custódia],AI17,Dados[Saldo Bruto | Mês Atual]))</f>
        <v/>
      </c>
      <c r="AK17" s="25" t="str">
        <f>IF(AI17="","",SUMIF(Dados[Custódia],AI17,Dados[Movimentaçao | Mês Atual]))</f>
        <v/>
      </c>
      <c r="AL17" s="27" t="str">
        <f t="shared" si="0"/>
        <v/>
      </c>
      <c r="AM17" s="27" t="str">
        <f>IF(AI17="","",_xlfn.XLOOKUP(AI17,Dados[Custódia],Dados[Performance Custódia]))</f>
        <v/>
      </c>
      <c r="AO17" s="23"/>
      <c r="AP17" s="25" t="str">
        <f>IF(AO17="","",SUMIF(Dados[Subclasse],AO17,Dados[Saldo Bruto | Mês Atual]))</f>
        <v/>
      </c>
      <c r="AQ17" s="25" t="str">
        <f>IF(AO17="","",SUMIF(Dados[Movimentaçao | Mês Atual],AO17,Dados[Movimentaçao | Mês Atual]))</f>
        <v/>
      </c>
      <c r="AR17" s="27" t="str">
        <f t="shared" si="1"/>
        <v/>
      </c>
      <c r="AS17" s="27" t="str">
        <f>IF(AO17="","",_xlfn.XLOOKUP(AO17,Dados[Subclasse],Dados[Performance SubClasse]))</f>
        <v/>
      </c>
      <c r="AU17" s="23"/>
      <c r="AV17" s="25" t="str">
        <f>IF(AU17="","",SUMIF(Dados[Classe],AU17,Dados[Saldo Bruto | Mês Atual]))</f>
        <v/>
      </c>
      <c r="AW17" s="25" t="str">
        <f>IF(AU17="","",SUMIF(Dados[Classe],AU17,Dados[Movimentaçao | Mês Atual]))</f>
        <v/>
      </c>
      <c r="AX17" s="27" t="str">
        <f t="shared" si="2"/>
        <v/>
      </c>
      <c r="AY17" s="27" t="str">
        <f>IF(AU17="","",_xlfn.XLOOKUP(AU17,Dados[Classe],Dados[Performance Classe]))</f>
        <v/>
      </c>
    </row>
    <row r="18" spans="2:51">
      <c r="B18" t="s">
        <v>53</v>
      </c>
      <c r="C18" t="s">
        <v>194</v>
      </c>
      <c r="D18" t="s">
        <v>150</v>
      </c>
      <c r="E18">
        <f>COUNTIFS(Dados[Subclasse],ClasseSubClasse[[#This Row],[SubClasse]],Dados[Lista?],TRUE)</f>
        <v>2</v>
      </c>
      <c r="N18" s="40">
        <v>45108</v>
      </c>
      <c r="O18" s="18" t="s">
        <v>94</v>
      </c>
      <c r="P18" s="18">
        <v>21</v>
      </c>
      <c r="Q18" s="19">
        <v>6.9999999999999999E-4</v>
      </c>
      <c r="R18" s="19">
        <v>1.0699999999999999E-2</v>
      </c>
      <c r="S18" s="19">
        <v>3.27E-2</v>
      </c>
      <c r="T18" s="19">
        <v>1.1999999999999999E-3</v>
      </c>
      <c r="U18" s="18">
        <v>4.7412000000000001</v>
      </c>
      <c r="V18" s="30">
        <v>4853844.3536684792</v>
      </c>
      <c r="W18" s="30"/>
      <c r="X18" s="30">
        <v>160.38999999999999</v>
      </c>
      <c r="Y18" s="19">
        <v>8.9999999999999993E-3</v>
      </c>
      <c r="Z18" s="19">
        <v>1.2500000000000001E-2</v>
      </c>
      <c r="AA18" s="19">
        <v>9.4999999999999998E-3</v>
      </c>
      <c r="AB18" s="19">
        <v>1.6299999999999999E-2</v>
      </c>
      <c r="AC18" s="19"/>
      <c r="AD18" s="19"/>
      <c r="AE18" s="19"/>
      <c r="AF18" s="18">
        <f>YEAR(TabelaHistóricoDados[[#This Row],[Mês]])</f>
        <v>2023</v>
      </c>
      <c r="AJ18" s="24" t="str">
        <f>IF(AI18="","",SUMIF(Dados[Custódia],AI18,Dados[Saldo Bruto | Mês Atual]))</f>
        <v/>
      </c>
      <c r="AK18" s="24" t="str">
        <f>IF(AI18="","",SUMIF(Dados[Custódia],AI18,Dados[Movimentaçao | Mês Atual]))</f>
        <v/>
      </c>
      <c r="AL18" s="26" t="str">
        <f t="shared" si="0"/>
        <v/>
      </c>
      <c r="AM18" s="26" t="str">
        <f>IF(AI18="","",_xlfn.XLOOKUP(AI18,Dados[Custódia],Dados[Performance Custódia]))</f>
        <v/>
      </c>
      <c r="AP18" s="24" t="str">
        <f>IF(AO18="","",SUMIF(Dados[Subclasse],AO18,Dados[Saldo Bruto | Mês Atual]))</f>
        <v/>
      </c>
      <c r="AQ18" s="24" t="str">
        <f>IF(AO18="","",SUMIF(Dados[Movimentaçao | Mês Atual],AO18,Dados[Movimentaçao | Mês Atual]))</f>
        <v/>
      </c>
      <c r="AR18" s="26" t="str">
        <f t="shared" si="1"/>
        <v/>
      </c>
      <c r="AS18" s="26" t="str">
        <f>IF(AO18="","",_xlfn.XLOOKUP(AO18,Dados[Subclasse],Dados[Performance SubClasse]))</f>
        <v/>
      </c>
      <c r="AV18" s="24" t="str">
        <f>IF(AU18="","",SUMIF(Dados[Classe],AU18,Dados[Saldo Bruto | Mês Atual]))</f>
        <v/>
      </c>
      <c r="AW18" s="24" t="str">
        <f>IF(AU18="","",SUMIF(Dados[Classe],AU18,Dados[Movimentaçao | Mês Atual]))</f>
        <v/>
      </c>
      <c r="AX18" s="26" t="str">
        <f t="shared" si="2"/>
        <v/>
      </c>
      <c r="AY18" s="26" t="str">
        <f>IF(AU18="","",_xlfn.XLOOKUP(AU18,Dados[Classe],Dados[Performance Classe]))</f>
        <v/>
      </c>
    </row>
    <row r="19" spans="2:51">
      <c r="B19" t="s">
        <v>54</v>
      </c>
      <c r="C19" t="s">
        <v>194</v>
      </c>
      <c r="D19" t="s">
        <v>151</v>
      </c>
      <c r="E19">
        <f>COUNTIFS(Dados[Subclasse],ClasseSubClasse[[#This Row],[SubClasse]],Dados[Lista?],TRUE)</f>
        <v>0</v>
      </c>
      <c r="N19" s="40">
        <v>45078</v>
      </c>
      <c r="O19" s="18" t="s">
        <v>94</v>
      </c>
      <c r="P19" s="18"/>
      <c r="Q19" s="19"/>
      <c r="R19" s="19">
        <v>1.0699999999999999E-2</v>
      </c>
      <c r="S19" s="19">
        <v>0.09</v>
      </c>
      <c r="T19" s="19">
        <v>-8.0000000000000004E-4</v>
      </c>
      <c r="U19" s="18">
        <v>4.8192000000000004</v>
      </c>
      <c r="V19" s="30">
        <v>4756166.4885244332</v>
      </c>
      <c r="W19" s="30"/>
      <c r="X19" s="30">
        <v>157.5</v>
      </c>
      <c r="Y19" s="19">
        <v>7.6E-3</v>
      </c>
      <c r="Z19" s="19">
        <v>1.2500000000000001E-2</v>
      </c>
      <c r="AA19" s="19">
        <v>4.7999999999999996E-3</v>
      </c>
      <c r="AB19" s="19">
        <v>2.9100000000000001E-2</v>
      </c>
      <c r="AC19" s="19"/>
      <c r="AD19" s="19"/>
      <c r="AE19" s="19"/>
      <c r="AF19" s="18">
        <f>YEAR(TabelaHistóricoDados[[#This Row],[Mês]])</f>
        <v>2023</v>
      </c>
      <c r="AI19" s="23"/>
      <c r="AJ19" s="25" t="str">
        <f>IF(AI19="","",SUMIF(Dados[Custódia],AI19,Dados[Saldo Bruto | Mês Atual]))</f>
        <v/>
      </c>
      <c r="AK19" s="25" t="str">
        <f>IF(AI19="","",SUMIF(Dados[Custódia],AI19,Dados[Movimentaçao | Mês Atual]))</f>
        <v/>
      </c>
      <c r="AL19" s="27" t="str">
        <f t="shared" si="0"/>
        <v/>
      </c>
      <c r="AM19" s="27" t="str">
        <f>IF(AI19="","",_xlfn.XLOOKUP(AI19,Dados[Custódia],Dados[Performance Custódia]))</f>
        <v/>
      </c>
      <c r="AO19" s="23"/>
      <c r="AP19" s="25" t="str">
        <f>IF(AO19="","",SUMIF(Dados[Subclasse],AO19,Dados[Saldo Bruto | Mês Atual]))</f>
        <v/>
      </c>
      <c r="AQ19" s="25" t="str">
        <f>IF(AO19="","",SUMIF(Dados[Movimentaçao | Mês Atual],AO19,Dados[Movimentaçao | Mês Atual]))</f>
        <v/>
      </c>
      <c r="AR19" s="27" t="str">
        <f t="shared" si="1"/>
        <v/>
      </c>
      <c r="AS19" s="27" t="str">
        <f>IF(AO19="","",_xlfn.XLOOKUP(AO19,Dados[Subclasse],Dados[Performance SubClasse]))</f>
        <v/>
      </c>
      <c r="AU19" s="23"/>
      <c r="AV19" s="25" t="str">
        <f>IF(AU19="","",SUMIF(Dados[Classe],AU19,Dados[Saldo Bruto | Mês Atual]))</f>
        <v/>
      </c>
      <c r="AW19" s="25" t="str">
        <f>IF(AU19="","",SUMIF(Dados[Classe],AU19,Dados[Movimentaçao | Mês Atual]))</f>
        <v/>
      </c>
      <c r="AX19" s="27" t="str">
        <f t="shared" si="2"/>
        <v/>
      </c>
      <c r="AY19" s="27" t="str">
        <f>IF(AU19="","",_xlfn.XLOOKUP(AU19,Dados[Classe],Dados[Performance Classe]))</f>
        <v/>
      </c>
    </row>
    <row r="20" spans="2:51">
      <c r="B20" t="s">
        <v>55</v>
      </c>
      <c r="C20" t="s">
        <v>56</v>
      </c>
      <c r="D20" t="s">
        <v>155</v>
      </c>
      <c r="E20">
        <f>COUNTIFS(Dados[Subclasse],ClasseSubClasse[[#This Row],[SubClasse]],Dados[Lista?],TRUE)</f>
        <v>0</v>
      </c>
      <c r="N20" s="40">
        <v>45047</v>
      </c>
      <c r="O20" s="18" t="s">
        <v>94</v>
      </c>
      <c r="P20" s="18"/>
      <c r="Q20" s="19"/>
      <c r="R20" s="19">
        <v>1.12E-2</v>
      </c>
      <c r="S20" s="19">
        <v>3.7400000000000003E-2</v>
      </c>
      <c r="T20" s="19">
        <v>2.3E-3</v>
      </c>
      <c r="U20" s="18">
        <v>5.0959000000000003</v>
      </c>
      <c r="V20" s="30">
        <v>4771000</v>
      </c>
      <c r="W20" s="30"/>
      <c r="X20" s="30">
        <v>178.44</v>
      </c>
      <c r="Y20" s="19">
        <v>1.11E-2</v>
      </c>
      <c r="Z20" s="19">
        <v>1.3100000000000001E-2</v>
      </c>
      <c r="AA20" s="19">
        <v>1.1599999999999999E-2</v>
      </c>
      <c r="AB20" s="19">
        <v>6.3E-3</v>
      </c>
      <c r="AC20" s="19"/>
      <c r="AD20" s="19"/>
      <c r="AE20" s="19"/>
      <c r="AF20" s="18">
        <f>YEAR(TabelaHistóricoDados[[#This Row],[Mês]])</f>
        <v>2023</v>
      </c>
      <c r="AJ20" s="24" t="str">
        <f>IF(AI20="","",SUMIF(Dados[Custódia],AI20,Dados[Saldo Bruto | Mês Atual]))</f>
        <v/>
      </c>
      <c r="AK20" s="24" t="str">
        <f>IF(AI20="","",SUMIF(Dados[Custódia],AI20,Dados[Movimentaçao | Mês Atual]))</f>
        <v/>
      </c>
      <c r="AL20" s="26" t="str">
        <f t="shared" si="0"/>
        <v/>
      </c>
      <c r="AM20" s="26" t="str">
        <f>IF(AI20="","",_xlfn.XLOOKUP(AI20,Dados[Custódia],Dados[Performance Custódia]))</f>
        <v/>
      </c>
      <c r="AP20" s="24" t="str">
        <f>IF(AO20="","",SUMIF(Dados[Subclasse],AO20,Dados[Saldo Bruto | Mês Atual]))</f>
        <v/>
      </c>
      <c r="AQ20" s="24" t="str">
        <f>IF(AO20="","",SUMIF(Dados[Movimentaçao | Mês Atual],AO20,Dados[Movimentaçao | Mês Atual]))</f>
        <v/>
      </c>
      <c r="AR20" s="26" t="str">
        <f t="shared" si="1"/>
        <v/>
      </c>
      <c r="AS20" s="26" t="str">
        <f>IF(AO20="","",_xlfn.XLOOKUP(AO20,Dados[Subclasse],Dados[Performance SubClasse]))</f>
        <v/>
      </c>
      <c r="AV20" s="24" t="str">
        <f>IF(AU20="","",SUMIF(Dados[Classe],AU20,Dados[Saldo Bruto | Mês Atual]))</f>
        <v/>
      </c>
      <c r="AW20" s="24" t="str">
        <f>IF(AU20="","",SUMIF(Dados[Classe],AU20,Dados[Movimentaçao | Mês Atual]))</f>
        <v/>
      </c>
      <c r="AX20" s="26" t="str">
        <f t="shared" si="2"/>
        <v/>
      </c>
      <c r="AY20" s="26" t="str">
        <f>IF(AU20="","",_xlfn.XLOOKUP(AU20,Dados[Classe],Dados[Performance Classe]))</f>
        <v/>
      </c>
    </row>
    <row r="21" spans="2:51">
      <c r="B21" t="s">
        <v>175</v>
      </c>
      <c r="C21" t="s">
        <v>56</v>
      </c>
      <c r="D21" t="s">
        <v>177</v>
      </c>
      <c r="E21">
        <f>COUNTIFS(Dados[Subclasse],ClasseSubClasse[[#This Row],[SubClasse]],Dados[Lista?],TRUE)</f>
        <v>0</v>
      </c>
      <c r="N21" s="40">
        <v>45017</v>
      </c>
      <c r="O21" s="18" t="s">
        <v>94</v>
      </c>
      <c r="P21" s="18"/>
      <c r="Q21" s="19"/>
      <c r="R21" s="19">
        <v>9.1999999999999998E-3</v>
      </c>
      <c r="S21" s="19">
        <v>2.5000000000000001E-2</v>
      </c>
      <c r="T21" s="19">
        <v>6.1000000000000004E-3</v>
      </c>
      <c r="U21" s="18">
        <v>5.0007000000000001</v>
      </c>
      <c r="V21" s="30">
        <v>5104000</v>
      </c>
      <c r="W21" s="30"/>
      <c r="X21" s="30">
        <v>245.47</v>
      </c>
      <c r="Y21" s="19">
        <v>1.03E-2</v>
      </c>
      <c r="Z21" s="19">
        <v>1.0699999999999999E-2</v>
      </c>
      <c r="AA21" s="19">
        <v>0.01</v>
      </c>
      <c r="AB21" s="19">
        <v>8.6999999999999994E-3</v>
      </c>
      <c r="AC21" s="19"/>
      <c r="AD21" s="19"/>
      <c r="AE21" s="19"/>
      <c r="AF21" s="18">
        <f>YEAR(TabelaHistóricoDados[[#This Row],[Mês]])</f>
        <v>2023</v>
      </c>
      <c r="AI21" s="23"/>
      <c r="AJ21" s="25" t="str">
        <f>IF(AI21="","",SUMIF(Dados[Custódia],AI21,Dados[Saldo Bruto | Mês Atual]))</f>
        <v/>
      </c>
      <c r="AK21" s="25" t="str">
        <f>IF(AI21="","",SUMIF(Dados[Custódia],AI21,Dados[Movimentaçao | Mês Atual]))</f>
        <v/>
      </c>
      <c r="AL21" s="27" t="str">
        <f t="shared" si="0"/>
        <v/>
      </c>
      <c r="AM21" s="27" t="str">
        <f>IF(AI21="","",_xlfn.XLOOKUP(AI21,Dados[Custódia],Dados[Performance Custódia]))</f>
        <v/>
      </c>
      <c r="AO21" s="23"/>
      <c r="AP21" s="25" t="str">
        <f>IF(AO21="","",SUMIF(Dados[Subclasse],AO21,Dados[Saldo Bruto | Mês Atual]))</f>
        <v/>
      </c>
      <c r="AQ21" s="25" t="str">
        <f>IF(AO21="","",SUMIF(Dados[Movimentaçao | Mês Atual],AO21,Dados[Movimentaçao | Mês Atual]))</f>
        <v/>
      </c>
      <c r="AR21" s="27" t="str">
        <f t="shared" si="1"/>
        <v/>
      </c>
      <c r="AS21" s="27" t="str">
        <f>IF(AO21="","",_xlfn.XLOOKUP(AO21,Dados[Subclasse],Dados[Performance SubClasse]))</f>
        <v/>
      </c>
      <c r="AU21" s="23"/>
      <c r="AV21" s="25" t="str">
        <f>IF(AU21="","",SUMIF(Dados[Classe],AU21,Dados[Saldo Bruto | Mês Atual]))</f>
        <v/>
      </c>
      <c r="AW21" s="25" t="str">
        <f>IF(AU21="","",SUMIF(Dados[Classe],AU21,Dados[Movimentaçao | Mês Atual]))</f>
        <v/>
      </c>
      <c r="AX21" s="27" t="str">
        <f t="shared" si="2"/>
        <v/>
      </c>
      <c r="AY21" s="27" t="str">
        <f>IF(AU21="","",_xlfn.XLOOKUP(AU21,Dados[Classe],Dados[Performance Classe]))</f>
        <v/>
      </c>
    </row>
    <row r="22" spans="2:51">
      <c r="B22" t="s">
        <v>57</v>
      </c>
      <c r="C22" t="s">
        <v>57</v>
      </c>
      <c r="D22" t="s">
        <v>57</v>
      </c>
      <c r="E22">
        <f>COUNTIFS(Dados[Subclasse],ClasseSubClasse[[#This Row],[SubClasse]],Dados[Lista?],TRUE)</f>
        <v>0</v>
      </c>
      <c r="N22" s="40">
        <v>44986</v>
      </c>
      <c r="O22" s="18" t="s">
        <v>94</v>
      </c>
      <c r="P22" s="18"/>
      <c r="Q22" s="19"/>
      <c r="R22" s="19">
        <v>1.17E-2</v>
      </c>
      <c r="S22" s="19">
        <v>-2.9100000000000001E-2</v>
      </c>
      <c r="T22" s="19">
        <v>7.1000000000000004E-3</v>
      </c>
      <c r="U22" s="18">
        <v>5.0804</v>
      </c>
      <c r="V22" s="30">
        <v>5113000</v>
      </c>
      <c r="W22" s="30"/>
      <c r="X22" s="30">
        <v>206.29</v>
      </c>
      <c r="Y22" s="19">
        <v>1.0800000000000001E-2</v>
      </c>
      <c r="Z22" s="19">
        <v>1.3299999999999999E-2</v>
      </c>
      <c r="AA22" s="19">
        <v>1.38E-2</v>
      </c>
      <c r="AB22" s="19">
        <v>-6.1000000000000004E-3</v>
      </c>
      <c r="AC22" s="19"/>
      <c r="AD22" s="19"/>
      <c r="AE22" s="19"/>
      <c r="AF22" s="18">
        <f>YEAR(TabelaHistóricoDados[[#This Row],[Mês]])</f>
        <v>2023</v>
      </c>
      <c r="AJ22" s="24" t="str">
        <f>IF(AI22="","",SUMIF(Dados[Custódia],AI22,Dados[Saldo Bruto | Mês Atual]))</f>
        <v/>
      </c>
      <c r="AK22" s="24" t="str">
        <f>IF(AI22="","",SUMIF(Dados[Custódia],AI22,Dados[Movimentaçao | Mês Atual]))</f>
        <v/>
      </c>
      <c r="AL22" s="26" t="str">
        <f t="shared" si="0"/>
        <v/>
      </c>
      <c r="AM22" s="26" t="str">
        <f>IF(AI22="","",_xlfn.XLOOKUP(AI22,Dados[Custódia],Dados[Performance Custódia]))</f>
        <v/>
      </c>
      <c r="AP22" s="24" t="str">
        <f>IF(AO22="","",SUMIF(Dados[Subclasse],AO22,Dados[Saldo Bruto | Mês Atual]))</f>
        <v/>
      </c>
      <c r="AQ22" s="24" t="str">
        <f>IF(AO22="","",SUMIF(Dados[Movimentaçao | Mês Atual],AO22,Dados[Movimentaçao | Mês Atual]))</f>
        <v/>
      </c>
      <c r="AR22" s="26" t="str">
        <f t="shared" si="1"/>
        <v/>
      </c>
      <c r="AS22" s="26" t="str">
        <f>IF(AO22="","",_xlfn.XLOOKUP(AO22,Dados[Subclasse],Dados[Performance SubClasse]))</f>
        <v/>
      </c>
      <c r="AV22" s="24" t="str">
        <f>IF(AU22="","",SUMIF(Dados[Classe],AU22,Dados[Saldo Bruto | Mês Atual]))</f>
        <v/>
      </c>
      <c r="AW22" s="24" t="str">
        <f>IF(AU22="","",SUMIF(Dados[Classe],AU22,Dados[Movimentaçao | Mês Atual]))</f>
        <v/>
      </c>
      <c r="AX22" s="26" t="str">
        <f t="shared" si="2"/>
        <v/>
      </c>
      <c r="AY22" s="26" t="str">
        <f>IF(AU22="","",_xlfn.XLOOKUP(AU22,Dados[Classe],Dados[Performance Classe]))</f>
        <v/>
      </c>
    </row>
    <row r="23" spans="2:51">
      <c r="B23" t="s">
        <v>59</v>
      </c>
      <c r="C23" t="s">
        <v>52</v>
      </c>
      <c r="D23" t="s">
        <v>157</v>
      </c>
      <c r="E23">
        <f>COUNTIFS(Dados[Subclasse],ClasseSubClasse[[#This Row],[SubClasse]],Dados[Lista?],TRUE)</f>
        <v>11</v>
      </c>
      <c r="N23" s="40">
        <v>44958</v>
      </c>
      <c r="O23" s="18" t="s">
        <v>94</v>
      </c>
      <c r="P23" s="18"/>
      <c r="Q23" s="19"/>
      <c r="R23" s="19">
        <v>9.1999999999999998E-3</v>
      </c>
      <c r="S23" s="19">
        <v>-7.4899999999999994E-2</v>
      </c>
      <c r="T23" s="19">
        <v>8.3999999999999995E-3</v>
      </c>
      <c r="U23" s="18">
        <v>5.2077999999999998</v>
      </c>
      <c r="V23" s="30">
        <v>5558000</v>
      </c>
      <c r="W23" s="30"/>
      <c r="X23" s="30">
        <v>2654.22</v>
      </c>
      <c r="Y23" s="19">
        <v>7.4000000000000003E-3</v>
      </c>
      <c r="Z23" s="19">
        <v>9.9000000000000008E-3</v>
      </c>
      <c r="AA23" s="19">
        <v>8.5000000000000006E-3</v>
      </c>
      <c r="AB23" s="19">
        <v>-1.1599999999999999E-2</v>
      </c>
      <c r="AC23" s="19"/>
      <c r="AD23" s="19"/>
      <c r="AE23" s="19"/>
      <c r="AF23" s="18">
        <f>YEAR(TabelaHistóricoDados[[#This Row],[Mês]])</f>
        <v>2023</v>
      </c>
      <c r="AI23" s="23"/>
      <c r="AJ23" s="25" t="str">
        <f>IF(AI23="","",SUMIF(Dados[Custódia],AI23,Dados[Saldo Bruto | Mês Atual]))</f>
        <v/>
      </c>
      <c r="AK23" s="25" t="str">
        <f>IF(AI23="","",SUMIF(Dados[Custódia],AI23,Dados[Movimentaçao | Mês Atual]))</f>
        <v/>
      </c>
      <c r="AL23" s="27" t="str">
        <f t="shared" si="0"/>
        <v/>
      </c>
      <c r="AM23" s="27" t="str">
        <f>IF(AI23="","",_xlfn.XLOOKUP(AI23,Dados[Custódia],Dados[Performance Custódia]))</f>
        <v/>
      </c>
      <c r="AO23" s="23"/>
      <c r="AP23" s="25" t="str">
        <f>IF(AO23="","",SUMIF(Dados[Subclasse],AO23,Dados[Saldo Bruto | Mês Atual]))</f>
        <v/>
      </c>
      <c r="AQ23" s="25" t="str">
        <f>IF(AO23="","",SUMIF(Dados[Movimentaçao | Mês Atual],AO23,Dados[Movimentaçao | Mês Atual]))</f>
        <v/>
      </c>
      <c r="AR23" s="27" t="str">
        <f t="shared" si="1"/>
        <v/>
      </c>
      <c r="AS23" s="27" t="str">
        <f>IF(AO23="","",_xlfn.XLOOKUP(AO23,Dados[Subclasse],Dados[Performance SubClasse]))</f>
        <v/>
      </c>
      <c r="AU23" s="23"/>
      <c r="AV23" s="25" t="str">
        <f>IF(AU23="","",SUMIF(Dados[Classe],AU23,Dados[Saldo Bruto | Mês Atual]))</f>
        <v/>
      </c>
      <c r="AW23" s="25" t="str">
        <f>IF(AU23="","",SUMIF(Dados[Classe],AU23,Dados[Movimentaçao | Mês Atual]))</f>
        <v/>
      </c>
      <c r="AX23" s="27" t="str">
        <f t="shared" si="2"/>
        <v/>
      </c>
      <c r="AY23" s="27" t="str">
        <f>IF(AU23="","",_xlfn.XLOOKUP(AU23,Dados[Classe],Dados[Performance Classe]))</f>
        <v/>
      </c>
    </row>
    <row r="24" spans="2:51">
      <c r="B24" t="s">
        <v>58</v>
      </c>
      <c r="C24" t="s">
        <v>52</v>
      </c>
      <c r="D24" t="s">
        <v>156</v>
      </c>
      <c r="E24">
        <f>COUNTIFS(Dados[Subclasse],ClasseSubClasse[[#This Row],[SubClasse]],Dados[Lista?],TRUE)</f>
        <v>5</v>
      </c>
      <c r="N24" s="40">
        <v>44927</v>
      </c>
      <c r="O24" s="18" t="s">
        <v>94</v>
      </c>
      <c r="P24" s="18"/>
      <c r="Q24" s="19"/>
      <c r="R24" s="19">
        <v>1.12E-2</v>
      </c>
      <c r="S24" s="19">
        <v>3.3700000000000001E-2</v>
      </c>
      <c r="T24" s="19">
        <v>5.3E-3</v>
      </c>
      <c r="U24" s="18">
        <v>5.0993000000000004</v>
      </c>
      <c r="V24" s="30">
        <v>5674000</v>
      </c>
      <c r="W24" s="30"/>
      <c r="X24" s="30">
        <v>223.34</v>
      </c>
      <c r="Y24" s="19">
        <v>1.17E-2</v>
      </c>
      <c r="Z24" s="19">
        <v>1.21E-2</v>
      </c>
      <c r="AA24" s="19">
        <v>1.15E-2</v>
      </c>
      <c r="AB24" s="19">
        <v>1.32E-2</v>
      </c>
      <c r="AC24" s="19"/>
      <c r="AD24" s="19"/>
      <c r="AE24" s="19"/>
      <c r="AF24" s="18">
        <f>YEAR(TabelaHistóricoDados[[#This Row],[Mês]])</f>
        <v>2023</v>
      </c>
      <c r="AJ24" s="24" t="str">
        <f>IF(AI24="","",SUMIF(Dados[Custódia],AI24,Dados[Saldo Bruto | Mês Atual]))</f>
        <v/>
      </c>
      <c r="AK24" s="24" t="str">
        <f>IF(AI24="","",SUMIF(Dados[Custódia],AI24,Dados[Movimentaçao | Mês Atual]))</f>
        <v/>
      </c>
      <c r="AL24" s="26" t="str">
        <f t="shared" si="0"/>
        <v/>
      </c>
      <c r="AM24" s="26" t="str">
        <f>IF(AI24="","",_xlfn.XLOOKUP(AI24,Dados[Custódia],Dados[Performance Custódia]))</f>
        <v/>
      </c>
      <c r="AP24" s="24" t="str">
        <f>IF(AO24="","",SUMIF(Dados[Subclasse],AO24,Dados[Saldo Bruto | Mês Atual]))</f>
        <v/>
      </c>
      <c r="AQ24" s="24" t="str">
        <f>IF(AO24="","",SUMIF(Dados[Movimentaçao | Mês Atual],AO24,Dados[Movimentaçao | Mês Atual]))</f>
        <v/>
      </c>
      <c r="AR24" s="26" t="str">
        <f t="shared" si="1"/>
        <v/>
      </c>
      <c r="AS24" s="26" t="str">
        <f>IF(AO24="","",_xlfn.XLOOKUP(AO24,Dados[Subclasse],Dados[Performance SubClasse]))</f>
        <v/>
      </c>
      <c r="AV24" s="24" t="str">
        <f>IF(AU24="","",SUMIF(Dados[Classe],AU24,Dados[Saldo Bruto | Mês Atual]))</f>
        <v/>
      </c>
      <c r="AW24" s="24" t="str">
        <f>IF(AU24="","",SUMIF(Dados[Classe],AU24,Dados[Movimentaçao | Mês Atual]))</f>
        <v/>
      </c>
      <c r="AX24" s="26" t="str">
        <f t="shared" si="2"/>
        <v/>
      </c>
      <c r="AY24" s="26" t="str">
        <f>IF(AU24="","",_xlfn.XLOOKUP(AU24,Dados[Classe],Dados[Performance Classe]))</f>
        <v/>
      </c>
    </row>
    <row r="25" spans="2:51">
      <c r="B25" t="s">
        <v>42</v>
      </c>
      <c r="C25" t="s">
        <v>52</v>
      </c>
      <c r="D25" t="s">
        <v>158</v>
      </c>
      <c r="E25">
        <f>COUNTIFS(Dados[Subclasse],ClasseSubClasse[[#This Row],[SubClasse]],Dados[Lista?],TRUE)</f>
        <v>13</v>
      </c>
      <c r="N25" s="40">
        <v>44896</v>
      </c>
      <c r="O25" s="18" t="s">
        <v>94</v>
      </c>
      <c r="P25" s="18"/>
      <c r="Q25" s="19"/>
      <c r="R25" s="19">
        <v>1.12E-2</v>
      </c>
      <c r="S25" s="19">
        <v>-2.4500000000000001E-2</v>
      </c>
      <c r="T25" s="19">
        <v>6.1999999999999998E-3</v>
      </c>
      <c r="U25" s="18">
        <v>5.2176999999999998</v>
      </c>
      <c r="V25" s="30">
        <v>5613000</v>
      </c>
      <c r="W25" s="30"/>
      <c r="X25" s="30"/>
      <c r="Y25" s="19">
        <v>1.0200000000000001E-2</v>
      </c>
      <c r="Z25" s="19">
        <v>9.5999999999999992E-3</v>
      </c>
      <c r="AA25" s="19">
        <v>1.29E-2</v>
      </c>
      <c r="AB25" s="19">
        <v>9.4999999999999998E-3</v>
      </c>
      <c r="AC25" s="19"/>
      <c r="AD25" s="19"/>
      <c r="AE25" s="19"/>
      <c r="AF25" s="18">
        <f>YEAR(TabelaHistóricoDados[[#This Row],[Mês]])</f>
        <v>2022</v>
      </c>
      <c r="AI25" s="23"/>
      <c r="AJ25" s="25" t="str">
        <f>IF(AI25="","",SUMIF(Dados[Custódia],AI25,Dados[Saldo Bruto | Mês Atual]))</f>
        <v/>
      </c>
      <c r="AK25" s="25" t="str">
        <f>IF(AI25="","",SUMIF(Dados[Custódia],AI25,Dados[Movimentaçao | Mês Atual]))</f>
        <v/>
      </c>
      <c r="AL25" s="27" t="str">
        <f t="shared" si="0"/>
        <v/>
      </c>
      <c r="AM25" s="27" t="str">
        <f>IF(AI25="","",_xlfn.XLOOKUP(AI25,Dados[Custódia],Dados[Performance Custódia]))</f>
        <v/>
      </c>
      <c r="AO25" s="23"/>
      <c r="AP25" s="25" t="str">
        <f>IF(AO25="","",SUMIF(Dados[Subclasse],AO25,Dados[Saldo Bruto | Mês Atual]))</f>
        <v/>
      </c>
      <c r="AQ25" s="25" t="str">
        <f>IF(AO25="","",SUMIF(Dados[Movimentaçao | Mês Atual],AO25,Dados[Movimentaçao | Mês Atual]))</f>
        <v/>
      </c>
      <c r="AR25" s="27" t="str">
        <f t="shared" si="1"/>
        <v/>
      </c>
      <c r="AS25" s="27" t="str">
        <f>IF(AO25="","",_xlfn.XLOOKUP(AO25,Dados[Subclasse],Dados[Performance SubClasse]))</f>
        <v/>
      </c>
      <c r="AU25" s="23"/>
      <c r="AV25" s="25" t="str">
        <f>IF(AU25="","",SUMIF(Dados[Classe],AU25,Dados[Saldo Bruto | Mês Atual]))</f>
        <v/>
      </c>
      <c r="AW25" s="25" t="str">
        <f>IF(AU25="","",SUMIF(Dados[Classe],AU25,Dados[Movimentaçao | Mês Atual]))</f>
        <v/>
      </c>
      <c r="AX25" s="27" t="str">
        <f t="shared" si="2"/>
        <v/>
      </c>
      <c r="AY25" s="27" t="str">
        <f>IF(AU25="","",_xlfn.XLOOKUP(AU25,Dados[Classe],Dados[Performance Classe]))</f>
        <v/>
      </c>
    </row>
    <row r="26" spans="2:51">
      <c r="N26" s="40">
        <v>44866</v>
      </c>
      <c r="O26" s="18" t="s">
        <v>94</v>
      </c>
      <c r="P26" s="18"/>
      <c r="Q26" s="19"/>
      <c r="R26" s="19">
        <v>1.0200000000000001E-2</v>
      </c>
      <c r="S26" s="19">
        <v>-3.0599999999999999E-2</v>
      </c>
      <c r="T26" s="19">
        <v>4.1000000000000003E-3</v>
      </c>
      <c r="U26" s="18">
        <v>5.2941000000000003</v>
      </c>
      <c r="V26" s="30">
        <v>5684000</v>
      </c>
      <c r="W26" s="30"/>
      <c r="X26" s="30"/>
      <c r="Y26" s="19">
        <v>7.6E-3</v>
      </c>
      <c r="Z26" s="19">
        <v>1.0200000000000001E-2</v>
      </c>
      <c r="AA26" s="19">
        <v>5.3E-3</v>
      </c>
      <c r="AB26" s="19">
        <v>1.0200000000000001E-2</v>
      </c>
      <c r="AC26" s="19"/>
      <c r="AD26" s="19"/>
      <c r="AE26" s="19"/>
      <c r="AF26" s="18">
        <f>YEAR(TabelaHistóricoDados[[#This Row],[Mês]])</f>
        <v>2022</v>
      </c>
      <c r="AJ26" s="24" t="str">
        <f>IF(AI26="","",SUMIF(Dados[Custódia],AI26,Dados[Saldo Bruto | Mês Atual]))</f>
        <v/>
      </c>
      <c r="AK26" s="24" t="str">
        <f>IF(AI26="","",SUMIF(Dados[Custódia],AI26,Dados[Movimentaçao | Mês Atual]))</f>
        <v/>
      </c>
      <c r="AL26" s="26" t="str">
        <f t="shared" si="0"/>
        <v/>
      </c>
      <c r="AM26" s="26" t="str">
        <f>IF(AI26="","",_xlfn.XLOOKUP(AI26,Dados[Custódia],Dados[Performance Custódia]))</f>
        <v/>
      </c>
      <c r="AP26" s="24" t="str">
        <f>IF(AO26="","",SUMIF(Dados[Subclasse],AO26,Dados[Saldo Bruto | Mês Atual]))</f>
        <v/>
      </c>
      <c r="AQ26" s="24" t="str">
        <f>IF(AO26="","",SUMIF(Dados[Movimentaçao | Mês Atual],AO26,Dados[Movimentaçao | Mês Atual]))</f>
        <v/>
      </c>
      <c r="AR26" s="26" t="str">
        <f t="shared" si="1"/>
        <v/>
      </c>
      <c r="AS26" s="26" t="str">
        <f>IF(AO26="","",_xlfn.XLOOKUP(AO26,Dados[Subclasse],Dados[Performance SubClasse]))</f>
        <v/>
      </c>
      <c r="AV26" s="24" t="str">
        <f>IF(AU26="","",SUMIF(Dados[Classe],AU26,Dados[Saldo Bruto | Mês Atual]))</f>
        <v/>
      </c>
      <c r="AW26" s="24" t="str">
        <f>IF(AU26="","",SUMIF(Dados[Classe],AU26,Dados[Movimentaçao | Mês Atual]))</f>
        <v/>
      </c>
      <c r="AX26" s="26" t="str">
        <f t="shared" si="2"/>
        <v/>
      </c>
      <c r="AY26" s="26" t="str">
        <f>IF(AU26="","",_xlfn.XLOOKUP(AU26,Dados[Classe],Dados[Performance Classe]))</f>
        <v/>
      </c>
    </row>
    <row r="27" spans="2:51">
      <c r="N27" s="40">
        <v>44835</v>
      </c>
      <c r="O27" s="18" t="s">
        <v>94</v>
      </c>
      <c r="P27" s="18"/>
      <c r="Q27" s="19"/>
      <c r="R27" s="19">
        <v>1.0200000000000001E-2</v>
      </c>
      <c r="S27" s="19">
        <v>5.45E-2</v>
      </c>
      <c r="T27" s="19">
        <v>5.8999999999999999E-3</v>
      </c>
      <c r="U27" s="18">
        <v>5.6524999999999999</v>
      </c>
      <c r="V27" s="30">
        <v>5796000</v>
      </c>
      <c r="W27" s="30"/>
      <c r="X27" s="30"/>
      <c r="Y27" s="19">
        <v>9.1999999999999998E-3</v>
      </c>
      <c r="Z27" s="19">
        <v>1.32E-2</v>
      </c>
      <c r="AA27" s="19">
        <v>8.6E-3</v>
      </c>
      <c r="AB27" s="19">
        <v>4.7999999999999996E-3</v>
      </c>
      <c r="AC27" s="19"/>
      <c r="AD27" s="19"/>
      <c r="AE27" s="19"/>
      <c r="AF27" s="18">
        <f>YEAR(TabelaHistóricoDados[[#This Row],[Mês]])</f>
        <v>2022</v>
      </c>
      <c r="AI27" s="23"/>
      <c r="AJ27" s="25" t="str">
        <f>IF(AI27="","",SUMIF(Dados[Custódia],AI27,Dados[Saldo Bruto | Mês Atual]))</f>
        <v/>
      </c>
      <c r="AK27" s="25" t="str">
        <f>IF(AI27="","",SUMIF(Dados[Custódia],AI27,Dados[Movimentaçao | Mês Atual]))</f>
        <v/>
      </c>
      <c r="AL27" s="27" t="str">
        <f t="shared" si="0"/>
        <v/>
      </c>
      <c r="AM27" s="27" t="str">
        <f>IF(AI27="","",_xlfn.XLOOKUP(AI27,Dados[Custódia],Dados[Performance Custódia]))</f>
        <v/>
      </c>
      <c r="AO27" s="23"/>
      <c r="AP27" s="25" t="str">
        <f>IF(AO27="","",SUMIF(Dados[Subclasse],AO27,Dados[Saldo Bruto | Mês Atual]))</f>
        <v/>
      </c>
      <c r="AQ27" s="25" t="str">
        <f>IF(AO27="","",SUMIF(Dados[Movimentaçao | Mês Atual],AO27,Dados[Movimentaçao | Mês Atual]))</f>
        <v/>
      </c>
      <c r="AR27" s="27" t="str">
        <f t="shared" si="1"/>
        <v/>
      </c>
      <c r="AS27" s="27" t="str">
        <f>IF(AO27="","",_xlfn.XLOOKUP(AO27,Dados[Subclasse],Dados[Performance SubClasse]))</f>
        <v/>
      </c>
      <c r="AU27" s="23"/>
      <c r="AV27" s="25" t="str">
        <f>IF(AU27="","",SUMIF(Dados[Classe],AU27,Dados[Saldo Bruto | Mês Atual]))</f>
        <v/>
      </c>
      <c r="AW27" s="25" t="str">
        <f>IF(AU27="","",SUMIF(Dados[Classe],AU27,Dados[Movimentaçao | Mês Atual]))</f>
        <v/>
      </c>
      <c r="AX27" s="27" t="str">
        <f t="shared" si="2"/>
        <v/>
      </c>
      <c r="AY27" s="27" t="str">
        <f>IF(AU27="","",_xlfn.XLOOKUP(AU27,Dados[Classe],Dados[Performance Classe]))</f>
        <v/>
      </c>
    </row>
    <row r="28" spans="2:51">
      <c r="N28" s="40">
        <v>44805</v>
      </c>
      <c r="O28" s="18" t="s">
        <v>94</v>
      </c>
      <c r="P28" s="18"/>
      <c r="Q28" s="19"/>
      <c r="R28" s="19">
        <v>1.0699999999999999E-2</v>
      </c>
      <c r="S28" s="19">
        <v>4.7000000000000002E-3</v>
      </c>
      <c r="T28" s="19">
        <v>-2.8999999999999998E-3</v>
      </c>
      <c r="U28" s="18">
        <v>5.4062999999999999</v>
      </c>
      <c r="V28" s="30">
        <v>5813000</v>
      </c>
      <c r="W28" s="30"/>
      <c r="X28" s="30"/>
      <c r="Y28" s="19">
        <v>0.01</v>
      </c>
      <c r="Z28" s="19">
        <v>2.9399999999999999E-2</v>
      </c>
      <c r="AA28" s="19">
        <v>8.0000000000000002E-3</v>
      </c>
      <c r="AB28" s="19">
        <v>5.9999999999999995E-4</v>
      </c>
      <c r="AC28" s="19"/>
      <c r="AD28" s="19"/>
      <c r="AE28" s="19"/>
      <c r="AF28" s="18">
        <f>YEAR(TabelaHistóricoDados[[#This Row],[Mês]])</f>
        <v>2022</v>
      </c>
    </row>
    <row r="29" spans="2:51">
      <c r="N29" s="40">
        <v>44774</v>
      </c>
      <c r="O29" s="18" t="s">
        <v>94</v>
      </c>
      <c r="P29" s="18"/>
      <c r="Q29" s="19"/>
      <c r="R29" s="19">
        <v>1.17E-2</v>
      </c>
      <c r="S29" s="19">
        <v>6.1600000000000002E-2</v>
      </c>
      <c r="T29" s="19">
        <v>-3.5999999999999999E-3</v>
      </c>
      <c r="U29" s="18">
        <v>5.1784999999999997</v>
      </c>
      <c r="V29" s="30">
        <v>5812000</v>
      </c>
      <c r="W29" s="30"/>
      <c r="X29" s="30"/>
      <c r="Y29" s="19">
        <v>1.4999999999999999E-2</v>
      </c>
      <c r="Z29" s="19">
        <v>3.7199999999999997E-2</v>
      </c>
      <c r="AA29" s="19">
        <v>8.8999999999999999E-3</v>
      </c>
      <c r="AB29" s="19">
        <v>-1E-3</v>
      </c>
      <c r="AC29" s="19"/>
      <c r="AD29" s="19"/>
      <c r="AE29" s="19"/>
      <c r="AF29" s="18">
        <f>YEAR(TabelaHistóricoDados[[#This Row],[Mês]])</f>
        <v>2022</v>
      </c>
    </row>
    <row r="30" spans="2:51">
      <c r="B30" s="249" t="s">
        <v>70</v>
      </c>
      <c r="C30" s="249"/>
      <c r="D30" s="18"/>
      <c r="E30" s="18"/>
      <c r="N30" s="40">
        <v>44743</v>
      </c>
      <c r="O30" s="18" t="s">
        <v>94</v>
      </c>
      <c r="P30" s="18"/>
      <c r="Q30" s="19"/>
      <c r="R30" s="19">
        <v>1.03E-2</v>
      </c>
      <c r="S30" s="19">
        <v>4.6899999999999997E-2</v>
      </c>
      <c r="T30" s="19">
        <v>-6.7999999999999996E-3</v>
      </c>
      <c r="U30" s="18">
        <v>5.1879999999999997</v>
      </c>
      <c r="V30" s="30">
        <v>5900000</v>
      </c>
      <c r="W30" s="30"/>
      <c r="X30" s="30"/>
      <c r="Y30" s="19">
        <v>7.4000000000000003E-3</v>
      </c>
      <c r="Z30" s="19">
        <v>-1.4800000000000001E-2</v>
      </c>
      <c r="AA30" s="19">
        <v>9.9000000000000008E-3</v>
      </c>
      <c r="AB30" s="19">
        <v>4.1000000000000003E-3</v>
      </c>
      <c r="AC30" s="19"/>
      <c r="AD30" s="19"/>
      <c r="AE30" s="19"/>
      <c r="AF30" s="18">
        <f>YEAR(TabelaHistóricoDados[[#This Row],[Mês]])</f>
        <v>2022</v>
      </c>
    </row>
    <row r="31" spans="2:51">
      <c r="B31" t="s">
        <v>71</v>
      </c>
      <c r="C31" t="s">
        <v>8</v>
      </c>
      <c r="N31" s="40">
        <v>44713</v>
      </c>
      <c r="O31" s="18" t="s">
        <v>94</v>
      </c>
      <c r="P31" s="18"/>
      <c r="Q31" s="19"/>
      <c r="R31" s="19">
        <v>1.01E-2</v>
      </c>
      <c r="S31" s="19">
        <v>-0.115</v>
      </c>
      <c r="T31" s="19">
        <v>6.7000000000000002E-3</v>
      </c>
      <c r="U31" s="18">
        <v>5.2374999999999998</v>
      </c>
      <c r="V31" s="30">
        <v>5966000</v>
      </c>
      <c r="W31" s="30"/>
      <c r="X31" s="30"/>
      <c r="Y31" s="19">
        <v>7.1000000000000004E-3</v>
      </c>
      <c r="Z31" s="19">
        <v>4.5999999999999999E-3</v>
      </c>
      <c r="AA31" s="19">
        <v>5.4999999999999997E-3</v>
      </c>
      <c r="AB31" s="19">
        <v>9.2999999999999992E-3</v>
      </c>
      <c r="AC31" s="19"/>
      <c r="AD31" s="19"/>
      <c r="AE31" s="19"/>
      <c r="AF31" s="18">
        <f>YEAR(TabelaHistóricoDados[[#This Row],[Mês]])</f>
        <v>2022</v>
      </c>
    </row>
    <row r="32" spans="2:51">
      <c r="B32">
        <v>0</v>
      </c>
      <c r="C32" s="22">
        <v>0.22500000000000001</v>
      </c>
      <c r="D32" s="22"/>
      <c r="E32" s="22"/>
      <c r="N32" s="40">
        <v>44682</v>
      </c>
      <c r="O32" s="18" t="s">
        <v>94</v>
      </c>
      <c r="P32" s="18"/>
      <c r="Q32" s="19"/>
      <c r="R32" s="19">
        <v>1.03E-2</v>
      </c>
      <c r="S32" s="19">
        <v>3.2199999999999999E-2</v>
      </c>
      <c r="T32" s="19">
        <v>4.7000000000000002E-3</v>
      </c>
      <c r="U32" s="18">
        <v>4.7215999999999996</v>
      </c>
      <c r="V32" s="30"/>
      <c r="W32" s="30"/>
      <c r="X32" s="30"/>
      <c r="Y32" s="19">
        <v>9.5999999999999992E-3</v>
      </c>
      <c r="Z32" s="19">
        <v>1.12E-2</v>
      </c>
      <c r="AA32" s="19">
        <v>3.7000000000000002E-3</v>
      </c>
      <c r="AB32" s="19">
        <v>1.3899999999999999E-2</v>
      </c>
      <c r="AC32" s="19"/>
      <c r="AD32" s="19"/>
      <c r="AE32" s="19"/>
      <c r="AF32" s="18">
        <f>YEAR(TabelaHistóricoDados[[#This Row],[Mês]])</f>
        <v>2022</v>
      </c>
      <c r="AT32" s="239" t="s">
        <v>126</v>
      </c>
      <c r="AU32" s="239"/>
      <c r="AV32" s="239"/>
      <c r="AW32" s="239"/>
      <c r="AX32" s="239"/>
      <c r="AY32" s="239"/>
    </row>
    <row r="33" spans="2:51">
      <c r="B33">
        <v>181</v>
      </c>
      <c r="C33" s="22">
        <v>0.2</v>
      </c>
      <c r="D33" s="22"/>
      <c r="E33" s="22"/>
      <c r="N33" s="40">
        <v>44652</v>
      </c>
      <c r="O33" s="18" t="s">
        <v>94</v>
      </c>
      <c r="P33" s="18"/>
      <c r="Q33" s="19"/>
      <c r="R33" s="19">
        <v>0.11060803755132076</v>
      </c>
      <c r="S33" s="19">
        <v>0.14578486341156549</v>
      </c>
      <c r="T33" s="19">
        <v>0.20813538270153042</v>
      </c>
      <c r="U33" s="18">
        <v>4.9191000000000003</v>
      </c>
      <c r="V33" s="30"/>
      <c r="W33" s="30"/>
      <c r="X33" s="30"/>
      <c r="Y33" s="19">
        <v>0.17428199773218367</v>
      </c>
      <c r="Z33" s="19">
        <v>0.19567788374016537</v>
      </c>
      <c r="AA33" s="19">
        <v>4.2753605619324508E-2</v>
      </c>
      <c r="AB33" s="19">
        <v>0.13057998896828482</v>
      </c>
      <c r="AC33" s="19"/>
      <c r="AD33" s="19"/>
      <c r="AE33" s="19"/>
      <c r="AF33" s="18">
        <f>YEAR(TabelaHistóricoDados[[#This Row],[Mês]])</f>
        <v>2022</v>
      </c>
      <c r="AT33" s="120"/>
      <c r="AU33" s="120" t="s">
        <v>112</v>
      </c>
      <c r="AV33" s="120" t="s">
        <v>136</v>
      </c>
      <c r="AW33" s="120" t="s">
        <v>81</v>
      </c>
      <c r="AX33" s="120" t="s">
        <v>114</v>
      </c>
      <c r="AY33" s="120" t="s">
        <v>113</v>
      </c>
    </row>
    <row r="34" spans="2:51">
      <c r="B34">
        <v>361</v>
      </c>
      <c r="C34" s="22">
        <v>0.17499999999999999</v>
      </c>
      <c r="D34" s="22"/>
      <c r="E34" s="22"/>
      <c r="AT34" s="121">
        <f>EDATE(AT45,-11)</f>
        <v>45139</v>
      </c>
      <c r="AU34" s="19">
        <f>IFERROR(_xlfn.XLOOKUP(AT34,TabelaHistóricoDados[Mês],TabelaHistóricoDados[Performance Carteira]),"0")</f>
        <v>0.01</v>
      </c>
      <c r="AV34" s="19">
        <f>AU34</f>
        <v>0.01</v>
      </c>
      <c r="AW34" s="19">
        <f>IFERROR(_xlfn.XLOOKUP(AT34,TabelaHistóricoDados[Mês],TabelaHistóricoDados[CDI]),"0")</f>
        <v>1.14E-2</v>
      </c>
      <c r="AX34" s="19">
        <f>AW34</f>
        <v>1.14E-2</v>
      </c>
      <c r="AY34" s="30">
        <f>IFERROR(_xlfn.XLOOKUP(AT34,TabelaHistóricoDados[Mês],TabelaHistóricoDados[Saldo Bruto])/1000,"0")</f>
        <v>4895.7765467528743</v>
      </c>
    </row>
    <row r="35" spans="2:51">
      <c r="B35">
        <v>721</v>
      </c>
      <c r="C35" s="22">
        <v>0.15</v>
      </c>
      <c r="D35" s="22"/>
      <c r="E35" s="22"/>
      <c r="AT35" s="122">
        <f>EDATE(AT45,-10)</f>
        <v>45170</v>
      </c>
      <c r="AU35" s="123">
        <f>_xlfn.XLOOKUP(AT35,TabelaHistóricoDados[Mês],TabelaHistóricoDados[Performance Carteira])</f>
        <v>7.9000000000000008E-3</v>
      </c>
      <c r="AV35" s="123">
        <f t="shared" ref="AV35:AV45" si="3">(1+AU35)*(1+AV34)-1</f>
        <v>1.7978999999999967E-2</v>
      </c>
      <c r="AW35" s="123">
        <f>IFERROR(_xlfn.XLOOKUP(AT35,TabelaHistóricoDados[Mês],TabelaHistóricoDados[CDI]),"0")</f>
        <v>9.7000000000000003E-3</v>
      </c>
      <c r="AX35" s="123">
        <f t="shared" ref="AX35:AX45" si="4">(1+AW35)*(1+AX34)-1</f>
        <v>2.1210580000000201E-2</v>
      </c>
      <c r="AY35" s="124">
        <f>IFERROR(_xlfn.XLOOKUP(AT35,TabelaHistóricoDados[Mês],TabelaHistóricoDados[Saldo Bruto])/1000,"0")</f>
        <v>4921.3732809390694</v>
      </c>
    </row>
    <row r="36" spans="2:51">
      <c r="AJ36" s="24" t="str">
        <f>IF(AI36="","",SUMIF(Dados[Custódia],AI36,Dados[Saldo Bruto | Mês Atual]))</f>
        <v/>
      </c>
      <c r="AK36" s="24" t="str">
        <f>IF(AI36="","",SUMIF(Dados[Custódia],AI36,Dados[Movimentaçao | Mês Atual]))</f>
        <v/>
      </c>
      <c r="AL36" s="26" t="str">
        <f t="shared" ref="AL36" si="5">IF(AI36="","",AJ36/SUM($AJ$4:$AJ$27))</f>
        <v/>
      </c>
      <c r="AT36" s="121">
        <f>EDATE(AT45,-9)</f>
        <v>45200</v>
      </c>
      <c r="AU36" s="19">
        <f>_xlfn.XLOOKUP(AT36,TabelaHistóricoDados[Mês],TabelaHistóricoDados[Performance Carteira])</f>
        <v>8.5000000000000006E-3</v>
      </c>
      <c r="AV36" s="19">
        <f t="shared" si="3"/>
        <v>2.6631821499999875E-2</v>
      </c>
      <c r="AW36" s="19">
        <f>IFERROR(_xlfn.XLOOKUP(AT36,TabelaHistóricoDados[Mês],TabelaHistóricoDados[CDI]),"0")</f>
        <v>0.01</v>
      </c>
      <c r="AX36" s="19">
        <f t="shared" si="4"/>
        <v>3.1422685800000183E-2</v>
      </c>
      <c r="AY36" s="30">
        <f>IFERROR(_xlfn.XLOOKUP(AT36,TabelaHistóricoDados[Mês],TabelaHistóricoDados[Saldo Bruto])/1000,"0")</f>
        <v>4965.3962347996776</v>
      </c>
    </row>
    <row r="37" spans="2:51">
      <c r="AT37" s="122">
        <f>EDATE(AT45,-8)</f>
        <v>45231</v>
      </c>
      <c r="AU37" s="123">
        <f>_xlfn.XLOOKUP(AT37,TabelaHistóricoDados[Mês],TabelaHistóricoDados[Performance Carteira])</f>
        <v>1.17E-2</v>
      </c>
      <c r="AV37" s="123">
        <f t="shared" si="3"/>
        <v>3.8643413811549898E-2</v>
      </c>
      <c r="AW37" s="123">
        <f>IFERROR(_xlfn.XLOOKUP(AT37,TabelaHistóricoDados[Mês],TabelaHistóricoDados[CDI]),"0")</f>
        <v>9.1999999999999998E-3</v>
      </c>
      <c r="AX37" s="123">
        <f t="shared" si="4"/>
        <v>4.0911774509360344E-2</v>
      </c>
      <c r="AY37" s="124">
        <f>IFERROR(_xlfn.XLOOKUP(AT37,TabelaHistóricoDados[Mês],TabelaHistóricoDados[Saldo Bruto])/1000,"0")</f>
        <v>5011.2849699999997</v>
      </c>
    </row>
    <row r="38" spans="2:51">
      <c r="AT38" s="121">
        <f>EDATE(AT45,-7)</f>
        <v>45261</v>
      </c>
      <c r="AU38" s="19">
        <f>_xlfn.XLOOKUP(AT38,TabelaHistóricoDados[Mês],TabelaHistóricoDados[Performance Carteira])</f>
        <v>1.0845988849807937E-2</v>
      </c>
      <c r="AV38" s="19">
        <f t="shared" si="3"/>
        <v>4.9908528696676502E-2</v>
      </c>
      <c r="AW38" s="19">
        <f>IFERROR(_xlfn.XLOOKUP(AT38,TabelaHistóricoDados[Mês],TabelaHistóricoDados[CDI]),"0")</f>
        <v>8.8999999999999999E-3</v>
      </c>
      <c r="AX38" s="19">
        <f t="shared" si="4"/>
        <v>5.0175889302493504E-2</v>
      </c>
      <c r="AY38" s="30">
        <f>IFERROR(_xlfn.XLOOKUP(AT38,TabelaHistóricoDados[Mês],TabelaHistóricoDados[Saldo Bruto])/1000,"0")</f>
        <v>5061.2939194766232</v>
      </c>
    </row>
    <row r="39" spans="2:51">
      <c r="AT39" s="122">
        <f>EDATE(AT45,-6)</f>
        <v>45292</v>
      </c>
      <c r="AU39" s="123">
        <f>_xlfn.XLOOKUP(AT39,TabelaHistóricoDados[Mês],TabelaHistóricoDados[Performance Carteira])</f>
        <v>1.0861781214877405E-2</v>
      </c>
      <c r="AV39" s="123">
        <f t="shared" si="3"/>
        <v>6.1312405431013683E-2</v>
      </c>
      <c r="AW39" s="123">
        <f>IFERROR(_xlfn.XLOOKUP(AT39,TabelaHistóricoDados[Mês],TabelaHistóricoDados[CDI]),"0")</f>
        <v>9.7000000000000003E-3</v>
      </c>
      <c r="AX39" s="123">
        <f t="shared" si="4"/>
        <v>6.0362595428727683E-2</v>
      </c>
      <c r="AY39" s="124">
        <f>IFERROR(_xlfn.XLOOKUP(AT39,TabelaHistóricoDados[Mês],TabelaHistóricoDados[Saldo Bruto])/1000,"0")</f>
        <v>5111.1747400000004</v>
      </c>
    </row>
    <row r="40" spans="2:51">
      <c r="AT40" s="121">
        <f>EDATE(AT45,-5)</f>
        <v>45323</v>
      </c>
      <c r="AU40" s="19">
        <f>_xlfn.XLOOKUP(AT40,TabelaHistóricoDados[Mês],TabelaHistóricoDados[Performance Carteira])</f>
        <v>1.0361453850162806E-2</v>
      </c>
      <c r="AV40" s="19">
        <f t="shared" si="3"/>
        <v>7.2309144940492454E-2</v>
      </c>
      <c r="AW40" s="19">
        <f>IFERROR(_xlfn.XLOOKUP(AT40,TabelaHistóricoDados[Mês],TabelaHistóricoDados[CDI]),"0")</f>
        <v>8.0000000000000002E-3</v>
      </c>
      <c r="AX40" s="19">
        <f t="shared" si="4"/>
        <v>6.8845496192157407E-2</v>
      </c>
      <c r="AY40" s="30">
        <f>IFERROR(_xlfn.XLOOKUP(AT40,TabelaHistóricoDados[Mês],TabelaHistóricoDados[Saldo Bruto])/1000,"0")</f>
        <v>5414.35106</v>
      </c>
    </row>
    <row r="41" spans="2:51">
      <c r="AT41" s="122">
        <f>EDATE(AT45,-4)</f>
        <v>45352</v>
      </c>
      <c r="AU41" s="123">
        <f>_xlfn.XLOOKUP(AT41,TabelaHistóricoDados[Mês],TabelaHistóricoDados[Performance Carteira])</f>
        <v>1.1261528023406185E-2</v>
      </c>
      <c r="AV41" s="123">
        <f t="shared" si="3"/>
        <v>8.4384984425994514E-2</v>
      </c>
      <c r="AW41" s="123">
        <f>IFERROR(_xlfn.XLOOKUP(AT41,TabelaHistóricoDados[Mês],TabelaHistóricoDados[CDI]),"0")</f>
        <v>8.3000000000000001E-3</v>
      </c>
      <c r="AX41" s="123">
        <f t="shared" si="4"/>
        <v>7.7716913810552235E-2</v>
      </c>
      <c r="AY41" s="124">
        <f>IFERROR(_xlfn.XLOOKUP(AT41,TabelaHistóricoDados[Mês],TabelaHistóricoDados[Saldo Bruto])/1000,"0")</f>
        <v>5470.3202300000003</v>
      </c>
    </row>
    <row r="42" spans="2:51">
      <c r="AT42" s="121">
        <f>EDATE(AT45,-3)</f>
        <v>45383</v>
      </c>
      <c r="AU42" s="19">
        <f>_xlfn.XLOOKUP(AT42,TabelaHistóricoDados[Mês],TabelaHistóricoDados[Performance Carteira])</f>
        <v>9.0479074790295443E-3</v>
      </c>
      <c r="AV42" s="19">
        <f t="shared" si="3"/>
        <v>9.4196399436729861E-2</v>
      </c>
      <c r="AW42" s="19">
        <f>IFERROR(_xlfn.XLOOKUP(AT42,TabelaHistóricoDados[Mês],TabelaHistóricoDados[CDI]),"0")</f>
        <v>8.8999999999999999E-3</v>
      </c>
      <c r="AX42" s="19">
        <f t="shared" si="4"/>
        <v>8.7308594343466162E-2</v>
      </c>
      <c r="AY42" s="30">
        <f>IFERROR(_xlfn.XLOOKUP(AT42,TabelaHistóricoDados[Mês],TabelaHistóricoDados[Saldo Bruto])/1000,"0")</f>
        <v>5512.0631399999993</v>
      </c>
    </row>
    <row r="43" spans="2:51">
      <c r="AT43" s="122">
        <f>EDATE(AT45,-2)</f>
        <v>45413</v>
      </c>
      <c r="AU43" s="123">
        <f>_xlfn.XLOOKUP(AT43,TabelaHistóricoDados[Mês],TabelaHistóricoDados[Performance Carteira])</f>
        <v>1.0608358688931185E-2</v>
      </c>
      <c r="AV43" s="123">
        <f t="shared" si="3"/>
        <v>0.1058040273180918</v>
      </c>
      <c r="AW43" s="123">
        <f>IFERROR(_xlfn.XLOOKUP(AT43,TabelaHistóricoDados[Mês],TabelaHistóricoDados[CDI]),"0")</f>
        <v>8.3000000000000001E-3</v>
      </c>
      <c r="AX43" s="123">
        <f t="shared" si="4"/>
        <v>9.6333255676516849E-2</v>
      </c>
      <c r="AY43" s="124">
        <f>IFERROR(_xlfn.XLOOKUP(AT43,TabelaHistóricoDados[Mês],TabelaHistóricoDados[Saldo Bruto])/1000,"0")</f>
        <v>5555.4073799999996</v>
      </c>
    </row>
    <row r="44" spans="2:51">
      <c r="AT44" s="121">
        <f>EDATE(AT45,-1)</f>
        <v>45444</v>
      </c>
      <c r="AU44" s="19">
        <f>_xlfn.XLOOKUP(AT44,TabelaHistóricoDados[Mês],TabelaHistóricoDados[Performance Carteira])</f>
        <v>8.7622644755645466E-3</v>
      </c>
      <c r="AV44" s="19">
        <f t="shared" si="3"/>
        <v>0.11549337466359733</v>
      </c>
      <c r="AW44" s="19">
        <f>IFERROR(_xlfn.XLOOKUP(AT44,TabelaHistóricoDados[Mês],TabelaHistóricoDados[CDI]),"0")</f>
        <v>7.9000000000000008E-3</v>
      </c>
      <c r="AX44" s="19">
        <f t="shared" si="4"/>
        <v>0.10499428839636127</v>
      </c>
      <c r="AY44" s="30">
        <f>IFERROR(_xlfn.XLOOKUP(AT44,TabelaHistóricoDados[Mês],TabelaHistóricoDados[Saldo Bruto])/1000,"0")</f>
        <v>5800.2604900000015</v>
      </c>
    </row>
    <row r="45" spans="2:51">
      <c r="AT45" s="122">
        <f>Dados!$A$3</f>
        <v>45474</v>
      </c>
      <c r="AU45" s="123" t="e">
        <f>_xlfn.XLOOKUP(AT45,TabelaHistóricoDados[Mês],TabelaHistóricoDados[Performance Carteira])</f>
        <v>#N/A</v>
      </c>
      <c r="AV45" s="123" t="e">
        <f t="shared" si="3"/>
        <v>#N/A</v>
      </c>
      <c r="AW45" s="123" t="str">
        <f>IFERROR(_xlfn.XLOOKUP(AT45,TabelaHistóricoDados[Mês],TabelaHistóricoDados[CDI]),"0")</f>
        <v>0</v>
      </c>
      <c r="AX45" s="123">
        <f t="shared" si="4"/>
        <v>0.10499428839636127</v>
      </c>
      <c r="AY45" s="124" t="str">
        <f>IFERROR(_xlfn.XLOOKUP(AT45,TabelaHistóricoDados[Mês],TabelaHistóricoDados[Saldo Bruto])/1000,"0")</f>
        <v>0</v>
      </c>
    </row>
  </sheetData>
  <mergeCells count="5">
    <mergeCell ref="B30:C30"/>
    <mergeCell ref="AI2:AM2"/>
    <mergeCell ref="AO2:AS2"/>
    <mergeCell ref="AU2:AY2"/>
    <mergeCell ref="AT32:AY3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1D-06CB-4C6B-8FDE-9C120A8240BD}">
  <sheetPr codeName="Planilha9"/>
  <dimension ref="A1:V150"/>
  <sheetViews>
    <sheetView zoomScale="55" zoomScaleNormal="55" workbookViewId="0">
      <selection activeCell="K15" sqref="K15:Q28"/>
    </sheetView>
  </sheetViews>
  <sheetFormatPr defaultRowHeight="15"/>
  <cols>
    <col min="2" max="2" width="9.5703125" style="186" bestFit="1" customWidth="1"/>
    <col min="3" max="3" width="12" bestFit="1" customWidth="1"/>
    <col min="4" max="4" width="11.28515625" bestFit="1" customWidth="1"/>
    <col min="5" max="5" width="13.28515625" bestFit="1" customWidth="1"/>
    <col min="6" max="6" width="31.85546875" bestFit="1" customWidth="1"/>
    <col min="7" max="7" width="14.5703125" bestFit="1" customWidth="1"/>
    <col min="8" max="8" width="17.28515625" bestFit="1" customWidth="1"/>
    <col min="9" max="9" width="25.85546875" bestFit="1" customWidth="1"/>
    <col min="10" max="10" width="16.42578125" bestFit="1" customWidth="1"/>
    <col min="11" max="11" width="17.85546875" bestFit="1" customWidth="1"/>
    <col min="12" max="12" width="18.42578125" bestFit="1" customWidth="1"/>
    <col min="13" max="13" width="13" bestFit="1" customWidth="1"/>
    <col min="14" max="14" width="19.7109375" bestFit="1" customWidth="1"/>
    <col min="15" max="16" width="38.5703125" bestFit="1" customWidth="1"/>
    <col min="17" max="17" width="24.42578125" bestFit="1" customWidth="1"/>
    <col min="18" max="18" width="15.85546875" style="126" bestFit="1" customWidth="1"/>
    <col min="19" max="19" width="19" style="126" bestFit="1" customWidth="1"/>
    <col min="20" max="20" width="13.28515625" style="31" bestFit="1" customWidth="1"/>
    <col min="21" max="21" width="17" style="31" bestFit="1" customWidth="1"/>
    <col min="22" max="22" width="20.5703125" style="29" bestFit="1" customWidth="1"/>
  </cols>
  <sheetData>
    <row r="1" spans="1:22">
      <c r="A1" s="32" t="e">
        <f>'Resumo Carteira | Onshore'!S71</f>
        <v>#N/A</v>
      </c>
    </row>
    <row r="2" spans="1:22">
      <c r="B2" s="167" t="s">
        <v>161</v>
      </c>
      <c r="C2" s="167" t="s">
        <v>162</v>
      </c>
      <c r="D2" s="167" t="s">
        <v>99</v>
      </c>
      <c r="E2" s="167" t="s">
        <v>0</v>
      </c>
      <c r="F2" s="167" t="s">
        <v>43</v>
      </c>
      <c r="G2" s="167" t="s">
        <v>63</v>
      </c>
      <c r="H2" s="167" t="s">
        <v>1</v>
      </c>
      <c r="I2" s="167" t="s">
        <v>2</v>
      </c>
      <c r="J2" s="167" t="s">
        <v>4</v>
      </c>
      <c r="K2" s="167" t="s">
        <v>5</v>
      </c>
      <c r="L2" s="167" t="s">
        <v>3</v>
      </c>
      <c r="M2" s="167" t="s">
        <v>9</v>
      </c>
      <c r="N2" s="167" t="s">
        <v>179</v>
      </c>
      <c r="O2" s="167" t="s">
        <v>180</v>
      </c>
      <c r="P2" s="167" t="s">
        <v>159</v>
      </c>
      <c r="Q2" s="167" t="s">
        <v>160</v>
      </c>
      <c r="R2" s="167" t="s">
        <v>101</v>
      </c>
      <c r="S2" s="167" t="s">
        <v>73</v>
      </c>
      <c r="T2" s="187" t="s">
        <v>172</v>
      </c>
      <c r="U2" s="187" t="s">
        <v>75</v>
      </c>
      <c r="V2" s="188" t="s">
        <v>30</v>
      </c>
    </row>
    <row r="3" spans="1:22">
      <c r="B3" s="186" cm="1">
        <f t="array" ref="B3:B40">Dados[Data]</f>
        <v>45474</v>
      </c>
      <c r="C3" t="s">
        <v>233</v>
      </c>
      <c r="D3" t="str" cm="1">
        <f t="array" ref="D3:D40">Dados[Titular]</f>
        <v>GCA</v>
      </c>
      <c r="E3" t="str" cm="1">
        <f t="array" ref="E3:E40">Dados[Custódia]</f>
        <v>BTG</v>
      </c>
      <c r="F3" t="str" cm="1">
        <f t="array" ref="F3:F40">Dados[Classe]</f>
        <v>Fundos de Investimento</v>
      </c>
      <c r="G3" t="str" cm="1">
        <f t="array" ref="G3:G40">Dados[Subclasse]</f>
        <v>Renda Fixa</v>
      </c>
      <c r="H3" t="str">
        <f>IFERROR(IF(_xlfn.XLOOKUP(O3,Dados[Ativo],Dados[Tipo do Ativo])="","",_xlfn.XLOOKUP(O3,Dados[Ativo],Dados[Tipo do Ativo])),"")</f>
        <v/>
      </c>
      <c r="I3" t="str">
        <f>IFERROR(IF(_xlfn.XLOOKUP(O3,Dados[Ativo],Dados[Emissor])="","",_xlfn.XLOOKUP(O3,Dados[Ativo],Dados[Emissor])),"")</f>
        <v>BTG CDB Plus FI RF CP</v>
      </c>
      <c r="J3" s="168" t="str">
        <f>IFERROR(IF(_xlfn.XLOOKUP(O3,Dados[Ativo],Dados[Vencimento])="","",_xlfn.XLOOKUP(O3,Dados[Ativo],Dados[Vencimento])),"")</f>
        <v/>
      </c>
      <c r="K3" t="str">
        <f>IFERROR(IF(_xlfn.XLOOKUP(O3,Dados[Ativo],Dados[Remuneração])="","",_xlfn.XLOOKUP(O3,Dados[Ativo],Dados[Remuneração])),"")</f>
        <v/>
      </c>
      <c r="L3" t="str">
        <f>IFERROR(IF(_xlfn.XLOOKUP(O3,Dados[Ativo],Dados[Complemento])="","",_xlfn.XLOOKUP(O3,Dados[Ativo],Dados[Complemento])),"")</f>
        <v/>
      </c>
      <c r="M3" t="str" cm="1">
        <f t="array" ref="M3:M40">Dados[Liquidez]</f>
        <v>D+0</v>
      </c>
      <c r="N3" t="str">
        <f>IFERROR(IF(_xlfn.XLOOKUP(O3,Dados[Ativo],Dados[Ticker do Ativo])="","",_xlfn.XLOOKUP(O3,Dados[Ativo],Dados[Ticker do Ativo])),"")</f>
        <v>27.717.359/0001-30</v>
      </c>
      <c r="O3" t="str" cm="1">
        <f t="array" ref="O3:O40">Dados[Ativo]</f>
        <v>BTG CDB Plus FI RF CP</v>
      </c>
      <c r="P3" t="str" cm="1">
        <f t="array" ref="P3:P40">Dados[Nomenclatura Ativo]</f>
        <v>BTG CDB Plus FI RF CP</v>
      </c>
      <c r="Q3" t="str" cm="1">
        <f t="array" ref="Q3:Q40">Dados[Nomenclatura Classe]</f>
        <v>Fundos - Renda Fixa</v>
      </c>
      <c r="R3" s="126" cm="1">
        <f t="array" ref="R3:R40">Dados[Saldo Bruto | Mês Atual]</f>
        <v>694574.54</v>
      </c>
      <c r="S3" s="126" cm="1">
        <f t="array" ref="S3:S40">Dados[Movimentaçao | Mês Atual]</f>
        <v>-161803.59999999998</v>
      </c>
      <c r="T3" s="31" cm="1">
        <f t="array" ref="T3:T40">Dados[Peso | Mês Atual]</f>
        <v>0.14213558319548927</v>
      </c>
      <c r="U3" s="31" cm="1">
        <f t="array" ref="U3:U40">Dados[Performance | Mês Atual]</f>
        <v>8.042261449637822E-3</v>
      </c>
      <c r="V3" s="29" cm="1">
        <f t="array" ref="V3:V40">Dados[Saldo Corrigido]</f>
        <v>856378.14</v>
      </c>
    </row>
    <row r="4" spans="1:22">
      <c r="B4" s="186">
        <v>45474</v>
      </c>
      <c r="C4" t="s">
        <v>233</v>
      </c>
      <c r="D4" t="str">
        <v>GCA</v>
      </c>
      <c r="E4" t="str">
        <v>BTG</v>
      </c>
      <c r="F4" t="str">
        <v>Bolsa de Valores</v>
      </c>
      <c r="G4" t="str">
        <v>Fundo Imobiliário</v>
      </c>
      <c r="H4" t="str">
        <f>IFERROR(IF(_xlfn.XLOOKUP(O4,Dados[Ativo],Dados[Tipo do Ativo])="","",_xlfn.XLOOKUP(O4,Dados[Ativo],Dados[Tipo do Ativo])),"")</f>
        <v/>
      </c>
      <c r="I4" t="str">
        <f>IFERROR(IF(_xlfn.XLOOKUP(O4,Dados[Ativo],Dados[Emissor])="","",_xlfn.XLOOKUP(O4,Dados[Ativo],Dados[Emissor])),"")</f>
        <v>BTLG11</v>
      </c>
      <c r="J4" s="168" t="str">
        <f>IFERROR(IF(_xlfn.XLOOKUP(O4,Dados[Ativo],Dados[Vencimento])="","",_xlfn.XLOOKUP(O4,Dados[Ativo],Dados[Vencimento])),"")</f>
        <v/>
      </c>
      <c r="K4" t="str">
        <f>IFERROR(IF(_xlfn.XLOOKUP(O4,Dados[Ativo],Dados[Remuneração])="","",_xlfn.XLOOKUP(O4,Dados[Ativo],Dados[Remuneração])),"")</f>
        <v/>
      </c>
      <c r="L4" t="str">
        <f>IFERROR(IF(_xlfn.XLOOKUP(O4,Dados[Ativo],Dados[Complemento])="","",_xlfn.XLOOKUP(O4,Dados[Ativo],Dados[Complemento])),"")</f>
        <v/>
      </c>
      <c r="M4" t="str">
        <v>D+2</v>
      </c>
      <c r="N4" t="str">
        <f>IFERROR(IF(_xlfn.XLOOKUP(O4,Dados[Ativo],Dados[Ticker do Ativo])="","",_xlfn.XLOOKUP(O4,Dados[Ativo],Dados[Ticker do Ativo])),"")</f>
        <v>BTLG11</v>
      </c>
      <c r="O4" t="str">
        <v>BTLG11</v>
      </c>
      <c r="P4" t="str">
        <v>BTLG11</v>
      </c>
      <c r="Q4" t="str">
        <v>Bolsa - Fundo Imobiliário</v>
      </c>
      <c r="R4" s="126">
        <v>142304.95999999999</v>
      </c>
      <c r="S4" s="126">
        <v>-1074.6400000000001</v>
      </c>
      <c r="T4" s="31">
        <v>2.9120846383472059E-2</v>
      </c>
      <c r="U4" s="31">
        <v>1.6541353383458635E-2</v>
      </c>
      <c r="V4" s="29">
        <v>143379.6</v>
      </c>
    </row>
    <row r="5" spans="1:22">
      <c r="B5" s="186">
        <v>45474</v>
      </c>
      <c r="C5" t="s">
        <v>233</v>
      </c>
      <c r="D5" t="str">
        <v>GCA</v>
      </c>
      <c r="E5" t="str">
        <v>BTG</v>
      </c>
      <c r="F5" t="str">
        <v>Corrente, Poupança e Empréstimo</v>
      </c>
      <c r="G5" t="str">
        <v>Conta Corrente</v>
      </c>
      <c r="H5" t="str">
        <f>IFERROR(IF(_xlfn.XLOOKUP(O5,Dados[Ativo],Dados[Tipo do Ativo])="","",_xlfn.XLOOKUP(O5,Dados[Ativo],Dados[Tipo do Ativo])),"")</f>
        <v>Conta Corrente -</v>
      </c>
      <c r="I5" t="str">
        <f>IFERROR(IF(_xlfn.XLOOKUP(O5,Dados[Ativo],Dados[Emissor])="","",_xlfn.XLOOKUP(O5,Dados[Ativo],Dados[Emissor])),"")</f>
        <v>BTG</v>
      </c>
      <c r="J5" s="168" t="str">
        <f>IFERROR(IF(_xlfn.XLOOKUP(O5,Dados[Ativo],Dados[Vencimento])="","",_xlfn.XLOOKUP(O5,Dados[Ativo],Dados[Vencimento])),"")</f>
        <v/>
      </c>
      <c r="K5" t="str">
        <f>IFERROR(IF(_xlfn.XLOOKUP(O5,Dados[Ativo],Dados[Remuneração])="","",_xlfn.XLOOKUP(O5,Dados[Ativo],Dados[Remuneração])),"")</f>
        <v/>
      </c>
      <c r="L5" t="str">
        <f>IFERROR(IF(_xlfn.XLOOKUP(O5,Dados[Ativo],Dados[Complemento])="","",_xlfn.XLOOKUP(O5,Dados[Ativo],Dados[Complemento])),"")</f>
        <v/>
      </c>
      <c r="M5" t="str">
        <v>D+0</v>
      </c>
      <c r="N5" t="str">
        <f>IFERROR(IF(_xlfn.XLOOKUP(O5,Dados[Ativo],Dados[Ticker do Ativo])="","",_xlfn.XLOOKUP(O5,Dados[Ativo],Dados[Ticker do Ativo])),"")</f>
        <v/>
      </c>
      <c r="O5" t="str">
        <v>Conta Corrente - BTG</v>
      </c>
      <c r="P5" t="str">
        <v>Conta Corrente - BTG</v>
      </c>
      <c r="Q5" t="str">
        <v>Conta Corrente</v>
      </c>
      <c r="R5" s="126">
        <v>1968.08</v>
      </c>
      <c r="S5" s="126">
        <v>1968.0800000000163</v>
      </c>
      <c r="T5" s="31">
        <v>4.0274179726682539E-4</v>
      </c>
      <c r="U5" s="31">
        <v>-8.3266726846886741E-15</v>
      </c>
      <c r="V5" s="29">
        <v>1968.08</v>
      </c>
    </row>
    <row r="6" spans="1:22">
      <c r="B6" s="186">
        <v>45474</v>
      </c>
      <c r="C6" t="s">
        <v>233</v>
      </c>
      <c r="D6" t="str">
        <v>GCA</v>
      </c>
      <c r="E6" t="str">
        <v>XP</v>
      </c>
      <c r="F6" t="str">
        <v>Fundos de Investimento</v>
      </c>
      <c r="G6" t="str">
        <v>Renda Fixa</v>
      </c>
      <c r="H6" t="str">
        <f>IFERROR(IF(_xlfn.XLOOKUP(O6,Dados[Ativo],Dados[Tipo do Ativo])="","",_xlfn.XLOOKUP(O6,Dados[Ativo],Dados[Tipo do Ativo])),"")</f>
        <v/>
      </c>
      <c r="I6" t="str">
        <f>IFERROR(IF(_xlfn.XLOOKUP(O6,Dados[Ativo],Dados[Emissor])="","",_xlfn.XLOOKUP(O6,Dados[Ativo],Dados[Emissor])),"")</f>
        <v>BNP Paribas Match DI FIRF</v>
      </c>
      <c r="J6" s="168" t="str">
        <f>IFERROR(IF(_xlfn.XLOOKUP(O6,Dados[Ativo],Dados[Vencimento])="","",_xlfn.XLOOKUP(O6,Dados[Ativo],Dados[Vencimento])),"")</f>
        <v/>
      </c>
      <c r="K6" t="str">
        <f>IFERROR(IF(_xlfn.XLOOKUP(O6,Dados[Ativo],Dados[Remuneração])="","",_xlfn.XLOOKUP(O6,Dados[Ativo],Dados[Remuneração])),"")</f>
        <v/>
      </c>
      <c r="L6" t="str">
        <f>IFERROR(IF(_xlfn.XLOOKUP(O6,Dados[Ativo],Dados[Complemento])="","",_xlfn.XLOOKUP(O6,Dados[Ativo],Dados[Complemento])),"")</f>
        <v/>
      </c>
      <c r="M6" t="str">
        <v>D+0</v>
      </c>
      <c r="N6" t="str">
        <f>IFERROR(IF(_xlfn.XLOOKUP(O6,Dados[Ativo],Dados[Ticker do Ativo])="","",_xlfn.XLOOKUP(O6,Dados[Ativo],Dados[Ticker do Ativo])),"")</f>
        <v>09.636.393/0001-07</v>
      </c>
      <c r="O6" t="str">
        <v>BNP Paribas Match DI FIRF</v>
      </c>
      <c r="P6" t="str">
        <v>BNP Paribas Match DI FIRF</v>
      </c>
      <c r="Q6" t="str">
        <v>Fundos - Renda Fixa</v>
      </c>
      <c r="R6" s="126">
        <v>0</v>
      </c>
      <c r="S6" s="126">
        <v>0</v>
      </c>
      <c r="T6" s="31">
        <v>0</v>
      </c>
      <c r="U6" s="31">
        <v>-1</v>
      </c>
      <c r="V6" s="29">
        <v>0</v>
      </c>
    </row>
    <row r="7" spans="1:22">
      <c r="B7" s="186">
        <v>45474</v>
      </c>
      <c r="C7" t="s">
        <v>233</v>
      </c>
      <c r="D7" t="str">
        <v>GCA</v>
      </c>
      <c r="E7" t="str">
        <v>Bradesco</v>
      </c>
      <c r="F7" t="str">
        <v>Renda Fixa</v>
      </c>
      <c r="G7" t="str">
        <v>Prefixado</v>
      </c>
      <c r="H7" t="str">
        <f>IFERROR(IF(_xlfn.XLOOKUP(O7,Dados[Ativo],Dados[Tipo do Ativo])="","",_xlfn.XLOOKUP(O7,Dados[Ativo],Dados[Tipo do Ativo])),"")</f>
        <v>LIG</v>
      </c>
      <c r="I7" t="str">
        <f>IFERROR(IF(_xlfn.XLOOKUP(O7,Dados[Ativo],Dados[Emissor])="","",_xlfn.XLOOKUP(O7,Dados[Ativo],Dados[Emissor])),"")</f>
        <v>Bradesco</v>
      </c>
      <c r="J7" s="168">
        <f>IFERROR(IF(_xlfn.XLOOKUP(O7,Dados[Ativo],Dados[Vencimento])="","",_xlfn.XLOOKUP(O7,Dados[Ativo],Dados[Vencimento])),"")</f>
        <v>46010</v>
      </c>
      <c r="K7" t="str">
        <f>IFERROR(IF(_xlfn.XLOOKUP(O7,Dados[Ativo],Dados[Remuneração])="","",_xlfn.XLOOKUP(O7,Dados[Ativo],Dados[Remuneração])),"")</f>
        <v>13,90%aa</v>
      </c>
      <c r="L7" t="str">
        <f>IFERROR(IF(_xlfn.XLOOKUP(O7,Dados[Ativo],Dados[Complemento])="","",_xlfn.XLOOKUP(O7,Dados[Ativo],Dados[Complemento])),"")</f>
        <v/>
      </c>
      <c r="M7">
        <v>2025</v>
      </c>
      <c r="N7" t="str">
        <f>IFERROR(IF(_xlfn.XLOOKUP(O7,Dados[Ativo],Dados[Ticker do Ativo])="","",_xlfn.XLOOKUP(O7,Dados[Ativo],Dados[Ticker do Ativo])),"")</f>
        <v>LIG02200RY9</v>
      </c>
      <c r="O7" t="str">
        <v>LIG Bradesco 12/25 13,90%aa</v>
      </c>
      <c r="P7" t="str">
        <v>LIG Bradesco 12/25 13,90%aa</v>
      </c>
      <c r="Q7" t="str">
        <v>Renda Fixa - Prefixado</v>
      </c>
      <c r="R7" s="126">
        <v>0</v>
      </c>
      <c r="S7" s="126">
        <v>0</v>
      </c>
      <c r="T7" s="31">
        <v>0</v>
      </c>
      <c r="U7" s="31">
        <v>-1.2121212121212122</v>
      </c>
      <c r="V7" s="29">
        <v>0</v>
      </c>
    </row>
    <row r="8" spans="1:22">
      <c r="B8" s="186">
        <v>45474</v>
      </c>
      <c r="C8" t="s">
        <v>233</v>
      </c>
      <c r="D8" t="str">
        <v>GCA</v>
      </c>
      <c r="E8" t="str">
        <v>Bradesco</v>
      </c>
      <c r="F8" t="str">
        <v>Corrente, Poupança e Empréstimo</v>
      </c>
      <c r="G8" t="str">
        <v>Conta Corrente</v>
      </c>
      <c r="H8" t="str">
        <f>IFERROR(IF(_xlfn.XLOOKUP(O8,Dados[Ativo],Dados[Tipo do Ativo])="","",_xlfn.XLOOKUP(O8,Dados[Ativo],Dados[Tipo do Ativo])),"")</f>
        <v>Conta Corrente -</v>
      </c>
      <c r="I8" t="str">
        <f>IFERROR(IF(_xlfn.XLOOKUP(O8,Dados[Ativo],Dados[Emissor])="","",_xlfn.XLOOKUP(O8,Dados[Ativo],Dados[Emissor])),"")</f>
        <v>Bradesco</v>
      </c>
      <c r="J8" s="168" t="str">
        <f>IFERROR(IF(_xlfn.XLOOKUP(O8,Dados[Ativo],Dados[Vencimento])="","",_xlfn.XLOOKUP(O8,Dados[Ativo],Dados[Vencimento])),"")</f>
        <v/>
      </c>
      <c r="K8" t="str">
        <f>IFERROR(IF(_xlfn.XLOOKUP(O8,Dados[Ativo],Dados[Remuneração])="","",_xlfn.XLOOKUP(O8,Dados[Ativo],Dados[Remuneração])),"")</f>
        <v/>
      </c>
      <c r="L8" t="str">
        <f>IFERROR(IF(_xlfn.XLOOKUP(O8,Dados[Ativo],Dados[Complemento])="","",_xlfn.XLOOKUP(O8,Dados[Ativo],Dados[Complemento])),"")</f>
        <v/>
      </c>
      <c r="M8" t="str">
        <v>D+0</v>
      </c>
      <c r="N8" t="str">
        <f>IFERROR(IF(_xlfn.XLOOKUP(O8,Dados[Ativo],Dados[Ticker do Ativo])="","",_xlfn.XLOOKUP(O8,Dados[Ativo],Dados[Ticker do Ativo])),"")</f>
        <v/>
      </c>
      <c r="O8" t="str">
        <v>Conta Corrente - Bradesco</v>
      </c>
      <c r="P8" t="str">
        <v>Conta Corrente - Bradesco</v>
      </c>
      <c r="Q8" t="str">
        <v>Conta Corrente</v>
      </c>
      <c r="R8" s="126">
        <v>1.07</v>
      </c>
      <c r="S8" s="126">
        <v>0</v>
      </c>
      <c r="T8" s="31">
        <v>2.1896148686816754E-7</v>
      </c>
      <c r="U8" s="31">
        <v>0</v>
      </c>
      <c r="V8" s="29">
        <v>1.07</v>
      </c>
    </row>
    <row r="9" spans="1:22">
      <c r="B9" s="186">
        <v>45474</v>
      </c>
      <c r="C9" t="s">
        <v>233</v>
      </c>
      <c r="D9" t="str">
        <v>GCA</v>
      </c>
      <c r="E9" t="str">
        <v>Bradesco</v>
      </c>
      <c r="F9" t="str">
        <v>Renda Fixa</v>
      </c>
      <c r="G9" t="str">
        <v>Pós-Fixado</v>
      </c>
      <c r="H9" t="str">
        <f>IFERROR(IF(_xlfn.XLOOKUP(O9,Dados[Ativo],Dados[Tipo do Ativo])="","",_xlfn.XLOOKUP(O9,Dados[Ativo],Dados[Tipo do Ativo])),"")</f>
        <v>CDB</v>
      </c>
      <c r="I9" t="str">
        <f>IFERROR(IF(_xlfn.XLOOKUP(O9,Dados[Ativo],Dados[Emissor])="","",_xlfn.XLOOKUP(O9,Dados[Ativo],Dados[Emissor])),"")</f>
        <v>Bradesco Liq. Diária</v>
      </c>
      <c r="J9" s="168" t="str">
        <f>IFERROR(IF(_xlfn.XLOOKUP(O9,Dados[Ativo],Dados[Vencimento])="","",_xlfn.XLOOKUP(O9,Dados[Ativo],Dados[Vencimento])),"")</f>
        <v/>
      </c>
      <c r="K9" t="str">
        <f>IFERROR(IF(_xlfn.XLOOKUP(O9,Dados[Ativo],Dados[Remuneração])="","",_xlfn.XLOOKUP(O9,Dados[Ativo],Dados[Remuneração])),"")</f>
        <v xml:space="preserve">101,50% CDI </v>
      </c>
      <c r="L9" t="str">
        <f>IFERROR(IF(_xlfn.XLOOKUP(O9,Dados[Ativo],Dados[Complemento])="","",_xlfn.XLOOKUP(O9,Dados[Ativo],Dados[Complemento])),"")</f>
        <v/>
      </c>
      <c r="M9" t="str">
        <v>D+0</v>
      </c>
      <c r="N9" t="str">
        <f>IFERROR(IF(_xlfn.XLOOKUP(O9,Dados[Ativo],Dados[Ticker do Ativo])="","",_xlfn.XLOOKUP(O9,Dados[Ativo],Dados[Ticker do Ativo])),"")</f>
        <v/>
      </c>
      <c r="O9" t="str">
        <v xml:space="preserve">CDB Bradesco Liq. Diária 101,50% CDI </v>
      </c>
      <c r="P9" t="str">
        <v xml:space="preserve">CDB Bradesco Liq. Diária 101,50% CDI </v>
      </c>
      <c r="Q9" t="str">
        <v>Renda Fixa - Pós-Fixado</v>
      </c>
      <c r="R9" s="126">
        <v>63826.67</v>
      </c>
      <c r="S9" s="126">
        <v>0</v>
      </c>
      <c r="T9" s="31">
        <v>1.3061292116863422E-2</v>
      </c>
      <c r="U9" s="31">
        <v>9.2077819466187538E-3</v>
      </c>
      <c r="V9" s="29">
        <v>63826.67</v>
      </c>
    </row>
    <row r="10" spans="1:22">
      <c r="B10" s="186">
        <v>45474</v>
      </c>
      <c r="C10" t="s">
        <v>233</v>
      </c>
      <c r="D10" t="str">
        <v>GCA</v>
      </c>
      <c r="E10" t="str">
        <v>BTG</v>
      </c>
      <c r="F10" t="str">
        <v>Renda Fixa</v>
      </c>
      <c r="G10" t="str">
        <v>Prefixado</v>
      </c>
      <c r="H10" t="str">
        <f>IFERROR(IF(_xlfn.XLOOKUP(O10,Dados[Ativo],Dados[Tipo do Ativo])="","",_xlfn.XLOOKUP(O10,Dados[Ativo],Dados[Tipo do Ativo])),"")</f>
        <v>CRA</v>
      </c>
      <c r="I10" t="str">
        <f>IFERROR(IF(_xlfn.XLOOKUP(O10,Dados[Ativo],Dados[Emissor])="","",_xlfn.XLOOKUP(O10,Dados[Ativo],Dados[Emissor])),"")</f>
        <v>BTG Commodities</v>
      </c>
      <c r="J10" s="168">
        <f>IFERROR(IF(_xlfn.XLOOKUP(O10,Dados[Ativo],Dados[Vencimento])="","",_xlfn.XLOOKUP(O10,Dados[Ativo],Dados[Vencimento])),"")</f>
        <v>46827</v>
      </c>
      <c r="K10" t="str">
        <f>IFERROR(IF(_xlfn.XLOOKUP(O10,Dados[Ativo],Dados[Remuneração])="","",_xlfn.XLOOKUP(O10,Dados[Ativo],Dados[Remuneração])),"")</f>
        <v>12,79%aa</v>
      </c>
      <c r="L10" t="str">
        <f>IFERROR(IF(_xlfn.XLOOKUP(O10,Dados[Ativo],Dados[Complemento])="","",_xlfn.XLOOKUP(O10,Dados[Ativo],Dados[Complemento])),"")</f>
        <v/>
      </c>
      <c r="M10">
        <v>2028</v>
      </c>
      <c r="N10" t="str">
        <f>IFERROR(IF(_xlfn.XLOOKUP(O10,Dados[Ativo],Dados[Ticker do Ativo])="","",_xlfn.XLOOKUP(O10,Dados[Ativo],Dados[Ticker do Ativo])),"")</f>
        <v>CRA023003UY</v>
      </c>
      <c r="O10" t="str">
        <v>CRA BTG Commodities 03/28 12,79%aa</v>
      </c>
      <c r="P10" t="str">
        <v>CRA BTG Commodities 03/28 12,79%aa</v>
      </c>
      <c r="Q10" t="str">
        <v>Renda Fixa - Prefixado</v>
      </c>
      <c r="R10" s="126">
        <v>175940.34</v>
      </c>
      <c r="S10" s="126">
        <v>0</v>
      </c>
      <c r="T10" s="31">
        <v>3.6003886398589653E-2</v>
      </c>
      <c r="U10" s="31">
        <v>1.2993829132860638E-2</v>
      </c>
      <c r="V10" s="29">
        <v>175940.34</v>
      </c>
    </row>
    <row r="11" spans="1:22">
      <c r="B11" s="186">
        <v>45474</v>
      </c>
      <c r="C11" t="s">
        <v>233</v>
      </c>
      <c r="D11" t="str">
        <v>GCA</v>
      </c>
      <c r="E11" t="str">
        <v>BTG</v>
      </c>
      <c r="F11" t="str">
        <v>Renda Fixa</v>
      </c>
      <c r="G11" t="str">
        <v>Pós-Fixado</v>
      </c>
      <c r="H11" t="str">
        <f>IFERROR(IF(_xlfn.XLOOKUP(O11,Dados[Ativo],Dados[Tipo do Ativo])="","",_xlfn.XLOOKUP(O11,Dados[Ativo],Dados[Tipo do Ativo])),"")</f>
        <v>CRA</v>
      </c>
      <c r="I11" t="str">
        <f>IFERROR(IF(_xlfn.XLOOKUP(O11,Dados[Ativo],Dados[Emissor])="","",_xlfn.XLOOKUP(O11,Dados[Ativo],Dados[Emissor])),"")</f>
        <v>BTG Pactual</v>
      </c>
      <c r="J11" s="168">
        <f>IFERROR(IF(_xlfn.XLOOKUP(O11,Dados[Ativo],Dados[Vencimento])="","",_xlfn.XLOOKUP(O11,Dados[Ativo],Dados[Vencimento])),"")</f>
        <v>48837</v>
      </c>
      <c r="K11" t="str">
        <f>IFERROR(IF(_xlfn.XLOOKUP(O11,Dados[Ativo],Dados[Remuneração])="","",_xlfn.XLOOKUP(O11,Dados[Ativo],Dados[Remuneração])),"")</f>
        <v>109% CDI</v>
      </c>
      <c r="L11" t="str">
        <f>IFERROR(IF(_xlfn.XLOOKUP(O11,Dados[Ativo],Dados[Complemento])="","",_xlfn.XLOOKUP(O11,Dados[Ativo],Dados[Complemento])),"")</f>
        <v/>
      </c>
      <c r="M11">
        <v>2033</v>
      </c>
      <c r="N11" t="str">
        <f>IFERROR(IF(_xlfn.XLOOKUP(O11,Dados[Ativo],Dados[Ticker do Ativo])="","",_xlfn.XLOOKUP(O11,Dados[Ativo],Dados[Ticker do Ativo])),"")</f>
        <v>CRA02300HWH</v>
      </c>
      <c r="O11" t="str">
        <v>CRA BTG Pactual 09/33 109% CDI</v>
      </c>
      <c r="P11" t="str">
        <v>CRA BTG Pactual 09/33 109% CDI</v>
      </c>
      <c r="Q11" t="str">
        <v>Renda Fixa - Pós-Fixado</v>
      </c>
      <c r="R11" s="126">
        <v>208390.29</v>
      </c>
      <c r="S11" s="126">
        <v>0</v>
      </c>
      <c r="T11" s="31">
        <v>4.2644343689054794E-2</v>
      </c>
      <c r="U11" s="31">
        <v>1.163704164599361E-2</v>
      </c>
      <c r="V11" s="29">
        <v>208390.29</v>
      </c>
    </row>
    <row r="12" spans="1:22">
      <c r="B12" s="186">
        <v>45474</v>
      </c>
      <c r="C12" t="s">
        <v>233</v>
      </c>
      <c r="D12" t="str">
        <v>GCA</v>
      </c>
      <c r="E12" t="str">
        <v>BTG</v>
      </c>
      <c r="F12" t="str">
        <v>Renda Fixa</v>
      </c>
      <c r="G12" t="str">
        <v>Prefixado</v>
      </c>
      <c r="H12" t="str">
        <f>IFERROR(IF(_xlfn.XLOOKUP(O12,Dados[Ativo],Dados[Tipo do Ativo])="","",_xlfn.XLOOKUP(O12,Dados[Ativo],Dados[Tipo do Ativo])),"")</f>
        <v>CRA</v>
      </c>
      <c r="I12" t="str">
        <f>IFERROR(IF(_xlfn.XLOOKUP(O12,Dados[Ativo],Dados[Emissor])="","",_xlfn.XLOOKUP(O12,Dados[Ativo],Dados[Emissor])),"")</f>
        <v>BTG Pactual</v>
      </c>
      <c r="J12" s="168">
        <f>IFERROR(IF(_xlfn.XLOOKUP(O12,Dados[Ativo],Dados[Vencimento])="","",_xlfn.XLOOKUP(O12,Dados[Ativo],Dados[Vencimento])),"")</f>
        <v>48837</v>
      </c>
      <c r="K12" t="str">
        <f>IFERROR(IF(_xlfn.XLOOKUP(O12,Dados[Ativo],Dados[Remuneração])="","",_xlfn.XLOOKUP(O12,Dados[Ativo],Dados[Remuneração])),"")</f>
        <v>11,96%aa</v>
      </c>
      <c r="L12" t="str">
        <f>IFERROR(IF(_xlfn.XLOOKUP(O12,Dados[Ativo],Dados[Complemento])="","",_xlfn.XLOOKUP(O12,Dados[Ativo],Dados[Complemento])),"")</f>
        <v/>
      </c>
      <c r="M12">
        <v>2033</v>
      </c>
      <c r="N12" t="str">
        <f>IFERROR(IF(_xlfn.XLOOKUP(O12,Dados[Ativo],Dados[Ticker do Ativo])="","",_xlfn.XLOOKUP(O12,Dados[Ativo],Dados[Ticker do Ativo])),"")</f>
        <v>CRA02300HWK</v>
      </c>
      <c r="O12" t="str">
        <v>CRA BTG Pactual 09/33 11,96%aa</v>
      </c>
      <c r="P12" t="str">
        <v>CRA BTG Pactual 09/33 11,96%aa</v>
      </c>
      <c r="Q12" t="str">
        <v>Renda Fixa - Prefixado</v>
      </c>
      <c r="R12" s="126">
        <v>104352.24</v>
      </c>
      <c r="S12" s="126">
        <v>0</v>
      </c>
      <c r="T12" s="31">
        <v>2.1354319278900812E-2</v>
      </c>
      <c r="U12" s="31">
        <v>1.2197166620907333E-2</v>
      </c>
      <c r="V12" s="29">
        <v>104352.24</v>
      </c>
    </row>
    <row r="13" spans="1:22">
      <c r="B13" s="186">
        <v>45474</v>
      </c>
      <c r="C13" t="s">
        <v>233</v>
      </c>
      <c r="D13" t="str">
        <v>GCA</v>
      </c>
      <c r="E13" t="str">
        <v>BTG</v>
      </c>
      <c r="F13" t="str">
        <v>Renda Fixa</v>
      </c>
      <c r="G13" t="str">
        <v>Pós-Fixado</v>
      </c>
      <c r="H13" t="str">
        <f>IFERROR(IF(_xlfn.XLOOKUP(O13,Dados[Ativo],Dados[Tipo do Ativo])="","",_xlfn.XLOOKUP(O13,Dados[Ativo],Dados[Tipo do Ativo])),"")</f>
        <v>CRA</v>
      </c>
      <c r="I13" t="str">
        <f>IFERROR(IF(_xlfn.XLOOKUP(O13,Dados[Ativo],Dados[Emissor])="","",_xlfn.XLOOKUP(O13,Dados[Ativo],Dados[Emissor])),"")</f>
        <v>Camil</v>
      </c>
      <c r="J13" s="168">
        <f>IFERROR(IF(_xlfn.XLOOKUP(O13,Dados[Ativo],Dados[Vencimento])="","",_xlfn.XLOOKUP(O13,Dados[Ativo],Dados[Vencimento])),"")</f>
        <v>45763</v>
      </c>
      <c r="K13" t="str">
        <f>IFERROR(IF(_xlfn.XLOOKUP(O13,Dados[Ativo],Dados[Remuneração])="","",_xlfn.XLOOKUP(O13,Dados[Ativo],Dados[Remuneração])),"")</f>
        <v>101% CDI</v>
      </c>
      <c r="L13" t="str">
        <f>IFERROR(IF(_xlfn.XLOOKUP(O13,Dados[Ativo],Dados[Complemento])="","",_xlfn.XLOOKUP(O13,Dados[Ativo],Dados[Complemento])),"")</f>
        <v/>
      </c>
      <c r="M13">
        <v>2025</v>
      </c>
      <c r="N13" t="str">
        <f>IFERROR(IF(_xlfn.XLOOKUP(O13,Dados[Ativo],Dados[Ticker do Ativo])="","",_xlfn.XLOOKUP(O13,Dados[Ativo],Dados[Ticker do Ativo])),"")</f>
        <v>CRA01900133</v>
      </c>
      <c r="O13" t="str">
        <v>CRA Camil 04/25 101% CDI</v>
      </c>
      <c r="P13" t="str">
        <v>CRA Camil 04/25 101% CDI</v>
      </c>
      <c r="Q13" t="str">
        <v>Renda Fixa - Pós-Fixado</v>
      </c>
      <c r="R13" s="126">
        <v>308972.36</v>
      </c>
      <c r="S13" s="126">
        <v>0</v>
      </c>
      <c r="T13" s="31">
        <v>6.3227147053053018E-2</v>
      </c>
      <c r="U13" s="31">
        <v>1.1457714490103743E-2</v>
      </c>
      <c r="V13" s="29">
        <v>308972.36</v>
      </c>
    </row>
    <row r="14" spans="1:22">
      <c r="B14" s="186">
        <v>45474</v>
      </c>
      <c r="C14" t="s">
        <v>233</v>
      </c>
      <c r="D14" t="str">
        <v>GCA</v>
      </c>
      <c r="E14" t="str">
        <v>BTG</v>
      </c>
      <c r="F14" t="str">
        <v>Renda Fixa</v>
      </c>
      <c r="G14" t="str">
        <v>Prefixado</v>
      </c>
      <c r="H14" t="str">
        <f>IFERROR(IF(_xlfn.XLOOKUP(O14,Dados[Ativo],Dados[Tipo do Ativo])="","",_xlfn.XLOOKUP(O14,Dados[Ativo],Dados[Tipo do Ativo])),"")</f>
        <v>CRA</v>
      </c>
      <c r="I14" t="str">
        <f>IFERROR(IF(_xlfn.XLOOKUP(O14,Dados[Ativo],Dados[Emissor])="","",_xlfn.XLOOKUP(O14,Dados[Ativo],Dados[Emissor])),"")</f>
        <v>Engelhart CTP</v>
      </c>
      <c r="J14" s="168">
        <f>IFERROR(IF(_xlfn.XLOOKUP(O14,Dados[Ativo],Dados[Vencimento])="","",_xlfn.XLOOKUP(O14,Dados[Ativo],Dados[Vencimento])),"")</f>
        <v>46769</v>
      </c>
      <c r="K14" t="str">
        <f>IFERROR(IF(_xlfn.XLOOKUP(O14,Dados[Ativo],Dados[Remuneração])="","",_xlfn.XLOOKUP(O14,Dados[Ativo],Dados[Remuneração])),"")</f>
        <v>13,58%aa</v>
      </c>
      <c r="L14" t="str">
        <f>IFERROR(IF(_xlfn.XLOOKUP(O14,Dados[Ativo],Dados[Complemento])="","",_xlfn.XLOOKUP(O14,Dados[Ativo],Dados[Complemento])),"")</f>
        <v/>
      </c>
      <c r="M14">
        <v>2028</v>
      </c>
      <c r="N14" t="str">
        <f>IFERROR(IF(_xlfn.XLOOKUP(O14,Dados[Ativo],Dados[Ticker do Ativo])="","",_xlfn.XLOOKUP(O14,Dados[Ativo],Dados[Ticker do Ativo])),"")</f>
        <v>CRA0230020A</v>
      </c>
      <c r="O14" t="str">
        <v>CRA Engelhart CTP 01/28 13,58%aa</v>
      </c>
      <c r="P14" t="str">
        <v>CRA Engelhart CTP 01/28 13,58%aa</v>
      </c>
      <c r="Q14" t="str">
        <v>Renda Fixa - Prefixado</v>
      </c>
      <c r="R14" s="126">
        <v>103110.63</v>
      </c>
      <c r="S14" s="126">
        <v>0</v>
      </c>
      <c r="T14" s="31">
        <v>2.1100240053003254E-2</v>
      </c>
      <c r="U14" s="31">
        <v>1.3756615295707911E-2</v>
      </c>
      <c r="V14" s="29">
        <v>103110.63</v>
      </c>
    </row>
    <row r="15" spans="1:22">
      <c r="B15" s="186">
        <v>45474</v>
      </c>
      <c r="C15" t="s">
        <v>233</v>
      </c>
      <c r="D15" t="str">
        <v>GCA</v>
      </c>
      <c r="E15" t="str">
        <v>BTG</v>
      </c>
      <c r="F15" t="str">
        <v>Renda Fixa</v>
      </c>
      <c r="G15" t="str">
        <v>Prefixado</v>
      </c>
      <c r="H15" t="str">
        <f>IFERROR(IF(_xlfn.XLOOKUP(O15,Dados[Ativo],Dados[Tipo do Ativo])="","",_xlfn.XLOOKUP(O15,Dados[Ativo],Dados[Tipo do Ativo])),"")</f>
        <v>CRA</v>
      </c>
      <c r="I15" t="str">
        <f>IFERROR(IF(_xlfn.XLOOKUP(O15,Dados[Ativo],Dados[Emissor])="","",_xlfn.XLOOKUP(O15,Dados[Ativo],Dados[Emissor])),"")</f>
        <v>FS Agrisolutions</v>
      </c>
      <c r="J15" s="168">
        <f>IFERROR(IF(_xlfn.XLOOKUP(O15,Dados[Ativo],Dados[Vencimento])="","",_xlfn.XLOOKUP(O15,Dados[Ativo],Dados[Vencimento])),"")</f>
        <v>47679</v>
      </c>
      <c r="K15" t="str">
        <f>IFERROR(IF(_xlfn.XLOOKUP(O15,Dados[Ativo],Dados[Remuneração])="","",_xlfn.XLOOKUP(O15,Dados[Ativo],Dados[Remuneração])),"")</f>
        <v>13,20%aa</v>
      </c>
      <c r="L15" t="str">
        <f>IFERROR(IF(_xlfn.XLOOKUP(O15,Dados[Ativo],Dados[Complemento])="","",_xlfn.XLOOKUP(O15,Dados[Ativo],Dados[Complemento])),"")</f>
        <v/>
      </c>
      <c r="M15">
        <v>2030</v>
      </c>
      <c r="N15" t="str">
        <f>IFERROR(IF(_xlfn.XLOOKUP(O15,Dados[Ativo],Dados[Ticker do Ativo])="","",_xlfn.XLOOKUP(O15,Dados[Ativo],Dados[Ticker do Ativo])),"")</f>
        <v>CRA024000B8</v>
      </c>
      <c r="O15" t="str">
        <v>CRA FS Agrisolutions 07/30 13,20%aa</v>
      </c>
      <c r="P15" t="str">
        <v>CRA FS Agrisolutions 07/30 13,20%aa</v>
      </c>
      <c r="Q15" t="str">
        <v>Renda Fixa - Prefixado</v>
      </c>
      <c r="R15" s="126">
        <v>64378.97</v>
      </c>
      <c r="S15" s="126">
        <v>-632.88</v>
      </c>
      <c r="T15" s="31">
        <v>1.3174313078730049E-2</v>
      </c>
      <c r="U15" s="31">
        <v>1.332011576493339E-2</v>
      </c>
      <c r="V15" s="29">
        <v>65011.85</v>
      </c>
    </row>
    <row r="16" spans="1:22">
      <c r="B16" s="186">
        <v>45474</v>
      </c>
      <c r="C16" t="s">
        <v>233</v>
      </c>
      <c r="D16" t="str">
        <v>GCA</v>
      </c>
      <c r="E16" t="str">
        <v>BTG</v>
      </c>
      <c r="F16" t="str">
        <v>Renda Fixa</v>
      </c>
      <c r="G16" t="str">
        <v>Prefixado</v>
      </c>
      <c r="H16" t="str">
        <f>IFERROR(IF(_xlfn.XLOOKUP(O16,Dados[Ativo],Dados[Tipo do Ativo])="","",_xlfn.XLOOKUP(O16,Dados[Ativo],Dados[Tipo do Ativo])),"")</f>
        <v>CRA</v>
      </c>
      <c r="I16" t="str">
        <f>IFERROR(IF(_xlfn.XLOOKUP(O16,Dados[Ativo],Dados[Emissor])="","",_xlfn.XLOOKUP(O16,Dados[Ativo],Dados[Emissor])),"")</f>
        <v>FS Agrisolutions</v>
      </c>
      <c r="J16" s="168">
        <f>IFERROR(IF(_xlfn.XLOOKUP(O16,Dados[Ativo],Dados[Vencimento])="","",_xlfn.XLOOKUP(O16,Dados[Ativo],Dados[Vencimento])),"")</f>
        <v>47102</v>
      </c>
      <c r="K16" t="str">
        <f>IFERROR(IF(_xlfn.XLOOKUP(O16,Dados[Ativo],Dados[Remuneração])="","",_xlfn.XLOOKUP(O16,Dados[Ativo],Dados[Remuneração])),"")</f>
        <v>12,45%aa</v>
      </c>
      <c r="L16" t="str">
        <f>IFERROR(IF(_xlfn.XLOOKUP(O16,Dados[Ativo],Dados[Complemento])="","",_xlfn.XLOOKUP(O16,Dados[Ativo],Dados[Complemento])),"")</f>
        <v/>
      </c>
      <c r="M16">
        <v>2028</v>
      </c>
      <c r="N16" t="str">
        <f>IFERROR(IF(_xlfn.XLOOKUP(O16,Dados[Ativo],Dados[Ticker do Ativo])="","",_xlfn.XLOOKUP(O16,Dados[Ativo],Dados[Ticker do Ativo])),"")</f>
        <v>CRA02300S37</v>
      </c>
      <c r="O16" t="str">
        <v>CRA FS Agrisolutions 12/28 12,45%aa</v>
      </c>
      <c r="P16" t="str">
        <v>CRA FS Agrisolutions 12/28 12,45%aa</v>
      </c>
      <c r="Q16" t="str">
        <v>Renda Fixa - Prefixado</v>
      </c>
      <c r="R16" s="126">
        <v>100560.31</v>
      </c>
      <c r="S16" s="126">
        <v>-935.6</v>
      </c>
      <c r="T16" s="31">
        <v>2.0578350464975567E-2</v>
      </c>
      <c r="U16" s="31">
        <v>1.2605534904955536E-2</v>
      </c>
      <c r="V16" s="29">
        <v>101495.91</v>
      </c>
    </row>
    <row r="17" spans="2:22">
      <c r="B17" s="186">
        <v>45474</v>
      </c>
      <c r="C17" t="s">
        <v>233</v>
      </c>
      <c r="D17" t="str">
        <v>GCA</v>
      </c>
      <c r="E17" t="str">
        <v>BTG</v>
      </c>
      <c r="F17" t="str">
        <v>Renda Fixa</v>
      </c>
      <c r="G17" t="str">
        <v>Pós-Fixado</v>
      </c>
      <c r="H17" t="str">
        <f>IFERROR(IF(_xlfn.XLOOKUP(O17,Dados[Ativo],Dados[Tipo do Ativo])="","",_xlfn.XLOOKUP(O17,Dados[Ativo],Dados[Tipo do Ativo])),"")</f>
        <v>CRA</v>
      </c>
      <c r="I17" t="str">
        <f>IFERROR(IF(_xlfn.XLOOKUP(O17,Dados[Ativo],Dados[Emissor])="","",_xlfn.XLOOKUP(O17,Dados[Ativo],Dados[Emissor])),"")</f>
        <v>Klabin</v>
      </c>
      <c r="J17" s="168">
        <f>IFERROR(IF(_xlfn.XLOOKUP(O17,Dados[Ativo],Dados[Vencimento])="","",_xlfn.XLOOKUP(O17,Dados[Ativo],Dados[Vencimento])),"")</f>
        <v>46097</v>
      </c>
      <c r="K17" t="str">
        <f>IFERROR(IF(_xlfn.XLOOKUP(O17,Dados[Ativo],Dados[Remuneração])="","",_xlfn.XLOOKUP(O17,Dados[Ativo],Dados[Remuneração])),"")</f>
        <v>98% CDI</v>
      </c>
      <c r="L17" t="str">
        <f>IFERROR(IF(_xlfn.XLOOKUP(O17,Dados[Ativo],Dados[Complemento])="","",_xlfn.XLOOKUP(O17,Dados[Ativo],Dados[Complemento])),"")</f>
        <v/>
      </c>
      <c r="M17">
        <v>2026</v>
      </c>
      <c r="N17" t="str">
        <f>IFERROR(IF(_xlfn.XLOOKUP(O17,Dados[Ativo],Dados[Ticker do Ativo])="","",_xlfn.XLOOKUP(O17,Dados[Ativo],Dados[Ticker do Ativo])),"")</f>
        <v>CRA019001E6</v>
      </c>
      <c r="O17" t="str">
        <v>CRA Klabin 03/26 98% CDI</v>
      </c>
      <c r="P17" t="str">
        <v>CRA Klabin 03/26 98% CDI</v>
      </c>
      <c r="Q17" t="str">
        <v>Renda Fixa - Pós-Fixado</v>
      </c>
      <c r="R17" s="126">
        <v>70559.520000000004</v>
      </c>
      <c r="S17" s="126">
        <v>0</v>
      </c>
      <c r="T17" s="31">
        <v>1.4439081693368416E-2</v>
      </c>
      <c r="U17" s="31">
        <v>1.0774589480480315E-2</v>
      </c>
      <c r="V17" s="29">
        <v>70559.520000000004</v>
      </c>
    </row>
    <row r="18" spans="2:22">
      <c r="B18" s="186">
        <v>45474</v>
      </c>
      <c r="C18" t="s">
        <v>233</v>
      </c>
      <c r="D18" t="str">
        <v>GCA</v>
      </c>
      <c r="E18" t="str">
        <v>BTG</v>
      </c>
      <c r="F18" t="str">
        <v>Renda Fixa</v>
      </c>
      <c r="G18" t="str">
        <v>Pós-Fixado</v>
      </c>
      <c r="H18" t="str">
        <f>IFERROR(IF(_xlfn.XLOOKUP(O18,Dados[Ativo],Dados[Tipo do Ativo])="","",_xlfn.XLOOKUP(O18,Dados[Ativo],Dados[Tipo do Ativo])),"")</f>
        <v>CRA</v>
      </c>
      <c r="I18" t="str">
        <f>IFERROR(IF(_xlfn.XLOOKUP(O18,Dados[Ativo],Dados[Emissor])="","",_xlfn.XLOOKUP(O18,Dados[Ativo],Dados[Emissor])),"")</f>
        <v>Raízen</v>
      </c>
      <c r="J18" s="168">
        <f>IFERROR(IF(_xlfn.XLOOKUP(O18,Dados[Ativo],Dados[Vencimento])="","",_xlfn.XLOOKUP(O18,Dados[Ativo],Dados[Vencimento])),"")</f>
        <v>47315</v>
      </c>
      <c r="K18" t="str">
        <f>IFERROR(IF(_xlfn.XLOOKUP(O18,Dados[Ativo],Dados[Remuneração])="","",_xlfn.XLOOKUP(O18,Dados[Ativo],Dados[Remuneração])),"")</f>
        <v>100% CDI</v>
      </c>
      <c r="L18" t="str">
        <f>IFERROR(IF(_xlfn.XLOOKUP(O18,Dados[Ativo],Dados[Complemento])="","",_xlfn.XLOOKUP(O18,Dados[Ativo],Dados[Complemento])),"")</f>
        <v/>
      </c>
      <c r="M18">
        <v>2029</v>
      </c>
      <c r="N18" t="str">
        <f>IFERROR(IF(_xlfn.XLOOKUP(O18,Dados[Ativo],Dados[Ticker do Ativo])="","",_xlfn.XLOOKUP(O18,Dados[Ativo],Dados[Ticker do Ativo])),"")</f>
        <v>VBRR11</v>
      </c>
      <c r="O18" t="str">
        <v>CRA Raízen 07/29 100% CDI</v>
      </c>
      <c r="P18" t="str">
        <v>CRA Raízen 07/29 100% CDI</v>
      </c>
      <c r="Q18" t="str">
        <v>Renda Fixa - Pós-Fixado</v>
      </c>
      <c r="R18" s="126">
        <v>200944.51</v>
      </c>
      <c r="S18" s="126">
        <v>-10449.950000000001</v>
      </c>
      <c r="T18" s="31">
        <v>4.1120662324855478E-2</v>
      </c>
      <c r="U18" s="31">
        <v>1.039488967247462E-2</v>
      </c>
      <c r="V18" s="29">
        <v>211394.46000000002</v>
      </c>
    </row>
    <row r="19" spans="2:22">
      <c r="B19" s="186">
        <v>45474</v>
      </c>
      <c r="C19" t="s">
        <v>233</v>
      </c>
      <c r="D19" t="str">
        <v>GCA</v>
      </c>
      <c r="E19" t="str">
        <v>BTG</v>
      </c>
      <c r="F19" t="str">
        <v>Renda Fixa</v>
      </c>
      <c r="G19" t="str">
        <v>Pós-Fixado</v>
      </c>
      <c r="H19" t="str">
        <f>IFERROR(IF(_xlfn.XLOOKUP(O19,Dados[Ativo],Dados[Tipo do Ativo])="","",_xlfn.XLOOKUP(O19,Dados[Ativo],Dados[Tipo do Ativo])),"")</f>
        <v>CRA</v>
      </c>
      <c r="I19" t="str">
        <f>IFERROR(IF(_xlfn.XLOOKUP(O19,Dados[Ativo],Dados[Emissor])="","",_xlfn.XLOOKUP(O19,Dados[Ativo],Dados[Emissor])),"")</f>
        <v>São Martinho</v>
      </c>
      <c r="J19" s="168">
        <f>IFERROR(IF(_xlfn.XLOOKUP(O19,Dados[Ativo],Dados[Vencimento])="","",_xlfn.XLOOKUP(O19,Dados[Ativo],Dados[Vencimento])),"")</f>
        <v>46127</v>
      </c>
      <c r="K19" t="str">
        <f>IFERROR(IF(_xlfn.XLOOKUP(O19,Dados[Ativo],Dados[Remuneração])="","",_xlfn.XLOOKUP(O19,Dados[Ativo],Dados[Remuneração])),"")</f>
        <v>98,50% CDI</v>
      </c>
      <c r="L19" t="str">
        <f>IFERROR(IF(_xlfn.XLOOKUP(O19,Dados[Ativo],Dados[Complemento])="","",_xlfn.XLOOKUP(O19,Dados[Ativo],Dados[Complemento])),"")</f>
        <v/>
      </c>
      <c r="M19">
        <v>2026</v>
      </c>
      <c r="N19" t="str">
        <f>IFERROR(IF(_xlfn.XLOOKUP(O19,Dados[Ativo],Dados[Ticker do Ativo])="","",_xlfn.XLOOKUP(O19,Dados[Ativo],Dados[Ticker do Ativo])),"")</f>
        <v>CRA019000RT</v>
      </c>
      <c r="O19" t="str">
        <v>CRA São Martinho 04/26 98,50% CDI</v>
      </c>
      <c r="P19" t="str">
        <v>CRA São Martinho 04/26 98,50% CDI</v>
      </c>
      <c r="Q19" t="str">
        <v>Renda Fixa - Pós-Fixado</v>
      </c>
      <c r="R19" s="126">
        <v>308875.37</v>
      </c>
      <c r="S19" s="126">
        <v>0</v>
      </c>
      <c r="T19" s="31">
        <v>6.3207299319771384E-2</v>
      </c>
      <c r="U19" s="31">
        <v>1.0829779796371326E-2</v>
      </c>
      <c r="V19" s="29">
        <v>308875.37</v>
      </c>
    </row>
    <row r="20" spans="2:22">
      <c r="B20" s="186">
        <v>45474</v>
      </c>
      <c r="C20" t="s">
        <v>233</v>
      </c>
      <c r="D20" t="str">
        <v>GCA</v>
      </c>
      <c r="E20" t="str">
        <v>BTG</v>
      </c>
      <c r="F20" t="str">
        <v>Renda Fixa</v>
      </c>
      <c r="G20" t="str">
        <v>Pós-Fixado</v>
      </c>
      <c r="H20" t="str">
        <f>IFERROR(IF(_xlfn.XLOOKUP(O20,Dados[Ativo],Dados[Tipo do Ativo])="","",_xlfn.XLOOKUP(O20,Dados[Ativo],Dados[Tipo do Ativo])),"")</f>
        <v>CRA</v>
      </c>
      <c r="I20" t="str">
        <f>IFERROR(IF(_xlfn.XLOOKUP(O20,Dados[Ativo],Dados[Emissor])="","",_xlfn.XLOOKUP(O20,Dados[Ativo],Dados[Emissor])),"")</f>
        <v>São Salvador</v>
      </c>
      <c r="J20" s="168">
        <f>IFERROR(IF(_xlfn.XLOOKUP(O20,Dados[Ativo],Dados[Vencimento])="","",_xlfn.XLOOKUP(O20,Dados[Ativo],Dados[Vencimento])),"")</f>
        <v>47588</v>
      </c>
      <c r="K20" t="str">
        <f>IFERROR(IF(_xlfn.XLOOKUP(O20,Dados[Ativo],Dados[Remuneração])="","",_xlfn.XLOOKUP(O20,Dados[Ativo],Dados[Remuneração])),"")</f>
        <v>106,50% CDI</v>
      </c>
      <c r="L20" t="str">
        <f>IFERROR(IF(_xlfn.XLOOKUP(O20,Dados[Ativo],Dados[Complemento])="","",_xlfn.XLOOKUP(O20,Dados[Ativo],Dados[Complemento])),"")</f>
        <v/>
      </c>
      <c r="M20">
        <v>2030</v>
      </c>
      <c r="N20" t="str">
        <f>IFERROR(IF(_xlfn.XLOOKUP(O20,Dados[Ativo],Dados[Ticker do Ativo])="","",_xlfn.XLOOKUP(O20,Dados[Ativo],Dados[Ticker do Ativo])),"")</f>
        <v>CRA024004MP</v>
      </c>
      <c r="O20" t="str">
        <v>CRA São Salvador 04/30 106,50% CDI</v>
      </c>
      <c r="P20" t="str">
        <v>CRA São Salvador 04/30 106,50% CDI</v>
      </c>
      <c r="Q20" t="str">
        <v>Renda Fixa - Pós-Fixado</v>
      </c>
      <c r="R20" s="126">
        <v>76520.5</v>
      </c>
      <c r="S20" s="126">
        <v>0</v>
      </c>
      <c r="T20" s="31">
        <v>1.5658918183080014E-2</v>
      </c>
      <c r="U20" s="31">
        <v>1.1368846851086608E-2</v>
      </c>
      <c r="V20" s="29">
        <v>76520.5</v>
      </c>
    </row>
    <row r="21" spans="2:22">
      <c r="B21" s="186">
        <v>45474</v>
      </c>
      <c r="C21" t="s">
        <v>233</v>
      </c>
      <c r="D21" t="str">
        <v>GCA</v>
      </c>
      <c r="E21" t="str">
        <v>BTG</v>
      </c>
      <c r="F21" t="str">
        <v>Renda Fixa</v>
      </c>
      <c r="G21" t="str">
        <v>Prefixado</v>
      </c>
      <c r="H21" t="str">
        <f>IFERROR(IF(_xlfn.XLOOKUP(O21,Dados[Ativo],Dados[Tipo do Ativo])="","",_xlfn.XLOOKUP(O21,Dados[Ativo],Dados[Tipo do Ativo])),"")</f>
        <v>CRA</v>
      </c>
      <c r="I21" t="str">
        <f>IFERROR(IF(_xlfn.XLOOKUP(O21,Dados[Ativo],Dados[Emissor])="","",_xlfn.XLOOKUP(O21,Dados[Ativo],Dados[Emissor])),"")</f>
        <v>São Salvador</v>
      </c>
      <c r="J21" s="168">
        <f>IFERROR(IF(_xlfn.XLOOKUP(O21,Dados[Ativo],Dados[Vencimento])="","",_xlfn.XLOOKUP(O21,Dados[Ativo],Dados[Vencimento])),"")</f>
        <v>47953</v>
      </c>
      <c r="K21" t="str">
        <f>IFERROR(IF(_xlfn.XLOOKUP(O21,Dados[Ativo],Dados[Remuneração])="","",_xlfn.XLOOKUP(O21,Dados[Ativo],Dados[Remuneração])),"")</f>
        <v>12,33%aa</v>
      </c>
      <c r="L21" t="str">
        <f>IFERROR(IF(_xlfn.XLOOKUP(O21,Dados[Ativo],Dados[Complemento])="","",_xlfn.XLOOKUP(O21,Dados[Ativo],Dados[Complemento])),"")</f>
        <v/>
      </c>
      <c r="M21">
        <v>2031</v>
      </c>
      <c r="N21" t="str">
        <f>IFERROR(IF(_xlfn.XLOOKUP(O21,Dados[Ativo],Dados[Ticker do Ativo])="","",_xlfn.XLOOKUP(O21,Dados[Ativo],Dados[Ticker do Ativo])),"")</f>
        <v>CRA024004MQ</v>
      </c>
      <c r="O21" t="str">
        <v>CRA São Salvador 04/31 12,33%aa</v>
      </c>
      <c r="P21" t="str">
        <v>CRA São Salvador 04/31 12,33%aa</v>
      </c>
      <c r="Q21" t="str">
        <v>Renda Fixa - Prefixado</v>
      </c>
      <c r="R21" s="126">
        <v>102239.54</v>
      </c>
      <c r="S21" s="126">
        <v>0</v>
      </c>
      <c r="T21" s="31">
        <v>2.0921982892633167E-2</v>
      </c>
      <c r="U21" s="31">
        <v>1.2552131115046324E-2</v>
      </c>
      <c r="V21" s="29">
        <v>102239.54</v>
      </c>
    </row>
    <row r="22" spans="2:22">
      <c r="B22" s="186">
        <v>45474</v>
      </c>
      <c r="C22" t="s">
        <v>233</v>
      </c>
      <c r="D22" t="str">
        <v>GCA</v>
      </c>
      <c r="E22" t="str">
        <v>BTG</v>
      </c>
      <c r="F22" t="str">
        <v>Renda Fixa</v>
      </c>
      <c r="G22" t="str">
        <v>Prefixado</v>
      </c>
      <c r="H22" t="str">
        <f>IFERROR(IF(_xlfn.XLOOKUP(O22,Dados[Ativo],Dados[Tipo do Ativo])="","",_xlfn.XLOOKUP(O22,Dados[Ativo],Dados[Tipo do Ativo])),"")</f>
        <v>CRA</v>
      </c>
      <c r="I22" t="str">
        <f>IFERROR(IF(_xlfn.XLOOKUP(O22,Dados[Ativo],Dados[Emissor])="","",_xlfn.XLOOKUP(O22,Dados[Ativo],Dados[Emissor])),"")</f>
        <v>Vicunha Textil</v>
      </c>
      <c r="J22" s="168">
        <f>IFERROR(IF(_xlfn.XLOOKUP(O22,Dados[Ativo],Dados[Vencimento])="","",_xlfn.XLOOKUP(O22,Dados[Ativo],Dados[Vencimento])),"")</f>
        <v>47896</v>
      </c>
      <c r="K22" t="str">
        <f>IFERROR(IF(_xlfn.XLOOKUP(O22,Dados[Ativo],Dados[Remuneração])="","",_xlfn.XLOOKUP(O22,Dados[Ativo],Dados[Remuneração])),"")</f>
        <v>12,90%aa</v>
      </c>
      <c r="L22" t="str">
        <f>IFERROR(IF(_xlfn.XLOOKUP(O22,Dados[Ativo],Dados[Complemento])="","",_xlfn.XLOOKUP(O22,Dados[Ativo],Dados[Complemento])),"")</f>
        <v/>
      </c>
      <c r="M22">
        <v>2031</v>
      </c>
      <c r="N22" t="str">
        <f>IFERROR(IF(_xlfn.XLOOKUP(O22,Dados[Ativo],Dados[Ticker do Ativo])="","",_xlfn.XLOOKUP(O22,Dados[Ativo],Dados[Ticker do Ativo])),"")</f>
        <v>CRA0240020B</v>
      </c>
      <c r="O22" t="str">
        <v>CRA Vicunha Textil 02/31 12,90%aa</v>
      </c>
      <c r="P22" t="str">
        <v>CRA Vicunha Textil 02/31 12,90%aa</v>
      </c>
      <c r="Q22" t="str">
        <v>Renda Fixa - Prefixado</v>
      </c>
      <c r="R22" s="126">
        <v>210979.57</v>
      </c>
      <c r="S22" s="126">
        <v>0</v>
      </c>
      <c r="T22" s="31">
        <v>4.3174205930847323E-2</v>
      </c>
      <c r="U22" s="31">
        <v>1.3100589482266015E-2</v>
      </c>
      <c r="V22" s="29">
        <v>210979.57</v>
      </c>
    </row>
    <row r="23" spans="2:22">
      <c r="B23" s="186">
        <v>45474</v>
      </c>
      <c r="C23" t="s">
        <v>233</v>
      </c>
      <c r="D23" t="str">
        <v>GCA</v>
      </c>
      <c r="E23" t="str">
        <v>BTG</v>
      </c>
      <c r="F23" t="str">
        <v>Renda Fixa</v>
      </c>
      <c r="G23" t="str">
        <v>Prefixado</v>
      </c>
      <c r="H23" t="str">
        <f>IFERROR(IF(_xlfn.XLOOKUP(O23,Dados[Ativo],Dados[Tipo do Ativo])="","",_xlfn.XLOOKUP(O23,Dados[Ativo],Dados[Tipo do Ativo])),"")</f>
        <v>CRI</v>
      </c>
      <c r="I23" t="str">
        <f>IFERROR(IF(_xlfn.XLOOKUP(O23,Dados[Ativo],Dados[Emissor])="","",_xlfn.XLOOKUP(O23,Dados[Ativo],Dados[Emissor])),"")</f>
        <v>Allos</v>
      </c>
      <c r="J23" s="168">
        <f>IFERROR(IF(_xlfn.XLOOKUP(O23,Dados[Ativo],Dados[Vencimento])="","",_xlfn.XLOOKUP(O23,Dados[Ativo],Dados[Vencimento])),"")</f>
        <v>47953</v>
      </c>
      <c r="K23" t="str">
        <f>IFERROR(IF(_xlfn.XLOOKUP(O23,Dados[Ativo],Dados[Remuneração])="","",_xlfn.XLOOKUP(O23,Dados[Ativo],Dados[Remuneração])),"")</f>
        <v>11,67%aa</v>
      </c>
      <c r="L23" t="str">
        <f>IFERROR(IF(_xlfn.XLOOKUP(O23,Dados[Ativo],Dados[Complemento])="","",_xlfn.XLOOKUP(O23,Dados[Ativo],Dados[Complemento])),"")</f>
        <v/>
      </c>
      <c r="M23">
        <v>2031</v>
      </c>
      <c r="N23" t="str">
        <f>IFERROR(IF(_xlfn.XLOOKUP(O23,Dados[Ativo],Dados[Ticker do Ativo])="","",_xlfn.XLOOKUP(O23,Dados[Ativo],Dados[Ticker do Ativo])),"")</f>
        <v>24D0006603</v>
      </c>
      <c r="O23" t="str">
        <v>CRI Allos 04/31 11,67%aa</v>
      </c>
      <c r="P23" t="str">
        <v>CRI Allos 04/31 11,67%aa</v>
      </c>
      <c r="Q23" t="str">
        <v>Renda Fixa - Prefixado</v>
      </c>
      <c r="R23" s="126">
        <v>206497.49</v>
      </c>
      <c r="S23" s="126">
        <v>0</v>
      </c>
      <c r="T23" s="31">
        <v>4.2257006957892106E-2</v>
      </c>
      <c r="U23" s="31">
        <v>1.1910485468604607E-2</v>
      </c>
      <c r="V23" s="29">
        <v>206497.49</v>
      </c>
    </row>
    <row r="24" spans="2:22">
      <c r="B24" s="186">
        <v>45474</v>
      </c>
      <c r="C24" t="s">
        <v>233</v>
      </c>
      <c r="D24" t="str">
        <v>GCA</v>
      </c>
      <c r="E24" t="str">
        <v>BTG</v>
      </c>
      <c r="F24" t="str">
        <v>Renda Fixa</v>
      </c>
      <c r="G24" t="str">
        <v>Inflação</v>
      </c>
      <c r="H24" t="str">
        <f>IFERROR(IF(_xlfn.XLOOKUP(O24,Dados[Ativo],Dados[Tipo do Ativo])="","",_xlfn.XLOOKUP(O24,Dados[Ativo],Dados[Tipo do Ativo])),"")</f>
        <v>CRI</v>
      </c>
      <c r="I24" t="str">
        <f>IFERROR(IF(_xlfn.XLOOKUP(O24,Dados[Ativo],Dados[Emissor])="","",_xlfn.XLOOKUP(O24,Dados[Ativo],Dados[Emissor])),"")</f>
        <v>Automob</v>
      </c>
      <c r="J24" s="168">
        <f>IFERROR(IF(_xlfn.XLOOKUP(O24,Dados[Ativo],Dados[Vencimento])="","",_xlfn.XLOOKUP(O24,Dados[Ativo],Dados[Vencimento])),"")</f>
        <v>47588</v>
      </c>
      <c r="K24" t="str">
        <f>IFERROR(IF(_xlfn.XLOOKUP(O24,Dados[Ativo],Dados[Remuneração])="","",_xlfn.XLOOKUP(O24,Dados[Ativo],Dados[Remuneração])),"")</f>
        <v>IPCA+ 8,15%aa</v>
      </c>
      <c r="L24" t="str">
        <f>IFERROR(IF(_xlfn.XLOOKUP(O24,Dados[Ativo],Dados[Complemento])="","",_xlfn.XLOOKUP(O24,Dados[Ativo],Dados[Complemento])),"")</f>
        <v/>
      </c>
      <c r="M24">
        <v>2030</v>
      </c>
      <c r="N24" t="str">
        <f>IFERROR(IF(_xlfn.XLOOKUP(O24,Dados[Ativo],Dados[Ticker do Ativo])="","",_xlfn.XLOOKUP(O24,Dados[Ativo],Dados[Ticker do Ativo])),"")</f>
        <v>22L2288690</v>
      </c>
      <c r="O24" t="str">
        <v>CRI Automob 04/30 IPCA+ 8,15%aa</v>
      </c>
      <c r="P24" t="str">
        <v>CRI Automob 04/30 IPCA+ 8,15%aa</v>
      </c>
      <c r="Q24" t="str">
        <v>Renda Fixa - Inflação</v>
      </c>
      <c r="R24" s="126">
        <v>215377.42</v>
      </c>
      <c r="S24" s="126">
        <v>0</v>
      </c>
      <c r="T24" s="31">
        <v>4.4074168337411034E-2</v>
      </c>
      <c r="U24" s="31">
        <v>1.1487445797800203E-2</v>
      </c>
      <c r="V24" s="29">
        <v>215377.42</v>
      </c>
    </row>
    <row r="25" spans="2:22">
      <c r="B25" s="186">
        <v>45474</v>
      </c>
      <c r="C25" t="s">
        <v>233</v>
      </c>
      <c r="D25" t="str">
        <v>GCA</v>
      </c>
      <c r="E25" t="str">
        <v>BTG</v>
      </c>
      <c r="F25" t="str">
        <v>Renda Fixa</v>
      </c>
      <c r="G25" t="str">
        <v>Pós-Fixado</v>
      </c>
      <c r="H25" t="str">
        <f>IFERROR(IF(_xlfn.XLOOKUP(O25,Dados[Ativo],Dados[Tipo do Ativo])="","",_xlfn.XLOOKUP(O25,Dados[Ativo],Dados[Tipo do Ativo])),"")</f>
        <v>CRI</v>
      </c>
      <c r="I25" t="str">
        <f>IFERROR(IF(_xlfn.XLOOKUP(O25,Dados[Ativo],Dados[Emissor])="","",_xlfn.XLOOKUP(O25,Dados[Ativo],Dados[Emissor])),"")</f>
        <v>Cyrella</v>
      </c>
      <c r="J25" s="168">
        <f>IFERROR(IF(_xlfn.XLOOKUP(O25,Dados[Ativo],Dados[Vencimento])="","",_xlfn.XLOOKUP(O25,Dados[Ativo],Dados[Vencimento])),"")</f>
        <v>45490</v>
      </c>
      <c r="K25" t="str">
        <f>IFERROR(IF(_xlfn.XLOOKUP(O25,Dados[Ativo],Dados[Remuneração])="","",_xlfn.XLOOKUP(O25,Dados[Ativo],Dados[Remuneração])),"")</f>
        <v>100% CDI</v>
      </c>
      <c r="L25" t="str">
        <f>IFERROR(IF(_xlfn.XLOOKUP(O25,Dados[Ativo],Dados[Complemento])="","",_xlfn.XLOOKUP(O25,Dados[Ativo],Dados[Complemento])),"")</f>
        <v/>
      </c>
      <c r="M25">
        <v>2024</v>
      </c>
      <c r="N25" t="str">
        <f>IFERROR(IF(_xlfn.XLOOKUP(O25,Dados[Ativo],Dados[Ticker do Ativo])="","",_xlfn.XLOOKUP(O25,Dados[Ativo],Dados[Ticker do Ativo])),"")</f>
        <v>CRA019003V2</v>
      </c>
      <c r="O25" t="str">
        <v>CRI Cyrella 07/24 100% CDI</v>
      </c>
      <c r="P25" t="str">
        <v>CRI Cyrella 07/24 100% CDI</v>
      </c>
      <c r="Q25" t="str">
        <v>Renda Fixa - Pós-Fixado</v>
      </c>
      <c r="R25" s="126">
        <v>0</v>
      </c>
      <c r="S25" s="126">
        <v>0</v>
      </c>
      <c r="T25" s="31">
        <v>0</v>
      </c>
      <c r="U25" s="31">
        <v>-1.2903225806451613</v>
      </c>
      <c r="V25" s="29">
        <v>0</v>
      </c>
    </row>
    <row r="26" spans="2:22">
      <c r="B26" s="186">
        <v>45474</v>
      </c>
      <c r="C26" t="s">
        <v>233</v>
      </c>
      <c r="D26" t="str">
        <v>GCA</v>
      </c>
      <c r="E26" t="str">
        <v>BTG</v>
      </c>
      <c r="F26" t="str">
        <v>Renda Fixa</v>
      </c>
      <c r="G26" t="str">
        <v>Prefixado</v>
      </c>
      <c r="H26" t="str">
        <f>IFERROR(IF(_xlfn.XLOOKUP(O26,Dados[Ativo],Dados[Tipo do Ativo])="","",_xlfn.XLOOKUP(O26,Dados[Ativo],Dados[Tipo do Ativo])),"")</f>
        <v>CRI</v>
      </c>
      <c r="I26" t="str">
        <f>IFERROR(IF(_xlfn.XLOOKUP(O26,Dados[Ativo],Dados[Emissor])="","",_xlfn.XLOOKUP(O26,Dados[Ativo],Dados[Emissor])),"")</f>
        <v>Dasa</v>
      </c>
      <c r="J26" s="168">
        <f>IFERROR(IF(_xlfn.XLOOKUP(O26,Dados[Ativo],Dados[Vencimento])="","",_xlfn.XLOOKUP(O26,Dados[Ativo],Dados[Vencimento])),"")</f>
        <v>47133</v>
      </c>
      <c r="K26" t="str">
        <f>IFERROR(IF(_xlfn.XLOOKUP(O26,Dados[Ativo],Dados[Remuneração])="","",_xlfn.XLOOKUP(O26,Dados[Ativo],Dados[Remuneração])),"")</f>
        <v>12,30%aa</v>
      </c>
      <c r="L26" t="str">
        <f>IFERROR(IF(_xlfn.XLOOKUP(O26,Dados[Ativo],Dados[Complemento])="","",_xlfn.XLOOKUP(O26,Dados[Ativo],Dados[Complemento])),"")</f>
        <v/>
      </c>
      <c r="M26">
        <v>2029</v>
      </c>
      <c r="N26" t="str">
        <f>IFERROR(IF(_xlfn.XLOOKUP(O26,Dados[Ativo],Dados[Ticker do Ativo])="","",_xlfn.XLOOKUP(O26,Dados[Ativo],Dados[Ticker do Ativo])),"")</f>
        <v>24A2715837</v>
      </c>
      <c r="O26" t="str">
        <v>CRI Dasa 01/29 12,30%aa</v>
      </c>
      <c r="P26" t="str">
        <v>CRI Dasa 01/29 12,30%aa</v>
      </c>
      <c r="Q26" t="str">
        <v>Renda Fixa - Prefixado</v>
      </c>
      <c r="R26" s="126">
        <v>75415.44</v>
      </c>
      <c r="S26" s="126">
        <v>0</v>
      </c>
      <c r="T26" s="31">
        <v>1.54327821263711E-2</v>
      </c>
      <c r="U26" s="31">
        <v>-4.7745187540488843E-2</v>
      </c>
      <c r="V26" s="29">
        <v>75415.44</v>
      </c>
    </row>
    <row r="27" spans="2:22">
      <c r="B27" s="186">
        <v>45474</v>
      </c>
      <c r="C27" t="s">
        <v>233</v>
      </c>
      <c r="D27" t="str">
        <v>GCA</v>
      </c>
      <c r="E27" t="str">
        <v>BTG</v>
      </c>
      <c r="F27" t="str">
        <v>Renda Fixa</v>
      </c>
      <c r="G27" t="str">
        <v>Prefixado</v>
      </c>
      <c r="H27" t="str">
        <f>IFERROR(IF(_xlfn.XLOOKUP(O27,Dados[Ativo],Dados[Tipo do Ativo])="","",_xlfn.XLOOKUP(O27,Dados[Ativo],Dados[Tipo do Ativo])),"")</f>
        <v>CRI</v>
      </c>
      <c r="I27" t="str">
        <f>IFERROR(IF(_xlfn.XLOOKUP(O27,Dados[Ativo],Dados[Emissor])="","",_xlfn.XLOOKUP(O27,Dados[Ativo],Dados[Emissor])),"")</f>
        <v>Dasa</v>
      </c>
      <c r="J27" s="168">
        <f>IFERROR(IF(_xlfn.XLOOKUP(O27,Dados[Ativo],Dados[Vencimento])="","",_xlfn.XLOOKUP(O27,Dados[Ativo],Dados[Vencimento])),"")</f>
        <v>47863</v>
      </c>
      <c r="K27" t="str">
        <f>IFERROR(IF(_xlfn.XLOOKUP(O27,Dados[Ativo],Dados[Remuneração])="","",_xlfn.XLOOKUP(O27,Dados[Ativo],Dados[Remuneração])),"")</f>
        <v>12,85%aa</v>
      </c>
      <c r="L27" t="str">
        <f>IFERROR(IF(_xlfn.XLOOKUP(O27,Dados[Ativo],Dados[Complemento])="","",_xlfn.XLOOKUP(O27,Dados[Ativo],Dados[Complemento])),"")</f>
        <v/>
      </c>
      <c r="M27">
        <v>2031</v>
      </c>
      <c r="N27" t="str">
        <f>IFERROR(IF(_xlfn.XLOOKUP(O27,Dados[Ativo],Dados[Ticker do Ativo])="","",_xlfn.XLOOKUP(O27,Dados[Ativo],Dados[Ticker do Ativo])),"")</f>
        <v>24A2721829</v>
      </c>
      <c r="O27" t="str">
        <v>CRI Dasa 01/31 12,85%aa</v>
      </c>
      <c r="P27" t="str">
        <v>CRI Dasa 01/31 12,85%aa</v>
      </c>
      <c r="Q27" t="str">
        <v>Renda Fixa - Prefixado</v>
      </c>
      <c r="R27" s="126">
        <v>75432.990000000005</v>
      </c>
      <c r="S27" s="126">
        <v>0</v>
      </c>
      <c r="T27" s="31">
        <v>1.5436373504029545E-2</v>
      </c>
      <c r="U27" s="31">
        <v>-4.9712942868556494E-2</v>
      </c>
      <c r="V27" s="29">
        <v>75432.990000000005</v>
      </c>
    </row>
    <row r="28" spans="2:22">
      <c r="B28" s="186">
        <v>45474</v>
      </c>
      <c r="C28" t="s">
        <v>233</v>
      </c>
      <c r="D28" t="str">
        <v>GCA</v>
      </c>
      <c r="E28" t="str">
        <v>BTG</v>
      </c>
      <c r="F28" t="str">
        <v>Renda Fixa</v>
      </c>
      <c r="G28" t="str">
        <v>Pós-Fixado</v>
      </c>
      <c r="H28" t="str">
        <f>IFERROR(IF(_xlfn.XLOOKUP(O28,Dados[Ativo],Dados[Tipo do Ativo])="","",_xlfn.XLOOKUP(O28,Dados[Ativo],Dados[Tipo do Ativo])),"")</f>
        <v>CRI</v>
      </c>
      <c r="I28" t="str">
        <f>IFERROR(IF(_xlfn.XLOOKUP(O28,Dados[Ativo],Dados[Emissor])="","",_xlfn.XLOOKUP(O28,Dados[Ativo],Dados[Emissor])),"")</f>
        <v>Localiza</v>
      </c>
      <c r="J28" s="168">
        <f>IFERROR(IF(_xlfn.XLOOKUP(O28,Dados[Ativo],Dados[Vencimento])="","",_xlfn.XLOOKUP(O28,Dados[Ativo],Dados[Vencimento])),"")</f>
        <v>48540</v>
      </c>
      <c r="K28" t="str">
        <f>IFERROR(IF(_xlfn.XLOOKUP(O28,Dados[Ativo],Dados[Remuneração])="","",_xlfn.XLOOKUP(O28,Dados[Ativo],Dados[Remuneração])),"")</f>
        <v>99% CDI</v>
      </c>
      <c r="L28" t="str">
        <f>IFERROR(IF(_xlfn.XLOOKUP(O28,Dados[Ativo],Dados[Complemento])="","",_xlfn.XLOOKUP(O28,Dados[Ativo],Dados[Complemento])),"")</f>
        <v/>
      </c>
      <c r="M28">
        <v>2032</v>
      </c>
      <c r="N28" t="str">
        <f>IFERROR(IF(_xlfn.XLOOKUP(O28,Dados[Ativo],Dados[Ticker do Ativo])="","",_xlfn.XLOOKUP(O28,Dados[Ativo],Dados[Ticker do Ativo])),"")</f>
        <v>17K0231156</v>
      </c>
      <c r="O28" t="str">
        <v>CRI Localiza 11/32 99% CDI</v>
      </c>
      <c r="P28" t="str">
        <v>CRI Localiza 11/32 99% CDI</v>
      </c>
      <c r="Q28" t="str">
        <v>Renda Fixa - Pós-Fixado</v>
      </c>
      <c r="R28" s="126">
        <v>138647.67000000001</v>
      </c>
      <c r="S28" s="126">
        <v>0</v>
      </c>
      <c r="T28" s="31">
        <v>2.8372429882249559E-2</v>
      </c>
      <c r="U28" s="31">
        <v>1.0564835620270852E-2</v>
      </c>
      <c r="V28" s="29">
        <v>138647.67000000001</v>
      </c>
    </row>
    <row r="29" spans="2:22">
      <c r="B29" s="186">
        <v>45474</v>
      </c>
      <c r="C29" t="s">
        <v>233</v>
      </c>
      <c r="D29" t="str">
        <v>GCA</v>
      </c>
      <c r="E29" t="str">
        <v>BTG</v>
      </c>
      <c r="F29" t="str">
        <v>Renda Fixa</v>
      </c>
      <c r="G29" t="str">
        <v>Pós-Fixado</v>
      </c>
      <c r="H29" t="str">
        <f>IFERROR(IF(_xlfn.XLOOKUP(O29,Dados[Ativo],Dados[Tipo do Ativo])="","",_xlfn.XLOOKUP(O29,Dados[Ativo],Dados[Tipo do Ativo])),"")</f>
        <v>CRI</v>
      </c>
      <c r="I29" t="str">
        <f>IFERROR(IF(_xlfn.XLOOKUP(O29,Dados[Ativo],Dados[Emissor])="","",_xlfn.XLOOKUP(O29,Dados[Ativo],Dados[Emissor])),"")</f>
        <v>MRV</v>
      </c>
      <c r="J29" s="168">
        <f>IFERROR(IF(_xlfn.XLOOKUP(O29,Dados[Ativo],Dados[Vencimento])="","",_xlfn.XLOOKUP(O29,Dados[Ativo],Dados[Vencimento])),"")</f>
        <v>45440</v>
      </c>
      <c r="K29" t="str">
        <f>IFERROR(IF(_xlfn.XLOOKUP(O29,Dados[Ativo],Dados[Remuneração])="","",_xlfn.XLOOKUP(O29,Dados[Ativo],Dados[Remuneração])),"")</f>
        <v>100,40% CDI</v>
      </c>
      <c r="L29" t="str">
        <f>IFERROR(IF(_xlfn.XLOOKUP(O29,Dados[Ativo],Dados[Complemento])="","",_xlfn.XLOOKUP(O29,Dados[Ativo],Dados[Complemento])),"")</f>
        <v/>
      </c>
      <c r="M29">
        <v>2024</v>
      </c>
      <c r="N29" t="str">
        <f>IFERROR(IF(_xlfn.XLOOKUP(O29,Dados[Ativo],Dados[Ticker do Ativo])="","",_xlfn.XLOOKUP(O29,Dados[Ativo],Dados[Ticker do Ativo])),"")</f>
        <v>19E0967202</v>
      </c>
      <c r="O29" t="str">
        <v>CRI MRV 05/24 100,40% CDI</v>
      </c>
      <c r="P29" t="str">
        <v>CRI MRV 05/24 100,40% CDI</v>
      </c>
      <c r="Q29" t="str">
        <v>Renda Fixa - Pós-Fixado</v>
      </c>
      <c r="R29" s="126">
        <v>0</v>
      </c>
      <c r="S29" s="126">
        <v>0</v>
      </c>
      <c r="T29" s="31">
        <v>0</v>
      </c>
      <c r="U29" s="31" t="str">
        <v>0,00%</v>
      </c>
      <c r="V29" s="29">
        <v>0</v>
      </c>
    </row>
    <row r="30" spans="2:22">
      <c r="B30" s="186">
        <v>45474</v>
      </c>
      <c r="C30" t="s">
        <v>233</v>
      </c>
      <c r="D30" t="str">
        <v>GCA</v>
      </c>
      <c r="E30" t="str">
        <v>BTG</v>
      </c>
      <c r="F30" t="str">
        <v>Renda Fixa</v>
      </c>
      <c r="G30" t="str">
        <v>Inflação</v>
      </c>
      <c r="H30" t="str">
        <f>IFERROR(IF(_xlfn.XLOOKUP(O30,Dados[Ativo],Dados[Tipo do Ativo])="","",_xlfn.XLOOKUP(O30,Dados[Ativo],Dados[Tipo do Ativo])),"")</f>
        <v>Deb.</v>
      </c>
      <c r="I30" t="str">
        <f>IFERROR(IF(_xlfn.XLOOKUP(O30,Dados[Ativo],Dados[Emissor])="","",_xlfn.XLOOKUP(O30,Dados[Ativo],Dados[Emissor])),"")</f>
        <v>3R Petroleum</v>
      </c>
      <c r="J30" s="168">
        <f>IFERROR(IF(_xlfn.XLOOKUP(O30,Dados[Ativo],Dados[Vencimento])="","",_xlfn.XLOOKUP(O30,Dados[Ativo],Dados[Vencimento])),"")</f>
        <v>48869</v>
      </c>
      <c r="K30" t="str">
        <f>IFERROR(IF(_xlfn.XLOOKUP(O30,Dados[Ativo],Dados[Remuneração])="","",_xlfn.XLOOKUP(O30,Dados[Ativo],Dados[Remuneração])),"")</f>
        <v>IPCA+ 7,60%aa</v>
      </c>
      <c r="L30" t="str">
        <f>IFERROR(IF(_xlfn.XLOOKUP(O30,Dados[Ativo],Dados[Complemento])="","",_xlfn.XLOOKUP(O30,Dados[Ativo],Dados[Complemento])),"")</f>
        <v/>
      </c>
      <c r="M30">
        <v>2033</v>
      </c>
      <c r="N30" t="str">
        <f>IFERROR(IF(_xlfn.XLOOKUP(O30,Dados[Ativo],Dados[Ticker do Ativo])="","",_xlfn.XLOOKUP(O30,Dados[Ativo],Dados[Ticker do Ativo])),"")</f>
        <v>RRRP13</v>
      </c>
      <c r="O30" t="str">
        <v>Deb. 3R Petroleum 10/33 IPCA+ 7,60%aa</v>
      </c>
      <c r="P30" t="str">
        <v>Deb. 3R Petroleum 10/33 IPCA+ 7,60%aa</v>
      </c>
      <c r="Q30" t="str">
        <v>Renda Fixa - Inflação</v>
      </c>
      <c r="R30" s="126">
        <v>82759.350000000006</v>
      </c>
      <c r="S30" s="126">
        <v>0</v>
      </c>
      <c r="T30" s="31">
        <v>1.6935617129199141E-2</v>
      </c>
      <c r="U30" s="31">
        <v>1.1311720386155818E-2</v>
      </c>
      <c r="V30" s="29">
        <v>82759.350000000006</v>
      </c>
    </row>
    <row r="31" spans="2:22">
      <c r="B31" s="186">
        <v>45474</v>
      </c>
      <c r="C31" t="s">
        <v>233</v>
      </c>
      <c r="D31" t="str">
        <v>GCA</v>
      </c>
      <c r="E31" t="str">
        <v>BTG</v>
      </c>
      <c r="F31" t="str">
        <v>Fundos de Investimento</v>
      </c>
      <c r="G31" t="str">
        <v>Multimercado</v>
      </c>
      <c r="H31" t="str">
        <f>IFERROR(IF(_xlfn.XLOOKUP(O31,Dados[Ativo],Dados[Tipo do Ativo])="","",_xlfn.XLOOKUP(O31,Dados[Ativo],Dados[Tipo do Ativo])),"")</f>
        <v/>
      </c>
      <c r="I31" t="str">
        <f>IFERROR(IF(_xlfn.XLOOKUP(O31,Dados[Ativo],Dados[Emissor])="","",_xlfn.XLOOKUP(O31,Dados[Ativo],Dados[Emissor])),"")</f>
        <v>Éxes FIC FIM</v>
      </c>
      <c r="J31" s="168" t="str">
        <f>IFERROR(IF(_xlfn.XLOOKUP(O31,Dados[Ativo],Dados[Vencimento])="","",_xlfn.XLOOKUP(O31,Dados[Ativo],Dados[Vencimento])),"")</f>
        <v/>
      </c>
      <c r="K31" t="str">
        <f>IFERROR(IF(_xlfn.XLOOKUP(O31,Dados[Ativo],Dados[Remuneração])="","",_xlfn.XLOOKUP(O31,Dados[Ativo],Dados[Remuneração])),"")</f>
        <v/>
      </c>
      <c r="L31" t="str">
        <f>IFERROR(IF(_xlfn.XLOOKUP(O31,Dados[Ativo],Dados[Complemento])="","",_xlfn.XLOOKUP(O31,Dados[Ativo],Dados[Complemento])),"")</f>
        <v/>
      </c>
      <c r="M31" t="str">
        <v>D+90</v>
      </c>
      <c r="N31" t="str">
        <f>IFERROR(IF(_xlfn.XLOOKUP(O31,Dados[Ativo],Dados[Ticker do Ativo])="","",_xlfn.XLOOKUP(O31,Dados[Ativo],Dados[Ticker do Ativo])),"")</f>
        <v>38.065.069/0001-76</v>
      </c>
      <c r="O31" t="str">
        <v>Éxes FIC FIM</v>
      </c>
      <c r="P31" t="str">
        <v>Éxes FIC FIM</v>
      </c>
      <c r="Q31" t="str">
        <v>Fundos - Multimercado</v>
      </c>
      <c r="R31" s="126">
        <v>116835.13</v>
      </c>
      <c r="S31" s="126">
        <v>0</v>
      </c>
      <c r="T31" s="31">
        <v>2.3908779236668828E-2</v>
      </c>
      <c r="U31" s="31">
        <v>1.2940674436452415E-2</v>
      </c>
      <c r="V31" s="29">
        <v>116835.13</v>
      </c>
    </row>
    <row r="32" spans="2:22">
      <c r="B32" s="186">
        <v>45474</v>
      </c>
      <c r="C32" t="s">
        <v>233</v>
      </c>
      <c r="D32" t="str">
        <v>GCA</v>
      </c>
      <c r="E32" t="str">
        <v>BTG</v>
      </c>
      <c r="F32" t="str">
        <v>Renda Fixa</v>
      </c>
      <c r="G32" t="str">
        <v>Prefixado</v>
      </c>
      <c r="H32" t="str">
        <f>IFERROR(IF(_xlfn.XLOOKUP(O32,Dados[Ativo],Dados[Tipo do Ativo])="","",_xlfn.XLOOKUP(O32,Dados[Ativo],Dados[Tipo do Ativo])),"")</f>
        <v>Deb.</v>
      </c>
      <c r="I32" t="str">
        <f>IFERROR(IF(_xlfn.XLOOKUP(O32,Dados[Ativo],Dados[Emissor])="","",_xlfn.XLOOKUP(O32,Dados[Ativo],Dados[Emissor])),"")</f>
        <v>Enauta</v>
      </c>
      <c r="J32" s="168">
        <f>IFERROR(IF(_xlfn.XLOOKUP(O32,Dados[Ativo],Dados[Vencimento])="","",_xlfn.XLOOKUP(O32,Dados[Ativo],Dados[Vencimento])),"")</f>
        <v>47378</v>
      </c>
      <c r="K32" t="str">
        <f>IFERROR(IF(_xlfn.XLOOKUP(O32,Dados[Ativo],Dados[Remuneração])="","",_xlfn.XLOOKUP(O32,Dados[Ativo],Dados[Remuneração])),"")</f>
        <v>13,97%aa</v>
      </c>
      <c r="L32" t="str">
        <f>IFERROR(IF(_xlfn.XLOOKUP(O32,Dados[Ativo],Dados[Complemento])="","",_xlfn.XLOOKUP(O32,Dados[Ativo],Dados[Complemento])),"")</f>
        <v/>
      </c>
      <c r="M32">
        <v>2029</v>
      </c>
      <c r="N32" t="str">
        <f>IFERROR(IF(_xlfn.XLOOKUP(O32,Dados[Ativo],Dados[Ticker do Ativo])="","",_xlfn.XLOOKUP(O32,Dados[Ativo],Dados[Ticker do Ativo])),"")</f>
        <v>ENAT32</v>
      </c>
      <c r="O32" t="str">
        <v>Deb. Enauta 09/29 13,97%aa</v>
      </c>
      <c r="P32" t="str">
        <v>Deb. Enauta 09/29 13,97%aa</v>
      </c>
      <c r="Q32" t="str">
        <v>Renda Fixa - Prefixado</v>
      </c>
      <c r="R32" s="126">
        <v>105051.84</v>
      </c>
      <c r="S32" s="126">
        <v>0</v>
      </c>
      <c r="T32" s="31">
        <v>2.149748325666994E-2</v>
      </c>
      <c r="U32" s="31">
        <v>1.412161555443541E-2</v>
      </c>
      <c r="V32" s="29">
        <v>105051.84</v>
      </c>
    </row>
    <row r="33" spans="2:22">
      <c r="B33" s="186">
        <v>45474</v>
      </c>
      <c r="C33" t="s">
        <v>233</v>
      </c>
      <c r="D33" t="str">
        <v>GCA</v>
      </c>
      <c r="E33" t="str">
        <v>XP</v>
      </c>
      <c r="F33" t="str">
        <v>Corrente, Poupança e Empréstimo</v>
      </c>
      <c r="G33" t="str">
        <v>Conta Corrente</v>
      </c>
      <c r="H33" t="str">
        <f>IFERROR(IF(_xlfn.XLOOKUP(O33,Dados[Ativo],Dados[Tipo do Ativo])="","",_xlfn.XLOOKUP(O33,Dados[Ativo],Dados[Tipo do Ativo])),"")</f>
        <v>Conta Corrente -</v>
      </c>
      <c r="I33" t="str">
        <f>IFERROR(IF(_xlfn.XLOOKUP(O33,Dados[Ativo],Dados[Emissor])="","",_xlfn.XLOOKUP(O33,Dados[Ativo],Dados[Emissor])),"")</f>
        <v>XP</v>
      </c>
      <c r="J33" s="168" t="str">
        <f>IFERROR(IF(_xlfn.XLOOKUP(O33,Dados[Ativo],Dados[Vencimento])="","",_xlfn.XLOOKUP(O33,Dados[Ativo],Dados[Vencimento])),"")</f>
        <v/>
      </c>
      <c r="K33" t="str">
        <f>IFERROR(IF(_xlfn.XLOOKUP(O33,Dados[Ativo],Dados[Remuneração])="","",_xlfn.XLOOKUP(O33,Dados[Ativo],Dados[Remuneração])),"")</f>
        <v/>
      </c>
      <c r="L33" t="str">
        <f>IFERROR(IF(_xlfn.XLOOKUP(O33,Dados[Ativo],Dados[Complemento])="","",_xlfn.XLOOKUP(O33,Dados[Ativo],Dados[Complemento])),"")</f>
        <v/>
      </c>
      <c r="M33" t="str">
        <v>D+0</v>
      </c>
      <c r="N33" t="str">
        <f>IFERROR(IF(_xlfn.XLOOKUP(O33,Dados[Ativo],Dados[Ticker do Ativo])="","",_xlfn.XLOOKUP(O33,Dados[Ativo],Dados[Ticker do Ativo])),"")</f>
        <v/>
      </c>
      <c r="O33" t="str">
        <v>Conta Corrente - XP</v>
      </c>
      <c r="P33" t="str">
        <v>Conta Corrente - XP</v>
      </c>
      <c r="Q33" t="str">
        <v>Conta Corrente</v>
      </c>
      <c r="R33" s="126">
        <v>0</v>
      </c>
      <c r="S33" s="126">
        <v>0</v>
      </c>
      <c r="T33" s="31">
        <v>0</v>
      </c>
      <c r="U33" s="31" t="str">
        <v>0,00%</v>
      </c>
      <c r="V33" s="29">
        <v>0</v>
      </c>
    </row>
    <row r="34" spans="2:22">
      <c r="B34" s="186">
        <v>45474</v>
      </c>
      <c r="C34" t="s">
        <v>233</v>
      </c>
      <c r="D34" t="str">
        <v>GCA</v>
      </c>
      <c r="E34" t="str">
        <v>BTG</v>
      </c>
      <c r="F34" t="str">
        <v>Fundos de Investimento</v>
      </c>
      <c r="G34" t="str">
        <v>Multimercado</v>
      </c>
      <c r="H34" t="str">
        <f>IFERROR(IF(_xlfn.XLOOKUP(O34,Dados[Ativo],Dados[Tipo do Ativo])="","",_xlfn.XLOOKUP(O34,Dados[Ativo],Dados[Tipo do Ativo])),"")</f>
        <v/>
      </c>
      <c r="I34" t="str">
        <f>IFERROR(IF(_xlfn.XLOOKUP(O34,Dados[Ativo],Dados[Emissor])="","",_xlfn.XLOOKUP(O34,Dados[Ativo],Dados[Emissor])),"")</f>
        <v>Quantitas Galápagos FIM</v>
      </c>
      <c r="J34" s="168" t="str">
        <f>IFERROR(IF(_xlfn.XLOOKUP(O34,Dados[Ativo],Dados[Vencimento])="","",_xlfn.XLOOKUP(O34,Dados[Ativo],Dados[Vencimento])),"")</f>
        <v/>
      </c>
      <c r="K34" t="str">
        <f>IFERROR(IF(_xlfn.XLOOKUP(O34,Dados[Ativo],Dados[Remuneração])="","",_xlfn.XLOOKUP(O34,Dados[Ativo],Dados[Remuneração])),"")</f>
        <v/>
      </c>
      <c r="L34" t="str">
        <f>IFERROR(IF(_xlfn.XLOOKUP(O34,Dados[Ativo],Dados[Complemento])="","",_xlfn.XLOOKUP(O34,Dados[Ativo],Dados[Complemento])),"")</f>
        <v/>
      </c>
      <c r="M34" t="str">
        <v>D+32</v>
      </c>
      <c r="N34" t="str">
        <f>IFERROR(IF(_xlfn.XLOOKUP(O34,Dados[Ativo],Dados[Ticker do Ativo])="","",_xlfn.XLOOKUP(O34,Dados[Ativo],Dados[Ticker do Ativo])),"")</f>
        <v>27.928.186/0001-08</v>
      </c>
      <c r="O34" t="str">
        <v>Quantitas Galápagos FIM</v>
      </c>
      <c r="P34" t="str">
        <v>Quantitas Galápagos FIM</v>
      </c>
      <c r="Q34" t="str">
        <v>Fundos - Multimercado</v>
      </c>
      <c r="R34" s="126">
        <v>178905.23</v>
      </c>
      <c r="S34" s="126">
        <v>0</v>
      </c>
      <c r="T34" s="31">
        <v>3.6610612307749063E-2</v>
      </c>
      <c r="U34" s="31">
        <v>2.1743657093435065E-2</v>
      </c>
      <c r="V34" s="29">
        <v>178905.23</v>
      </c>
    </row>
    <row r="35" spans="2:22">
      <c r="B35" s="186">
        <v>45474</v>
      </c>
      <c r="C35" t="s">
        <v>233</v>
      </c>
      <c r="D35" t="str">
        <v>GCA</v>
      </c>
      <c r="E35" t="str">
        <v>BTG</v>
      </c>
      <c r="F35" t="str">
        <v>Renda Fixa</v>
      </c>
      <c r="G35" t="str">
        <v>Inflação</v>
      </c>
      <c r="H35" t="str">
        <f>IFERROR(IF(_xlfn.XLOOKUP(O35,Dados[Ativo],Dados[Tipo do Ativo])="","",_xlfn.XLOOKUP(O35,Dados[Ativo],Dados[Tipo do Ativo])),"")</f>
        <v>Deb.</v>
      </c>
      <c r="I35" t="str">
        <f>IFERROR(IF(_xlfn.XLOOKUP(O35,Dados[Ativo],Dados[Emissor])="","",_xlfn.XLOOKUP(O35,Dados[Ativo],Dados[Emissor])),"")</f>
        <v>Enauta</v>
      </c>
      <c r="J35" s="168">
        <f>IFERROR(IF(_xlfn.XLOOKUP(O35,Dados[Ativo],Dados[Vencimento])="","",_xlfn.XLOOKUP(O35,Dados[Ativo],Dados[Vencimento])),"")</f>
        <v>47469</v>
      </c>
      <c r="K35" t="str">
        <f>IFERROR(IF(_xlfn.XLOOKUP(O35,Dados[Ativo],Dados[Remuneração])="","",_xlfn.XLOOKUP(O35,Dados[Ativo],Dados[Remuneração])),"")</f>
        <v>IPCA+ 9,46%aa</v>
      </c>
      <c r="L35" t="str">
        <f>IFERROR(IF(_xlfn.XLOOKUP(O35,Dados[Ativo],Dados[Complemento])="","",_xlfn.XLOOKUP(O35,Dados[Ativo],Dados[Complemento])),"")</f>
        <v/>
      </c>
      <c r="M35">
        <v>2029</v>
      </c>
      <c r="N35" t="str">
        <f>IFERROR(IF(_xlfn.XLOOKUP(O35,Dados[Ativo],Dados[Ticker do Ativo])="","",_xlfn.XLOOKUP(O35,Dados[Ativo],Dados[Ticker do Ativo])),"")</f>
        <v>ENAT11</v>
      </c>
      <c r="O35" t="str">
        <v>Deb. Enauta 12/29 IPCA+ 9,46%aa</v>
      </c>
      <c r="P35" t="str">
        <v>Deb. Enauta 12/29 IPCA+ 9,46%aa</v>
      </c>
      <c r="Q35" t="str">
        <v>Renda Fixa - Inflação</v>
      </c>
      <c r="R35" s="126">
        <v>160006.18</v>
      </c>
      <c r="S35" s="126">
        <v>0</v>
      </c>
      <c r="T35" s="31">
        <v>3.2743169234481916E-2</v>
      </c>
      <c r="U35" s="31">
        <v>1.294690403797215E-2</v>
      </c>
      <c r="V35" s="29">
        <v>160006.18</v>
      </c>
    </row>
    <row r="36" spans="2:22">
      <c r="B36" s="186">
        <v>45474</v>
      </c>
      <c r="C36" t="s">
        <v>233</v>
      </c>
      <c r="D36" t="str">
        <v>GCA</v>
      </c>
      <c r="E36" t="str">
        <v>BTG</v>
      </c>
      <c r="F36" t="str">
        <v>Renda Fixa</v>
      </c>
      <c r="G36" t="str">
        <v>Inflação</v>
      </c>
      <c r="H36" t="str">
        <f>IFERROR(IF(_xlfn.XLOOKUP(O36,Dados[Ativo],Dados[Tipo do Ativo])="","",_xlfn.XLOOKUP(O36,Dados[Ativo],Dados[Tipo do Ativo])),"")</f>
        <v>Deb.</v>
      </c>
      <c r="I36" t="str">
        <f>IFERROR(IF(_xlfn.XLOOKUP(O36,Dados[Ativo],Dados[Emissor])="","",_xlfn.XLOOKUP(O36,Dados[Ativo],Dados[Emissor])),"")</f>
        <v>Paranaguá</v>
      </c>
      <c r="J36" s="168">
        <f>IFERROR(IF(_xlfn.XLOOKUP(O36,Dados[Ativo],Dados[Vencimento])="","",_xlfn.XLOOKUP(O36,Dados[Ativo],Dados[Vencimento])),"")</f>
        <v>47679</v>
      </c>
      <c r="K36" t="str">
        <f>IFERROR(IF(_xlfn.XLOOKUP(O36,Dados[Ativo],Dados[Remuneração])="","",_xlfn.XLOOKUP(O36,Dados[Ativo],Dados[Remuneração])),"")</f>
        <v>IPCA+ 5,40%aa</v>
      </c>
      <c r="L36" t="str">
        <f>IFERROR(IF(_xlfn.XLOOKUP(O36,Dados[Ativo],Dados[Complemento])="","",_xlfn.XLOOKUP(O36,Dados[Ativo],Dados[Complemento])),"")</f>
        <v/>
      </c>
      <c r="M36">
        <v>2030</v>
      </c>
      <c r="N36" t="str">
        <f>IFERROR(IF(_xlfn.XLOOKUP(O36,Dados[Ativo],Dados[Ticker do Ativo])="","",_xlfn.XLOOKUP(O36,Dados[Ativo],Dados[Ticker do Ativo])),"")</f>
        <v>PASN12</v>
      </c>
      <c r="O36" t="str">
        <v>Deb. Paranaguá 07/30 IPCA+ 5,40%aa</v>
      </c>
      <c r="P36" t="str">
        <v>Deb. Paranaguá 07/30 IPCA+ 5,40%aa</v>
      </c>
      <c r="Q36" t="str">
        <v>Renda Fixa - Inflação</v>
      </c>
      <c r="R36" s="126">
        <v>116772.1</v>
      </c>
      <c r="S36" s="126">
        <v>0</v>
      </c>
      <c r="T36" s="31">
        <v>2.3895880972633968E-2</v>
      </c>
      <c r="U36" s="31">
        <v>-0.11377327507110827</v>
      </c>
      <c r="V36" s="29">
        <v>116772.1</v>
      </c>
    </row>
    <row r="37" spans="2:22">
      <c r="B37" s="186">
        <v>45474</v>
      </c>
      <c r="C37" t="s">
        <v>233</v>
      </c>
      <c r="D37" t="str">
        <v>GCA</v>
      </c>
      <c r="E37" t="str">
        <v>BTG</v>
      </c>
      <c r="F37" t="str">
        <v>Renda Fixa</v>
      </c>
      <c r="G37" t="str">
        <v>Inflação</v>
      </c>
      <c r="H37" t="str">
        <f>IFERROR(IF(_xlfn.XLOOKUP(O37,Dados[Ativo],Dados[Tipo do Ativo])="","",_xlfn.XLOOKUP(O37,Dados[Ativo],Dados[Tipo do Ativo])),"")</f>
        <v>Deb.</v>
      </c>
      <c r="I37" t="str">
        <f>IFERROR(IF(_xlfn.XLOOKUP(O37,Dados[Ativo],Dados[Emissor])="","",_xlfn.XLOOKUP(O37,Dados[Ativo],Dados[Emissor])),"")</f>
        <v>Via Brasil</v>
      </c>
      <c r="J37" s="168">
        <f>IFERROR(IF(_xlfn.XLOOKUP(O37,Dados[Ativo],Dados[Vencimento])="","",_xlfn.XLOOKUP(O37,Dados[Ativo],Dados[Vencimento])),"")</f>
        <v>47833</v>
      </c>
      <c r="K37" t="str">
        <f>IFERROR(IF(_xlfn.XLOOKUP(O37,Dados[Ativo],Dados[Remuneração])="","",_xlfn.XLOOKUP(O37,Dados[Ativo],Dados[Remuneração])),"")</f>
        <v>IPCA+ 8,90%aa</v>
      </c>
      <c r="L37" t="str">
        <f>IFERROR(IF(_xlfn.XLOOKUP(O37,Dados[Ativo],Dados[Complemento])="","",_xlfn.XLOOKUP(O37,Dados[Ativo],Dados[Complemento])),"")</f>
        <v/>
      </c>
      <c r="M37">
        <v>2030</v>
      </c>
      <c r="N37" t="str">
        <f>IFERROR(IF(_xlfn.XLOOKUP(O37,Dados[Ativo],Dados[Ticker do Ativo])="","",_xlfn.XLOOKUP(O37,Dados[Ativo],Dados[Ticker do Ativo])),"")</f>
        <v>VBRR11</v>
      </c>
      <c r="O37" t="str">
        <v>Deb. Via Brasil 12/30 IPCA+ 8,90%aa</v>
      </c>
      <c r="P37" t="str">
        <v>Deb. Via Brasil 12/30 IPCA+ 8,90%aa</v>
      </c>
      <c r="Q37" t="str">
        <v>Renda Fixa - Inflação</v>
      </c>
      <c r="R37" s="126">
        <v>123616.92</v>
      </c>
      <c r="S37" s="126">
        <v>0</v>
      </c>
      <c r="T37" s="31">
        <v>2.5296583743236744E-2</v>
      </c>
      <c r="U37" s="31">
        <v>1.0406217507573841E-2</v>
      </c>
      <c r="V37" s="29">
        <v>123616.92</v>
      </c>
    </row>
    <row r="38" spans="2:22">
      <c r="B38" s="186">
        <v>45474</v>
      </c>
      <c r="C38" t="s">
        <v>233</v>
      </c>
      <c r="D38" t="str">
        <v>GCA</v>
      </c>
      <c r="E38" t="str">
        <v>BTG</v>
      </c>
      <c r="F38" t="str">
        <v>Renda Fixa</v>
      </c>
      <c r="G38" t="str">
        <v>Pós-Fixado</v>
      </c>
      <c r="H38" t="str">
        <f>IFERROR(IF(_xlfn.XLOOKUP(O38,Dados[Ativo],Dados[Tipo do Ativo])="","",_xlfn.XLOOKUP(O38,Dados[Ativo],Dados[Tipo do Ativo])),"")</f>
        <v>LCA</v>
      </c>
      <c r="I38" t="str">
        <f>IFERROR(IF(_xlfn.XLOOKUP(O38,Dados[Ativo],Dados[Emissor])="","",_xlfn.XLOOKUP(O38,Dados[Ativo],Dados[Emissor])),"")</f>
        <v>Bco. ABC</v>
      </c>
      <c r="J38" s="168">
        <f>IFERROR(IF(_xlfn.XLOOKUP(O38,Dados[Ativo],Dados[Vencimento])="","",_xlfn.XLOOKUP(O38,Dados[Ativo],Dados[Vencimento])),"")</f>
        <v>45764</v>
      </c>
      <c r="K38" t="str">
        <f>IFERROR(IF(_xlfn.XLOOKUP(O38,Dados[Ativo],Dados[Remuneração])="","",_xlfn.XLOOKUP(O38,Dados[Ativo],Dados[Remuneração])),"")</f>
        <v>96% CDI</v>
      </c>
      <c r="L38" t="str">
        <f>IFERROR(IF(_xlfn.XLOOKUP(O38,Dados[Ativo],Dados[Complemento])="","",_xlfn.XLOOKUP(O38,Dados[Ativo],Dados[Complemento])),"")</f>
        <v/>
      </c>
      <c r="M38">
        <v>2025</v>
      </c>
      <c r="N38" t="str">
        <f>IFERROR(IF(_xlfn.XLOOKUP(O38,Dados[Ativo],Dados[Ticker do Ativo])="","",_xlfn.XLOOKUP(O38,Dados[Ativo],Dados[Ticker do Ativo])),"")</f>
        <v>24D03080808</v>
      </c>
      <c r="O38" t="str">
        <v>LCA Bco. ABC 04/25 96% CDI</v>
      </c>
      <c r="P38" t="str">
        <v>LCA Bco. ABC 04/25 96% CDI</v>
      </c>
      <c r="Q38" t="str">
        <v>Renda Fixa - Pós-Fixado</v>
      </c>
      <c r="R38" s="126">
        <v>102803.01</v>
      </c>
      <c r="S38" s="126">
        <v>0</v>
      </c>
      <c r="T38" s="31">
        <v>2.1037289648713171E-2</v>
      </c>
      <c r="U38" s="31">
        <v>1.0883633758272948E-2</v>
      </c>
      <c r="V38" s="29">
        <v>102803.01</v>
      </c>
    </row>
    <row r="39" spans="2:22">
      <c r="B39" s="186">
        <v>45474</v>
      </c>
      <c r="C39" t="s">
        <v>233</v>
      </c>
      <c r="D39" t="str">
        <v>GCA</v>
      </c>
      <c r="E39" t="str">
        <v>BTG</v>
      </c>
      <c r="F39" t="str">
        <v>Renda Fixa</v>
      </c>
      <c r="G39" t="str">
        <v>Prefixado</v>
      </c>
      <c r="H39" t="str">
        <f>IFERROR(IF(_xlfn.XLOOKUP(O39,Dados[Ativo],Dados[Tipo do Ativo])="","",_xlfn.XLOOKUP(O39,Dados[Ativo],Dados[Tipo do Ativo])),"")</f>
        <v>CRA</v>
      </c>
      <c r="I39" t="str">
        <f>IFERROR(IF(_xlfn.XLOOKUP(O39,Dados[Ativo],Dados[Emissor])="","",_xlfn.XLOOKUP(O39,Dados[Ativo],Dados[Emissor])),"")</f>
        <v>Eco Sec.</v>
      </c>
      <c r="J39" s="168">
        <f>IFERROR(IF(_xlfn.XLOOKUP(O39,Dados[Ativo],Dados[Vencimento])="","",_xlfn.XLOOKUP(O39,Dados[Ativo],Dados[Vencimento])),"")</f>
        <v>47649</v>
      </c>
      <c r="K39" t="str">
        <f>IFERROR(IF(_xlfn.XLOOKUP(O39,Dados[Ativo],Dados[Remuneração])="","",_xlfn.XLOOKUP(O39,Dados[Ativo],Dados[Remuneração])),"")</f>
        <v>15,00%aa</v>
      </c>
      <c r="L39" t="str">
        <f>IFERROR(IF(_xlfn.XLOOKUP(O39,Dados[Ativo],Dados[Complemento])="","",_xlfn.XLOOKUP(O39,Dados[Ativo],Dados[Complemento])),"")</f>
        <v/>
      </c>
      <c r="M39">
        <v>2030</v>
      </c>
      <c r="N39" t="str">
        <f>IFERROR(IF(_xlfn.XLOOKUP(O39,Dados[Ativo],Dados[Ticker do Ativo])="","",_xlfn.XLOOKUP(O39,Dados[Ativo],Dados[Ticker do Ativo])),"")</f>
        <v>CRA0240066D</v>
      </c>
      <c r="O39" t="str">
        <v>CRA Eco Sec. 06/30 15,00%aa</v>
      </c>
      <c r="P39" t="str">
        <v>CRA Eco Sec. 06/30 15,00%aa</v>
      </c>
      <c r="Q39" t="str">
        <v>Renda Fixa - Prefixado</v>
      </c>
      <c r="R39" s="126">
        <v>99980.83</v>
      </c>
      <c r="S39" s="126">
        <v>99541.18</v>
      </c>
      <c r="T39" s="31">
        <v>2.0459767472068683E-2</v>
      </c>
      <c r="U39" s="31">
        <v>5.1961941190336496E-3</v>
      </c>
      <c r="V39" s="29">
        <v>99980.83</v>
      </c>
    </row>
    <row r="40" spans="2:22">
      <c r="B40" s="186">
        <v>45474</v>
      </c>
      <c r="C40" t="s">
        <v>233</v>
      </c>
      <c r="D40" t="str">
        <v>GCA</v>
      </c>
      <c r="E40" t="str">
        <v>BTG</v>
      </c>
      <c r="F40" t="str">
        <v>Renda Fixa</v>
      </c>
      <c r="G40" t="str">
        <v>Pós-Fixado</v>
      </c>
      <c r="H40" t="str">
        <f>IFERROR(IF(_xlfn.XLOOKUP(O40,Dados[Ativo],Dados[Tipo do Ativo])="","",_xlfn.XLOOKUP(O40,Dados[Ativo],Dados[Tipo do Ativo])),"")</f>
        <v>CRA</v>
      </c>
      <c r="I40" t="str">
        <f>IFERROR(IF(_xlfn.XLOOKUP(O40,Dados[Ativo],Dados[Emissor])="","",_xlfn.XLOOKUP(O40,Dados[Ativo],Dados[Emissor])),"")</f>
        <v>Fs Bio</v>
      </c>
      <c r="J40" s="168">
        <f>IFERROR(IF(_xlfn.XLOOKUP(O40,Dados[Ativo],Dados[Vencimento])="","",_xlfn.XLOOKUP(O40,Dados[Ativo],Dados[Vencimento])),"")</f>
        <v>46071</v>
      </c>
      <c r="K40" t="str">
        <f>IFERROR(IF(_xlfn.XLOOKUP(O40,Dados[Ativo],Dados[Remuneração])="","",_xlfn.XLOOKUP(O40,Dados[Ativo],Dados[Remuneração])),"")</f>
        <v>CDI+ 2,75%aa</v>
      </c>
      <c r="L40" t="str">
        <f>IFERROR(IF(_xlfn.XLOOKUP(O40,Dados[Ativo],Dados[Complemento])="","",_xlfn.XLOOKUP(O40,Dados[Ativo],Dados[Complemento])),"")</f>
        <v/>
      </c>
      <c r="M40">
        <v>2026</v>
      </c>
      <c r="N40" t="str">
        <f>IFERROR(IF(_xlfn.XLOOKUP(O40,Dados[Ativo],Dados[Ticker do Ativo])="","",_xlfn.XLOOKUP(O40,Dados[Ativo],Dados[Ticker do Ativo])),"")</f>
        <v>CRA022001E1</v>
      </c>
      <c r="O40" t="str">
        <v>CRA Fs Bio 02/26 CDI+ 2,75%aa</v>
      </c>
      <c r="P40" t="str">
        <v>CRA Fs Bio 02/26 CDI+ 2,75%aa</v>
      </c>
      <c r="Q40" t="str">
        <v>Renda Fixa - Pós-Fixado</v>
      </c>
      <c r="R40" s="126">
        <v>150103.04999999999</v>
      </c>
      <c r="S40" s="126">
        <v>149021.69</v>
      </c>
      <c r="T40" s="31">
        <v>3.0716623375184011E-2</v>
      </c>
      <c r="U40" s="31">
        <v>8.7956283004129374E-3</v>
      </c>
      <c r="V40" s="29">
        <v>150103.04999999999</v>
      </c>
    </row>
    <row r="41" spans="2:22">
      <c r="C41" t="s">
        <v>233</v>
      </c>
      <c r="H41" t="str">
        <f>IFERROR(IF(_xlfn.XLOOKUP(O41,Dados[Ativo],Dados[Tipo do Ativo])="","",_xlfn.XLOOKUP(O41,Dados[Ativo],Dados[Tipo do Ativo])),"")</f>
        <v/>
      </c>
      <c r="I41" t="str">
        <f>IFERROR(IF(_xlfn.XLOOKUP(O41,Dados[Ativo],Dados[Emissor])="","",_xlfn.XLOOKUP(O41,Dados[Ativo],Dados[Emissor])),"")</f>
        <v/>
      </c>
      <c r="J41" s="168" t="str">
        <f>IFERROR(IF(_xlfn.XLOOKUP(O41,Dados[Ativo],Dados[Vencimento])="","",_xlfn.XLOOKUP(O41,Dados[Ativo],Dados[Vencimento])),"")</f>
        <v/>
      </c>
      <c r="K41" t="str">
        <f>IFERROR(IF(_xlfn.XLOOKUP(O41,Dados[Ativo],Dados[Remuneração])="","",_xlfn.XLOOKUP(O41,Dados[Ativo],Dados[Remuneração])),"")</f>
        <v/>
      </c>
      <c r="L41" t="str">
        <f>IFERROR(IF(_xlfn.XLOOKUP(O41,Dados[Ativo],Dados[Complemento])="","",_xlfn.XLOOKUP(O41,Dados[Ativo],Dados[Complemento])),"")</f>
        <v/>
      </c>
      <c r="N41" t="str">
        <f>IFERROR(IF(_xlfn.XLOOKUP(O41,Dados[Ativo],Dados[Ticker do Ativo])="","",_xlfn.XLOOKUP(O41,Dados[Ativo],Dados[Ticker do Ativo])),"")</f>
        <v/>
      </c>
    </row>
    <row r="42" spans="2:22">
      <c r="C42" t="s">
        <v>233</v>
      </c>
      <c r="H42" t="str">
        <f>IFERROR(IF(_xlfn.XLOOKUP(O42,Dados[Ativo],Dados[Tipo do Ativo])="","",_xlfn.XLOOKUP(O42,Dados[Ativo],Dados[Tipo do Ativo])),"")</f>
        <v/>
      </c>
      <c r="I42" t="str">
        <f>IFERROR(IF(_xlfn.XLOOKUP(O42,Dados[Ativo],Dados[Emissor])="","",_xlfn.XLOOKUP(O42,Dados[Ativo],Dados[Emissor])),"")</f>
        <v/>
      </c>
      <c r="J42" s="168" t="str">
        <f>IFERROR(IF(_xlfn.XLOOKUP(O42,Dados[Ativo],Dados[Vencimento])="","",_xlfn.XLOOKUP(O42,Dados[Ativo],Dados[Vencimento])),"")</f>
        <v/>
      </c>
      <c r="K42" t="str">
        <f>IFERROR(IF(_xlfn.XLOOKUP(O42,Dados[Ativo],Dados[Remuneração])="","",_xlfn.XLOOKUP(O42,Dados[Ativo],Dados[Remuneração])),"")</f>
        <v/>
      </c>
      <c r="L42" t="str">
        <f>IFERROR(IF(_xlfn.XLOOKUP(O42,Dados[Ativo],Dados[Complemento])="","",_xlfn.XLOOKUP(O42,Dados[Ativo],Dados[Complemento])),"")</f>
        <v/>
      </c>
      <c r="N42" t="str">
        <f>IFERROR(IF(_xlfn.XLOOKUP(O42,Dados[Ativo],Dados[Ticker do Ativo])="","",_xlfn.XLOOKUP(O42,Dados[Ativo],Dados[Ticker do Ativo])),"")</f>
        <v/>
      </c>
    </row>
    <row r="43" spans="2:22">
      <c r="C43" t="s">
        <v>233</v>
      </c>
      <c r="H43" t="str">
        <f>IFERROR(IF(_xlfn.XLOOKUP(O43,Dados[Ativo],Dados[Tipo do Ativo])="","",_xlfn.XLOOKUP(O43,Dados[Ativo],Dados[Tipo do Ativo])),"")</f>
        <v/>
      </c>
      <c r="I43" t="str">
        <f>IFERROR(IF(_xlfn.XLOOKUP(O43,Dados[Ativo],Dados[Emissor])="","",_xlfn.XLOOKUP(O43,Dados[Ativo],Dados[Emissor])),"")</f>
        <v/>
      </c>
      <c r="J43" s="168" t="str">
        <f>IFERROR(IF(_xlfn.XLOOKUP(O43,Dados[Ativo],Dados[Vencimento])="","",_xlfn.XLOOKUP(O43,Dados[Ativo],Dados[Vencimento])),"")</f>
        <v/>
      </c>
      <c r="K43" t="str">
        <f>IFERROR(IF(_xlfn.XLOOKUP(O43,Dados[Ativo],Dados[Remuneração])="","",_xlfn.XLOOKUP(O43,Dados[Ativo],Dados[Remuneração])),"")</f>
        <v/>
      </c>
      <c r="L43" t="str">
        <f>IFERROR(IF(_xlfn.XLOOKUP(O43,Dados[Ativo],Dados[Complemento])="","",_xlfn.XLOOKUP(O43,Dados[Ativo],Dados[Complemento])),"")</f>
        <v/>
      </c>
      <c r="N43" t="str">
        <f>IFERROR(IF(_xlfn.XLOOKUP(O43,Dados[Ativo],Dados[Ticker do Ativo])="","",_xlfn.XLOOKUP(O43,Dados[Ativo],Dados[Ticker do Ativo])),"")</f>
        <v/>
      </c>
    </row>
    <row r="44" spans="2:22">
      <c r="C44" t="s">
        <v>233</v>
      </c>
      <c r="H44" t="str">
        <f>IFERROR(IF(_xlfn.XLOOKUP(O44,Dados[Ativo],Dados[Tipo do Ativo])="","",_xlfn.XLOOKUP(O44,Dados[Ativo],Dados[Tipo do Ativo])),"")</f>
        <v/>
      </c>
      <c r="I44" t="str">
        <f>IFERROR(IF(_xlfn.XLOOKUP(O44,Dados[Ativo],Dados[Emissor])="","",_xlfn.XLOOKUP(O44,Dados[Ativo],Dados[Emissor])),"")</f>
        <v/>
      </c>
      <c r="J44" s="168" t="str">
        <f>IFERROR(IF(_xlfn.XLOOKUP(O44,Dados[Ativo],Dados[Vencimento])="","",_xlfn.XLOOKUP(O44,Dados[Ativo],Dados[Vencimento])),"")</f>
        <v/>
      </c>
      <c r="K44" t="str">
        <f>IFERROR(IF(_xlfn.XLOOKUP(O44,Dados[Ativo],Dados[Remuneração])="","",_xlfn.XLOOKUP(O44,Dados[Ativo],Dados[Remuneração])),"")</f>
        <v/>
      </c>
      <c r="L44" t="str">
        <f>IFERROR(IF(_xlfn.XLOOKUP(O44,Dados[Ativo],Dados[Complemento])="","",_xlfn.XLOOKUP(O44,Dados[Ativo],Dados[Complemento])),"")</f>
        <v/>
      </c>
      <c r="N44" t="str">
        <f>IFERROR(IF(_xlfn.XLOOKUP(O44,Dados[Ativo],Dados[Ticker do Ativo])="","",_xlfn.XLOOKUP(O44,Dados[Ativo],Dados[Ticker do Ativo])),"")</f>
        <v/>
      </c>
    </row>
    <row r="45" spans="2:22">
      <c r="C45" t="s">
        <v>233</v>
      </c>
      <c r="H45" t="str">
        <f>IFERROR(IF(_xlfn.XLOOKUP(O45,Dados[Ativo],Dados[Tipo do Ativo])="","",_xlfn.XLOOKUP(O45,Dados[Ativo],Dados[Tipo do Ativo])),"")</f>
        <v/>
      </c>
      <c r="I45" t="str">
        <f>IFERROR(IF(_xlfn.XLOOKUP(O45,Dados[Ativo],Dados[Emissor])="","",_xlfn.XLOOKUP(O45,Dados[Ativo],Dados[Emissor])),"")</f>
        <v/>
      </c>
      <c r="J45" s="168" t="str">
        <f>IFERROR(IF(_xlfn.XLOOKUP(O45,Dados[Ativo],Dados[Vencimento])="","",_xlfn.XLOOKUP(O45,Dados[Ativo],Dados[Vencimento])),"")</f>
        <v/>
      </c>
      <c r="K45" t="str">
        <f>IFERROR(IF(_xlfn.XLOOKUP(O45,Dados[Ativo],Dados[Remuneração])="","",_xlfn.XLOOKUP(O45,Dados[Ativo],Dados[Remuneração])),"")</f>
        <v/>
      </c>
      <c r="L45" t="str">
        <f>IFERROR(IF(_xlfn.XLOOKUP(O45,Dados[Ativo],Dados[Complemento])="","",_xlfn.XLOOKUP(O45,Dados[Ativo],Dados[Complemento])),"")</f>
        <v/>
      </c>
      <c r="N45" t="str">
        <f>IFERROR(IF(_xlfn.XLOOKUP(O45,Dados[Ativo],Dados[Ticker do Ativo])="","",_xlfn.XLOOKUP(O45,Dados[Ativo],Dados[Ticker do Ativo])),"")</f>
        <v/>
      </c>
    </row>
    <row r="46" spans="2:22">
      <c r="C46" t="s">
        <v>233</v>
      </c>
      <c r="H46" t="str">
        <f>IFERROR(IF(_xlfn.XLOOKUP(O46,Dados[Ativo],Dados[Tipo do Ativo])="","",_xlfn.XLOOKUP(O46,Dados[Ativo],Dados[Tipo do Ativo])),"")</f>
        <v/>
      </c>
      <c r="I46" t="str">
        <f>IFERROR(IF(_xlfn.XLOOKUP(O46,Dados[Ativo],Dados[Emissor])="","",_xlfn.XLOOKUP(O46,Dados[Ativo],Dados[Emissor])),"")</f>
        <v/>
      </c>
      <c r="J46" s="168" t="str">
        <f>IFERROR(IF(_xlfn.XLOOKUP(O46,Dados[Ativo],Dados[Vencimento])="","",_xlfn.XLOOKUP(O46,Dados[Ativo],Dados[Vencimento])),"")</f>
        <v/>
      </c>
      <c r="K46" t="str">
        <f>IFERROR(IF(_xlfn.XLOOKUP(O46,Dados[Ativo],Dados[Remuneração])="","",_xlfn.XLOOKUP(O46,Dados[Ativo],Dados[Remuneração])),"")</f>
        <v/>
      </c>
      <c r="L46" t="str">
        <f>IFERROR(IF(_xlfn.XLOOKUP(O46,Dados[Ativo],Dados[Complemento])="","",_xlfn.XLOOKUP(O46,Dados[Ativo],Dados[Complemento])),"")</f>
        <v/>
      </c>
      <c r="N46" t="str">
        <f>IFERROR(IF(_xlfn.XLOOKUP(O46,Dados[Ativo],Dados[Ticker do Ativo])="","",_xlfn.XLOOKUP(O46,Dados[Ativo],Dados[Ticker do Ativo])),"")</f>
        <v/>
      </c>
    </row>
    <row r="47" spans="2:22">
      <c r="C47" t="s">
        <v>233</v>
      </c>
      <c r="H47" t="str">
        <f>IFERROR(IF(_xlfn.XLOOKUP(O47,Dados[Ativo],Dados[Tipo do Ativo])="","",_xlfn.XLOOKUP(O47,Dados[Ativo],Dados[Tipo do Ativo])),"")</f>
        <v/>
      </c>
      <c r="I47" t="str">
        <f>IFERROR(IF(_xlfn.XLOOKUP(O47,Dados[Ativo],Dados[Emissor])="","",_xlfn.XLOOKUP(O47,Dados[Ativo],Dados[Emissor])),"")</f>
        <v/>
      </c>
      <c r="J47" s="168" t="str">
        <f>IFERROR(IF(_xlfn.XLOOKUP(O47,Dados[Ativo],Dados[Vencimento])="","",_xlfn.XLOOKUP(O47,Dados[Ativo],Dados[Vencimento])),"")</f>
        <v/>
      </c>
      <c r="K47" t="str">
        <f>IFERROR(IF(_xlfn.XLOOKUP(O47,Dados[Ativo],Dados[Remuneração])="","",_xlfn.XLOOKUP(O47,Dados[Ativo],Dados[Remuneração])),"")</f>
        <v/>
      </c>
      <c r="L47" t="str">
        <f>IFERROR(IF(_xlfn.XLOOKUP(O47,Dados[Ativo],Dados[Complemento])="","",_xlfn.XLOOKUP(O47,Dados[Ativo],Dados[Complemento])),"")</f>
        <v/>
      </c>
      <c r="N47" t="str">
        <f>IFERROR(IF(_xlfn.XLOOKUP(O47,Dados[Ativo],Dados[Ticker do Ativo])="","",_xlfn.XLOOKUP(O47,Dados[Ativo],Dados[Ticker do Ativo])),"")</f>
        <v/>
      </c>
    </row>
    <row r="48" spans="2:22">
      <c r="C48" t="s">
        <v>233</v>
      </c>
      <c r="H48" t="str">
        <f>IFERROR(IF(_xlfn.XLOOKUP(O48,Dados[Ativo],Dados[Tipo do Ativo])="","",_xlfn.XLOOKUP(O48,Dados[Ativo],Dados[Tipo do Ativo])),"")</f>
        <v/>
      </c>
      <c r="I48" t="str">
        <f>IFERROR(IF(_xlfn.XLOOKUP(O48,Dados[Ativo],Dados[Emissor])="","",_xlfn.XLOOKUP(O48,Dados[Ativo],Dados[Emissor])),"")</f>
        <v/>
      </c>
      <c r="J48" s="168" t="str">
        <f>IFERROR(IF(_xlfn.XLOOKUP(O48,Dados[Ativo],Dados[Vencimento])="","",_xlfn.XLOOKUP(O48,Dados[Ativo],Dados[Vencimento])),"")</f>
        <v/>
      </c>
      <c r="K48" t="str">
        <f>IFERROR(IF(_xlfn.XLOOKUP(O48,Dados[Ativo],Dados[Remuneração])="","",_xlfn.XLOOKUP(O48,Dados[Ativo],Dados[Remuneração])),"")</f>
        <v/>
      </c>
      <c r="L48" t="str">
        <f>IFERROR(IF(_xlfn.XLOOKUP(O48,Dados[Ativo],Dados[Complemento])="","",_xlfn.XLOOKUP(O48,Dados[Ativo],Dados[Complemento])),"")</f>
        <v/>
      </c>
      <c r="N48" t="str">
        <f>IFERROR(IF(_xlfn.XLOOKUP(O48,Dados[Ativo],Dados[Ticker do Ativo])="","",_xlfn.XLOOKUP(O48,Dados[Ativo],Dados[Ticker do Ativo])),"")</f>
        <v/>
      </c>
    </row>
    <row r="49" spans="3:14">
      <c r="C49" t="s">
        <v>233</v>
      </c>
      <c r="H49" t="str">
        <f>IFERROR(IF(_xlfn.XLOOKUP(O49,Dados[Ativo],Dados[Tipo do Ativo])="","",_xlfn.XLOOKUP(O49,Dados[Ativo],Dados[Tipo do Ativo])),"")</f>
        <v/>
      </c>
      <c r="I49" t="str">
        <f>IFERROR(IF(_xlfn.XLOOKUP(O49,Dados[Ativo],Dados[Emissor])="","",_xlfn.XLOOKUP(O49,Dados[Ativo],Dados[Emissor])),"")</f>
        <v/>
      </c>
      <c r="J49" s="168" t="str">
        <f>IFERROR(IF(_xlfn.XLOOKUP(O49,Dados[Ativo],Dados[Vencimento])="","",_xlfn.XLOOKUP(O49,Dados[Ativo],Dados[Vencimento])),"")</f>
        <v/>
      </c>
      <c r="K49" t="str">
        <f>IFERROR(IF(_xlfn.XLOOKUP(O49,Dados[Ativo],Dados[Remuneração])="","",_xlfn.XLOOKUP(O49,Dados[Ativo],Dados[Remuneração])),"")</f>
        <v/>
      </c>
      <c r="L49" t="str">
        <f>IFERROR(IF(_xlfn.XLOOKUP(O49,Dados[Ativo],Dados[Complemento])="","",_xlfn.XLOOKUP(O49,Dados[Ativo],Dados[Complemento])),"")</f>
        <v/>
      </c>
      <c r="N49" t="str">
        <f>IFERROR(IF(_xlfn.XLOOKUP(O49,Dados[Ativo],Dados[Ticker do Ativo])="","",_xlfn.XLOOKUP(O49,Dados[Ativo],Dados[Ticker do Ativo])),"")</f>
        <v/>
      </c>
    </row>
    <row r="50" spans="3:14">
      <c r="C50" t="s">
        <v>233</v>
      </c>
      <c r="H50" t="str">
        <f>IFERROR(IF(_xlfn.XLOOKUP(O50,Dados[Ativo],Dados[Tipo do Ativo])="","",_xlfn.XLOOKUP(O50,Dados[Ativo],Dados[Tipo do Ativo])),"")</f>
        <v/>
      </c>
      <c r="I50" t="str">
        <f>IFERROR(IF(_xlfn.XLOOKUP(O50,Dados[Ativo],Dados[Emissor])="","",_xlfn.XLOOKUP(O50,Dados[Ativo],Dados[Emissor])),"")</f>
        <v/>
      </c>
      <c r="J50" s="168" t="str">
        <f>IFERROR(IF(_xlfn.XLOOKUP(O50,Dados[Ativo],Dados[Vencimento])="","",_xlfn.XLOOKUP(O50,Dados[Ativo],Dados[Vencimento])),"")</f>
        <v/>
      </c>
      <c r="K50" t="str">
        <f>IFERROR(IF(_xlfn.XLOOKUP(O50,Dados[Ativo],Dados[Remuneração])="","",_xlfn.XLOOKUP(O50,Dados[Ativo],Dados[Remuneração])),"")</f>
        <v/>
      </c>
      <c r="L50" t="str">
        <f>IFERROR(IF(_xlfn.XLOOKUP(O50,Dados[Ativo],Dados[Complemento])="","",_xlfn.XLOOKUP(O50,Dados[Ativo],Dados[Complemento])),"")</f>
        <v/>
      </c>
      <c r="N50" t="str">
        <f>IFERROR(IF(_xlfn.XLOOKUP(O50,Dados[Ativo],Dados[Ticker do Ativo])="","",_xlfn.XLOOKUP(O50,Dados[Ativo],Dados[Ticker do Ativo])),"")</f>
        <v/>
      </c>
    </row>
    <row r="51" spans="3:14">
      <c r="C51" t="s">
        <v>233</v>
      </c>
      <c r="H51" t="str">
        <f>IFERROR(IF(_xlfn.XLOOKUP(O51,Dados[Ativo],Dados[Tipo do Ativo])="","",_xlfn.XLOOKUP(O51,Dados[Ativo],Dados[Tipo do Ativo])),"")</f>
        <v/>
      </c>
      <c r="I51" t="str">
        <f>IFERROR(IF(_xlfn.XLOOKUP(O51,Dados[Ativo],Dados[Emissor])="","",_xlfn.XLOOKUP(O51,Dados[Ativo],Dados[Emissor])),"")</f>
        <v/>
      </c>
      <c r="J51" s="168" t="str">
        <f>IFERROR(IF(_xlfn.XLOOKUP(O51,Dados[Ativo],Dados[Vencimento])="","",_xlfn.XLOOKUP(O51,Dados[Ativo],Dados[Vencimento])),"")</f>
        <v/>
      </c>
      <c r="K51" t="str">
        <f>IFERROR(IF(_xlfn.XLOOKUP(O51,Dados[Ativo],Dados[Remuneração])="","",_xlfn.XLOOKUP(O51,Dados[Ativo],Dados[Remuneração])),"")</f>
        <v/>
      </c>
      <c r="L51" t="str">
        <f>IFERROR(IF(_xlfn.XLOOKUP(O51,Dados[Ativo],Dados[Complemento])="","",_xlfn.XLOOKUP(O51,Dados[Ativo],Dados[Complemento])),"")</f>
        <v/>
      </c>
      <c r="N51" t="str">
        <f>IFERROR(IF(_xlfn.XLOOKUP(O51,Dados[Ativo],Dados[Ticker do Ativo])="","",_xlfn.XLOOKUP(O51,Dados[Ativo],Dados[Ticker do Ativo])),"")</f>
        <v/>
      </c>
    </row>
    <row r="52" spans="3:14">
      <c r="C52" t="s">
        <v>233</v>
      </c>
      <c r="H52" t="str">
        <f>IFERROR(IF(_xlfn.XLOOKUP(O52,Dados[Ativo],Dados[Tipo do Ativo])="","",_xlfn.XLOOKUP(O52,Dados[Ativo],Dados[Tipo do Ativo])),"")</f>
        <v/>
      </c>
      <c r="I52" t="str">
        <f>IFERROR(IF(_xlfn.XLOOKUP(O52,Dados[Ativo],Dados[Emissor])="","",_xlfn.XLOOKUP(O52,Dados[Ativo],Dados[Emissor])),"")</f>
        <v/>
      </c>
      <c r="J52" s="168" t="str">
        <f>IFERROR(IF(_xlfn.XLOOKUP(O52,Dados[Ativo],Dados[Vencimento])="","",_xlfn.XLOOKUP(O52,Dados[Ativo],Dados[Vencimento])),"")</f>
        <v/>
      </c>
      <c r="K52" t="str">
        <f>IFERROR(IF(_xlfn.XLOOKUP(O52,Dados[Ativo],Dados[Remuneração])="","",_xlfn.XLOOKUP(O52,Dados[Ativo],Dados[Remuneração])),"")</f>
        <v/>
      </c>
      <c r="L52" t="str">
        <f>IFERROR(IF(_xlfn.XLOOKUP(O52,Dados[Ativo],Dados[Complemento])="","",_xlfn.XLOOKUP(O52,Dados[Ativo],Dados[Complemento])),"")</f>
        <v/>
      </c>
      <c r="N52" t="str">
        <f>IFERROR(IF(_xlfn.XLOOKUP(O52,Dados[Ativo],Dados[Ticker do Ativo])="","",_xlfn.XLOOKUP(O52,Dados[Ativo],Dados[Ticker do Ativo])),"")</f>
        <v/>
      </c>
    </row>
    <row r="53" spans="3:14">
      <c r="C53" t="s">
        <v>233</v>
      </c>
      <c r="H53" t="str">
        <f>IFERROR(IF(_xlfn.XLOOKUP(O53,Dados[Ativo],Dados[Tipo do Ativo])="","",_xlfn.XLOOKUP(O53,Dados[Ativo],Dados[Tipo do Ativo])),"")</f>
        <v/>
      </c>
      <c r="I53" t="str">
        <f>IFERROR(IF(_xlfn.XLOOKUP(O53,Dados[Ativo],Dados[Emissor])="","",_xlfn.XLOOKUP(O53,Dados[Ativo],Dados[Emissor])),"")</f>
        <v/>
      </c>
      <c r="J53" s="168" t="str">
        <f>IFERROR(IF(_xlfn.XLOOKUP(O53,Dados[Ativo],Dados[Vencimento])="","",_xlfn.XLOOKUP(O53,Dados[Ativo],Dados[Vencimento])),"")</f>
        <v/>
      </c>
      <c r="K53" t="str">
        <f>IFERROR(IF(_xlfn.XLOOKUP(O53,Dados[Ativo],Dados[Remuneração])="","",_xlfn.XLOOKUP(O53,Dados[Ativo],Dados[Remuneração])),"")</f>
        <v/>
      </c>
      <c r="L53" t="str">
        <f>IFERROR(IF(_xlfn.XLOOKUP(O53,Dados[Ativo],Dados[Complemento])="","",_xlfn.XLOOKUP(O53,Dados[Ativo],Dados[Complemento])),"")</f>
        <v/>
      </c>
      <c r="N53" t="str">
        <f>IFERROR(IF(_xlfn.XLOOKUP(O53,Dados[Ativo],Dados[Ticker do Ativo])="","",_xlfn.XLOOKUP(O53,Dados[Ativo],Dados[Ticker do Ativo])),"")</f>
        <v/>
      </c>
    </row>
    <row r="54" spans="3:14">
      <c r="C54" t="s">
        <v>233</v>
      </c>
      <c r="H54" t="str">
        <f>IFERROR(IF(_xlfn.XLOOKUP(O54,Dados[Ativo],Dados[Tipo do Ativo])="","",_xlfn.XLOOKUP(O54,Dados[Ativo],Dados[Tipo do Ativo])),"")</f>
        <v/>
      </c>
      <c r="I54" t="str">
        <f>IFERROR(IF(_xlfn.XLOOKUP(O54,Dados[Ativo],Dados[Emissor])="","",_xlfn.XLOOKUP(O54,Dados[Ativo],Dados[Emissor])),"")</f>
        <v/>
      </c>
      <c r="J54" s="168" t="str">
        <f>IFERROR(IF(_xlfn.XLOOKUP(O54,Dados[Ativo],Dados[Vencimento])="","",_xlfn.XLOOKUP(O54,Dados[Ativo],Dados[Vencimento])),"")</f>
        <v/>
      </c>
      <c r="K54" t="str">
        <f>IFERROR(IF(_xlfn.XLOOKUP(O54,Dados[Ativo],Dados[Remuneração])="","",_xlfn.XLOOKUP(O54,Dados[Ativo],Dados[Remuneração])),"")</f>
        <v/>
      </c>
      <c r="L54" t="str">
        <f>IFERROR(IF(_xlfn.XLOOKUP(O54,Dados[Ativo],Dados[Complemento])="","",_xlfn.XLOOKUP(O54,Dados[Ativo],Dados[Complemento])),"")</f>
        <v/>
      </c>
      <c r="N54" t="str">
        <f>IFERROR(IF(_xlfn.XLOOKUP(O54,Dados[Ativo],Dados[Ticker do Ativo])="","",_xlfn.XLOOKUP(O54,Dados[Ativo],Dados[Ticker do Ativo])),"")</f>
        <v/>
      </c>
    </row>
    <row r="55" spans="3:14">
      <c r="C55" t="s">
        <v>233</v>
      </c>
      <c r="H55" t="str">
        <f>IFERROR(IF(_xlfn.XLOOKUP(O55,Dados[Ativo],Dados[Tipo do Ativo])="","",_xlfn.XLOOKUP(O55,Dados[Ativo],Dados[Tipo do Ativo])),"")</f>
        <v/>
      </c>
      <c r="I55" t="str">
        <f>IFERROR(IF(_xlfn.XLOOKUP(O55,Dados[Ativo],Dados[Emissor])="","",_xlfn.XLOOKUP(O55,Dados[Ativo],Dados[Emissor])),"")</f>
        <v/>
      </c>
      <c r="J55" s="168" t="str">
        <f>IFERROR(IF(_xlfn.XLOOKUP(O55,Dados[Ativo],Dados[Vencimento])="","",_xlfn.XLOOKUP(O55,Dados[Ativo],Dados[Vencimento])),"")</f>
        <v/>
      </c>
      <c r="K55" t="str">
        <f>IFERROR(IF(_xlfn.XLOOKUP(O55,Dados[Ativo],Dados[Remuneração])="","",_xlfn.XLOOKUP(O55,Dados[Ativo],Dados[Remuneração])),"")</f>
        <v/>
      </c>
      <c r="L55" t="str">
        <f>IFERROR(IF(_xlfn.XLOOKUP(O55,Dados[Ativo],Dados[Complemento])="","",_xlfn.XLOOKUP(O55,Dados[Ativo],Dados[Complemento])),"")</f>
        <v/>
      </c>
      <c r="N55" t="str">
        <f>IFERROR(IF(_xlfn.XLOOKUP(O55,Dados[Ativo],Dados[Ticker do Ativo])="","",_xlfn.XLOOKUP(O55,Dados[Ativo],Dados[Ticker do Ativo])),"")</f>
        <v/>
      </c>
    </row>
    <row r="56" spans="3:14">
      <c r="C56" t="s">
        <v>233</v>
      </c>
      <c r="H56" t="str">
        <f>IFERROR(IF(_xlfn.XLOOKUP(O56,Dados[Ativo],Dados[Tipo do Ativo])="","",_xlfn.XLOOKUP(O56,Dados[Ativo],Dados[Tipo do Ativo])),"")</f>
        <v/>
      </c>
      <c r="I56" t="str">
        <f>IFERROR(IF(_xlfn.XLOOKUP(O56,Dados[Ativo],Dados[Emissor])="","",_xlfn.XLOOKUP(O56,Dados[Ativo],Dados[Emissor])),"")</f>
        <v/>
      </c>
      <c r="J56" s="168" t="str">
        <f>IFERROR(IF(_xlfn.XLOOKUP(O56,Dados[Ativo],Dados[Vencimento])="","",_xlfn.XLOOKUP(O56,Dados[Ativo],Dados[Vencimento])),"")</f>
        <v/>
      </c>
      <c r="K56" t="str">
        <f>IFERROR(IF(_xlfn.XLOOKUP(O56,Dados[Ativo],Dados[Remuneração])="","",_xlfn.XLOOKUP(O56,Dados[Ativo],Dados[Remuneração])),"")</f>
        <v/>
      </c>
      <c r="L56" t="str">
        <f>IFERROR(IF(_xlfn.XLOOKUP(O56,Dados[Ativo],Dados[Complemento])="","",_xlfn.XLOOKUP(O56,Dados[Ativo],Dados[Complemento])),"")</f>
        <v/>
      </c>
      <c r="N56" t="str">
        <f>IFERROR(IF(_xlfn.XLOOKUP(O56,Dados[Ativo],Dados[Ticker do Ativo])="","",_xlfn.XLOOKUP(O56,Dados[Ativo],Dados[Ticker do Ativo])),"")</f>
        <v/>
      </c>
    </row>
    <row r="57" spans="3:14">
      <c r="C57" t="s">
        <v>233</v>
      </c>
      <c r="H57" t="str">
        <f>IFERROR(IF(_xlfn.XLOOKUP(O57,Dados[Ativo],Dados[Tipo do Ativo])="","",_xlfn.XLOOKUP(O57,Dados[Ativo],Dados[Tipo do Ativo])),"")</f>
        <v/>
      </c>
      <c r="I57" t="str">
        <f>IFERROR(IF(_xlfn.XLOOKUP(O57,Dados[Ativo],Dados[Emissor])="","",_xlfn.XLOOKUP(O57,Dados[Ativo],Dados[Emissor])),"")</f>
        <v/>
      </c>
      <c r="J57" s="168" t="str">
        <f>IFERROR(IF(_xlfn.XLOOKUP(O57,Dados[Ativo],Dados[Vencimento])="","",_xlfn.XLOOKUP(O57,Dados[Ativo],Dados[Vencimento])),"")</f>
        <v/>
      </c>
      <c r="K57" t="str">
        <f>IFERROR(IF(_xlfn.XLOOKUP(O57,Dados[Ativo],Dados[Remuneração])="","",_xlfn.XLOOKUP(O57,Dados[Ativo],Dados[Remuneração])),"")</f>
        <v/>
      </c>
      <c r="L57" t="str">
        <f>IFERROR(IF(_xlfn.XLOOKUP(O57,Dados[Ativo],Dados[Complemento])="","",_xlfn.XLOOKUP(O57,Dados[Ativo],Dados[Complemento])),"")</f>
        <v/>
      </c>
      <c r="N57" t="str">
        <f>IFERROR(IF(_xlfn.XLOOKUP(O57,Dados[Ativo],Dados[Ticker do Ativo])="","",_xlfn.XLOOKUP(O57,Dados[Ativo],Dados[Ticker do Ativo])),"")</f>
        <v/>
      </c>
    </row>
    <row r="58" spans="3:14">
      <c r="C58" t="s">
        <v>233</v>
      </c>
      <c r="H58" t="str">
        <f>IFERROR(IF(_xlfn.XLOOKUP(O58,Dados[Ativo],Dados[Tipo do Ativo])="","",_xlfn.XLOOKUP(O58,Dados[Ativo],Dados[Tipo do Ativo])),"")</f>
        <v/>
      </c>
      <c r="I58" t="str">
        <f>IFERROR(IF(_xlfn.XLOOKUP(O58,Dados[Ativo],Dados[Emissor])="","",_xlfn.XLOOKUP(O58,Dados[Ativo],Dados[Emissor])),"")</f>
        <v/>
      </c>
      <c r="J58" s="168" t="str">
        <f>IFERROR(IF(_xlfn.XLOOKUP(O58,Dados[Ativo],Dados[Vencimento])="","",_xlfn.XLOOKUP(O58,Dados[Ativo],Dados[Vencimento])),"")</f>
        <v/>
      </c>
      <c r="K58" t="str">
        <f>IFERROR(IF(_xlfn.XLOOKUP(O58,Dados[Ativo],Dados[Remuneração])="","",_xlfn.XLOOKUP(O58,Dados[Ativo],Dados[Remuneração])),"")</f>
        <v/>
      </c>
      <c r="L58" t="str">
        <f>IFERROR(IF(_xlfn.XLOOKUP(O58,Dados[Ativo],Dados[Complemento])="","",_xlfn.XLOOKUP(O58,Dados[Ativo],Dados[Complemento])),"")</f>
        <v/>
      </c>
      <c r="N58" t="str">
        <f>IFERROR(IF(_xlfn.XLOOKUP(O58,Dados[Ativo],Dados[Ticker do Ativo])="","",_xlfn.XLOOKUP(O58,Dados[Ativo],Dados[Ticker do Ativo])),"")</f>
        <v/>
      </c>
    </row>
    <row r="59" spans="3:14">
      <c r="C59" t="s">
        <v>233</v>
      </c>
      <c r="H59" t="str">
        <f>IFERROR(IF(_xlfn.XLOOKUP(O59,Dados[Ativo],Dados[Tipo do Ativo])="","",_xlfn.XLOOKUP(O59,Dados[Ativo],Dados[Tipo do Ativo])),"")</f>
        <v/>
      </c>
      <c r="I59" t="str">
        <f>IFERROR(IF(_xlfn.XLOOKUP(O59,Dados[Ativo],Dados[Emissor])="","",_xlfn.XLOOKUP(O59,Dados[Ativo],Dados[Emissor])),"")</f>
        <v/>
      </c>
      <c r="J59" s="168" t="str">
        <f>IFERROR(IF(_xlfn.XLOOKUP(O59,Dados[Ativo],Dados[Vencimento])="","",_xlfn.XLOOKUP(O59,Dados[Ativo],Dados[Vencimento])),"")</f>
        <v/>
      </c>
      <c r="K59" t="str">
        <f>IFERROR(IF(_xlfn.XLOOKUP(O59,Dados[Ativo],Dados[Remuneração])="","",_xlfn.XLOOKUP(O59,Dados[Ativo],Dados[Remuneração])),"")</f>
        <v/>
      </c>
      <c r="L59" t="str">
        <f>IFERROR(IF(_xlfn.XLOOKUP(O59,Dados[Ativo],Dados[Complemento])="","",_xlfn.XLOOKUP(O59,Dados[Ativo],Dados[Complemento])),"")</f>
        <v/>
      </c>
      <c r="N59" t="str">
        <f>IFERROR(IF(_xlfn.XLOOKUP(O59,Dados[Ativo],Dados[Ticker do Ativo])="","",_xlfn.XLOOKUP(O59,Dados[Ativo],Dados[Ticker do Ativo])),"")</f>
        <v/>
      </c>
    </row>
    <row r="60" spans="3:14">
      <c r="C60" t="s">
        <v>233</v>
      </c>
      <c r="H60" t="str">
        <f>IFERROR(IF(_xlfn.XLOOKUP(O60,Dados[Ativo],Dados[Tipo do Ativo])="","",_xlfn.XLOOKUP(O60,Dados[Ativo],Dados[Tipo do Ativo])),"")</f>
        <v/>
      </c>
      <c r="I60" t="str">
        <f>IFERROR(IF(_xlfn.XLOOKUP(O60,Dados[Ativo],Dados[Emissor])="","",_xlfn.XLOOKUP(O60,Dados[Ativo],Dados[Emissor])),"")</f>
        <v/>
      </c>
      <c r="J60" s="168" t="str">
        <f>IFERROR(IF(_xlfn.XLOOKUP(O60,Dados[Ativo],Dados[Vencimento])="","",_xlfn.XLOOKUP(O60,Dados[Ativo],Dados[Vencimento])),"")</f>
        <v/>
      </c>
      <c r="K60" t="str">
        <f>IFERROR(IF(_xlfn.XLOOKUP(O60,Dados[Ativo],Dados[Remuneração])="","",_xlfn.XLOOKUP(O60,Dados[Ativo],Dados[Remuneração])),"")</f>
        <v/>
      </c>
      <c r="L60" t="str">
        <f>IFERROR(IF(_xlfn.XLOOKUP(O60,Dados[Ativo],Dados[Complemento])="","",_xlfn.XLOOKUP(O60,Dados[Ativo],Dados[Complemento])),"")</f>
        <v/>
      </c>
      <c r="N60" t="str">
        <f>IFERROR(IF(_xlfn.XLOOKUP(O60,Dados[Ativo],Dados[Ticker do Ativo])="","",_xlfn.XLOOKUP(O60,Dados[Ativo],Dados[Ticker do Ativo])),"")</f>
        <v/>
      </c>
    </row>
    <row r="61" spans="3:14">
      <c r="C61" t="s">
        <v>233</v>
      </c>
      <c r="H61" t="str">
        <f>IFERROR(IF(_xlfn.XLOOKUP(O61,Dados[Ativo],Dados[Tipo do Ativo])="","",_xlfn.XLOOKUP(O61,Dados[Ativo],Dados[Tipo do Ativo])),"")</f>
        <v/>
      </c>
      <c r="I61" t="str">
        <f>IFERROR(IF(_xlfn.XLOOKUP(O61,Dados[Ativo],Dados[Emissor])="","",_xlfn.XLOOKUP(O61,Dados[Ativo],Dados[Emissor])),"")</f>
        <v/>
      </c>
      <c r="J61" s="168" t="str">
        <f>IFERROR(IF(_xlfn.XLOOKUP(O61,Dados[Ativo],Dados[Vencimento])="","",_xlfn.XLOOKUP(O61,Dados[Ativo],Dados[Vencimento])),"")</f>
        <v/>
      </c>
      <c r="K61" t="str">
        <f>IFERROR(IF(_xlfn.XLOOKUP(O61,Dados[Ativo],Dados[Remuneração])="","",_xlfn.XLOOKUP(O61,Dados[Ativo],Dados[Remuneração])),"")</f>
        <v/>
      </c>
      <c r="L61" t="str">
        <f>IFERROR(IF(_xlfn.XLOOKUP(O61,Dados[Ativo],Dados[Complemento])="","",_xlfn.XLOOKUP(O61,Dados[Ativo],Dados[Complemento])),"")</f>
        <v/>
      </c>
      <c r="N61" t="str">
        <f>IFERROR(IF(_xlfn.XLOOKUP(O61,Dados[Ativo],Dados[Ticker do Ativo])="","",_xlfn.XLOOKUP(O61,Dados[Ativo],Dados[Ticker do Ativo])),"")</f>
        <v/>
      </c>
    </row>
    <row r="62" spans="3:14">
      <c r="C62" t="s">
        <v>233</v>
      </c>
      <c r="H62" t="str">
        <f>IFERROR(IF(_xlfn.XLOOKUP(O62,Dados[Ativo],Dados[Tipo do Ativo])="","",_xlfn.XLOOKUP(O62,Dados[Ativo],Dados[Tipo do Ativo])),"")</f>
        <v/>
      </c>
      <c r="I62" t="str">
        <f>IFERROR(IF(_xlfn.XLOOKUP(O62,Dados[Ativo],Dados[Emissor])="","",_xlfn.XLOOKUP(O62,Dados[Ativo],Dados[Emissor])),"")</f>
        <v/>
      </c>
      <c r="J62" s="168" t="str">
        <f>IFERROR(IF(_xlfn.XLOOKUP(O62,Dados[Ativo],Dados[Vencimento])="","",_xlfn.XLOOKUP(O62,Dados[Ativo],Dados[Vencimento])),"")</f>
        <v/>
      </c>
      <c r="K62" t="str">
        <f>IFERROR(IF(_xlfn.XLOOKUP(O62,Dados[Ativo],Dados[Remuneração])="","",_xlfn.XLOOKUP(O62,Dados[Ativo],Dados[Remuneração])),"")</f>
        <v/>
      </c>
      <c r="L62" t="str">
        <f>IFERROR(IF(_xlfn.XLOOKUP(O62,Dados[Ativo],Dados[Complemento])="","",_xlfn.XLOOKUP(O62,Dados[Ativo],Dados[Complemento])),"")</f>
        <v/>
      </c>
      <c r="N62" t="str">
        <f>IFERROR(IF(_xlfn.XLOOKUP(O62,Dados[Ativo],Dados[Ticker do Ativo])="","",_xlfn.XLOOKUP(O62,Dados[Ativo],Dados[Ticker do Ativo])),"")</f>
        <v/>
      </c>
    </row>
    <row r="63" spans="3:14">
      <c r="C63" t="s">
        <v>233</v>
      </c>
      <c r="H63" t="str">
        <f>IFERROR(IF(_xlfn.XLOOKUP(O63,Dados[Ativo],Dados[Tipo do Ativo])="","",_xlfn.XLOOKUP(O63,Dados[Ativo],Dados[Tipo do Ativo])),"")</f>
        <v/>
      </c>
      <c r="I63" t="str">
        <f>IFERROR(IF(_xlfn.XLOOKUP(O63,Dados[Ativo],Dados[Emissor])="","",_xlfn.XLOOKUP(O63,Dados[Ativo],Dados[Emissor])),"")</f>
        <v/>
      </c>
      <c r="J63" s="168" t="str">
        <f>IFERROR(IF(_xlfn.XLOOKUP(O63,Dados[Ativo],Dados[Vencimento])="","",_xlfn.XLOOKUP(O63,Dados[Ativo],Dados[Vencimento])),"")</f>
        <v/>
      </c>
      <c r="K63" t="str">
        <f>IFERROR(IF(_xlfn.XLOOKUP(O63,Dados[Ativo],Dados[Remuneração])="","",_xlfn.XLOOKUP(O63,Dados[Ativo],Dados[Remuneração])),"")</f>
        <v/>
      </c>
      <c r="L63" t="str">
        <f>IFERROR(IF(_xlfn.XLOOKUP(O63,Dados[Ativo],Dados[Complemento])="","",_xlfn.XLOOKUP(O63,Dados[Ativo],Dados[Complemento])),"")</f>
        <v/>
      </c>
      <c r="N63" t="str">
        <f>IFERROR(IF(_xlfn.XLOOKUP(O63,Dados[Ativo],Dados[Ticker do Ativo])="","",_xlfn.XLOOKUP(O63,Dados[Ativo],Dados[Ticker do Ativo])),"")</f>
        <v/>
      </c>
    </row>
    <row r="64" spans="3:14">
      <c r="C64" t="s">
        <v>233</v>
      </c>
      <c r="H64" t="str">
        <f>IFERROR(IF(_xlfn.XLOOKUP(O64,Dados[Ativo],Dados[Tipo do Ativo])="","",_xlfn.XLOOKUP(O64,Dados[Ativo],Dados[Tipo do Ativo])),"")</f>
        <v/>
      </c>
      <c r="I64" t="str">
        <f>IFERROR(IF(_xlfn.XLOOKUP(O64,Dados[Ativo],Dados[Emissor])="","",_xlfn.XLOOKUP(O64,Dados[Ativo],Dados[Emissor])),"")</f>
        <v/>
      </c>
      <c r="J64" s="168" t="str">
        <f>IFERROR(IF(_xlfn.XLOOKUP(O64,Dados[Ativo],Dados[Vencimento])="","",_xlfn.XLOOKUP(O64,Dados[Ativo],Dados[Vencimento])),"")</f>
        <v/>
      </c>
      <c r="K64" t="str">
        <f>IFERROR(IF(_xlfn.XLOOKUP(O64,Dados[Ativo],Dados[Remuneração])="","",_xlfn.XLOOKUP(O64,Dados[Ativo],Dados[Remuneração])),"")</f>
        <v/>
      </c>
      <c r="L64" t="str">
        <f>IFERROR(IF(_xlfn.XLOOKUP(O64,Dados[Ativo],Dados[Complemento])="","",_xlfn.XLOOKUP(O64,Dados[Ativo],Dados[Complemento])),"")</f>
        <v/>
      </c>
      <c r="N64" t="str">
        <f>IFERROR(IF(_xlfn.XLOOKUP(O64,Dados[Ativo],Dados[Ticker do Ativo])="","",_xlfn.XLOOKUP(O64,Dados[Ativo],Dados[Ticker do Ativo])),"")</f>
        <v/>
      </c>
    </row>
    <row r="65" spans="3:14">
      <c r="C65" t="s">
        <v>233</v>
      </c>
      <c r="H65" t="str">
        <f>IFERROR(IF(_xlfn.XLOOKUP(O65,Dados[Ativo],Dados[Tipo do Ativo])="","",_xlfn.XLOOKUP(O65,Dados[Ativo],Dados[Tipo do Ativo])),"")</f>
        <v/>
      </c>
      <c r="I65" t="str">
        <f>IFERROR(IF(_xlfn.XLOOKUP(O65,Dados[Ativo],Dados[Emissor])="","",_xlfn.XLOOKUP(O65,Dados[Ativo],Dados[Emissor])),"")</f>
        <v/>
      </c>
      <c r="J65" s="168" t="str">
        <f>IFERROR(IF(_xlfn.XLOOKUP(O65,Dados[Ativo],Dados[Vencimento])="","",_xlfn.XLOOKUP(O65,Dados[Ativo],Dados[Vencimento])),"")</f>
        <v/>
      </c>
      <c r="K65" t="str">
        <f>IFERROR(IF(_xlfn.XLOOKUP(O65,Dados[Ativo],Dados[Remuneração])="","",_xlfn.XLOOKUP(O65,Dados[Ativo],Dados[Remuneração])),"")</f>
        <v/>
      </c>
      <c r="L65" t="str">
        <f>IFERROR(IF(_xlfn.XLOOKUP(O65,Dados[Ativo],Dados[Complemento])="","",_xlfn.XLOOKUP(O65,Dados[Ativo],Dados[Complemento])),"")</f>
        <v/>
      </c>
      <c r="N65" t="str">
        <f>IFERROR(IF(_xlfn.XLOOKUP(O65,Dados[Ativo],Dados[Ticker do Ativo])="","",_xlfn.XLOOKUP(O65,Dados[Ativo],Dados[Ticker do Ativo])),"")</f>
        <v/>
      </c>
    </row>
    <row r="66" spans="3:14">
      <c r="C66" t="s">
        <v>233</v>
      </c>
      <c r="H66" t="str">
        <f>IFERROR(IF(_xlfn.XLOOKUP(O66,Dados[Ativo],Dados[Tipo do Ativo])="","",_xlfn.XLOOKUP(O66,Dados[Ativo],Dados[Tipo do Ativo])),"")</f>
        <v/>
      </c>
      <c r="I66" t="str">
        <f>IFERROR(IF(_xlfn.XLOOKUP(O66,Dados[Ativo],Dados[Emissor])="","",_xlfn.XLOOKUP(O66,Dados[Ativo],Dados[Emissor])),"")</f>
        <v/>
      </c>
      <c r="J66" s="168" t="str">
        <f>IFERROR(IF(_xlfn.XLOOKUP(O66,Dados[Ativo],Dados[Vencimento])="","",_xlfn.XLOOKUP(O66,Dados[Ativo],Dados[Vencimento])),"")</f>
        <v/>
      </c>
      <c r="K66" t="str">
        <f>IFERROR(IF(_xlfn.XLOOKUP(O66,Dados[Ativo],Dados[Remuneração])="","",_xlfn.XLOOKUP(O66,Dados[Ativo],Dados[Remuneração])),"")</f>
        <v/>
      </c>
      <c r="L66" t="str">
        <f>IFERROR(IF(_xlfn.XLOOKUP(O66,Dados[Ativo],Dados[Complemento])="","",_xlfn.XLOOKUP(O66,Dados[Ativo],Dados[Complemento])),"")</f>
        <v/>
      </c>
      <c r="N66" t="str">
        <f>IFERROR(IF(_xlfn.XLOOKUP(O66,Dados[Ativo],Dados[Ticker do Ativo])="","",_xlfn.XLOOKUP(O66,Dados[Ativo],Dados[Ticker do Ativo])),"")</f>
        <v/>
      </c>
    </row>
    <row r="67" spans="3:14">
      <c r="C67" t="s">
        <v>233</v>
      </c>
      <c r="H67" t="str">
        <f>IFERROR(IF(_xlfn.XLOOKUP(O67,Dados[Ativo],Dados[Tipo do Ativo])="","",_xlfn.XLOOKUP(O67,Dados[Ativo],Dados[Tipo do Ativo])),"")</f>
        <v/>
      </c>
      <c r="I67" t="str">
        <f>IFERROR(IF(_xlfn.XLOOKUP(O67,Dados[Ativo],Dados[Emissor])="","",_xlfn.XLOOKUP(O67,Dados[Ativo],Dados[Emissor])),"")</f>
        <v/>
      </c>
      <c r="J67" s="168" t="str">
        <f>IFERROR(IF(_xlfn.XLOOKUP(O67,Dados[Ativo],Dados[Vencimento])="","",_xlfn.XLOOKUP(O67,Dados[Ativo],Dados[Vencimento])),"")</f>
        <v/>
      </c>
      <c r="K67" t="str">
        <f>IFERROR(IF(_xlfn.XLOOKUP(O67,Dados[Ativo],Dados[Remuneração])="","",_xlfn.XLOOKUP(O67,Dados[Ativo],Dados[Remuneração])),"")</f>
        <v/>
      </c>
      <c r="L67" t="str">
        <f>IFERROR(IF(_xlfn.XLOOKUP(O67,Dados[Ativo],Dados[Complemento])="","",_xlfn.XLOOKUP(O67,Dados[Ativo],Dados[Complemento])),"")</f>
        <v/>
      </c>
      <c r="N67" t="str">
        <f>IFERROR(IF(_xlfn.XLOOKUP(O67,Dados[Ativo],Dados[Ticker do Ativo])="","",_xlfn.XLOOKUP(O67,Dados[Ativo],Dados[Ticker do Ativo])),"")</f>
        <v/>
      </c>
    </row>
    <row r="68" spans="3:14">
      <c r="C68" t="s">
        <v>233</v>
      </c>
      <c r="H68" t="str">
        <f>IFERROR(IF(_xlfn.XLOOKUP(O68,Dados[Ativo],Dados[Tipo do Ativo])="","",_xlfn.XLOOKUP(O68,Dados[Ativo],Dados[Tipo do Ativo])),"")</f>
        <v/>
      </c>
      <c r="I68" t="str">
        <f>IFERROR(IF(_xlfn.XLOOKUP(O68,Dados[Ativo],Dados[Emissor])="","",_xlfn.XLOOKUP(O68,Dados[Ativo],Dados[Emissor])),"")</f>
        <v/>
      </c>
      <c r="J68" s="168" t="str">
        <f>IFERROR(IF(_xlfn.XLOOKUP(O68,Dados[Ativo],Dados[Vencimento])="","",_xlfn.XLOOKUP(O68,Dados[Ativo],Dados[Vencimento])),"")</f>
        <v/>
      </c>
      <c r="K68" t="str">
        <f>IFERROR(IF(_xlfn.XLOOKUP(O68,Dados[Ativo],Dados[Remuneração])="","",_xlfn.XLOOKUP(O68,Dados[Ativo],Dados[Remuneração])),"")</f>
        <v/>
      </c>
      <c r="L68" t="str">
        <f>IFERROR(IF(_xlfn.XLOOKUP(O68,Dados[Ativo],Dados[Complemento])="","",_xlfn.XLOOKUP(O68,Dados[Ativo],Dados[Complemento])),"")</f>
        <v/>
      </c>
      <c r="N68" t="str">
        <f>IFERROR(IF(_xlfn.XLOOKUP(O68,Dados[Ativo],Dados[Ticker do Ativo])="","",_xlfn.XLOOKUP(O68,Dados[Ativo],Dados[Ticker do Ativo])),"")</f>
        <v/>
      </c>
    </row>
    <row r="69" spans="3:14">
      <c r="C69" t="s">
        <v>233</v>
      </c>
      <c r="H69" t="str">
        <f>IFERROR(IF(_xlfn.XLOOKUP(O69,Dados[Ativo],Dados[Tipo do Ativo])="","",_xlfn.XLOOKUP(O69,Dados[Ativo],Dados[Tipo do Ativo])),"")</f>
        <v/>
      </c>
      <c r="I69" t="str">
        <f>IFERROR(IF(_xlfn.XLOOKUP(O69,Dados[Ativo],Dados[Emissor])="","",_xlfn.XLOOKUP(O69,Dados[Ativo],Dados[Emissor])),"")</f>
        <v/>
      </c>
      <c r="J69" s="168" t="str">
        <f>IFERROR(IF(_xlfn.XLOOKUP(O69,Dados[Ativo],Dados[Vencimento])="","",_xlfn.XLOOKUP(O69,Dados[Ativo],Dados[Vencimento])),"")</f>
        <v/>
      </c>
      <c r="K69" t="str">
        <f>IFERROR(IF(_xlfn.XLOOKUP(O69,Dados[Ativo],Dados[Remuneração])="","",_xlfn.XLOOKUP(O69,Dados[Ativo],Dados[Remuneração])),"")</f>
        <v/>
      </c>
      <c r="L69" t="str">
        <f>IFERROR(IF(_xlfn.XLOOKUP(O69,Dados[Ativo],Dados[Complemento])="","",_xlfn.XLOOKUP(O69,Dados[Ativo],Dados[Complemento])),"")</f>
        <v/>
      </c>
      <c r="N69" t="str">
        <f>IFERROR(IF(_xlfn.XLOOKUP(O69,Dados[Ativo],Dados[Ticker do Ativo])="","",_xlfn.XLOOKUP(O69,Dados[Ativo],Dados[Ticker do Ativo])),"")</f>
        <v/>
      </c>
    </row>
    <row r="70" spans="3:14">
      <c r="C70" t="s">
        <v>233</v>
      </c>
      <c r="H70" t="str">
        <f>IFERROR(IF(_xlfn.XLOOKUP(O70,Dados[Ativo],Dados[Tipo do Ativo])="","",_xlfn.XLOOKUP(O70,Dados[Ativo],Dados[Tipo do Ativo])),"")</f>
        <v/>
      </c>
      <c r="I70" t="str">
        <f>IFERROR(IF(_xlfn.XLOOKUP(O70,Dados[Ativo],Dados[Emissor])="","",_xlfn.XLOOKUP(O70,Dados[Ativo],Dados[Emissor])),"")</f>
        <v/>
      </c>
      <c r="J70" s="168" t="str">
        <f>IFERROR(IF(_xlfn.XLOOKUP(O70,Dados[Ativo],Dados[Vencimento])="","",_xlfn.XLOOKUP(O70,Dados[Ativo],Dados[Vencimento])),"")</f>
        <v/>
      </c>
      <c r="K70" t="str">
        <f>IFERROR(IF(_xlfn.XLOOKUP(O70,Dados[Ativo],Dados[Remuneração])="","",_xlfn.XLOOKUP(O70,Dados[Ativo],Dados[Remuneração])),"")</f>
        <v/>
      </c>
      <c r="L70" t="str">
        <f>IFERROR(IF(_xlfn.XLOOKUP(O70,Dados[Ativo],Dados[Complemento])="","",_xlfn.XLOOKUP(O70,Dados[Ativo],Dados[Complemento])),"")</f>
        <v/>
      </c>
      <c r="N70" t="str">
        <f>IFERROR(IF(_xlfn.XLOOKUP(O70,Dados[Ativo],Dados[Ticker do Ativo])="","",_xlfn.XLOOKUP(O70,Dados[Ativo],Dados[Ticker do Ativo])),"")</f>
        <v/>
      </c>
    </row>
    <row r="71" spans="3:14">
      <c r="C71" t="s">
        <v>233</v>
      </c>
      <c r="H71" t="str">
        <f>IFERROR(IF(_xlfn.XLOOKUP(O71,Dados[Ativo],Dados[Tipo do Ativo])="","",_xlfn.XLOOKUP(O71,Dados[Ativo],Dados[Tipo do Ativo])),"")</f>
        <v/>
      </c>
      <c r="I71" t="str">
        <f>IFERROR(IF(_xlfn.XLOOKUP(O71,Dados[Ativo],Dados[Emissor])="","",_xlfn.XLOOKUP(O71,Dados[Ativo],Dados[Emissor])),"")</f>
        <v/>
      </c>
      <c r="J71" s="168" t="str">
        <f>IFERROR(IF(_xlfn.XLOOKUP(O71,Dados[Ativo],Dados[Vencimento])="","",_xlfn.XLOOKUP(O71,Dados[Ativo],Dados[Vencimento])),"")</f>
        <v/>
      </c>
      <c r="K71" t="str">
        <f>IFERROR(IF(_xlfn.XLOOKUP(O71,Dados[Ativo],Dados[Remuneração])="","",_xlfn.XLOOKUP(O71,Dados[Ativo],Dados[Remuneração])),"")</f>
        <v/>
      </c>
      <c r="L71" t="str">
        <f>IFERROR(IF(_xlfn.XLOOKUP(O71,Dados[Ativo],Dados[Complemento])="","",_xlfn.XLOOKUP(O71,Dados[Ativo],Dados[Complemento])),"")</f>
        <v/>
      </c>
      <c r="N71" t="str">
        <f>IFERROR(IF(_xlfn.XLOOKUP(O71,Dados[Ativo],Dados[Ticker do Ativo])="","",_xlfn.XLOOKUP(O71,Dados[Ativo],Dados[Ticker do Ativo])),"")</f>
        <v/>
      </c>
    </row>
    <row r="72" spans="3:14">
      <c r="C72" t="s">
        <v>233</v>
      </c>
      <c r="H72" t="str">
        <f>IFERROR(IF(_xlfn.XLOOKUP(O72,Dados[Ativo],Dados[Tipo do Ativo])="","",_xlfn.XLOOKUP(O72,Dados[Ativo],Dados[Tipo do Ativo])),"")</f>
        <v/>
      </c>
      <c r="I72" t="str">
        <f>IFERROR(IF(_xlfn.XLOOKUP(O72,Dados[Ativo],Dados[Emissor])="","",_xlfn.XLOOKUP(O72,Dados[Ativo],Dados[Emissor])),"")</f>
        <v/>
      </c>
      <c r="J72" s="168" t="str">
        <f>IFERROR(IF(_xlfn.XLOOKUP(O72,Dados[Ativo],Dados[Vencimento])="","",_xlfn.XLOOKUP(O72,Dados[Ativo],Dados[Vencimento])),"")</f>
        <v/>
      </c>
      <c r="K72" t="str">
        <f>IFERROR(IF(_xlfn.XLOOKUP(O72,Dados[Ativo],Dados[Remuneração])="","",_xlfn.XLOOKUP(O72,Dados[Ativo],Dados[Remuneração])),"")</f>
        <v/>
      </c>
      <c r="L72" t="str">
        <f>IFERROR(IF(_xlfn.XLOOKUP(O72,Dados[Ativo],Dados[Complemento])="","",_xlfn.XLOOKUP(O72,Dados[Ativo],Dados[Complemento])),"")</f>
        <v/>
      </c>
      <c r="N72" t="str">
        <f>IFERROR(IF(_xlfn.XLOOKUP(O72,Dados[Ativo],Dados[Ticker do Ativo])="","",_xlfn.XLOOKUP(O72,Dados[Ativo],Dados[Ticker do Ativo])),"")</f>
        <v/>
      </c>
    </row>
    <row r="73" spans="3:14">
      <c r="C73" t="s">
        <v>233</v>
      </c>
      <c r="H73" t="str">
        <f>IFERROR(IF(_xlfn.XLOOKUP(O73,Dados[Ativo],Dados[Tipo do Ativo])="","",_xlfn.XLOOKUP(O73,Dados[Ativo],Dados[Tipo do Ativo])),"")</f>
        <v/>
      </c>
      <c r="I73" t="str">
        <f>IFERROR(IF(_xlfn.XLOOKUP(O73,Dados[Ativo],Dados[Emissor])="","",_xlfn.XLOOKUP(O73,Dados[Ativo],Dados[Emissor])),"")</f>
        <v/>
      </c>
      <c r="J73" s="168" t="str">
        <f>IFERROR(IF(_xlfn.XLOOKUP(O73,Dados[Ativo],Dados[Vencimento])="","",_xlfn.XLOOKUP(O73,Dados[Ativo],Dados[Vencimento])),"")</f>
        <v/>
      </c>
      <c r="K73" t="str">
        <f>IFERROR(IF(_xlfn.XLOOKUP(O73,Dados[Ativo],Dados[Remuneração])="","",_xlfn.XLOOKUP(O73,Dados[Ativo],Dados[Remuneração])),"")</f>
        <v/>
      </c>
      <c r="L73" t="str">
        <f>IFERROR(IF(_xlfn.XLOOKUP(O73,Dados[Ativo],Dados[Complemento])="","",_xlfn.XLOOKUP(O73,Dados[Ativo],Dados[Complemento])),"")</f>
        <v/>
      </c>
      <c r="N73" t="str">
        <f>IFERROR(IF(_xlfn.XLOOKUP(O73,Dados[Ativo],Dados[Ticker do Ativo])="","",_xlfn.XLOOKUP(O73,Dados[Ativo],Dados[Ticker do Ativo])),"")</f>
        <v/>
      </c>
    </row>
    <row r="74" spans="3:14">
      <c r="C74" t="s">
        <v>233</v>
      </c>
      <c r="H74" t="str">
        <f>IFERROR(IF(_xlfn.XLOOKUP(O74,Dados[Ativo],Dados[Tipo do Ativo])="","",_xlfn.XLOOKUP(O74,Dados[Ativo],Dados[Tipo do Ativo])),"")</f>
        <v/>
      </c>
      <c r="I74" t="str">
        <f>IFERROR(IF(_xlfn.XLOOKUP(O74,Dados[Ativo],Dados[Emissor])="","",_xlfn.XLOOKUP(O74,Dados[Ativo],Dados[Emissor])),"")</f>
        <v/>
      </c>
      <c r="J74" s="168" t="str">
        <f>IFERROR(IF(_xlfn.XLOOKUP(O74,Dados[Ativo],Dados[Vencimento])="","",_xlfn.XLOOKUP(O74,Dados[Ativo],Dados[Vencimento])),"")</f>
        <v/>
      </c>
      <c r="K74" t="str">
        <f>IFERROR(IF(_xlfn.XLOOKUP(O74,Dados[Ativo],Dados[Remuneração])="","",_xlfn.XLOOKUP(O74,Dados[Ativo],Dados[Remuneração])),"")</f>
        <v/>
      </c>
      <c r="L74" t="str">
        <f>IFERROR(IF(_xlfn.XLOOKUP(O74,Dados[Ativo],Dados[Complemento])="","",_xlfn.XLOOKUP(O74,Dados[Ativo],Dados[Complemento])),"")</f>
        <v/>
      </c>
      <c r="N74" t="str">
        <f>IFERROR(IF(_xlfn.XLOOKUP(O74,Dados[Ativo],Dados[Ticker do Ativo])="","",_xlfn.XLOOKUP(O74,Dados[Ativo],Dados[Ticker do Ativo])),"")</f>
        <v/>
      </c>
    </row>
    <row r="75" spans="3:14">
      <c r="C75" t="s">
        <v>233</v>
      </c>
      <c r="H75" t="str">
        <f>IFERROR(IF(_xlfn.XLOOKUP(O75,Dados[Ativo],Dados[Tipo do Ativo])="","",_xlfn.XLOOKUP(O75,Dados[Ativo],Dados[Tipo do Ativo])),"")</f>
        <v/>
      </c>
      <c r="I75" t="str">
        <f>IFERROR(IF(_xlfn.XLOOKUP(O75,Dados[Ativo],Dados[Emissor])="","",_xlfn.XLOOKUP(O75,Dados[Ativo],Dados[Emissor])),"")</f>
        <v/>
      </c>
      <c r="J75" s="168" t="str">
        <f>IFERROR(IF(_xlfn.XLOOKUP(O75,Dados[Ativo],Dados[Vencimento])="","",_xlfn.XLOOKUP(O75,Dados[Ativo],Dados[Vencimento])),"")</f>
        <v/>
      </c>
      <c r="K75" t="str">
        <f>IFERROR(IF(_xlfn.XLOOKUP(O75,Dados[Ativo],Dados[Remuneração])="","",_xlfn.XLOOKUP(O75,Dados[Ativo],Dados[Remuneração])),"")</f>
        <v/>
      </c>
      <c r="L75" t="str">
        <f>IFERROR(IF(_xlfn.XLOOKUP(O75,Dados[Ativo],Dados[Complemento])="","",_xlfn.XLOOKUP(O75,Dados[Ativo],Dados[Complemento])),"")</f>
        <v/>
      </c>
      <c r="N75" t="str">
        <f>IFERROR(IF(_xlfn.XLOOKUP(O75,Dados[Ativo],Dados[Ticker do Ativo])="","",_xlfn.XLOOKUP(O75,Dados[Ativo],Dados[Ticker do Ativo])),"")</f>
        <v/>
      </c>
    </row>
    <row r="76" spans="3:14">
      <c r="C76" t="s">
        <v>233</v>
      </c>
      <c r="H76" t="str">
        <f>IFERROR(IF(_xlfn.XLOOKUP(O76,Dados[Ativo],Dados[Tipo do Ativo])="","",_xlfn.XLOOKUP(O76,Dados[Ativo],Dados[Tipo do Ativo])),"")</f>
        <v/>
      </c>
      <c r="I76" t="str">
        <f>IFERROR(IF(_xlfn.XLOOKUP(O76,Dados[Ativo],Dados[Emissor])="","",_xlfn.XLOOKUP(O76,Dados[Ativo],Dados[Emissor])),"")</f>
        <v/>
      </c>
      <c r="J76" s="168" t="str">
        <f>IFERROR(IF(_xlfn.XLOOKUP(O76,Dados[Ativo],Dados[Vencimento])="","",_xlfn.XLOOKUP(O76,Dados[Ativo],Dados[Vencimento])),"")</f>
        <v/>
      </c>
      <c r="K76" t="str">
        <f>IFERROR(IF(_xlfn.XLOOKUP(O76,Dados[Ativo],Dados[Remuneração])="","",_xlfn.XLOOKUP(O76,Dados[Ativo],Dados[Remuneração])),"")</f>
        <v/>
      </c>
      <c r="L76" t="str">
        <f>IFERROR(IF(_xlfn.XLOOKUP(O76,Dados[Ativo],Dados[Complemento])="","",_xlfn.XLOOKUP(O76,Dados[Ativo],Dados[Complemento])),"")</f>
        <v/>
      </c>
      <c r="N76" t="str">
        <f>IFERROR(IF(_xlfn.XLOOKUP(O76,Dados[Ativo],Dados[Ticker do Ativo])="","",_xlfn.XLOOKUP(O76,Dados[Ativo],Dados[Ticker do Ativo])),"")</f>
        <v/>
      </c>
    </row>
    <row r="77" spans="3:14">
      <c r="C77" t="s">
        <v>233</v>
      </c>
      <c r="H77" t="str">
        <f>IFERROR(IF(_xlfn.XLOOKUP(O77,Dados[Ativo],Dados[Tipo do Ativo])="","",_xlfn.XLOOKUP(O77,Dados[Ativo],Dados[Tipo do Ativo])),"")</f>
        <v/>
      </c>
      <c r="I77" t="str">
        <f>IFERROR(IF(_xlfn.XLOOKUP(O77,Dados[Ativo],Dados[Emissor])="","",_xlfn.XLOOKUP(O77,Dados[Ativo],Dados[Emissor])),"")</f>
        <v/>
      </c>
      <c r="J77" s="168" t="str">
        <f>IFERROR(IF(_xlfn.XLOOKUP(O77,Dados[Ativo],Dados[Vencimento])="","",_xlfn.XLOOKUP(O77,Dados[Ativo],Dados[Vencimento])),"")</f>
        <v/>
      </c>
      <c r="K77" t="str">
        <f>IFERROR(IF(_xlfn.XLOOKUP(O77,Dados[Ativo],Dados[Remuneração])="","",_xlfn.XLOOKUP(O77,Dados[Ativo],Dados[Remuneração])),"")</f>
        <v/>
      </c>
      <c r="L77" t="str">
        <f>IFERROR(IF(_xlfn.XLOOKUP(O77,Dados[Ativo],Dados[Complemento])="","",_xlfn.XLOOKUP(O77,Dados[Ativo],Dados[Complemento])),"")</f>
        <v/>
      </c>
      <c r="N77" t="str">
        <f>IFERROR(IF(_xlfn.XLOOKUP(O77,Dados[Ativo],Dados[Ticker do Ativo])="","",_xlfn.XLOOKUP(O77,Dados[Ativo],Dados[Ticker do Ativo])),"")</f>
        <v/>
      </c>
    </row>
    <row r="78" spans="3:14">
      <c r="C78" t="s">
        <v>233</v>
      </c>
      <c r="H78" t="str">
        <f>IFERROR(IF(_xlfn.XLOOKUP(O78,Dados[Ativo],Dados[Tipo do Ativo])="","",_xlfn.XLOOKUP(O78,Dados[Ativo],Dados[Tipo do Ativo])),"")</f>
        <v/>
      </c>
      <c r="I78" t="str">
        <f>IFERROR(IF(_xlfn.XLOOKUP(O78,Dados[Ativo],Dados[Emissor])="","",_xlfn.XLOOKUP(O78,Dados[Ativo],Dados[Emissor])),"")</f>
        <v/>
      </c>
      <c r="J78" s="168" t="str">
        <f>IFERROR(IF(_xlfn.XLOOKUP(O78,Dados[Ativo],Dados[Vencimento])="","",_xlfn.XLOOKUP(O78,Dados[Ativo],Dados[Vencimento])),"")</f>
        <v/>
      </c>
      <c r="K78" t="str">
        <f>IFERROR(IF(_xlfn.XLOOKUP(O78,Dados[Ativo],Dados[Remuneração])="","",_xlfn.XLOOKUP(O78,Dados[Ativo],Dados[Remuneração])),"")</f>
        <v/>
      </c>
      <c r="L78" t="str">
        <f>IFERROR(IF(_xlfn.XLOOKUP(O78,Dados[Ativo],Dados[Complemento])="","",_xlfn.XLOOKUP(O78,Dados[Ativo],Dados[Complemento])),"")</f>
        <v/>
      </c>
      <c r="N78" t="str">
        <f>IFERROR(IF(_xlfn.XLOOKUP(O78,Dados[Ativo],Dados[Ticker do Ativo])="","",_xlfn.XLOOKUP(O78,Dados[Ativo],Dados[Ticker do Ativo])),"")</f>
        <v/>
      </c>
    </row>
    <row r="79" spans="3:14">
      <c r="C79" t="s">
        <v>233</v>
      </c>
      <c r="H79" t="str">
        <f>IFERROR(IF(_xlfn.XLOOKUP(O79,Dados[Ativo],Dados[Tipo do Ativo])="","",_xlfn.XLOOKUP(O79,Dados[Ativo],Dados[Tipo do Ativo])),"")</f>
        <v/>
      </c>
      <c r="I79" t="str">
        <f>IFERROR(IF(_xlfn.XLOOKUP(O79,Dados[Ativo],Dados[Emissor])="","",_xlfn.XLOOKUP(O79,Dados[Ativo],Dados[Emissor])),"")</f>
        <v/>
      </c>
      <c r="J79" s="168" t="str">
        <f>IFERROR(IF(_xlfn.XLOOKUP(O79,Dados[Ativo],Dados[Vencimento])="","",_xlfn.XLOOKUP(O79,Dados[Ativo],Dados[Vencimento])),"")</f>
        <v/>
      </c>
      <c r="K79" t="str">
        <f>IFERROR(IF(_xlfn.XLOOKUP(O79,Dados[Ativo],Dados[Remuneração])="","",_xlfn.XLOOKUP(O79,Dados[Ativo],Dados[Remuneração])),"")</f>
        <v/>
      </c>
      <c r="L79" t="str">
        <f>IFERROR(IF(_xlfn.XLOOKUP(O79,Dados[Ativo],Dados[Complemento])="","",_xlfn.XLOOKUP(O79,Dados[Ativo],Dados[Complemento])),"")</f>
        <v/>
      </c>
      <c r="N79" t="str">
        <f>IFERROR(IF(_xlfn.XLOOKUP(O79,Dados[Ativo],Dados[Ticker do Ativo])="","",_xlfn.XLOOKUP(O79,Dados[Ativo],Dados[Ticker do Ativo])),"")</f>
        <v/>
      </c>
    </row>
    <row r="80" spans="3:14">
      <c r="C80" t="s">
        <v>233</v>
      </c>
      <c r="H80" t="str">
        <f>IFERROR(IF(_xlfn.XLOOKUP(O80,Dados[Ativo],Dados[Tipo do Ativo])="","",_xlfn.XLOOKUP(O80,Dados[Ativo],Dados[Tipo do Ativo])),"")</f>
        <v/>
      </c>
      <c r="I80" t="str">
        <f>IFERROR(IF(_xlfn.XLOOKUP(O80,Dados[Ativo],Dados[Emissor])="","",_xlfn.XLOOKUP(O80,Dados[Ativo],Dados[Emissor])),"")</f>
        <v/>
      </c>
      <c r="J80" s="168" t="str">
        <f>IFERROR(IF(_xlfn.XLOOKUP(O80,Dados[Ativo],Dados[Vencimento])="","",_xlfn.XLOOKUP(O80,Dados[Ativo],Dados[Vencimento])),"")</f>
        <v/>
      </c>
      <c r="K80" t="str">
        <f>IFERROR(IF(_xlfn.XLOOKUP(O80,Dados[Ativo],Dados[Remuneração])="","",_xlfn.XLOOKUP(O80,Dados[Ativo],Dados[Remuneração])),"")</f>
        <v/>
      </c>
      <c r="L80" t="str">
        <f>IFERROR(IF(_xlfn.XLOOKUP(O80,Dados[Ativo],Dados[Complemento])="","",_xlfn.XLOOKUP(O80,Dados[Ativo],Dados[Complemento])),"")</f>
        <v/>
      </c>
      <c r="N80" t="str">
        <f>IFERROR(IF(_xlfn.XLOOKUP(O80,Dados[Ativo],Dados[Ticker do Ativo])="","",_xlfn.XLOOKUP(O80,Dados[Ativo],Dados[Ticker do Ativo])),"")</f>
        <v/>
      </c>
    </row>
    <row r="81" spans="3:14">
      <c r="C81" t="s">
        <v>233</v>
      </c>
      <c r="H81" t="str">
        <f>IFERROR(IF(_xlfn.XLOOKUP(O81,Dados[Ativo],Dados[Tipo do Ativo])="","",_xlfn.XLOOKUP(O81,Dados[Ativo],Dados[Tipo do Ativo])),"")</f>
        <v/>
      </c>
      <c r="I81" t="str">
        <f>IFERROR(IF(_xlfn.XLOOKUP(O81,Dados[Ativo],Dados[Emissor])="","",_xlfn.XLOOKUP(O81,Dados[Ativo],Dados[Emissor])),"")</f>
        <v/>
      </c>
      <c r="J81" s="168" t="str">
        <f>IFERROR(IF(_xlfn.XLOOKUP(O81,Dados[Ativo],Dados[Vencimento])="","",_xlfn.XLOOKUP(O81,Dados[Ativo],Dados[Vencimento])),"")</f>
        <v/>
      </c>
      <c r="K81" t="str">
        <f>IFERROR(IF(_xlfn.XLOOKUP(O81,Dados[Ativo],Dados[Remuneração])="","",_xlfn.XLOOKUP(O81,Dados[Ativo],Dados[Remuneração])),"")</f>
        <v/>
      </c>
      <c r="L81" t="str">
        <f>IFERROR(IF(_xlfn.XLOOKUP(O81,Dados[Ativo],Dados[Complemento])="","",_xlfn.XLOOKUP(O81,Dados[Ativo],Dados[Complemento])),"")</f>
        <v/>
      </c>
      <c r="N81" t="str">
        <f>IFERROR(IF(_xlfn.XLOOKUP(O81,Dados[Ativo],Dados[Ticker do Ativo])="","",_xlfn.XLOOKUP(O81,Dados[Ativo],Dados[Ticker do Ativo])),"")</f>
        <v/>
      </c>
    </row>
    <row r="82" spans="3:14">
      <c r="C82" t="s">
        <v>233</v>
      </c>
      <c r="H82" t="str">
        <f>IFERROR(IF(_xlfn.XLOOKUP(O82,Dados[Ativo],Dados[Tipo do Ativo])="","",_xlfn.XLOOKUP(O82,Dados[Ativo],Dados[Tipo do Ativo])),"")</f>
        <v/>
      </c>
      <c r="I82" t="str">
        <f>IFERROR(IF(_xlfn.XLOOKUP(O82,Dados[Ativo],Dados[Emissor])="","",_xlfn.XLOOKUP(O82,Dados[Ativo],Dados[Emissor])),"")</f>
        <v/>
      </c>
      <c r="J82" s="168" t="str">
        <f>IFERROR(IF(_xlfn.XLOOKUP(O82,Dados[Ativo],Dados[Vencimento])="","",_xlfn.XLOOKUP(O82,Dados[Ativo],Dados[Vencimento])),"")</f>
        <v/>
      </c>
      <c r="K82" t="str">
        <f>IFERROR(IF(_xlfn.XLOOKUP(O82,Dados[Ativo],Dados[Remuneração])="","",_xlfn.XLOOKUP(O82,Dados[Ativo],Dados[Remuneração])),"")</f>
        <v/>
      </c>
      <c r="L82" t="str">
        <f>IFERROR(IF(_xlfn.XLOOKUP(O82,Dados[Ativo],Dados[Complemento])="","",_xlfn.XLOOKUP(O82,Dados[Ativo],Dados[Complemento])),"")</f>
        <v/>
      </c>
      <c r="N82" t="str">
        <f>IFERROR(IF(_xlfn.XLOOKUP(O82,Dados[Ativo],Dados[Ticker do Ativo])="","",_xlfn.XLOOKUP(O82,Dados[Ativo],Dados[Ticker do Ativo])),"")</f>
        <v/>
      </c>
    </row>
    <row r="83" spans="3:14">
      <c r="C83" t="s">
        <v>233</v>
      </c>
      <c r="H83" t="str">
        <f>IFERROR(IF(_xlfn.XLOOKUP(O83,Dados[Ativo],Dados[Tipo do Ativo])="","",_xlfn.XLOOKUP(O83,Dados[Ativo],Dados[Tipo do Ativo])),"")</f>
        <v/>
      </c>
      <c r="I83" t="str">
        <f>IFERROR(IF(_xlfn.XLOOKUP(O83,Dados[Ativo],Dados[Emissor])="","",_xlfn.XLOOKUP(O83,Dados[Ativo],Dados[Emissor])),"")</f>
        <v/>
      </c>
      <c r="J83" s="168" t="str">
        <f>IFERROR(IF(_xlfn.XLOOKUP(O83,Dados[Ativo],Dados[Vencimento])="","",_xlfn.XLOOKUP(O83,Dados[Ativo],Dados[Vencimento])),"")</f>
        <v/>
      </c>
      <c r="K83" t="str">
        <f>IFERROR(IF(_xlfn.XLOOKUP(O83,Dados[Ativo],Dados[Remuneração])="","",_xlfn.XLOOKUP(O83,Dados[Ativo],Dados[Remuneração])),"")</f>
        <v/>
      </c>
      <c r="L83" t="str">
        <f>IFERROR(IF(_xlfn.XLOOKUP(O83,Dados[Ativo],Dados[Complemento])="","",_xlfn.XLOOKUP(O83,Dados[Ativo],Dados[Complemento])),"")</f>
        <v/>
      </c>
      <c r="N83" t="str">
        <f>IFERROR(IF(_xlfn.XLOOKUP(O83,Dados[Ativo],Dados[Ticker do Ativo])="","",_xlfn.XLOOKUP(O83,Dados[Ativo],Dados[Ticker do Ativo])),"")</f>
        <v/>
      </c>
    </row>
    <row r="84" spans="3:14">
      <c r="C84" t="s">
        <v>233</v>
      </c>
      <c r="H84" t="str">
        <f>IFERROR(IF(_xlfn.XLOOKUP(O84,Dados[Ativo],Dados[Tipo do Ativo])="","",_xlfn.XLOOKUP(O84,Dados[Ativo],Dados[Tipo do Ativo])),"")</f>
        <v/>
      </c>
      <c r="I84" t="str">
        <f>IFERROR(IF(_xlfn.XLOOKUP(O84,Dados[Ativo],Dados[Emissor])="","",_xlfn.XLOOKUP(O84,Dados[Ativo],Dados[Emissor])),"")</f>
        <v/>
      </c>
      <c r="J84" s="168" t="str">
        <f>IFERROR(IF(_xlfn.XLOOKUP(O84,Dados[Ativo],Dados[Vencimento])="","",_xlfn.XLOOKUP(O84,Dados[Ativo],Dados[Vencimento])),"")</f>
        <v/>
      </c>
      <c r="K84" t="str">
        <f>IFERROR(IF(_xlfn.XLOOKUP(O84,Dados[Ativo],Dados[Remuneração])="","",_xlfn.XLOOKUP(O84,Dados[Ativo],Dados[Remuneração])),"")</f>
        <v/>
      </c>
      <c r="L84" t="str">
        <f>IFERROR(IF(_xlfn.XLOOKUP(O84,Dados[Ativo],Dados[Complemento])="","",_xlfn.XLOOKUP(O84,Dados[Ativo],Dados[Complemento])),"")</f>
        <v/>
      </c>
      <c r="N84" t="str">
        <f>IFERROR(IF(_xlfn.XLOOKUP(O84,Dados[Ativo],Dados[Ticker do Ativo])="","",_xlfn.XLOOKUP(O84,Dados[Ativo],Dados[Ticker do Ativo])),"")</f>
        <v/>
      </c>
    </row>
    <row r="85" spans="3:14">
      <c r="C85" t="s">
        <v>233</v>
      </c>
      <c r="H85" t="str">
        <f>IFERROR(IF(_xlfn.XLOOKUP(O85,Dados[Ativo],Dados[Tipo do Ativo])="","",_xlfn.XLOOKUP(O85,Dados[Ativo],Dados[Tipo do Ativo])),"")</f>
        <v/>
      </c>
      <c r="I85" t="str">
        <f>IFERROR(IF(_xlfn.XLOOKUP(O85,Dados[Ativo],Dados[Emissor])="","",_xlfn.XLOOKUP(O85,Dados[Ativo],Dados[Emissor])),"")</f>
        <v/>
      </c>
      <c r="J85" s="168" t="str">
        <f>IFERROR(IF(_xlfn.XLOOKUP(O85,Dados[Ativo],Dados[Vencimento])="","",_xlfn.XLOOKUP(O85,Dados[Ativo],Dados[Vencimento])),"")</f>
        <v/>
      </c>
      <c r="K85" t="str">
        <f>IFERROR(IF(_xlfn.XLOOKUP(O85,Dados[Ativo],Dados[Remuneração])="","",_xlfn.XLOOKUP(O85,Dados[Ativo],Dados[Remuneração])),"")</f>
        <v/>
      </c>
      <c r="L85" t="str">
        <f>IFERROR(IF(_xlfn.XLOOKUP(O85,Dados[Ativo],Dados[Complemento])="","",_xlfn.XLOOKUP(O85,Dados[Ativo],Dados[Complemento])),"")</f>
        <v/>
      </c>
      <c r="N85" t="str">
        <f>IFERROR(IF(_xlfn.XLOOKUP(O85,Dados[Ativo],Dados[Ticker do Ativo])="","",_xlfn.XLOOKUP(O85,Dados[Ativo],Dados[Ticker do Ativo])),"")</f>
        <v/>
      </c>
    </row>
    <row r="86" spans="3:14">
      <c r="C86" t="s">
        <v>233</v>
      </c>
      <c r="H86" t="str">
        <f>IFERROR(IF(_xlfn.XLOOKUP(O86,Dados[Ativo],Dados[Tipo do Ativo])="","",_xlfn.XLOOKUP(O86,Dados[Ativo],Dados[Tipo do Ativo])),"")</f>
        <v/>
      </c>
      <c r="I86" t="str">
        <f>IFERROR(IF(_xlfn.XLOOKUP(O86,Dados[Ativo],Dados[Emissor])="","",_xlfn.XLOOKUP(O86,Dados[Ativo],Dados[Emissor])),"")</f>
        <v/>
      </c>
      <c r="J86" s="168" t="str">
        <f>IFERROR(IF(_xlfn.XLOOKUP(O86,Dados[Ativo],Dados[Vencimento])="","",_xlfn.XLOOKUP(O86,Dados[Ativo],Dados[Vencimento])),"")</f>
        <v/>
      </c>
      <c r="K86" t="str">
        <f>IFERROR(IF(_xlfn.XLOOKUP(O86,Dados[Ativo],Dados[Remuneração])="","",_xlfn.XLOOKUP(O86,Dados[Ativo],Dados[Remuneração])),"")</f>
        <v/>
      </c>
      <c r="L86" t="str">
        <f>IFERROR(IF(_xlfn.XLOOKUP(O86,Dados[Ativo],Dados[Complemento])="","",_xlfn.XLOOKUP(O86,Dados[Ativo],Dados[Complemento])),"")</f>
        <v/>
      </c>
      <c r="N86" t="str">
        <f>IFERROR(IF(_xlfn.XLOOKUP(O86,Dados[Ativo],Dados[Ticker do Ativo])="","",_xlfn.XLOOKUP(O86,Dados[Ativo],Dados[Ticker do Ativo])),"")</f>
        <v/>
      </c>
    </row>
    <row r="87" spans="3:14">
      <c r="C87" t="s">
        <v>233</v>
      </c>
      <c r="H87" t="str">
        <f>IFERROR(IF(_xlfn.XLOOKUP(O87,Dados[Ativo],Dados[Tipo do Ativo])="","",_xlfn.XLOOKUP(O87,Dados[Ativo],Dados[Tipo do Ativo])),"")</f>
        <v/>
      </c>
      <c r="I87" t="str">
        <f>IFERROR(IF(_xlfn.XLOOKUP(O87,Dados[Ativo],Dados[Emissor])="","",_xlfn.XLOOKUP(O87,Dados[Ativo],Dados[Emissor])),"")</f>
        <v/>
      </c>
      <c r="J87" s="168" t="str">
        <f>IFERROR(IF(_xlfn.XLOOKUP(O87,Dados[Ativo],Dados[Vencimento])="","",_xlfn.XLOOKUP(O87,Dados[Ativo],Dados[Vencimento])),"")</f>
        <v/>
      </c>
      <c r="K87" t="str">
        <f>IFERROR(IF(_xlfn.XLOOKUP(O87,Dados[Ativo],Dados[Remuneração])="","",_xlfn.XLOOKUP(O87,Dados[Ativo],Dados[Remuneração])),"")</f>
        <v/>
      </c>
      <c r="L87" t="str">
        <f>IFERROR(IF(_xlfn.XLOOKUP(O87,Dados[Ativo],Dados[Complemento])="","",_xlfn.XLOOKUP(O87,Dados[Ativo],Dados[Complemento])),"")</f>
        <v/>
      </c>
      <c r="N87" t="str">
        <f>IFERROR(IF(_xlfn.XLOOKUP(O87,Dados[Ativo],Dados[Ticker do Ativo])="","",_xlfn.XLOOKUP(O87,Dados[Ativo],Dados[Ticker do Ativo])),"")</f>
        <v/>
      </c>
    </row>
    <row r="88" spans="3:14">
      <c r="C88" t="s">
        <v>233</v>
      </c>
      <c r="H88" t="str">
        <f>IFERROR(IF(_xlfn.XLOOKUP(O88,Dados[Ativo],Dados[Tipo do Ativo])="","",_xlfn.XLOOKUP(O88,Dados[Ativo],Dados[Tipo do Ativo])),"")</f>
        <v/>
      </c>
      <c r="I88" t="str">
        <f>IFERROR(IF(_xlfn.XLOOKUP(O88,Dados[Ativo],Dados[Emissor])="","",_xlfn.XLOOKUP(O88,Dados[Ativo],Dados[Emissor])),"")</f>
        <v/>
      </c>
      <c r="J88" s="168" t="str">
        <f>IFERROR(IF(_xlfn.XLOOKUP(O88,Dados[Ativo],Dados[Vencimento])="","",_xlfn.XLOOKUP(O88,Dados[Ativo],Dados[Vencimento])),"")</f>
        <v/>
      </c>
      <c r="K88" t="str">
        <f>IFERROR(IF(_xlfn.XLOOKUP(O88,Dados[Ativo],Dados[Remuneração])="","",_xlfn.XLOOKUP(O88,Dados[Ativo],Dados[Remuneração])),"")</f>
        <v/>
      </c>
      <c r="L88" t="str">
        <f>IFERROR(IF(_xlfn.XLOOKUP(O88,Dados[Ativo],Dados[Complemento])="","",_xlfn.XLOOKUP(O88,Dados[Ativo],Dados[Complemento])),"")</f>
        <v/>
      </c>
      <c r="N88" t="str">
        <f>IFERROR(IF(_xlfn.XLOOKUP(O88,Dados[Ativo],Dados[Ticker do Ativo])="","",_xlfn.XLOOKUP(O88,Dados[Ativo],Dados[Ticker do Ativo])),"")</f>
        <v/>
      </c>
    </row>
    <row r="89" spans="3:14">
      <c r="C89" t="s">
        <v>233</v>
      </c>
      <c r="H89" t="str">
        <f>IFERROR(IF(_xlfn.XLOOKUP(O89,Dados[Ativo],Dados[Tipo do Ativo])="","",_xlfn.XLOOKUP(O89,Dados[Ativo],Dados[Tipo do Ativo])),"")</f>
        <v/>
      </c>
      <c r="I89" t="str">
        <f>IFERROR(IF(_xlfn.XLOOKUP(O89,Dados[Ativo],Dados[Emissor])="","",_xlfn.XLOOKUP(O89,Dados[Ativo],Dados[Emissor])),"")</f>
        <v/>
      </c>
      <c r="J89" s="168" t="str">
        <f>IFERROR(IF(_xlfn.XLOOKUP(O89,Dados[Ativo],Dados[Vencimento])="","",_xlfn.XLOOKUP(O89,Dados[Ativo],Dados[Vencimento])),"")</f>
        <v/>
      </c>
      <c r="K89" t="str">
        <f>IFERROR(IF(_xlfn.XLOOKUP(O89,Dados[Ativo],Dados[Remuneração])="","",_xlfn.XLOOKUP(O89,Dados[Ativo],Dados[Remuneração])),"")</f>
        <v/>
      </c>
      <c r="L89" t="str">
        <f>IFERROR(IF(_xlfn.XLOOKUP(O89,Dados[Ativo],Dados[Complemento])="","",_xlfn.XLOOKUP(O89,Dados[Ativo],Dados[Complemento])),"")</f>
        <v/>
      </c>
      <c r="N89" t="str">
        <f>IFERROR(IF(_xlfn.XLOOKUP(O89,Dados[Ativo],Dados[Ticker do Ativo])="","",_xlfn.XLOOKUP(O89,Dados[Ativo],Dados[Ticker do Ativo])),"")</f>
        <v/>
      </c>
    </row>
    <row r="90" spans="3:14">
      <c r="C90" t="s">
        <v>233</v>
      </c>
      <c r="H90" t="str">
        <f>IFERROR(IF(_xlfn.XLOOKUP(O90,Dados[Ativo],Dados[Tipo do Ativo])="","",_xlfn.XLOOKUP(O90,Dados[Ativo],Dados[Tipo do Ativo])),"")</f>
        <v/>
      </c>
      <c r="I90" t="str">
        <f>IFERROR(IF(_xlfn.XLOOKUP(O90,Dados[Ativo],Dados[Emissor])="","",_xlfn.XLOOKUP(O90,Dados[Ativo],Dados[Emissor])),"")</f>
        <v/>
      </c>
      <c r="J90" s="168" t="str">
        <f>IFERROR(IF(_xlfn.XLOOKUP(O90,Dados[Ativo],Dados[Vencimento])="","",_xlfn.XLOOKUP(O90,Dados[Ativo],Dados[Vencimento])),"")</f>
        <v/>
      </c>
      <c r="K90" t="str">
        <f>IFERROR(IF(_xlfn.XLOOKUP(O90,Dados[Ativo],Dados[Remuneração])="","",_xlfn.XLOOKUP(O90,Dados[Ativo],Dados[Remuneração])),"")</f>
        <v/>
      </c>
      <c r="L90" t="str">
        <f>IFERROR(IF(_xlfn.XLOOKUP(O90,Dados[Ativo],Dados[Complemento])="","",_xlfn.XLOOKUP(O90,Dados[Ativo],Dados[Complemento])),"")</f>
        <v/>
      </c>
      <c r="N90" t="str">
        <f>IFERROR(IF(_xlfn.XLOOKUP(O90,Dados[Ativo],Dados[Ticker do Ativo])="","",_xlfn.XLOOKUP(O90,Dados[Ativo],Dados[Ticker do Ativo])),"")</f>
        <v/>
      </c>
    </row>
    <row r="91" spans="3:14">
      <c r="C91" t="s">
        <v>233</v>
      </c>
      <c r="H91" t="str">
        <f>IFERROR(IF(_xlfn.XLOOKUP(O91,Dados[Ativo],Dados[Tipo do Ativo])="","",_xlfn.XLOOKUP(O91,Dados[Ativo],Dados[Tipo do Ativo])),"")</f>
        <v/>
      </c>
      <c r="I91" t="str">
        <f>IFERROR(IF(_xlfn.XLOOKUP(O91,Dados[Ativo],Dados[Emissor])="","",_xlfn.XLOOKUP(O91,Dados[Ativo],Dados[Emissor])),"")</f>
        <v/>
      </c>
      <c r="J91" s="168" t="str">
        <f>IFERROR(IF(_xlfn.XLOOKUP(O91,Dados[Ativo],Dados[Vencimento])="","",_xlfn.XLOOKUP(O91,Dados[Ativo],Dados[Vencimento])),"")</f>
        <v/>
      </c>
      <c r="K91" t="str">
        <f>IFERROR(IF(_xlfn.XLOOKUP(O91,Dados[Ativo],Dados[Remuneração])="","",_xlfn.XLOOKUP(O91,Dados[Ativo],Dados[Remuneração])),"")</f>
        <v/>
      </c>
      <c r="L91" t="str">
        <f>IFERROR(IF(_xlfn.XLOOKUP(O91,Dados[Ativo],Dados[Complemento])="","",_xlfn.XLOOKUP(O91,Dados[Ativo],Dados[Complemento])),"")</f>
        <v/>
      </c>
      <c r="N91" t="str">
        <f>IFERROR(IF(_xlfn.XLOOKUP(O91,Dados[Ativo],Dados[Ticker do Ativo])="","",_xlfn.XLOOKUP(O91,Dados[Ativo],Dados[Ticker do Ativo])),"")</f>
        <v/>
      </c>
    </row>
    <row r="92" spans="3:14">
      <c r="C92" t="s">
        <v>233</v>
      </c>
      <c r="H92" t="str">
        <f>IFERROR(IF(_xlfn.XLOOKUP(O92,Dados[Ativo],Dados[Tipo do Ativo])="","",_xlfn.XLOOKUP(O92,Dados[Ativo],Dados[Tipo do Ativo])),"")</f>
        <v/>
      </c>
      <c r="I92" t="str">
        <f>IFERROR(IF(_xlfn.XLOOKUP(O92,Dados[Ativo],Dados[Emissor])="","",_xlfn.XLOOKUP(O92,Dados[Ativo],Dados[Emissor])),"")</f>
        <v/>
      </c>
      <c r="J92" s="168" t="str">
        <f>IFERROR(IF(_xlfn.XLOOKUP(O92,Dados[Ativo],Dados[Vencimento])="","",_xlfn.XLOOKUP(O92,Dados[Ativo],Dados[Vencimento])),"")</f>
        <v/>
      </c>
      <c r="K92" t="str">
        <f>IFERROR(IF(_xlfn.XLOOKUP(O92,Dados[Ativo],Dados[Remuneração])="","",_xlfn.XLOOKUP(O92,Dados[Ativo],Dados[Remuneração])),"")</f>
        <v/>
      </c>
      <c r="L92" t="str">
        <f>IFERROR(IF(_xlfn.XLOOKUP(O92,Dados[Ativo],Dados[Complemento])="","",_xlfn.XLOOKUP(O92,Dados[Ativo],Dados[Complemento])),"")</f>
        <v/>
      </c>
      <c r="N92" t="str">
        <f>IFERROR(IF(_xlfn.XLOOKUP(O92,Dados[Ativo],Dados[Ticker do Ativo])="","",_xlfn.XLOOKUP(O92,Dados[Ativo],Dados[Ticker do Ativo])),"")</f>
        <v/>
      </c>
    </row>
    <row r="93" spans="3:14">
      <c r="C93" t="s">
        <v>233</v>
      </c>
      <c r="H93" t="str">
        <f>IFERROR(IF(_xlfn.XLOOKUP(O93,Dados[Ativo],Dados[Tipo do Ativo])="","",_xlfn.XLOOKUP(O93,Dados[Ativo],Dados[Tipo do Ativo])),"")</f>
        <v/>
      </c>
      <c r="I93" t="str">
        <f>IFERROR(IF(_xlfn.XLOOKUP(O93,Dados[Ativo],Dados[Emissor])="","",_xlfn.XLOOKUP(O93,Dados[Ativo],Dados[Emissor])),"")</f>
        <v/>
      </c>
      <c r="J93" s="168" t="str">
        <f>IFERROR(IF(_xlfn.XLOOKUP(O93,Dados[Ativo],Dados[Vencimento])="","",_xlfn.XLOOKUP(O93,Dados[Ativo],Dados[Vencimento])),"")</f>
        <v/>
      </c>
      <c r="K93" t="str">
        <f>IFERROR(IF(_xlfn.XLOOKUP(O93,Dados[Ativo],Dados[Remuneração])="","",_xlfn.XLOOKUP(O93,Dados[Ativo],Dados[Remuneração])),"")</f>
        <v/>
      </c>
      <c r="L93" t="str">
        <f>IFERROR(IF(_xlfn.XLOOKUP(O93,Dados[Ativo],Dados[Complemento])="","",_xlfn.XLOOKUP(O93,Dados[Ativo],Dados[Complemento])),"")</f>
        <v/>
      </c>
      <c r="N93" t="str">
        <f>IFERROR(IF(_xlfn.XLOOKUP(O93,Dados[Ativo],Dados[Ticker do Ativo])="","",_xlfn.XLOOKUP(O93,Dados[Ativo],Dados[Ticker do Ativo])),"")</f>
        <v/>
      </c>
    </row>
    <row r="94" spans="3:14">
      <c r="C94" t="s">
        <v>233</v>
      </c>
      <c r="H94" t="str">
        <f>IFERROR(IF(_xlfn.XLOOKUP(O94,Dados[Ativo],Dados[Tipo do Ativo])="","",_xlfn.XLOOKUP(O94,Dados[Ativo],Dados[Tipo do Ativo])),"")</f>
        <v/>
      </c>
      <c r="I94" t="str">
        <f>IFERROR(IF(_xlfn.XLOOKUP(O94,Dados[Ativo],Dados[Emissor])="","",_xlfn.XLOOKUP(O94,Dados[Ativo],Dados[Emissor])),"")</f>
        <v/>
      </c>
      <c r="J94" s="168" t="str">
        <f>IFERROR(IF(_xlfn.XLOOKUP(O94,Dados[Ativo],Dados[Vencimento])="","",_xlfn.XLOOKUP(O94,Dados[Ativo],Dados[Vencimento])),"")</f>
        <v/>
      </c>
      <c r="K94" t="str">
        <f>IFERROR(IF(_xlfn.XLOOKUP(O94,Dados[Ativo],Dados[Remuneração])="","",_xlfn.XLOOKUP(O94,Dados[Ativo],Dados[Remuneração])),"")</f>
        <v/>
      </c>
      <c r="L94" t="str">
        <f>IFERROR(IF(_xlfn.XLOOKUP(O94,Dados[Ativo],Dados[Complemento])="","",_xlfn.XLOOKUP(O94,Dados[Ativo],Dados[Complemento])),"")</f>
        <v/>
      </c>
      <c r="N94" t="str">
        <f>IFERROR(IF(_xlfn.XLOOKUP(O94,Dados[Ativo],Dados[Ticker do Ativo])="","",_xlfn.XLOOKUP(O94,Dados[Ativo],Dados[Ticker do Ativo])),"")</f>
        <v/>
      </c>
    </row>
    <row r="95" spans="3:14">
      <c r="C95" t="s">
        <v>233</v>
      </c>
      <c r="H95" t="str">
        <f>IFERROR(IF(_xlfn.XLOOKUP(O95,Dados[Ativo],Dados[Tipo do Ativo])="","",_xlfn.XLOOKUP(O95,Dados[Ativo],Dados[Tipo do Ativo])),"")</f>
        <v/>
      </c>
      <c r="I95" t="str">
        <f>IFERROR(IF(_xlfn.XLOOKUP(O95,Dados[Ativo],Dados[Emissor])="","",_xlfn.XLOOKUP(O95,Dados[Ativo],Dados[Emissor])),"")</f>
        <v/>
      </c>
      <c r="J95" s="168" t="str">
        <f>IFERROR(IF(_xlfn.XLOOKUP(O95,Dados[Ativo],Dados[Vencimento])="","",_xlfn.XLOOKUP(O95,Dados[Ativo],Dados[Vencimento])),"")</f>
        <v/>
      </c>
      <c r="K95" t="str">
        <f>IFERROR(IF(_xlfn.XLOOKUP(O95,Dados[Ativo],Dados[Remuneração])="","",_xlfn.XLOOKUP(O95,Dados[Ativo],Dados[Remuneração])),"")</f>
        <v/>
      </c>
      <c r="L95" t="str">
        <f>IFERROR(IF(_xlfn.XLOOKUP(O95,Dados[Ativo],Dados[Complemento])="","",_xlfn.XLOOKUP(O95,Dados[Ativo],Dados[Complemento])),"")</f>
        <v/>
      </c>
      <c r="N95" t="str">
        <f>IFERROR(IF(_xlfn.XLOOKUP(O95,Dados[Ativo],Dados[Ticker do Ativo])="","",_xlfn.XLOOKUP(O95,Dados[Ativo],Dados[Ticker do Ativo])),"")</f>
        <v/>
      </c>
    </row>
    <row r="96" spans="3:14">
      <c r="C96" t="s">
        <v>233</v>
      </c>
      <c r="H96" t="str">
        <f>IFERROR(IF(_xlfn.XLOOKUP(O96,Dados[Ativo],Dados[Tipo do Ativo])="","",_xlfn.XLOOKUP(O96,Dados[Ativo],Dados[Tipo do Ativo])),"")</f>
        <v/>
      </c>
      <c r="I96" t="str">
        <f>IFERROR(IF(_xlfn.XLOOKUP(O96,Dados[Ativo],Dados[Emissor])="","",_xlfn.XLOOKUP(O96,Dados[Ativo],Dados[Emissor])),"")</f>
        <v/>
      </c>
      <c r="J96" s="168" t="str">
        <f>IFERROR(IF(_xlfn.XLOOKUP(O96,Dados[Ativo],Dados[Vencimento])="","",_xlfn.XLOOKUP(O96,Dados[Ativo],Dados[Vencimento])),"")</f>
        <v/>
      </c>
      <c r="K96" t="str">
        <f>IFERROR(IF(_xlfn.XLOOKUP(O96,Dados[Ativo],Dados[Remuneração])="","",_xlfn.XLOOKUP(O96,Dados[Ativo],Dados[Remuneração])),"")</f>
        <v/>
      </c>
      <c r="L96" t="str">
        <f>IFERROR(IF(_xlfn.XLOOKUP(O96,Dados[Ativo],Dados[Complemento])="","",_xlfn.XLOOKUP(O96,Dados[Ativo],Dados[Complemento])),"")</f>
        <v/>
      </c>
      <c r="N96" t="str">
        <f>IFERROR(IF(_xlfn.XLOOKUP(O96,Dados[Ativo],Dados[Ticker do Ativo])="","",_xlfn.XLOOKUP(O96,Dados[Ativo],Dados[Ticker do Ativo])),"")</f>
        <v/>
      </c>
    </row>
    <row r="97" spans="3:14">
      <c r="C97" t="s">
        <v>233</v>
      </c>
      <c r="H97" t="str">
        <f>IFERROR(IF(_xlfn.XLOOKUP(O97,Dados[Ativo],Dados[Tipo do Ativo])="","",_xlfn.XLOOKUP(O97,Dados[Ativo],Dados[Tipo do Ativo])),"")</f>
        <v/>
      </c>
      <c r="I97" t="str">
        <f>IFERROR(IF(_xlfn.XLOOKUP(O97,Dados[Ativo],Dados[Emissor])="","",_xlfn.XLOOKUP(O97,Dados[Ativo],Dados[Emissor])),"")</f>
        <v/>
      </c>
      <c r="J97" s="168" t="str">
        <f>IFERROR(IF(_xlfn.XLOOKUP(O97,Dados[Ativo],Dados[Vencimento])="","",_xlfn.XLOOKUP(O97,Dados[Ativo],Dados[Vencimento])),"")</f>
        <v/>
      </c>
      <c r="K97" t="str">
        <f>IFERROR(IF(_xlfn.XLOOKUP(O97,Dados[Ativo],Dados[Remuneração])="","",_xlfn.XLOOKUP(O97,Dados[Ativo],Dados[Remuneração])),"")</f>
        <v/>
      </c>
      <c r="L97" t="str">
        <f>IFERROR(IF(_xlfn.XLOOKUP(O97,Dados[Ativo],Dados[Complemento])="","",_xlfn.XLOOKUP(O97,Dados[Ativo],Dados[Complemento])),"")</f>
        <v/>
      </c>
      <c r="N97" t="str">
        <f>IFERROR(IF(_xlfn.XLOOKUP(O97,Dados[Ativo],Dados[Ticker do Ativo])="","",_xlfn.XLOOKUP(O97,Dados[Ativo],Dados[Ticker do Ativo])),"")</f>
        <v/>
      </c>
    </row>
    <row r="98" spans="3:14">
      <c r="C98" t="s">
        <v>233</v>
      </c>
      <c r="H98" t="str">
        <f>IFERROR(IF(_xlfn.XLOOKUP(O98,Dados[Ativo],Dados[Tipo do Ativo])="","",_xlfn.XLOOKUP(O98,Dados[Ativo],Dados[Tipo do Ativo])),"")</f>
        <v/>
      </c>
      <c r="I98" t="str">
        <f>IFERROR(IF(_xlfn.XLOOKUP(O98,Dados[Ativo],Dados[Emissor])="","",_xlfn.XLOOKUP(O98,Dados[Ativo],Dados[Emissor])),"")</f>
        <v/>
      </c>
      <c r="J98" s="168" t="str">
        <f>IFERROR(IF(_xlfn.XLOOKUP(O98,Dados[Ativo],Dados[Vencimento])="","",_xlfn.XLOOKUP(O98,Dados[Ativo],Dados[Vencimento])),"")</f>
        <v/>
      </c>
      <c r="K98" t="str">
        <f>IFERROR(IF(_xlfn.XLOOKUP(O98,Dados[Ativo],Dados[Remuneração])="","",_xlfn.XLOOKUP(O98,Dados[Ativo],Dados[Remuneração])),"")</f>
        <v/>
      </c>
      <c r="L98" t="str">
        <f>IFERROR(IF(_xlfn.XLOOKUP(O98,Dados[Ativo],Dados[Complemento])="","",_xlfn.XLOOKUP(O98,Dados[Ativo],Dados[Complemento])),"")</f>
        <v/>
      </c>
      <c r="N98" t="str">
        <f>IFERROR(IF(_xlfn.XLOOKUP(O98,Dados[Ativo],Dados[Ticker do Ativo])="","",_xlfn.XLOOKUP(O98,Dados[Ativo],Dados[Ticker do Ativo])),"")</f>
        <v/>
      </c>
    </row>
    <row r="99" spans="3:14">
      <c r="C99" t="s">
        <v>233</v>
      </c>
      <c r="H99" t="str">
        <f>IFERROR(IF(_xlfn.XLOOKUP(O99,Dados[Ativo],Dados[Tipo do Ativo])="","",_xlfn.XLOOKUP(O99,Dados[Ativo],Dados[Tipo do Ativo])),"")</f>
        <v/>
      </c>
      <c r="I99" t="str">
        <f>IFERROR(IF(_xlfn.XLOOKUP(O99,Dados[Ativo],Dados[Emissor])="","",_xlfn.XLOOKUP(O99,Dados[Ativo],Dados[Emissor])),"")</f>
        <v/>
      </c>
      <c r="J99" s="168" t="str">
        <f>IFERROR(IF(_xlfn.XLOOKUP(O99,Dados[Ativo],Dados[Vencimento])="","",_xlfn.XLOOKUP(O99,Dados[Ativo],Dados[Vencimento])),"")</f>
        <v/>
      </c>
      <c r="K99" t="str">
        <f>IFERROR(IF(_xlfn.XLOOKUP(O99,Dados[Ativo],Dados[Remuneração])="","",_xlfn.XLOOKUP(O99,Dados[Ativo],Dados[Remuneração])),"")</f>
        <v/>
      </c>
      <c r="L99" t="str">
        <f>IFERROR(IF(_xlfn.XLOOKUP(O99,Dados[Ativo],Dados[Complemento])="","",_xlfn.XLOOKUP(O99,Dados[Ativo],Dados[Complemento])),"")</f>
        <v/>
      </c>
      <c r="N99" t="str">
        <f>IFERROR(IF(_xlfn.XLOOKUP(O99,Dados[Ativo],Dados[Ticker do Ativo])="","",_xlfn.XLOOKUP(O99,Dados[Ativo],Dados[Ticker do Ativo])),"")</f>
        <v/>
      </c>
    </row>
    <row r="100" spans="3:14">
      <c r="C100" t="s">
        <v>233</v>
      </c>
      <c r="H100" t="str">
        <f>IFERROR(IF(_xlfn.XLOOKUP(O100,Dados[Ativo],Dados[Tipo do Ativo])="","",_xlfn.XLOOKUP(O100,Dados[Ativo],Dados[Tipo do Ativo])),"")</f>
        <v/>
      </c>
      <c r="I100" t="str">
        <f>IFERROR(IF(_xlfn.XLOOKUP(O100,Dados[Ativo],Dados[Emissor])="","",_xlfn.XLOOKUP(O100,Dados[Ativo],Dados[Emissor])),"")</f>
        <v/>
      </c>
      <c r="J100" s="168" t="str">
        <f>IFERROR(IF(_xlfn.XLOOKUP(O100,Dados[Ativo],Dados[Vencimento])="","",_xlfn.XLOOKUP(O100,Dados[Ativo],Dados[Vencimento])),"")</f>
        <v/>
      </c>
      <c r="K100" t="str">
        <f>IFERROR(IF(_xlfn.XLOOKUP(O100,Dados[Ativo],Dados[Remuneração])="","",_xlfn.XLOOKUP(O100,Dados[Ativo],Dados[Remuneração])),"")</f>
        <v/>
      </c>
      <c r="L100" t="str">
        <f>IFERROR(IF(_xlfn.XLOOKUP(O100,Dados[Ativo],Dados[Complemento])="","",_xlfn.XLOOKUP(O100,Dados[Ativo],Dados[Complemento])),"")</f>
        <v/>
      </c>
      <c r="N100" t="str">
        <f>IFERROR(IF(_xlfn.XLOOKUP(O100,Dados[Ativo],Dados[Ticker do Ativo])="","",_xlfn.XLOOKUP(O100,Dados[Ativo],Dados[Ticker do Ativo])),"")</f>
        <v/>
      </c>
    </row>
    <row r="101" spans="3:14">
      <c r="C101" t="s">
        <v>233</v>
      </c>
      <c r="H101" t="str">
        <f>IFERROR(IF(_xlfn.XLOOKUP(O101,Dados[Ativo],Dados[Tipo do Ativo])="","",_xlfn.XLOOKUP(O101,Dados[Ativo],Dados[Tipo do Ativo])),"")</f>
        <v/>
      </c>
      <c r="I101" t="str">
        <f>IFERROR(IF(_xlfn.XLOOKUP(O101,Dados[Ativo],Dados[Emissor])="","",_xlfn.XLOOKUP(O101,Dados[Ativo],Dados[Emissor])),"")</f>
        <v/>
      </c>
      <c r="J101" s="168" t="str">
        <f>IFERROR(IF(_xlfn.XLOOKUP(O101,Dados[Ativo],Dados[Vencimento])="","",_xlfn.XLOOKUP(O101,Dados[Ativo],Dados[Vencimento])),"")</f>
        <v/>
      </c>
      <c r="K101" t="str">
        <f>IFERROR(IF(_xlfn.XLOOKUP(O101,Dados[Ativo],Dados[Remuneração])="","",_xlfn.XLOOKUP(O101,Dados[Ativo],Dados[Remuneração])),"")</f>
        <v/>
      </c>
      <c r="L101" t="str">
        <f>IFERROR(IF(_xlfn.XLOOKUP(O101,Dados[Ativo],Dados[Complemento])="","",_xlfn.XLOOKUP(O101,Dados[Ativo],Dados[Complemento])),"")</f>
        <v/>
      </c>
      <c r="N101" t="str">
        <f>IFERROR(IF(_xlfn.XLOOKUP(O101,Dados[Ativo],Dados[Ticker do Ativo])="","",_xlfn.XLOOKUP(O101,Dados[Ativo],Dados[Ticker do Ativo])),"")</f>
        <v/>
      </c>
    </row>
    <row r="102" spans="3:14">
      <c r="C102" t="s">
        <v>233</v>
      </c>
      <c r="H102" t="str">
        <f>IFERROR(IF(_xlfn.XLOOKUP(O102,Dados[Ativo],Dados[Tipo do Ativo])="","",_xlfn.XLOOKUP(O102,Dados[Ativo],Dados[Tipo do Ativo])),"")</f>
        <v/>
      </c>
      <c r="I102" t="str">
        <f>IFERROR(IF(_xlfn.XLOOKUP(O102,Dados[Ativo],Dados[Emissor])="","",_xlfn.XLOOKUP(O102,Dados[Ativo],Dados[Emissor])),"")</f>
        <v/>
      </c>
      <c r="J102" s="168" t="str">
        <f>IFERROR(IF(_xlfn.XLOOKUP(O102,Dados[Ativo],Dados[Vencimento])="","",_xlfn.XLOOKUP(O102,Dados[Ativo],Dados[Vencimento])),"")</f>
        <v/>
      </c>
      <c r="K102" t="str">
        <f>IFERROR(IF(_xlfn.XLOOKUP(O102,Dados[Ativo],Dados[Remuneração])="","",_xlfn.XLOOKUP(O102,Dados[Ativo],Dados[Remuneração])),"")</f>
        <v/>
      </c>
      <c r="L102" t="str">
        <f>IFERROR(IF(_xlfn.XLOOKUP(O102,Dados[Ativo],Dados[Complemento])="","",_xlfn.XLOOKUP(O102,Dados[Ativo],Dados[Complemento])),"")</f>
        <v/>
      </c>
      <c r="N102" t="str">
        <f>IFERROR(IF(_xlfn.XLOOKUP(O102,Dados[Ativo],Dados[Ticker do Ativo])="","",_xlfn.XLOOKUP(O102,Dados[Ativo],Dados[Ticker do Ativo])),"")</f>
        <v/>
      </c>
    </row>
    <row r="103" spans="3:14">
      <c r="C103" t="s">
        <v>233</v>
      </c>
      <c r="H103" t="str">
        <f>IFERROR(IF(_xlfn.XLOOKUP(O103,Dados[Ativo],Dados[Tipo do Ativo])="","",_xlfn.XLOOKUP(O103,Dados[Ativo],Dados[Tipo do Ativo])),"")</f>
        <v/>
      </c>
      <c r="I103" t="str">
        <f>IFERROR(IF(_xlfn.XLOOKUP(O103,Dados[Ativo],Dados[Emissor])="","",_xlfn.XLOOKUP(O103,Dados[Ativo],Dados[Emissor])),"")</f>
        <v/>
      </c>
      <c r="J103" s="168" t="str">
        <f>IFERROR(IF(_xlfn.XLOOKUP(O103,Dados[Ativo],Dados[Vencimento])="","",_xlfn.XLOOKUP(O103,Dados[Ativo],Dados[Vencimento])),"")</f>
        <v/>
      </c>
      <c r="K103" t="str">
        <f>IFERROR(IF(_xlfn.XLOOKUP(O103,Dados[Ativo],Dados[Remuneração])="","",_xlfn.XLOOKUP(O103,Dados[Ativo],Dados[Remuneração])),"")</f>
        <v/>
      </c>
      <c r="L103" t="str">
        <f>IFERROR(IF(_xlfn.XLOOKUP(O103,Dados[Ativo],Dados[Complemento])="","",_xlfn.XLOOKUP(O103,Dados[Ativo],Dados[Complemento])),"")</f>
        <v/>
      </c>
      <c r="N103" t="str">
        <f>IFERROR(IF(_xlfn.XLOOKUP(O103,Dados[Ativo],Dados[Ticker do Ativo])="","",_xlfn.XLOOKUP(O103,Dados[Ativo],Dados[Ticker do Ativo])),"")</f>
        <v/>
      </c>
    </row>
    <row r="104" spans="3:14">
      <c r="C104" t="s">
        <v>233</v>
      </c>
      <c r="H104" t="str">
        <f>IFERROR(IF(_xlfn.XLOOKUP(O104,Dados[Ativo],Dados[Tipo do Ativo])="","",_xlfn.XLOOKUP(O104,Dados[Ativo],Dados[Tipo do Ativo])),"")</f>
        <v/>
      </c>
      <c r="I104" t="str">
        <f>IFERROR(IF(_xlfn.XLOOKUP(O104,Dados[Ativo],Dados[Emissor])="","",_xlfn.XLOOKUP(O104,Dados[Ativo],Dados[Emissor])),"")</f>
        <v/>
      </c>
      <c r="J104" s="168" t="str">
        <f>IFERROR(IF(_xlfn.XLOOKUP(O104,Dados[Ativo],Dados[Vencimento])="","",_xlfn.XLOOKUP(O104,Dados[Ativo],Dados[Vencimento])),"")</f>
        <v/>
      </c>
      <c r="K104" t="str">
        <f>IFERROR(IF(_xlfn.XLOOKUP(O104,Dados[Ativo],Dados[Remuneração])="","",_xlfn.XLOOKUP(O104,Dados[Ativo],Dados[Remuneração])),"")</f>
        <v/>
      </c>
      <c r="L104" t="str">
        <f>IFERROR(IF(_xlfn.XLOOKUP(O104,Dados[Ativo],Dados[Complemento])="","",_xlfn.XLOOKUP(O104,Dados[Ativo],Dados[Complemento])),"")</f>
        <v/>
      </c>
      <c r="N104" t="str">
        <f>IFERROR(IF(_xlfn.XLOOKUP(O104,Dados[Ativo],Dados[Ticker do Ativo])="","",_xlfn.XLOOKUP(O104,Dados[Ativo],Dados[Ticker do Ativo])),"")</f>
        <v/>
      </c>
    </row>
    <row r="105" spans="3:14">
      <c r="C105" t="s">
        <v>233</v>
      </c>
      <c r="H105" t="str">
        <f>IFERROR(IF(_xlfn.XLOOKUP(O105,Dados[Ativo],Dados[Tipo do Ativo])="","",_xlfn.XLOOKUP(O105,Dados[Ativo],Dados[Tipo do Ativo])),"")</f>
        <v/>
      </c>
      <c r="I105" t="str">
        <f>IFERROR(IF(_xlfn.XLOOKUP(O105,Dados[Ativo],Dados[Emissor])="","",_xlfn.XLOOKUP(O105,Dados[Ativo],Dados[Emissor])),"")</f>
        <v/>
      </c>
      <c r="J105" s="168" t="str">
        <f>IFERROR(IF(_xlfn.XLOOKUP(O105,Dados[Ativo],Dados[Vencimento])="","",_xlfn.XLOOKUP(O105,Dados[Ativo],Dados[Vencimento])),"")</f>
        <v/>
      </c>
      <c r="K105" t="str">
        <f>IFERROR(IF(_xlfn.XLOOKUP(O105,Dados[Ativo],Dados[Remuneração])="","",_xlfn.XLOOKUP(O105,Dados[Ativo],Dados[Remuneração])),"")</f>
        <v/>
      </c>
      <c r="L105" t="str">
        <f>IFERROR(IF(_xlfn.XLOOKUP(O105,Dados[Ativo],Dados[Complemento])="","",_xlfn.XLOOKUP(O105,Dados[Ativo],Dados[Complemento])),"")</f>
        <v/>
      </c>
      <c r="N105" t="str">
        <f>IFERROR(IF(_xlfn.XLOOKUP(O105,Dados[Ativo],Dados[Ticker do Ativo])="","",_xlfn.XLOOKUP(O105,Dados[Ativo],Dados[Ticker do Ativo])),"")</f>
        <v/>
      </c>
    </row>
    <row r="106" spans="3:14">
      <c r="C106" t="s">
        <v>233</v>
      </c>
      <c r="H106" t="str">
        <f>IFERROR(IF(_xlfn.XLOOKUP(O106,Dados[Ativo],Dados[Tipo do Ativo])="","",_xlfn.XLOOKUP(O106,Dados[Ativo],Dados[Tipo do Ativo])),"")</f>
        <v/>
      </c>
      <c r="I106" t="str">
        <f>IFERROR(IF(_xlfn.XLOOKUP(O106,Dados[Ativo],Dados[Emissor])="","",_xlfn.XLOOKUP(O106,Dados[Ativo],Dados[Emissor])),"")</f>
        <v/>
      </c>
      <c r="J106" s="168" t="str">
        <f>IFERROR(IF(_xlfn.XLOOKUP(O106,Dados[Ativo],Dados[Vencimento])="","",_xlfn.XLOOKUP(O106,Dados[Ativo],Dados[Vencimento])),"")</f>
        <v/>
      </c>
      <c r="K106" t="str">
        <f>IFERROR(IF(_xlfn.XLOOKUP(O106,Dados[Ativo],Dados[Remuneração])="","",_xlfn.XLOOKUP(O106,Dados[Ativo],Dados[Remuneração])),"")</f>
        <v/>
      </c>
      <c r="L106" t="str">
        <f>IFERROR(IF(_xlfn.XLOOKUP(O106,Dados[Ativo],Dados[Complemento])="","",_xlfn.XLOOKUP(O106,Dados[Ativo],Dados[Complemento])),"")</f>
        <v/>
      </c>
      <c r="N106" t="str">
        <f>IFERROR(IF(_xlfn.XLOOKUP(O106,Dados[Ativo],Dados[Ticker do Ativo])="","",_xlfn.XLOOKUP(O106,Dados[Ativo],Dados[Ticker do Ativo])),"")</f>
        <v/>
      </c>
    </row>
    <row r="107" spans="3:14">
      <c r="C107" t="s">
        <v>233</v>
      </c>
      <c r="H107" t="str">
        <f>IFERROR(IF(_xlfn.XLOOKUP(O107,Dados[Ativo],Dados[Tipo do Ativo])="","",_xlfn.XLOOKUP(O107,Dados[Ativo],Dados[Tipo do Ativo])),"")</f>
        <v/>
      </c>
      <c r="I107" t="str">
        <f>IFERROR(IF(_xlfn.XLOOKUP(O107,Dados[Ativo],Dados[Emissor])="","",_xlfn.XLOOKUP(O107,Dados[Ativo],Dados[Emissor])),"")</f>
        <v/>
      </c>
      <c r="J107" s="168" t="str">
        <f>IFERROR(IF(_xlfn.XLOOKUP(O107,Dados[Ativo],Dados[Vencimento])="","",_xlfn.XLOOKUP(O107,Dados[Ativo],Dados[Vencimento])),"")</f>
        <v/>
      </c>
      <c r="K107" t="str">
        <f>IFERROR(IF(_xlfn.XLOOKUP(O107,Dados[Ativo],Dados[Remuneração])="","",_xlfn.XLOOKUP(O107,Dados[Ativo],Dados[Remuneração])),"")</f>
        <v/>
      </c>
      <c r="L107" t="str">
        <f>IFERROR(IF(_xlfn.XLOOKUP(O107,Dados[Ativo],Dados[Complemento])="","",_xlfn.XLOOKUP(O107,Dados[Ativo],Dados[Complemento])),"")</f>
        <v/>
      </c>
      <c r="N107" t="str">
        <f>IFERROR(IF(_xlfn.XLOOKUP(O107,Dados[Ativo],Dados[Ticker do Ativo])="","",_xlfn.XLOOKUP(O107,Dados[Ativo],Dados[Ticker do Ativo])),"")</f>
        <v/>
      </c>
    </row>
    <row r="108" spans="3:14">
      <c r="C108" t="s">
        <v>233</v>
      </c>
      <c r="H108" t="str">
        <f>IFERROR(IF(_xlfn.XLOOKUP(O108,Dados[Ativo],Dados[Tipo do Ativo])="","",_xlfn.XLOOKUP(O108,Dados[Ativo],Dados[Tipo do Ativo])),"")</f>
        <v/>
      </c>
      <c r="I108" t="str">
        <f>IFERROR(IF(_xlfn.XLOOKUP(O108,Dados[Ativo],Dados[Emissor])="","",_xlfn.XLOOKUP(O108,Dados[Ativo],Dados[Emissor])),"")</f>
        <v/>
      </c>
      <c r="J108" s="168" t="str">
        <f>IFERROR(IF(_xlfn.XLOOKUP(O108,Dados[Ativo],Dados[Vencimento])="","",_xlfn.XLOOKUP(O108,Dados[Ativo],Dados[Vencimento])),"")</f>
        <v/>
      </c>
      <c r="K108" t="str">
        <f>IFERROR(IF(_xlfn.XLOOKUP(O108,Dados[Ativo],Dados[Remuneração])="","",_xlfn.XLOOKUP(O108,Dados[Ativo],Dados[Remuneração])),"")</f>
        <v/>
      </c>
      <c r="L108" t="str">
        <f>IFERROR(IF(_xlfn.XLOOKUP(O108,Dados[Ativo],Dados[Complemento])="","",_xlfn.XLOOKUP(O108,Dados[Ativo],Dados[Complemento])),"")</f>
        <v/>
      </c>
      <c r="N108" t="str">
        <f>IFERROR(IF(_xlfn.XLOOKUP(O108,Dados[Ativo],Dados[Ticker do Ativo])="","",_xlfn.XLOOKUP(O108,Dados[Ativo],Dados[Ticker do Ativo])),"")</f>
        <v/>
      </c>
    </row>
    <row r="109" spans="3:14">
      <c r="C109" t="s">
        <v>233</v>
      </c>
      <c r="H109" t="str">
        <f>IFERROR(IF(_xlfn.XLOOKUP(O109,Dados[Ativo],Dados[Tipo do Ativo])="","",_xlfn.XLOOKUP(O109,Dados[Ativo],Dados[Tipo do Ativo])),"")</f>
        <v/>
      </c>
      <c r="I109" t="str">
        <f>IFERROR(IF(_xlfn.XLOOKUP(O109,Dados[Ativo],Dados[Emissor])="","",_xlfn.XLOOKUP(O109,Dados[Ativo],Dados[Emissor])),"")</f>
        <v/>
      </c>
      <c r="J109" s="168" t="str">
        <f>IFERROR(IF(_xlfn.XLOOKUP(O109,Dados[Ativo],Dados[Vencimento])="","",_xlfn.XLOOKUP(O109,Dados[Ativo],Dados[Vencimento])),"")</f>
        <v/>
      </c>
      <c r="K109" t="str">
        <f>IFERROR(IF(_xlfn.XLOOKUP(O109,Dados[Ativo],Dados[Remuneração])="","",_xlfn.XLOOKUP(O109,Dados[Ativo],Dados[Remuneração])),"")</f>
        <v/>
      </c>
      <c r="L109" t="str">
        <f>IFERROR(IF(_xlfn.XLOOKUP(O109,Dados[Ativo],Dados[Complemento])="","",_xlfn.XLOOKUP(O109,Dados[Ativo],Dados[Complemento])),"")</f>
        <v/>
      </c>
      <c r="N109" t="str">
        <f>IFERROR(IF(_xlfn.XLOOKUP(O109,Dados[Ativo],Dados[Ticker do Ativo])="","",_xlfn.XLOOKUP(O109,Dados[Ativo],Dados[Ticker do Ativo])),"")</f>
        <v/>
      </c>
    </row>
    <row r="110" spans="3:14">
      <c r="C110" t="s">
        <v>233</v>
      </c>
      <c r="H110" t="str">
        <f>IFERROR(IF(_xlfn.XLOOKUP(O110,Dados[Ativo],Dados[Tipo do Ativo])="","",_xlfn.XLOOKUP(O110,Dados[Ativo],Dados[Tipo do Ativo])),"")</f>
        <v/>
      </c>
      <c r="I110" t="str">
        <f>IFERROR(IF(_xlfn.XLOOKUP(O110,Dados[Ativo],Dados[Emissor])="","",_xlfn.XLOOKUP(O110,Dados[Ativo],Dados[Emissor])),"")</f>
        <v/>
      </c>
      <c r="J110" s="168" t="str">
        <f>IFERROR(IF(_xlfn.XLOOKUP(O110,Dados[Ativo],Dados[Vencimento])="","",_xlfn.XLOOKUP(O110,Dados[Ativo],Dados[Vencimento])),"")</f>
        <v/>
      </c>
      <c r="K110" t="str">
        <f>IFERROR(IF(_xlfn.XLOOKUP(O110,Dados[Ativo],Dados[Remuneração])="","",_xlfn.XLOOKUP(O110,Dados[Ativo],Dados[Remuneração])),"")</f>
        <v/>
      </c>
      <c r="L110" t="str">
        <f>IFERROR(IF(_xlfn.XLOOKUP(O110,Dados[Ativo],Dados[Complemento])="","",_xlfn.XLOOKUP(O110,Dados[Ativo],Dados[Complemento])),"")</f>
        <v/>
      </c>
      <c r="N110" t="str">
        <f>IFERROR(IF(_xlfn.XLOOKUP(O110,Dados[Ativo],Dados[Ticker do Ativo])="","",_xlfn.XLOOKUP(O110,Dados[Ativo],Dados[Ticker do Ativo])),"")</f>
        <v/>
      </c>
    </row>
    <row r="111" spans="3:14">
      <c r="C111" t="s">
        <v>233</v>
      </c>
      <c r="H111" t="str">
        <f>IFERROR(IF(_xlfn.XLOOKUP(O111,Dados[Ativo],Dados[Tipo do Ativo])="","",_xlfn.XLOOKUP(O111,Dados[Ativo],Dados[Tipo do Ativo])),"")</f>
        <v/>
      </c>
      <c r="I111" t="str">
        <f>IFERROR(IF(_xlfn.XLOOKUP(O111,Dados[Ativo],Dados[Emissor])="","",_xlfn.XLOOKUP(O111,Dados[Ativo],Dados[Emissor])),"")</f>
        <v/>
      </c>
      <c r="J111" s="168" t="str">
        <f>IFERROR(IF(_xlfn.XLOOKUP(O111,Dados[Ativo],Dados[Vencimento])="","",_xlfn.XLOOKUP(O111,Dados[Ativo],Dados[Vencimento])),"")</f>
        <v/>
      </c>
      <c r="K111" t="str">
        <f>IFERROR(IF(_xlfn.XLOOKUP(O111,Dados[Ativo],Dados[Remuneração])="","",_xlfn.XLOOKUP(O111,Dados[Ativo],Dados[Remuneração])),"")</f>
        <v/>
      </c>
      <c r="L111" t="str">
        <f>IFERROR(IF(_xlfn.XLOOKUP(O111,Dados[Ativo],Dados[Complemento])="","",_xlfn.XLOOKUP(O111,Dados[Ativo],Dados[Complemento])),"")</f>
        <v/>
      </c>
      <c r="N111" t="str">
        <f>IFERROR(IF(_xlfn.XLOOKUP(O111,Dados[Ativo],Dados[Ticker do Ativo])="","",_xlfn.XLOOKUP(O111,Dados[Ativo],Dados[Ticker do Ativo])),"")</f>
        <v/>
      </c>
    </row>
    <row r="112" spans="3:14">
      <c r="C112" t="s">
        <v>233</v>
      </c>
      <c r="H112" t="str">
        <f>IFERROR(IF(_xlfn.XLOOKUP(O112,Dados[Ativo],Dados[Tipo do Ativo])="","",_xlfn.XLOOKUP(O112,Dados[Ativo],Dados[Tipo do Ativo])),"")</f>
        <v/>
      </c>
      <c r="I112" t="str">
        <f>IFERROR(IF(_xlfn.XLOOKUP(O112,Dados[Ativo],Dados[Emissor])="","",_xlfn.XLOOKUP(O112,Dados[Ativo],Dados[Emissor])),"")</f>
        <v/>
      </c>
      <c r="J112" s="168" t="str">
        <f>IFERROR(IF(_xlfn.XLOOKUP(O112,Dados[Ativo],Dados[Vencimento])="","",_xlfn.XLOOKUP(O112,Dados[Ativo],Dados[Vencimento])),"")</f>
        <v/>
      </c>
      <c r="K112" t="str">
        <f>IFERROR(IF(_xlfn.XLOOKUP(O112,Dados[Ativo],Dados[Remuneração])="","",_xlfn.XLOOKUP(O112,Dados[Ativo],Dados[Remuneração])),"")</f>
        <v/>
      </c>
      <c r="L112" t="str">
        <f>IFERROR(IF(_xlfn.XLOOKUP(O112,Dados[Ativo],Dados[Complemento])="","",_xlfn.XLOOKUP(O112,Dados[Ativo],Dados[Complemento])),"")</f>
        <v/>
      </c>
      <c r="N112" t="str">
        <f>IFERROR(IF(_xlfn.XLOOKUP(O112,Dados[Ativo],Dados[Ticker do Ativo])="","",_xlfn.XLOOKUP(O112,Dados[Ativo],Dados[Ticker do Ativo])),"")</f>
        <v/>
      </c>
    </row>
    <row r="113" spans="3:14">
      <c r="C113" t="s">
        <v>233</v>
      </c>
      <c r="H113" t="str">
        <f>IFERROR(IF(_xlfn.XLOOKUP(O113,Dados[Ativo],Dados[Tipo do Ativo])="","",_xlfn.XLOOKUP(O113,Dados[Ativo],Dados[Tipo do Ativo])),"")</f>
        <v/>
      </c>
      <c r="I113" t="str">
        <f>IFERROR(IF(_xlfn.XLOOKUP(O113,Dados[Ativo],Dados[Emissor])="","",_xlfn.XLOOKUP(O113,Dados[Ativo],Dados[Emissor])),"")</f>
        <v/>
      </c>
      <c r="J113" s="168" t="str">
        <f>IFERROR(IF(_xlfn.XLOOKUP(O113,Dados[Ativo],Dados[Vencimento])="","",_xlfn.XLOOKUP(O113,Dados[Ativo],Dados[Vencimento])),"")</f>
        <v/>
      </c>
      <c r="K113" t="str">
        <f>IFERROR(IF(_xlfn.XLOOKUP(O113,Dados[Ativo],Dados[Remuneração])="","",_xlfn.XLOOKUP(O113,Dados[Ativo],Dados[Remuneração])),"")</f>
        <v/>
      </c>
      <c r="L113" t="str">
        <f>IFERROR(IF(_xlfn.XLOOKUP(O113,Dados[Ativo],Dados[Complemento])="","",_xlfn.XLOOKUP(O113,Dados[Ativo],Dados[Complemento])),"")</f>
        <v/>
      </c>
      <c r="N113" t="str">
        <f>IFERROR(IF(_xlfn.XLOOKUP(O113,Dados[Ativo],Dados[Ticker do Ativo])="","",_xlfn.XLOOKUP(O113,Dados[Ativo],Dados[Ticker do Ativo])),"")</f>
        <v/>
      </c>
    </row>
    <row r="114" spans="3:14">
      <c r="C114" t="s">
        <v>233</v>
      </c>
      <c r="H114" t="str">
        <f>IFERROR(IF(_xlfn.XLOOKUP(O114,Dados[Ativo],Dados[Tipo do Ativo])="","",_xlfn.XLOOKUP(O114,Dados[Ativo],Dados[Tipo do Ativo])),"")</f>
        <v/>
      </c>
      <c r="I114" t="str">
        <f>IFERROR(IF(_xlfn.XLOOKUP(O114,Dados[Ativo],Dados[Emissor])="","",_xlfn.XLOOKUP(O114,Dados[Ativo],Dados[Emissor])),"")</f>
        <v/>
      </c>
      <c r="J114" s="168" t="str">
        <f>IFERROR(IF(_xlfn.XLOOKUP(O114,Dados[Ativo],Dados[Vencimento])="","",_xlfn.XLOOKUP(O114,Dados[Ativo],Dados[Vencimento])),"")</f>
        <v/>
      </c>
      <c r="K114" t="str">
        <f>IFERROR(IF(_xlfn.XLOOKUP(O114,Dados[Ativo],Dados[Remuneração])="","",_xlfn.XLOOKUP(O114,Dados[Ativo],Dados[Remuneração])),"")</f>
        <v/>
      </c>
      <c r="L114" t="str">
        <f>IFERROR(IF(_xlfn.XLOOKUP(O114,Dados[Ativo],Dados[Complemento])="","",_xlfn.XLOOKUP(O114,Dados[Ativo],Dados[Complemento])),"")</f>
        <v/>
      </c>
      <c r="N114" t="str">
        <f>IFERROR(IF(_xlfn.XLOOKUP(O114,Dados[Ativo],Dados[Ticker do Ativo])="","",_xlfn.XLOOKUP(O114,Dados[Ativo],Dados[Ticker do Ativo])),"")</f>
        <v/>
      </c>
    </row>
    <row r="115" spans="3:14">
      <c r="C115" t="s">
        <v>233</v>
      </c>
      <c r="H115" t="str">
        <f>IFERROR(IF(_xlfn.XLOOKUP(O115,Dados[Ativo],Dados[Tipo do Ativo])="","",_xlfn.XLOOKUP(O115,Dados[Ativo],Dados[Tipo do Ativo])),"")</f>
        <v/>
      </c>
      <c r="I115" t="str">
        <f>IFERROR(IF(_xlfn.XLOOKUP(O115,Dados[Ativo],Dados[Emissor])="","",_xlfn.XLOOKUP(O115,Dados[Ativo],Dados[Emissor])),"")</f>
        <v/>
      </c>
      <c r="J115" s="168" t="str">
        <f>IFERROR(IF(_xlfn.XLOOKUP(O115,Dados[Ativo],Dados[Vencimento])="","",_xlfn.XLOOKUP(O115,Dados[Ativo],Dados[Vencimento])),"")</f>
        <v/>
      </c>
      <c r="K115" t="str">
        <f>IFERROR(IF(_xlfn.XLOOKUP(O115,Dados[Ativo],Dados[Remuneração])="","",_xlfn.XLOOKUP(O115,Dados[Ativo],Dados[Remuneração])),"")</f>
        <v/>
      </c>
      <c r="L115" t="str">
        <f>IFERROR(IF(_xlfn.XLOOKUP(O115,Dados[Ativo],Dados[Complemento])="","",_xlfn.XLOOKUP(O115,Dados[Ativo],Dados[Complemento])),"")</f>
        <v/>
      </c>
      <c r="N115" t="str">
        <f>IFERROR(IF(_xlfn.XLOOKUP(O115,Dados[Ativo],Dados[Ticker do Ativo])="","",_xlfn.XLOOKUP(O115,Dados[Ativo],Dados[Ticker do Ativo])),"")</f>
        <v/>
      </c>
    </row>
    <row r="116" spans="3:14">
      <c r="C116" t="s">
        <v>233</v>
      </c>
      <c r="H116" t="str">
        <f>IFERROR(IF(_xlfn.XLOOKUP(O116,Dados[Ativo],Dados[Tipo do Ativo])="","",_xlfn.XLOOKUP(O116,Dados[Ativo],Dados[Tipo do Ativo])),"")</f>
        <v/>
      </c>
      <c r="I116" t="str">
        <f>IFERROR(IF(_xlfn.XLOOKUP(O116,Dados[Ativo],Dados[Emissor])="","",_xlfn.XLOOKUP(O116,Dados[Ativo],Dados[Emissor])),"")</f>
        <v/>
      </c>
      <c r="J116" s="168" t="str">
        <f>IFERROR(IF(_xlfn.XLOOKUP(O116,Dados[Ativo],Dados[Vencimento])="","",_xlfn.XLOOKUP(O116,Dados[Ativo],Dados[Vencimento])),"")</f>
        <v/>
      </c>
      <c r="K116" t="str">
        <f>IFERROR(IF(_xlfn.XLOOKUP(O116,Dados[Ativo],Dados[Remuneração])="","",_xlfn.XLOOKUP(O116,Dados[Ativo],Dados[Remuneração])),"")</f>
        <v/>
      </c>
      <c r="L116" t="str">
        <f>IFERROR(IF(_xlfn.XLOOKUP(O116,Dados[Ativo],Dados[Complemento])="","",_xlfn.XLOOKUP(O116,Dados[Ativo],Dados[Complemento])),"")</f>
        <v/>
      </c>
      <c r="N116" t="str">
        <f>IFERROR(IF(_xlfn.XLOOKUP(O116,Dados[Ativo],Dados[Ticker do Ativo])="","",_xlfn.XLOOKUP(O116,Dados[Ativo],Dados[Ticker do Ativo])),"")</f>
        <v/>
      </c>
    </row>
    <row r="117" spans="3:14">
      <c r="C117" t="s">
        <v>233</v>
      </c>
      <c r="H117" t="str">
        <f>IFERROR(IF(_xlfn.XLOOKUP(O117,Dados[Ativo],Dados[Tipo do Ativo])="","",_xlfn.XLOOKUP(O117,Dados[Ativo],Dados[Tipo do Ativo])),"")</f>
        <v/>
      </c>
      <c r="I117" t="str">
        <f>IFERROR(IF(_xlfn.XLOOKUP(O117,Dados[Ativo],Dados[Emissor])="","",_xlfn.XLOOKUP(O117,Dados[Ativo],Dados[Emissor])),"")</f>
        <v/>
      </c>
      <c r="J117" s="168" t="str">
        <f>IFERROR(IF(_xlfn.XLOOKUP(O117,Dados[Ativo],Dados[Vencimento])="","",_xlfn.XLOOKUP(O117,Dados[Ativo],Dados[Vencimento])),"")</f>
        <v/>
      </c>
      <c r="K117" t="str">
        <f>IFERROR(IF(_xlfn.XLOOKUP(O117,Dados[Ativo],Dados[Remuneração])="","",_xlfn.XLOOKUP(O117,Dados[Ativo],Dados[Remuneração])),"")</f>
        <v/>
      </c>
      <c r="L117" t="str">
        <f>IFERROR(IF(_xlfn.XLOOKUP(O117,Dados[Ativo],Dados[Complemento])="","",_xlfn.XLOOKUP(O117,Dados[Ativo],Dados[Complemento])),"")</f>
        <v/>
      </c>
      <c r="N117" t="str">
        <f>IFERROR(IF(_xlfn.XLOOKUP(O117,Dados[Ativo],Dados[Ticker do Ativo])="","",_xlfn.XLOOKUP(O117,Dados[Ativo],Dados[Ticker do Ativo])),"")</f>
        <v/>
      </c>
    </row>
    <row r="118" spans="3:14">
      <c r="C118" t="s">
        <v>233</v>
      </c>
      <c r="H118" t="str">
        <f>IFERROR(IF(_xlfn.XLOOKUP(O118,Dados[Ativo],Dados[Tipo do Ativo])="","",_xlfn.XLOOKUP(O118,Dados[Ativo],Dados[Tipo do Ativo])),"")</f>
        <v/>
      </c>
      <c r="I118" t="str">
        <f>IFERROR(IF(_xlfn.XLOOKUP(O118,Dados[Ativo],Dados[Emissor])="","",_xlfn.XLOOKUP(O118,Dados[Ativo],Dados[Emissor])),"")</f>
        <v/>
      </c>
      <c r="J118" s="168" t="str">
        <f>IFERROR(IF(_xlfn.XLOOKUP(O118,Dados[Ativo],Dados[Vencimento])="","",_xlfn.XLOOKUP(O118,Dados[Ativo],Dados[Vencimento])),"")</f>
        <v/>
      </c>
      <c r="K118" t="str">
        <f>IFERROR(IF(_xlfn.XLOOKUP(O118,Dados[Ativo],Dados[Remuneração])="","",_xlfn.XLOOKUP(O118,Dados[Ativo],Dados[Remuneração])),"")</f>
        <v/>
      </c>
      <c r="L118" t="str">
        <f>IFERROR(IF(_xlfn.XLOOKUP(O118,Dados[Ativo],Dados[Complemento])="","",_xlfn.XLOOKUP(O118,Dados[Ativo],Dados[Complemento])),"")</f>
        <v/>
      </c>
      <c r="N118" t="str">
        <f>IFERROR(IF(_xlfn.XLOOKUP(O118,Dados[Ativo],Dados[Ticker do Ativo])="","",_xlfn.XLOOKUP(O118,Dados[Ativo],Dados[Ticker do Ativo])),"")</f>
        <v/>
      </c>
    </row>
    <row r="119" spans="3:14">
      <c r="C119" t="s">
        <v>233</v>
      </c>
      <c r="H119" t="str">
        <f>IFERROR(IF(_xlfn.XLOOKUP(O119,Dados[Ativo],Dados[Tipo do Ativo])="","",_xlfn.XLOOKUP(O119,Dados[Ativo],Dados[Tipo do Ativo])),"")</f>
        <v/>
      </c>
      <c r="I119" t="str">
        <f>IFERROR(IF(_xlfn.XLOOKUP(O119,Dados[Ativo],Dados[Emissor])="","",_xlfn.XLOOKUP(O119,Dados[Ativo],Dados[Emissor])),"")</f>
        <v/>
      </c>
      <c r="J119" s="168" t="str">
        <f>IFERROR(IF(_xlfn.XLOOKUP(O119,Dados[Ativo],Dados[Vencimento])="","",_xlfn.XLOOKUP(O119,Dados[Ativo],Dados[Vencimento])),"")</f>
        <v/>
      </c>
      <c r="K119" t="str">
        <f>IFERROR(IF(_xlfn.XLOOKUP(O119,Dados[Ativo],Dados[Remuneração])="","",_xlfn.XLOOKUP(O119,Dados[Ativo],Dados[Remuneração])),"")</f>
        <v/>
      </c>
      <c r="L119" t="str">
        <f>IFERROR(IF(_xlfn.XLOOKUP(O119,Dados[Ativo],Dados[Complemento])="","",_xlfn.XLOOKUP(O119,Dados[Ativo],Dados[Complemento])),"")</f>
        <v/>
      </c>
      <c r="N119" t="str">
        <f>IFERROR(IF(_xlfn.XLOOKUP(O119,Dados[Ativo],Dados[Ticker do Ativo])="","",_xlfn.XLOOKUP(O119,Dados[Ativo],Dados[Ticker do Ativo])),"")</f>
        <v/>
      </c>
    </row>
    <row r="120" spans="3:14">
      <c r="C120" t="s">
        <v>233</v>
      </c>
      <c r="H120" t="str">
        <f>IFERROR(IF(_xlfn.XLOOKUP(O120,Dados[Ativo],Dados[Tipo do Ativo])="","",_xlfn.XLOOKUP(O120,Dados[Ativo],Dados[Tipo do Ativo])),"")</f>
        <v/>
      </c>
      <c r="I120" t="str">
        <f>IFERROR(IF(_xlfn.XLOOKUP(O120,Dados[Ativo],Dados[Emissor])="","",_xlfn.XLOOKUP(O120,Dados[Ativo],Dados[Emissor])),"")</f>
        <v/>
      </c>
      <c r="J120" s="168" t="str">
        <f>IFERROR(IF(_xlfn.XLOOKUP(O120,Dados[Ativo],Dados[Vencimento])="","",_xlfn.XLOOKUP(O120,Dados[Ativo],Dados[Vencimento])),"")</f>
        <v/>
      </c>
      <c r="K120" t="str">
        <f>IFERROR(IF(_xlfn.XLOOKUP(O120,Dados[Ativo],Dados[Remuneração])="","",_xlfn.XLOOKUP(O120,Dados[Ativo],Dados[Remuneração])),"")</f>
        <v/>
      </c>
      <c r="L120" t="str">
        <f>IFERROR(IF(_xlfn.XLOOKUP(O120,Dados[Ativo],Dados[Complemento])="","",_xlfn.XLOOKUP(O120,Dados[Ativo],Dados[Complemento])),"")</f>
        <v/>
      </c>
      <c r="N120" t="str">
        <f>IFERROR(IF(_xlfn.XLOOKUP(O120,Dados[Ativo],Dados[Ticker do Ativo])="","",_xlfn.XLOOKUP(O120,Dados[Ativo],Dados[Ticker do Ativo])),"")</f>
        <v/>
      </c>
    </row>
    <row r="121" spans="3:14">
      <c r="C121" t="s">
        <v>233</v>
      </c>
      <c r="H121" t="str">
        <f>IFERROR(IF(_xlfn.XLOOKUP(O121,Dados[Ativo],Dados[Tipo do Ativo])="","",_xlfn.XLOOKUP(O121,Dados[Ativo],Dados[Tipo do Ativo])),"")</f>
        <v/>
      </c>
      <c r="I121" t="str">
        <f>IFERROR(IF(_xlfn.XLOOKUP(O121,Dados[Ativo],Dados[Emissor])="","",_xlfn.XLOOKUP(O121,Dados[Ativo],Dados[Emissor])),"")</f>
        <v/>
      </c>
      <c r="J121" s="168" t="str">
        <f>IFERROR(IF(_xlfn.XLOOKUP(O121,Dados[Ativo],Dados[Vencimento])="","",_xlfn.XLOOKUP(O121,Dados[Ativo],Dados[Vencimento])),"")</f>
        <v/>
      </c>
      <c r="K121" t="str">
        <f>IFERROR(IF(_xlfn.XLOOKUP(O121,Dados[Ativo],Dados[Remuneração])="","",_xlfn.XLOOKUP(O121,Dados[Ativo],Dados[Remuneração])),"")</f>
        <v/>
      </c>
      <c r="L121" t="str">
        <f>IFERROR(IF(_xlfn.XLOOKUP(O121,Dados[Ativo],Dados[Complemento])="","",_xlfn.XLOOKUP(O121,Dados[Ativo],Dados[Complemento])),"")</f>
        <v/>
      </c>
      <c r="N121" t="str">
        <f>IFERROR(IF(_xlfn.XLOOKUP(O121,Dados[Ativo],Dados[Ticker do Ativo])="","",_xlfn.XLOOKUP(O121,Dados[Ativo],Dados[Ticker do Ativo])),"")</f>
        <v/>
      </c>
    </row>
    <row r="122" spans="3:14">
      <c r="C122" t="s">
        <v>233</v>
      </c>
      <c r="H122" t="str">
        <f>IFERROR(IF(_xlfn.XLOOKUP(O122,Dados[Ativo],Dados[Tipo do Ativo])="","",_xlfn.XLOOKUP(O122,Dados[Ativo],Dados[Tipo do Ativo])),"")</f>
        <v/>
      </c>
      <c r="I122" t="str">
        <f>IFERROR(IF(_xlfn.XLOOKUP(O122,Dados[Ativo],Dados[Emissor])="","",_xlfn.XLOOKUP(O122,Dados[Ativo],Dados[Emissor])),"")</f>
        <v/>
      </c>
      <c r="J122" s="168" t="str">
        <f>IFERROR(IF(_xlfn.XLOOKUP(O122,Dados[Ativo],Dados[Vencimento])="","",_xlfn.XLOOKUP(O122,Dados[Ativo],Dados[Vencimento])),"")</f>
        <v/>
      </c>
      <c r="K122" t="str">
        <f>IFERROR(IF(_xlfn.XLOOKUP(O122,Dados[Ativo],Dados[Remuneração])="","",_xlfn.XLOOKUP(O122,Dados[Ativo],Dados[Remuneração])),"")</f>
        <v/>
      </c>
      <c r="L122" t="str">
        <f>IFERROR(IF(_xlfn.XLOOKUP(O122,Dados[Ativo],Dados[Complemento])="","",_xlfn.XLOOKUP(O122,Dados[Ativo],Dados[Complemento])),"")</f>
        <v/>
      </c>
      <c r="N122" t="str">
        <f>IFERROR(IF(_xlfn.XLOOKUP(O122,Dados[Ativo],Dados[Ticker do Ativo])="","",_xlfn.XLOOKUP(O122,Dados[Ativo],Dados[Ticker do Ativo])),"")</f>
        <v/>
      </c>
    </row>
    <row r="123" spans="3:14">
      <c r="C123" t="s">
        <v>233</v>
      </c>
      <c r="H123" t="str">
        <f>IFERROR(IF(_xlfn.XLOOKUP(O123,Dados[Ativo],Dados[Tipo do Ativo])="","",_xlfn.XLOOKUP(O123,Dados[Ativo],Dados[Tipo do Ativo])),"")</f>
        <v/>
      </c>
      <c r="I123" t="str">
        <f>IFERROR(IF(_xlfn.XLOOKUP(O123,Dados[Ativo],Dados[Emissor])="","",_xlfn.XLOOKUP(O123,Dados[Ativo],Dados[Emissor])),"")</f>
        <v/>
      </c>
      <c r="J123" s="168" t="str">
        <f>IFERROR(IF(_xlfn.XLOOKUP(O123,Dados[Ativo],Dados[Vencimento])="","",_xlfn.XLOOKUP(O123,Dados[Ativo],Dados[Vencimento])),"")</f>
        <v/>
      </c>
      <c r="K123" t="str">
        <f>IFERROR(IF(_xlfn.XLOOKUP(O123,Dados[Ativo],Dados[Remuneração])="","",_xlfn.XLOOKUP(O123,Dados[Ativo],Dados[Remuneração])),"")</f>
        <v/>
      </c>
      <c r="L123" t="str">
        <f>IFERROR(IF(_xlfn.XLOOKUP(O123,Dados[Ativo],Dados[Complemento])="","",_xlfn.XLOOKUP(O123,Dados[Ativo],Dados[Complemento])),"")</f>
        <v/>
      </c>
      <c r="N123" t="str">
        <f>IFERROR(IF(_xlfn.XLOOKUP(O123,Dados[Ativo],Dados[Ticker do Ativo])="","",_xlfn.XLOOKUP(O123,Dados[Ativo],Dados[Ticker do Ativo])),"")</f>
        <v/>
      </c>
    </row>
    <row r="124" spans="3:14">
      <c r="C124" t="s">
        <v>233</v>
      </c>
      <c r="H124" t="str">
        <f>IFERROR(IF(_xlfn.XLOOKUP(O124,Dados[Ativo],Dados[Tipo do Ativo])="","",_xlfn.XLOOKUP(O124,Dados[Ativo],Dados[Tipo do Ativo])),"")</f>
        <v/>
      </c>
      <c r="I124" t="str">
        <f>IFERROR(IF(_xlfn.XLOOKUP(O124,Dados[Ativo],Dados[Emissor])="","",_xlfn.XLOOKUP(O124,Dados[Ativo],Dados[Emissor])),"")</f>
        <v/>
      </c>
      <c r="J124" s="168" t="str">
        <f>IFERROR(IF(_xlfn.XLOOKUP(O124,Dados[Ativo],Dados[Vencimento])="","",_xlfn.XLOOKUP(O124,Dados[Ativo],Dados[Vencimento])),"")</f>
        <v/>
      </c>
      <c r="K124" t="str">
        <f>IFERROR(IF(_xlfn.XLOOKUP(O124,Dados[Ativo],Dados[Remuneração])="","",_xlfn.XLOOKUP(O124,Dados[Ativo],Dados[Remuneração])),"")</f>
        <v/>
      </c>
      <c r="L124" t="str">
        <f>IFERROR(IF(_xlfn.XLOOKUP(O124,Dados[Ativo],Dados[Complemento])="","",_xlfn.XLOOKUP(O124,Dados[Ativo],Dados[Complemento])),"")</f>
        <v/>
      </c>
      <c r="N124" t="str">
        <f>IFERROR(IF(_xlfn.XLOOKUP(O124,Dados[Ativo],Dados[Ticker do Ativo])="","",_xlfn.XLOOKUP(O124,Dados[Ativo],Dados[Ticker do Ativo])),"")</f>
        <v/>
      </c>
    </row>
    <row r="125" spans="3:14">
      <c r="C125" t="s">
        <v>233</v>
      </c>
      <c r="H125" t="str">
        <f>IFERROR(IF(_xlfn.XLOOKUP(O125,Dados[Ativo],Dados[Tipo do Ativo])="","",_xlfn.XLOOKUP(O125,Dados[Ativo],Dados[Tipo do Ativo])),"")</f>
        <v/>
      </c>
      <c r="I125" t="str">
        <f>IFERROR(IF(_xlfn.XLOOKUP(O125,Dados[Ativo],Dados[Emissor])="","",_xlfn.XLOOKUP(O125,Dados[Ativo],Dados[Emissor])),"")</f>
        <v/>
      </c>
      <c r="J125" s="168" t="str">
        <f>IFERROR(IF(_xlfn.XLOOKUP(O125,Dados[Ativo],Dados[Vencimento])="","",_xlfn.XLOOKUP(O125,Dados[Ativo],Dados[Vencimento])),"")</f>
        <v/>
      </c>
      <c r="K125" t="str">
        <f>IFERROR(IF(_xlfn.XLOOKUP(O125,Dados[Ativo],Dados[Remuneração])="","",_xlfn.XLOOKUP(O125,Dados[Ativo],Dados[Remuneração])),"")</f>
        <v/>
      </c>
      <c r="L125" t="str">
        <f>IFERROR(IF(_xlfn.XLOOKUP(O125,Dados[Ativo],Dados[Complemento])="","",_xlfn.XLOOKUP(O125,Dados[Ativo],Dados[Complemento])),"")</f>
        <v/>
      </c>
      <c r="N125" t="str">
        <f>IFERROR(IF(_xlfn.XLOOKUP(O125,Dados[Ativo],Dados[Ticker do Ativo])="","",_xlfn.XLOOKUP(O125,Dados[Ativo],Dados[Ticker do Ativo])),"")</f>
        <v/>
      </c>
    </row>
    <row r="126" spans="3:14">
      <c r="C126" t="s">
        <v>233</v>
      </c>
      <c r="H126" t="str">
        <f>IFERROR(IF(_xlfn.XLOOKUP(O126,Dados[Ativo],Dados[Tipo do Ativo])="","",_xlfn.XLOOKUP(O126,Dados[Ativo],Dados[Tipo do Ativo])),"")</f>
        <v/>
      </c>
      <c r="I126" t="str">
        <f>IFERROR(IF(_xlfn.XLOOKUP(O126,Dados[Ativo],Dados[Emissor])="","",_xlfn.XLOOKUP(O126,Dados[Ativo],Dados[Emissor])),"")</f>
        <v/>
      </c>
      <c r="J126" s="168" t="str">
        <f>IFERROR(IF(_xlfn.XLOOKUP(O126,Dados[Ativo],Dados[Vencimento])="","",_xlfn.XLOOKUP(O126,Dados[Ativo],Dados[Vencimento])),"")</f>
        <v/>
      </c>
      <c r="K126" t="str">
        <f>IFERROR(IF(_xlfn.XLOOKUP(O126,Dados[Ativo],Dados[Remuneração])="","",_xlfn.XLOOKUP(O126,Dados[Ativo],Dados[Remuneração])),"")</f>
        <v/>
      </c>
      <c r="L126" t="str">
        <f>IFERROR(IF(_xlfn.XLOOKUP(O126,Dados[Ativo],Dados[Complemento])="","",_xlfn.XLOOKUP(O126,Dados[Ativo],Dados[Complemento])),"")</f>
        <v/>
      </c>
      <c r="N126" t="str">
        <f>IFERROR(IF(_xlfn.XLOOKUP(O126,Dados[Ativo],Dados[Ticker do Ativo])="","",_xlfn.XLOOKUP(O126,Dados[Ativo],Dados[Ticker do Ativo])),"")</f>
        <v/>
      </c>
    </row>
    <row r="127" spans="3:14">
      <c r="C127" t="s">
        <v>233</v>
      </c>
      <c r="H127" t="str">
        <f>IFERROR(IF(_xlfn.XLOOKUP(O127,Dados[Ativo],Dados[Tipo do Ativo])="","",_xlfn.XLOOKUP(O127,Dados[Ativo],Dados[Tipo do Ativo])),"")</f>
        <v/>
      </c>
      <c r="I127" t="str">
        <f>IFERROR(IF(_xlfn.XLOOKUP(O127,Dados[Ativo],Dados[Emissor])="","",_xlfn.XLOOKUP(O127,Dados[Ativo],Dados[Emissor])),"")</f>
        <v/>
      </c>
      <c r="J127" s="168" t="str">
        <f>IFERROR(IF(_xlfn.XLOOKUP(O127,Dados[Ativo],Dados[Vencimento])="","",_xlfn.XLOOKUP(O127,Dados[Ativo],Dados[Vencimento])),"")</f>
        <v/>
      </c>
      <c r="K127" t="str">
        <f>IFERROR(IF(_xlfn.XLOOKUP(O127,Dados[Ativo],Dados[Remuneração])="","",_xlfn.XLOOKUP(O127,Dados[Ativo],Dados[Remuneração])),"")</f>
        <v/>
      </c>
      <c r="L127" t="str">
        <f>IFERROR(IF(_xlfn.XLOOKUP(O127,Dados[Ativo],Dados[Complemento])="","",_xlfn.XLOOKUP(O127,Dados[Ativo],Dados[Complemento])),"")</f>
        <v/>
      </c>
      <c r="N127" t="str">
        <f>IFERROR(IF(_xlfn.XLOOKUP(O127,Dados[Ativo],Dados[Ticker do Ativo])="","",_xlfn.XLOOKUP(O127,Dados[Ativo],Dados[Ticker do Ativo])),"")</f>
        <v/>
      </c>
    </row>
    <row r="128" spans="3:14">
      <c r="C128" t="s">
        <v>233</v>
      </c>
      <c r="H128" t="str">
        <f>IFERROR(IF(_xlfn.XLOOKUP(O128,Dados[Ativo],Dados[Tipo do Ativo])="","",_xlfn.XLOOKUP(O128,Dados[Ativo],Dados[Tipo do Ativo])),"")</f>
        <v/>
      </c>
      <c r="I128" t="str">
        <f>IFERROR(IF(_xlfn.XLOOKUP(O128,Dados[Ativo],Dados[Emissor])="","",_xlfn.XLOOKUP(O128,Dados[Ativo],Dados[Emissor])),"")</f>
        <v/>
      </c>
      <c r="J128" s="168" t="str">
        <f>IFERROR(IF(_xlfn.XLOOKUP(O128,Dados[Ativo],Dados[Vencimento])="","",_xlfn.XLOOKUP(O128,Dados[Ativo],Dados[Vencimento])),"")</f>
        <v/>
      </c>
      <c r="K128" t="str">
        <f>IFERROR(IF(_xlfn.XLOOKUP(O128,Dados[Ativo],Dados[Remuneração])="","",_xlfn.XLOOKUP(O128,Dados[Ativo],Dados[Remuneração])),"")</f>
        <v/>
      </c>
      <c r="L128" t="str">
        <f>IFERROR(IF(_xlfn.XLOOKUP(O128,Dados[Ativo],Dados[Complemento])="","",_xlfn.XLOOKUP(O128,Dados[Ativo],Dados[Complemento])),"")</f>
        <v/>
      </c>
      <c r="N128" t="str">
        <f>IFERROR(IF(_xlfn.XLOOKUP(O128,Dados[Ativo],Dados[Ticker do Ativo])="","",_xlfn.XLOOKUP(O128,Dados[Ativo],Dados[Ticker do Ativo])),"")</f>
        <v/>
      </c>
    </row>
    <row r="129" spans="3:14">
      <c r="C129" t="s">
        <v>233</v>
      </c>
      <c r="H129" t="str">
        <f>IFERROR(IF(_xlfn.XLOOKUP(O129,Dados[Ativo],Dados[Tipo do Ativo])="","",_xlfn.XLOOKUP(O129,Dados[Ativo],Dados[Tipo do Ativo])),"")</f>
        <v/>
      </c>
      <c r="I129" t="str">
        <f>IFERROR(IF(_xlfn.XLOOKUP(O129,Dados[Ativo],Dados[Emissor])="","",_xlfn.XLOOKUP(O129,Dados[Ativo],Dados[Emissor])),"")</f>
        <v/>
      </c>
      <c r="J129" s="168" t="str">
        <f>IFERROR(IF(_xlfn.XLOOKUP(O129,Dados[Ativo],Dados[Vencimento])="","",_xlfn.XLOOKUP(O129,Dados[Ativo],Dados[Vencimento])),"")</f>
        <v/>
      </c>
      <c r="K129" t="str">
        <f>IFERROR(IF(_xlfn.XLOOKUP(O129,Dados[Ativo],Dados[Remuneração])="","",_xlfn.XLOOKUP(O129,Dados[Ativo],Dados[Remuneração])),"")</f>
        <v/>
      </c>
      <c r="L129" t="str">
        <f>IFERROR(IF(_xlfn.XLOOKUP(O129,Dados[Ativo],Dados[Complemento])="","",_xlfn.XLOOKUP(O129,Dados[Ativo],Dados[Complemento])),"")</f>
        <v/>
      </c>
      <c r="N129" t="str">
        <f>IFERROR(IF(_xlfn.XLOOKUP(O129,Dados[Ativo],Dados[Ticker do Ativo])="","",_xlfn.XLOOKUP(O129,Dados[Ativo],Dados[Ticker do Ativo])),"")</f>
        <v/>
      </c>
    </row>
    <row r="130" spans="3:14">
      <c r="C130" t="s">
        <v>233</v>
      </c>
      <c r="H130" t="str">
        <f>IFERROR(IF(_xlfn.XLOOKUP(O130,Dados[Ativo],Dados[Tipo do Ativo])="","",_xlfn.XLOOKUP(O130,Dados[Ativo],Dados[Tipo do Ativo])),"")</f>
        <v/>
      </c>
      <c r="I130" t="str">
        <f>IFERROR(IF(_xlfn.XLOOKUP(O130,Dados[Ativo],Dados[Emissor])="","",_xlfn.XLOOKUP(O130,Dados[Ativo],Dados[Emissor])),"")</f>
        <v/>
      </c>
      <c r="J130" s="168" t="str">
        <f>IFERROR(IF(_xlfn.XLOOKUP(O130,Dados[Ativo],Dados[Vencimento])="","",_xlfn.XLOOKUP(O130,Dados[Ativo],Dados[Vencimento])),"")</f>
        <v/>
      </c>
      <c r="K130" t="str">
        <f>IFERROR(IF(_xlfn.XLOOKUP(O130,Dados[Ativo],Dados[Remuneração])="","",_xlfn.XLOOKUP(O130,Dados[Ativo],Dados[Remuneração])),"")</f>
        <v/>
      </c>
      <c r="L130" t="str">
        <f>IFERROR(IF(_xlfn.XLOOKUP(O130,Dados[Ativo],Dados[Complemento])="","",_xlfn.XLOOKUP(O130,Dados[Ativo],Dados[Complemento])),"")</f>
        <v/>
      </c>
      <c r="N130" t="str">
        <f>IFERROR(IF(_xlfn.XLOOKUP(O130,Dados[Ativo],Dados[Ticker do Ativo])="","",_xlfn.XLOOKUP(O130,Dados[Ativo],Dados[Ticker do Ativo])),"")</f>
        <v/>
      </c>
    </row>
    <row r="131" spans="3:14">
      <c r="C131" t="s">
        <v>233</v>
      </c>
      <c r="H131" t="str">
        <f>IFERROR(IF(_xlfn.XLOOKUP(O131,Dados[Ativo],Dados[Tipo do Ativo])="","",_xlfn.XLOOKUP(O131,Dados[Ativo],Dados[Tipo do Ativo])),"")</f>
        <v/>
      </c>
      <c r="I131" t="str">
        <f>IFERROR(IF(_xlfn.XLOOKUP(O131,Dados[Ativo],Dados[Emissor])="","",_xlfn.XLOOKUP(O131,Dados[Ativo],Dados[Emissor])),"")</f>
        <v/>
      </c>
      <c r="J131" s="168" t="str">
        <f>IFERROR(IF(_xlfn.XLOOKUP(O131,Dados[Ativo],Dados[Vencimento])="","",_xlfn.XLOOKUP(O131,Dados[Ativo],Dados[Vencimento])),"")</f>
        <v/>
      </c>
      <c r="K131" t="str">
        <f>IFERROR(IF(_xlfn.XLOOKUP(O131,Dados[Ativo],Dados[Remuneração])="","",_xlfn.XLOOKUP(O131,Dados[Ativo],Dados[Remuneração])),"")</f>
        <v/>
      </c>
      <c r="L131" t="str">
        <f>IFERROR(IF(_xlfn.XLOOKUP(O131,Dados[Ativo],Dados[Complemento])="","",_xlfn.XLOOKUP(O131,Dados[Ativo],Dados[Complemento])),"")</f>
        <v/>
      </c>
      <c r="N131" t="str">
        <f>IFERROR(IF(_xlfn.XLOOKUP(O131,Dados[Ativo],Dados[Ticker do Ativo])="","",_xlfn.XLOOKUP(O131,Dados[Ativo],Dados[Ticker do Ativo])),"")</f>
        <v/>
      </c>
    </row>
    <row r="132" spans="3:14">
      <c r="C132" t="s">
        <v>233</v>
      </c>
      <c r="H132" t="str">
        <f>IFERROR(IF(_xlfn.XLOOKUP(O132,Dados[Ativo],Dados[Tipo do Ativo])="","",_xlfn.XLOOKUP(O132,Dados[Ativo],Dados[Tipo do Ativo])),"")</f>
        <v/>
      </c>
      <c r="I132" t="str">
        <f>IFERROR(IF(_xlfn.XLOOKUP(O132,Dados[Ativo],Dados[Emissor])="","",_xlfn.XLOOKUP(O132,Dados[Ativo],Dados[Emissor])),"")</f>
        <v/>
      </c>
      <c r="J132" s="168" t="str">
        <f>IFERROR(IF(_xlfn.XLOOKUP(O132,Dados[Ativo],Dados[Vencimento])="","",_xlfn.XLOOKUP(O132,Dados[Ativo],Dados[Vencimento])),"")</f>
        <v/>
      </c>
      <c r="K132" t="str">
        <f>IFERROR(IF(_xlfn.XLOOKUP(O132,Dados[Ativo],Dados[Remuneração])="","",_xlfn.XLOOKUP(O132,Dados[Ativo],Dados[Remuneração])),"")</f>
        <v/>
      </c>
      <c r="L132" t="str">
        <f>IFERROR(IF(_xlfn.XLOOKUP(O132,Dados[Ativo],Dados[Complemento])="","",_xlfn.XLOOKUP(O132,Dados[Ativo],Dados[Complemento])),"")</f>
        <v/>
      </c>
      <c r="N132" t="str">
        <f>IFERROR(IF(_xlfn.XLOOKUP(O132,Dados[Ativo],Dados[Ticker do Ativo])="","",_xlfn.XLOOKUP(O132,Dados[Ativo],Dados[Ticker do Ativo])),"")</f>
        <v/>
      </c>
    </row>
    <row r="133" spans="3:14">
      <c r="C133" t="s">
        <v>233</v>
      </c>
      <c r="H133" t="str">
        <f>IFERROR(IF(_xlfn.XLOOKUP(O133,Dados[Ativo],Dados[Tipo do Ativo])="","",_xlfn.XLOOKUP(O133,Dados[Ativo],Dados[Tipo do Ativo])),"")</f>
        <v/>
      </c>
      <c r="I133" t="str">
        <f>IFERROR(IF(_xlfn.XLOOKUP(O133,Dados[Ativo],Dados[Emissor])="","",_xlfn.XLOOKUP(O133,Dados[Ativo],Dados[Emissor])),"")</f>
        <v/>
      </c>
      <c r="J133" s="168" t="str">
        <f>IFERROR(IF(_xlfn.XLOOKUP(O133,Dados[Ativo],Dados[Vencimento])="","",_xlfn.XLOOKUP(O133,Dados[Ativo],Dados[Vencimento])),"")</f>
        <v/>
      </c>
      <c r="K133" t="str">
        <f>IFERROR(IF(_xlfn.XLOOKUP(O133,Dados[Ativo],Dados[Remuneração])="","",_xlfn.XLOOKUP(O133,Dados[Ativo],Dados[Remuneração])),"")</f>
        <v/>
      </c>
      <c r="L133" t="str">
        <f>IFERROR(IF(_xlfn.XLOOKUP(O133,Dados[Ativo],Dados[Complemento])="","",_xlfn.XLOOKUP(O133,Dados[Ativo],Dados[Complemento])),"")</f>
        <v/>
      </c>
      <c r="N133" t="str">
        <f>IFERROR(IF(_xlfn.XLOOKUP(O133,Dados[Ativo],Dados[Ticker do Ativo])="","",_xlfn.XLOOKUP(O133,Dados[Ativo],Dados[Ticker do Ativo])),"")</f>
        <v/>
      </c>
    </row>
    <row r="134" spans="3:14">
      <c r="C134" t="s">
        <v>233</v>
      </c>
      <c r="H134" t="str">
        <f>IFERROR(IF(_xlfn.XLOOKUP(O134,Dados[Ativo],Dados[Tipo do Ativo])="","",_xlfn.XLOOKUP(O134,Dados[Ativo],Dados[Tipo do Ativo])),"")</f>
        <v/>
      </c>
      <c r="I134" t="str">
        <f>IFERROR(IF(_xlfn.XLOOKUP(O134,Dados[Ativo],Dados[Emissor])="","",_xlfn.XLOOKUP(O134,Dados[Ativo],Dados[Emissor])),"")</f>
        <v/>
      </c>
      <c r="J134" s="168" t="str">
        <f>IFERROR(IF(_xlfn.XLOOKUP(O134,Dados[Ativo],Dados[Vencimento])="","",_xlfn.XLOOKUP(O134,Dados[Ativo],Dados[Vencimento])),"")</f>
        <v/>
      </c>
      <c r="K134" t="str">
        <f>IFERROR(IF(_xlfn.XLOOKUP(O134,Dados[Ativo],Dados[Remuneração])="","",_xlfn.XLOOKUP(O134,Dados[Ativo],Dados[Remuneração])),"")</f>
        <v/>
      </c>
      <c r="L134" t="str">
        <f>IFERROR(IF(_xlfn.XLOOKUP(O134,Dados[Ativo],Dados[Complemento])="","",_xlfn.XLOOKUP(O134,Dados[Ativo],Dados[Complemento])),"")</f>
        <v/>
      </c>
      <c r="N134" t="str">
        <f>IFERROR(IF(_xlfn.XLOOKUP(O134,Dados[Ativo],Dados[Ticker do Ativo])="","",_xlfn.XLOOKUP(O134,Dados[Ativo],Dados[Ticker do Ativo])),"")</f>
        <v/>
      </c>
    </row>
    <row r="135" spans="3:14">
      <c r="C135" t="s">
        <v>233</v>
      </c>
      <c r="H135" t="str">
        <f>IFERROR(IF(_xlfn.XLOOKUP(O135,Dados[Ativo],Dados[Tipo do Ativo])="","",_xlfn.XLOOKUP(O135,Dados[Ativo],Dados[Tipo do Ativo])),"")</f>
        <v/>
      </c>
      <c r="I135" t="str">
        <f>IFERROR(IF(_xlfn.XLOOKUP(O135,Dados[Ativo],Dados[Emissor])="","",_xlfn.XLOOKUP(O135,Dados[Ativo],Dados[Emissor])),"")</f>
        <v/>
      </c>
      <c r="J135" s="168" t="str">
        <f>IFERROR(IF(_xlfn.XLOOKUP(O135,Dados[Ativo],Dados[Vencimento])="","",_xlfn.XLOOKUP(O135,Dados[Ativo],Dados[Vencimento])),"")</f>
        <v/>
      </c>
      <c r="K135" t="str">
        <f>IFERROR(IF(_xlfn.XLOOKUP(O135,Dados[Ativo],Dados[Remuneração])="","",_xlfn.XLOOKUP(O135,Dados[Ativo],Dados[Remuneração])),"")</f>
        <v/>
      </c>
      <c r="L135" t="str">
        <f>IFERROR(IF(_xlfn.XLOOKUP(O135,Dados[Ativo],Dados[Complemento])="","",_xlfn.XLOOKUP(O135,Dados[Ativo],Dados[Complemento])),"")</f>
        <v/>
      </c>
      <c r="N135" t="str">
        <f>IFERROR(IF(_xlfn.XLOOKUP(O135,Dados[Ativo],Dados[Ticker do Ativo])="","",_xlfn.XLOOKUP(O135,Dados[Ativo],Dados[Ticker do Ativo])),"")</f>
        <v/>
      </c>
    </row>
    <row r="136" spans="3:14">
      <c r="C136" t="s">
        <v>233</v>
      </c>
      <c r="H136" t="str">
        <f>IFERROR(IF(_xlfn.XLOOKUP(O136,Dados[Ativo],Dados[Tipo do Ativo])="","",_xlfn.XLOOKUP(O136,Dados[Ativo],Dados[Tipo do Ativo])),"")</f>
        <v/>
      </c>
      <c r="I136" t="str">
        <f>IFERROR(IF(_xlfn.XLOOKUP(O136,Dados[Ativo],Dados[Emissor])="","",_xlfn.XLOOKUP(O136,Dados[Ativo],Dados[Emissor])),"")</f>
        <v/>
      </c>
      <c r="J136" s="168" t="str">
        <f>IFERROR(IF(_xlfn.XLOOKUP(O136,Dados[Ativo],Dados[Vencimento])="","",_xlfn.XLOOKUP(O136,Dados[Ativo],Dados[Vencimento])),"")</f>
        <v/>
      </c>
      <c r="K136" t="str">
        <f>IFERROR(IF(_xlfn.XLOOKUP(O136,Dados[Ativo],Dados[Remuneração])="","",_xlfn.XLOOKUP(O136,Dados[Ativo],Dados[Remuneração])),"")</f>
        <v/>
      </c>
      <c r="L136" t="str">
        <f>IFERROR(IF(_xlfn.XLOOKUP(O136,Dados[Ativo],Dados[Complemento])="","",_xlfn.XLOOKUP(O136,Dados[Ativo],Dados[Complemento])),"")</f>
        <v/>
      </c>
      <c r="N136" t="str">
        <f>IFERROR(IF(_xlfn.XLOOKUP(O136,Dados[Ativo],Dados[Ticker do Ativo])="","",_xlfn.XLOOKUP(O136,Dados[Ativo],Dados[Ticker do Ativo])),"")</f>
        <v/>
      </c>
    </row>
    <row r="137" spans="3:14">
      <c r="C137" t="s">
        <v>233</v>
      </c>
      <c r="H137" t="str">
        <f>IFERROR(IF(_xlfn.XLOOKUP(O137,Dados[Ativo],Dados[Tipo do Ativo])="","",_xlfn.XLOOKUP(O137,Dados[Ativo],Dados[Tipo do Ativo])),"")</f>
        <v/>
      </c>
      <c r="I137" t="str">
        <f>IFERROR(IF(_xlfn.XLOOKUP(O137,Dados[Ativo],Dados[Emissor])="","",_xlfn.XLOOKUP(O137,Dados[Ativo],Dados[Emissor])),"")</f>
        <v/>
      </c>
      <c r="J137" s="168" t="str">
        <f>IFERROR(IF(_xlfn.XLOOKUP(O137,Dados[Ativo],Dados[Vencimento])="","",_xlfn.XLOOKUP(O137,Dados[Ativo],Dados[Vencimento])),"")</f>
        <v/>
      </c>
      <c r="K137" t="str">
        <f>IFERROR(IF(_xlfn.XLOOKUP(O137,Dados[Ativo],Dados[Remuneração])="","",_xlfn.XLOOKUP(O137,Dados[Ativo],Dados[Remuneração])),"")</f>
        <v/>
      </c>
      <c r="L137" t="str">
        <f>IFERROR(IF(_xlfn.XLOOKUP(O137,Dados[Ativo],Dados[Complemento])="","",_xlfn.XLOOKUP(O137,Dados[Ativo],Dados[Complemento])),"")</f>
        <v/>
      </c>
      <c r="N137" t="str">
        <f>IFERROR(IF(_xlfn.XLOOKUP(O137,Dados[Ativo],Dados[Ticker do Ativo])="","",_xlfn.XLOOKUP(O137,Dados[Ativo],Dados[Ticker do Ativo])),"")</f>
        <v/>
      </c>
    </row>
    <row r="138" spans="3:14">
      <c r="C138" t="s">
        <v>233</v>
      </c>
      <c r="H138" t="str">
        <f>IFERROR(IF(_xlfn.XLOOKUP(O138,Dados[Ativo],Dados[Tipo do Ativo])="","",_xlfn.XLOOKUP(O138,Dados[Ativo],Dados[Tipo do Ativo])),"")</f>
        <v/>
      </c>
      <c r="I138" t="str">
        <f>IFERROR(IF(_xlfn.XLOOKUP(O138,Dados[Ativo],Dados[Emissor])="","",_xlfn.XLOOKUP(O138,Dados[Ativo],Dados[Emissor])),"")</f>
        <v/>
      </c>
      <c r="J138" s="168" t="str">
        <f>IFERROR(IF(_xlfn.XLOOKUP(O138,Dados[Ativo],Dados[Vencimento])="","",_xlfn.XLOOKUP(O138,Dados[Ativo],Dados[Vencimento])),"")</f>
        <v/>
      </c>
      <c r="K138" t="str">
        <f>IFERROR(IF(_xlfn.XLOOKUP(O138,Dados[Ativo],Dados[Remuneração])="","",_xlfn.XLOOKUP(O138,Dados[Ativo],Dados[Remuneração])),"")</f>
        <v/>
      </c>
      <c r="L138" t="str">
        <f>IFERROR(IF(_xlfn.XLOOKUP(O138,Dados[Ativo],Dados[Complemento])="","",_xlfn.XLOOKUP(O138,Dados[Ativo],Dados[Complemento])),"")</f>
        <v/>
      </c>
      <c r="N138" t="str">
        <f>IFERROR(IF(_xlfn.XLOOKUP(O138,Dados[Ativo],Dados[Ticker do Ativo])="","",_xlfn.XLOOKUP(O138,Dados[Ativo],Dados[Ticker do Ativo])),"")</f>
        <v/>
      </c>
    </row>
    <row r="139" spans="3:14">
      <c r="C139" t="s">
        <v>233</v>
      </c>
      <c r="H139" t="str">
        <f>IFERROR(IF(_xlfn.XLOOKUP(O139,Dados[Ativo],Dados[Tipo do Ativo])="","",_xlfn.XLOOKUP(O139,Dados[Ativo],Dados[Tipo do Ativo])),"")</f>
        <v/>
      </c>
      <c r="I139" t="str">
        <f>IFERROR(IF(_xlfn.XLOOKUP(O139,Dados[Ativo],Dados[Emissor])="","",_xlfn.XLOOKUP(O139,Dados[Ativo],Dados[Emissor])),"")</f>
        <v/>
      </c>
      <c r="J139" s="168" t="str">
        <f>IFERROR(IF(_xlfn.XLOOKUP(O139,Dados[Ativo],Dados[Vencimento])="","",_xlfn.XLOOKUP(O139,Dados[Ativo],Dados[Vencimento])),"")</f>
        <v/>
      </c>
      <c r="K139" t="str">
        <f>IFERROR(IF(_xlfn.XLOOKUP(O139,Dados[Ativo],Dados[Remuneração])="","",_xlfn.XLOOKUP(O139,Dados[Ativo],Dados[Remuneração])),"")</f>
        <v/>
      </c>
      <c r="L139" t="str">
        <f>IFERROR(IF(_xlfn.XLOOKUP(O139,Dados[Ativo],Dados[Complemento])="","",_xlfn.XLOOKUP(O139,Dados[Ativo],Dados[Complemento])),"")</f>
        <v/>
      </c>
      <c r="N139" t="str">
        <f>IFERROR(IF(_xlfn.XLOOKUP(O139,Dados[Ativo],Dados[Ticker do Ativo])="","",_xlfn.XLOOKUP(O139,Dados[Ativo],Dados[Ticker do Ativo])),"")</f>
        <v/>
      </c>
    </row>
    <row r="140" spans="3:14">
      <c r="C140" t="s">
        <v>233</v>
      </c>
      <c r="H140" t="str">
        <f>IFERROR(IF(_xlfn.XLOOKUP(O140,Dados[Ativo],Dados[Tipo do Ativo])="","",_xlfn.XLOOKUP(O140,Dados[Ativo],Dados[Tipo do Ativo])),"")</f>
        <v/>
      </c>
      <c r="I140" t="str">
        <f>IFERROR(IF(_xlfn.XLOOKUP(O140,Dados[Ativo],Dados[Emissor])="","",_xlfn.XLOOKUP(O140,Dados[Ativo],Dados[Emissor])),"")</f>
        <v/>
      </c>
      <c r="J140" s="168" t="str">
        <f>IFERROR(IF(_xlfn.XLOOKUP(O140,Dados[Ativo],Dados[Vencimento])="","",_xlfn.XLOOKUP(O140,Dados[Ativo],Dados[Vencimento])),"")</f>
        <v/>
      </c>
      <c r="K140" t="str">
        <f>IFERROR(IF(_xlfn.XLOOKUP(O140,Dados[Ativo],Dados[Remuneração])="","",_xlfn.XLOOKUP(O140,Dados[Ativo],Dados[Remuneração])),"")</f>
        <v/>
      </c>
      <c r="L140" t="str">
        <f>IFERROR(IF(_xlfn.XLOOKUP(O140,Dados[Ativo],Dados[Complemento])="","",_xlfn.XLOOKUP(O140,Dados[Ativo],Dados[Complemento])),"")</f>
        <v/>
      </c>
      <c r="N140" t="str">
        <f>IFERROR(IF(_xlfn.XLOOKUP(O140,Dados[Ativo],Dados[Ticker do Ativo])="","",_xlfn.XLOOKUP(O140,Dados[Ativo],Dados[Ticker do Ativo])),"")</f>
        <v/>
      </c>
    </row>
    <row r="141" spans="3:14">
      <c r="C141" t="s">
        <v>233</v>
      </c>
      <c r="H141" t="str">
        <f>IFERROR(IF(_xlfn.XLOOKUP(O141,Dados[Ativo],Dados[Tipo do Ativo])="","",_xlfn.XLOOKUP(O141,Dados[Ativo],Dados[Tipo do Ativo])),"")</f>
        <v/>
      </c>
      <c r="I141" t="str">
        <f>IFERROR(IF(_xlfn.XLOOKUP(O141,Dados[Ativo],Dados[Emissor])="","",_xlfn.XLOOKUP(O141,Dados[Ativo],Dados[Emissor])),"")</f>
        <v/>
      </c>
      <c r="J141" s="168" t="str">
        <f>IFERROR(IF(_xlfn.XLOOKUP(O141,Dados[Ativo],Dados[Vencimento])="","",_xlfn.XLOOKUP(O141,Dados[Ativo],Dados[Vencimento])),"")</f>
        <v/>
      </c>
      <c r="K141" t="str">
        <f>IFERROR(IF(_xlfn.XLOOKUP(O141,Dados[Ativo],Dados[Remuneração])="","",_xlfn.XLOOKUP(O141,Dados[Ativo],Dados[Remuneração])),"")</f>
        <v/>
      </c>
      <c r="L141" t="str">
        <f>IFERROR(IF(_xlfn.XLOOKUP(O141,Dados[Ativo],Dados[Complemento])="","",_xlfn.XLOOKUP(O141,Dados[Ativo],Dados[Complemento])),"")</f>
        <v/>
      </c>
      <c r="N141" t="str">
        <f>IFERROR(IF(_xlfn.XLOOKUP(O141,Dados[Ativo],Dados[Ticker do Ativo])="","",_xlfn.XLOOKUP(O141,Dados[Ativo],Dados[Ticker do Ativo])),"")</f>
        <v/>
      </c>
    </row>
    <row r="142" spans="3:14">
      <c r="C142" t="s">
        <v>233</v>
      </c>
      <c r="H142" t="str">
        <f>IFERROR(IF(_xlfn.XLOOKUP(O142,Dados[Ativo],Dados[Tipo do Ativo])="","",_xlfn.XLOOKUP(O142,Dados[Ativo],Dados[Tipo do Ativo])),"")</f>
        <v/>
      </c>
      <c r="I142" t="str">
        <f>IFERROR(IF(_xlfn.XLOOKUP(O142,Dados[Ativo],Dados[Emissor])="","",_xlfn.XLOOKUP(O142,Dados[Ativo],Dados[Emissor])),"")</f>
        <v/>
      </c>
      <c r="J142" s="168" t="str">
        <f>IFERROR(IF(_xlfn.XLOOKUP(O142,Dados[Ativo],Dados[Vencimento])="","",_xlfn.XLOOKUP(O142,Dados[Ativo],Dados[Vencimento])),"")</f>
        <v/>
      </c>
      <c r="K142" t="str">
        <f>IFERROR(IF(_xlfn.XLOOKUP(O142,Dados[Ativo],Dados[Remuneração])="","",_xlfn.XLOOKUP(O142,Dados[Ativo],Dados[Remuneração])),"")</f>
        <v/>
      </c>
      <c r="L142" t="str">
        <f>IFERROR(IF(_xlfn.XLOOKUP(O142,Dados[Ativo],Dados[Complemento])="","",_xlfn.XLOOKUP(O142,Dados[Ativo],Dados[Complemento])),"")</f>
        <v/>
      </c>
      <c r="N142" t="str">
        <f>IFERROR(IF(_xlfn.XLOOKUP(O142,Dados[Ativo],Dados[Ticker do Ativo])="","",_xlfn.XLOOKUP(O142,Dados[Ativo],Dados[Ticker do Ativo])),"")</f>
        <v/>
      </c>
    </row>
    <row r="143" spans="3:14">
      <c r="C143" t="s">
        <v>233</v>
      </c>
      <c r="H143" t="str">
        <f>IFERROR(IF(_xlfn.XLOOKUP(O143,Dados[Ativo],Dados[Tipo do Ativo])="","",_xlfn.XLOOKUP(O143,Dados[Ativo],Dados[Tipo do Ativo])),"")</f>
        <v/>
      </c>
      <c r="I143" t="str">
        <f>IFERROR(IF(_xlfn.XLOOKUP(O143,Dados[Ativo],Dados[Emissor])="","",_xlfn.XLOOKUP(O143,Dados[Ativo],Dados[Emissor])),"")</f>
        <v/>
      </c>
      <c r="J143" s="168" t="str">
        <f>IFERROR(IF(_xlfn.XLOOKUP(O143,Dados[Ativo],Dados[Vencimento])="","",_xlfn.XLOOKUP(O143,Dados[Ativo],Dados[Vencimento])),"")</f>
        <v/>
      </c>
      <c r="K143" t="str">
        <f>IFERROR(IF(_xlfn.XLOOKUP(O143,Dados[Ativo],Dados[Remuneração])="","",_xlfn.XLOOKUP(O143,Dados[Ativo],Dados[Remuneração])),"")</f>
        <v/>
      </c>
      <c r="L143" t="str">
        <f>IFERROR(IF(_xlfn.XLOOKUP(O143,Dados[Ativo],Dados[Complemento])="","",_xlfn.XLOOKUP(O143,Dados[Ativo],Dados[Complemento])),"")</f>
        <v/>
      </c>
      <c r="N143" t="str">
        <f>IFERROR(IF(_xlfn.XLOOKUP(O143,Dados[Ativo],Dados[Ticker do Ativo])="","",_xlfn.XLOOKUP(O143,Dados[Ativo],Dados[Ticker do Ativo])),"")</f>
        <v/>
      </c>
    </row>
    <row r="144" spans="3:14">
      <c r="C144" t="s">
        <v>233</v>
      </c>
      <c r="H144" t="str">
        <f>IFERROR(IF(_xlfn.XLOOKUP(O144,Dados[Ativo],Dados[Tipo do Ativo])="","",_xlfn.XLOOKUP(O144,Dados[Ativo],Dados[Tipo do Ativo])),"")</f>
        <v/>
      </c>
      <c r="I144" t="str">
        <f>IFERROR(IF(_xlfn.XLOOKUP(O144,Dados[Ativo],Dados[Emissor])="","",_xlfn.XLOOKUP(O144,Dados[Ativo],Dados[Emissor])),"")</f>
        <v/>
      </c>
      <c r="J144" s="168" t="str">
        <f>IFERROR(IF(_xlfn.XLOOKUP(O144,Dados[Ativo],Dados[Vencimento])="","",_xlfn.XLOOKUP(O144,Dados[Ativo],Dados[Vencimento])),"")</f>
        <v/>
      </c>
      <c r="K144" t="str">
        <f>IFERROR(IF(_xlfn.XLOOKUP(O144,Dados[Ativo],Dados[Remuneração])="","",_xlfn.XLOOKUP(O144,Dados[Ativo],Dados[Remuneração])),"")</f>
        <v/>
      </c>
      <c r="L144" t="str">
        <f>IFERROR(IF(_xlfn.XLOOKUP(O144,Dados[Ativo],Dados[Complemento])="","",_xlfn.XLOOKUP(O144,Dados[Ativo],Dados[Complemento])),"")</f>
        <v/>
      </c>
      <c r="N144" t="str">
        <f>IFERROR(IF(_xlfn.XLOOKUP(O144,Dados[Ativo],Dados[Ticker do Ativo])="","",_xlfn.XLOOKUP(O144,Dados[Ativo],Dados[Ticker do Ativo])),"")</f>
        <v/>
      </c>
    </row>
    <row r="145" spans="3:14">
      <c r="C145" t="s">
        <v>233</v>
      </c>
      <c r="H145" t="str">
        <f>IFERROR(IF(_xlfn.XLOOKUP(O145,Dados[Ativo],Dados[Tipo do Ativo])="","",_xlfn.XLOOKUP(O145,Dados[Ativo],Dados[Tipo do Ativo])),"")</f>
        <v/>
      </c>
      <c r="I145" t="str">
        <f>IFERROR(IF(_xlfn.XLOOKUP(O145,Dados[Ativo],Dados[Emissor])="","",_xlfn.XLOOKUP(O145,Dados[Ativo],Dados[Emissor])),"")</f>
        <v/>
      </c>
      <c r="J145" s="168" t="str">
        <f>IFERROR(IF(_xlfn.XLOOKUP(O145,Dados[Ativo],Dados[Vencimento])="","",_xlfn.XLOOKUP(O145,Dados[Ativo],Dados[Vencimento])),"")</f>
        <v/>
      </c>
      <c r="K145" t="str">
        <f>IFERROR(IF(_xlfn.XLOOKUP(O145,Dados[Ativo],Dados[Remuneração])="","",_xlfn.XLOOKUP(O145,Dados[Ativo],Dados[Remuneração])),"")</f>
        <v/>
      </c>
      <c r="L145" t="str">
        <f>IFERROR(IF(_xlfn.XLOOKUP(O145,Dados[Ativo],Dados[Complemento])="","",_xlfn.XLOOKUP(O145,Dados[Ativo],Dados[Complemento])),"")</f>
        <v/>
      </c>
      <c r="N145" t="str">
        <f>IFERROR(IF(_xlfn.XLOOKUP(O145,Dados[Ativo],Dados[Ticker do Ativo])="","",_xlfn.XLOOKUP(O145,Dados[Ativo],Dados[Ticker do Ativo])),"")</f>
        <v/>
      </c>
    </row>
    <row r="146" spans="3:14">
      <c r="C146" t="s">
        <v>233</v>
      </c>
      <c r="H146" t="str">
        <f>IFERROR(IF(_xlfn.XLOOKUP(O146,Dados[Ativo],Dados[Tipo do Ativo])="","",_xlfn.XLOOKUP(O146,Dados[Ativo],Dados[Tipo do Ativo])),"")</f>
        <v/>
      </c>
      <c r="I146" t="str">
        <f>IFERROR(IF(_xlfn.XLOOKUP(O146,Dados[Ativo],Dados[Emissor])="","",_xlfn.XLOOKUP(O146,Dados[Ativo],Dados[Emissor])),"")</f>
        <v/>
      </c>
      <c r="J146" s="168" t="str">
        <f>IFERROR(IF(_xlfn.XLOOKUP(O146,Dados[Ativo],Dados[Vencimento])="","",_xlfn.XLOOKUP(O146,Dados[Ativo],Dados[Vencimento])),"")</f>
        <v/>
      </c>
      <c r="K146" t="str">
        <f>IFERROR(IF(_xlfn.XLOOKUP(O146,Dados[Ativo],Dados[Remuneração])="","",_xlfn.XLOOKUP(O146,Dados[Ativo],Dados[Remuneração])),"")</f>
        <v/>
      </c>
      <c r="L146" t="str">
        <f>IFERROR(IF(_xlfn.XLOOKUP(O146,Dados[Ativo],Dados[Complemento])="","",_xlfn.XLOOKUP(O146,Dados[Ativo],Dados[Complemento])),"")</f>
        <v/>
      </c>
      <c r="N146" t="str">
        <f>IFERROR(IF(_xlfn.XLOOKUP(O146,Dados[Ativo],Dados[Ticker do Ativo])="","",_xlfn.XLOOKUP(O146,Dados[Ativo],Dados[Ticker do Ativo])),"")</f>
        <v/>
      </c>
    </row>
    <row r="147" spans="3:14">
      <c r="C147" t="s">
        <v>233</v>
      </c>
      <c r="H147" t="str">
        <f>IFERROR(IF(_xlfn.XLOOKUP(O147,Dados[Ativo],Dados[Tipo do Ativo])="","",_xlfn.XLOOKUP(O147,Dados[Ativo],Dados[Tipo do Ativo])),"")</f>
        <v/>
      </c>
      <c r="I147" t="str">
        <f>IFERROR(IF(_xlfn.XLOOKUP(O147,Dados[Ativo],Dados[Emissor])="","",_xlfn.XLOOKUP(O147,Dados[Ativo],Dados[Emissor])),"")</f>
        <v/>
      </c>
      <c r="J147" s="168" t="str">
        <f>IFERROR(IF(_xlfn.XLOOKUP(O147,Dados[Ativo],Dados[Vencimento])="","",_xlfn.XLOOKUP(O147,Dados[Ativo],Dados[Vencimento])),"")</f>
        <v/>
      </c>
      <c r="K147" t="str">
        <f>IFERROR(IF(_xlfn.XLOOKUP(O147,Dados[Ativo],Dados[Remuneração])="","",_xlfn.XLOOKUP(O147,Dados[Ativo],Dados[Remuneração])),"")</f>
        <v/>
      </c>
      <c r="L147" t="str">
        <f>IFERROR(IF(_xlfn.XLOOKUP(O147,Dados[Ativo],Dados[Complemento])="","",_xlfn.XLOOKUP(O147,Dados[Ativo],Dados[Complemento])),"")</f>
        <v/>
      </c>
      <c r="N147" t="str">
        <f>IFERROR(IF(_xlfn.XLOOKUP(O147,Dados[Ativo],Dados[Ticker do Ativo])="","",_xlfn.XLOOKUP(O147,Dados[Ativo],Dados[Ticker do Ativo])),"")</f>
        <v/>
      </c>
    </row>
    <row r="148" spans="3:14">
      <c r="C148" t="s">
        <v>233</v>
      </c>
      <c r="H148" t="str">
        <f>IFERROR(IF(_xlfn.XLOOKUP(O148,Dados[Ativo],Dados[Tipo do Ativo])="","",_xlfn.XLOOKUP(O148,Dados[Ativo],Dados[Tipo do Ativo])),"")</f>
        <v/>
      </c>
      <c r="I148" t="str">
        <f>IFERROR(IF(_xlfn.XLOOKUP(O148,Dados[Ativo],Dados[Emissor])="","",_xlfn.XLOOKUP(O148,Dados[Ativo],Dados[Emissor])),"")</f>
        <v/>
      </c>
      <c r="J148" s="168" t="str">
        <f>IFERROR(IF(_xlfn.XLOOKUP(O148,Dados[Ativo],Dados[Vencimento])="","",_xlfn.XLOOKUP(O148,Dados[Ativo],Dados[Vencimento])),"")</f>
        <v/>
      </c>
      <c r="K148" t="str">
        <f>IFERROR(IF(_xlfn.XLOOKUP(O148,Dados[Ativo],Dados[Remuneração])="","",_xlfn.XLOOKUP(O148,Dados[Ativo],Dados[Remuneração])),"")</f>
        <v/>
      </c>
      <c r="L148" t="str">
        <f>IFERROR(IF(_xlfn.XLOOKUP(O148,Dados[Ativo],Dados[Complemento])="","",_xlfn.XLOOKUP(O148,Dados[Ativo],Dados[Complemento])),"")</f>
        <v/>
      </c>
      <c r="N148" t="str">
        <f>IFERROR(IF(_xlfn.XLOOKUP(O148,Dados[Ativo],Dados[Ticker do Ativo])="","",_xlfn.XLOOKUP(O148,Dados[Ativo],Dados[Ticker do Ativo])),"")</f>
        <v/>
      </c>
    </row>
    <row r="149" spans="3:14">
      <c r="C149" t="s">
        <v>233</v>
      </c>
      <c r="H149" t="str">
        <f>IFERROR(IF(_xlfn.XLOOKUP(O149,Dados[Ativo],Dados[Tipo do Ativo])="","",_xlfn.XLOOKUP(O149,Dados[Ativo],Dados[Tipo do Ativo])),"")</f>
        <v/>
      </c>
      <c r="I149" t="str">
        <f>IFERROR(IF(_xlfn.XLOOKUP(O149,Dados[Ativo],Dados[Emissor])="","",_xlfn.XLOOKUP(O149,Dados[Ativo],Dados[Emissor])),"")</f>
        <v/>
      </c>
      <c r="J149" s="168" t="str">
        <f>IFERROR(IF(_xlfn.XLOOKUP(O149,Dados[Ativo],Dados[Vencimento])="","",_xlfn.XLOOKUP(O149,Dados[Ativo],Dados[Vencimento])),"")</f>
        <v/>
      </c>
      <c r="K149" t="str">
        <f>IFERROR(IF(_xlfn.XLOOKUP(O149,Dados[Ativo],Dados[Remuneração])="","",_xlfn.XLOOKUP(O149,Dados[Ativo],Dados[Remuneração])),"")</f>
        <v/>
      </c>
      <c r="L149" t="str">
        <f>IFERROR(IF(_xlfn.XLOOKUP(O149,Dados[Ativo],Dados[Complemento])="","",_xlfn.XLOOKUP(O149,Dados[Ativo],Dados[Complemento])),"")</f>
        <v/>
      </c>
      <c r="N149" t="str">
        <f>IFERROR(IF(_xlfn.XLOOKUP(O149,Dados[Ativo],Dados[Ticker do Ativo])="","",_xlfn.XLOOKUP(O149,Dados[Ativo],Dados[Ticker do Ativo])),"")</f>
        <v/>
      </c>
    </row>
    <row r="150" spans="3:14">
      <c r="C150" t="s">
        <v>233</v>
      </c>
      <c r="H150" t="str">
        <f>IFERROR(IF(_xlfn.XLOOKUP(O150,Dados[Ativo],Dados[Tipo do Ativo])="","",_xlfn.XLOOKUP(O150,Dados[Ativo],Dados[Tipo do Ativo])),"")</f>
        <v/>
      </c>
      <c r="I150" t="str">
        <f>IFERROR(IF(_xlfn.XLOOKUP(O150,Dados[Ativo],Dados[Emissor])="","",_xlfn.XLOOKUP(O150,Dados[Ativo],Dados[Emissor])),"")</f>
        <v/>
      </c>
      <c r="J150" s="168" t="str">
        <f>IFERROR(IF(_xlfn.XLOOKUP(O150,Dados[Ativo],Dados[Vencimento])="","",_xlfn.XLOOKUP(O150,Dados[Ativo],Dados[Vencimento])),"")</f>
        <v/>
      </c>
      <c r="K150" t="str">
        <f>IFERROR(IF(_xlfn.XLOOKUP(O150,Dados[Ativo],Dados[Remuneração])="","",_xlfn.XLOOKUP(O150,Dados[Ativo],Dados[Remuneração])),"")</f>
        <v/>
      </c>
      <c r="L150" t="str">
        <f>IFERROR(IF(_xlfn.XLOOKUP(O150,Dados[Ativo],Dados[Complemento])="","",_xlfn.XLOOKUP(O150,Dados[Ativo],Dados[Complemento])),"")</f>
        <v/>
      </c>
      <c r="N150" t="str">
        <f>IFERROR(IF(_xlfn.XLOOKUP(O150,Dados[Ativo],Dados[Ticker do Ativo])="","",_xlfn.XLOOKUP(O150,Dados[Ativo],Dados[Ticker do Ativo])),"")</f>
        <v/>
      </c>
    </row>
  </sheetData>
  <autoFilter ref="B2:V2" xr:uid="{D6C8121D-06CB-4C6B-8FDE-9C120A824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Visão Global</vt:lpstr>
      <vt:lpstr>Resumo | Onshore</vt:lpstr>
      <vt:lpstr>Resumo por Classes | Onshore</vt:lpstr>
      <vt:lpstr>Resumo Carteira | Onshore</vt:lpstr>
      <vt:lpstr>Carteira Atualizada</vt:lpstr>
      <vt:lpstr>Dados</vt:lpstr>
      <vt:lpstr>Informações Complementares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Incontri</dc:creator>
  <cp:lastModifiedBy>Victor Valezim</cp:lastModifiedBy>
  <dcterms:created xsi:type="dcterms:W3CDTF">2023-12-20T11:44:51Z</dcterms:created>
  <dcterms:modified xsi:type="dcterms:W3CDTF">2024-08-08T19:30:47Z</dcterms:modified>
</cp:coreProperties>
</file>