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ina\Desktop\Axigma\INFORMES ECONÓMICOS-FINANCIEROS\Financial Statements\Financial Statements Y20\"/>
    </mc:Choice>
  </mc:AlternateContent>
  <xr:revisionPtr revIDLastSave="0" documentId="8_{2DFBB44E-ECE7-4BC5-AA7E-B0547CC0A104}" xr6:coauthVersionLast="47" xr6:coauthVersionMax="47" xr10:uidLastSave="{00000000-0000-0000-0000-000000000000}"/>
  <bookViews>
    <workbookView xWindow="-108" yWindow="-108" windowWidth="23256" windowHeight="13896" tabRatio="595" xr2:uid="{00000000-000D-0000-FFFF-FFFF00000000}"/>
  </bookViews>
  <sheets>
    <sheet name="P&amp;L " sheetId="73" r:id="rId1"/>
    <sheet name="SAP " sheetId="48" r:id="rId2"/>
    <sheet name="SAP D" sheetId="74" r:id="rId3"/>
    <sheet name="C-P IT" sheetId="31" r:id="rId4"/>
    <sheet name="SF" sheetId="78" r:id="rId5"/>
    <sheet name="CD SAP" sheetId="68" r:id="rId6"/>
    <sheet name="CD SAP D" sheetId="77" r:id="rId7"/>
    <sheet name="CD SF" sheetId="79" r:id="rId8"/>
    <sheet name="CD C-P IT " sheetId="80" r:id="rId9"/>
    <sheet name="CI Per" sheetId="40" r:id="rId10"/>
    <sheet name="CI Otros" sheetId="44" r:id="rId11"/>
  </sheets>
  <definedNames>
    <definedName name="_xlnm._FilterDatabase" localSheetId="8" hidden="1">'CD C-P IT '!#REF!</definedName>
    <definedName name="_xlnm._FilterDatabase" localSheetId="5" hidden="1">'CD SAP'!#REF!</definedName>
    <definedName name="_xlnm._FilterDatabase" localSheetId="6" hidden="1">'CD SAP D'!#REF!</definedName>
    <definedName name="_xlnm._FilterDatabase" localSheetId="7" hidden="1">'CD SF'!#REF!</definedName>
    <definedName name="_xlnm._FilterDatabase" localSheetId="9" hidden="1">'CI Per'!#REF!</definedName>
    <definedName name="_xlnm._FilterDatabase" localSheetId="3" hidden="1">'C-P IT'!#REF!</definedName>
    <definedName name="_xlnm._FilterDatabase" localSheetId="0" hidden="1">'P&amp;L '!#REF!</definedName>
    <definedName name="_xlnm._FilterDatabase" localSheetId="1" hidden="1">'SAP '!#REF!</definedName>
    <definedName name="_xlnm._FilterDatabase" localSheetId="2" hidden="1">'SAP D'!#REF!</definedName>
    <definedName name="_xlnm._FilterDatabase" localSheetId="4" hidden="1">SF!#REF!</definedName>
    <definedName name="_xlnm.Print_Area" localSheetId="8">'CD C-P IT '!$C$1:$P$41</definedName>
    <definedName name="_xlnm.Print_Area" localSheetId="5">'CD SAP'!$B$1:$O$158</definedName>
    <definedName name="_xlnm.Print_Area" localSheetId="6">'CD SAP D'!$C$1:$P$9</definedName>
    <definedName name="_xlnm.Print_Area" localSheetId="7">'CD SF'!$C$1:$P$98</definedName>
    <definedName name="_xlnm.Print_Area" localSheetId="10">'CI Otros'!$B$2:$P$42</definedName>
    <definedName name="_xlnm.Print_Area" localSheetId="9">'CI Per'!$C$26:$P$115</definedName>
    <definedName name="_xlnm.Print_Area" localSheetId="3">'C-P IT'!$C$1:$P$41</definedName>
    <definedName name="_xlnm.Print_Area" localSheetId="0">'P&amp;L '!$C$1:$L$100</definedName>
    <definedName name="_xlnm.Print_Area" localSheetId="1">'SAP '!$B$5:$C$14</definedName>
    <definedName name="_xlnm.Print_Area" localSheetId="2">'SAP D'!$C$1:$P$9</definedName>
    <definedName name="_xlnm.Print_Area" localSheetId="4">SF!$C$5:$D$11</definedName>
    <definedName name="_xlnm.Print_Titles" localSheetId="8">'CD C-P IT '!$1:$4</definedName>
    <definedName name="_xlnm.Print_Titles" localSheetId="5">'CD SAP'!$1:$4</definedName>
    <definedName name="_xlnm.Print_Titles" localSheetId="6">'CD SAP D'!$1:$4</definedName>
    <definedName name="_xlnm.Print_Titles" localSheetId="7">'CD SF'!$1:$4</definedName>
    <definedName name="_xlnm.Print_Titles" localSheetId="9">'CI Per'!$1:$4</definedName>
    <definedName name="_xlnm.Print_Titles" localSheetId="3">'C-P IT'!$1:$4</definedName>
    <definedName name="_xlnm.Print_Titles" localSheetId="1">'SAP '!$1:$4</definedName>
    <definedName name="_xlnm.Print_Titles" localSheetId="2">'SAP D'!$1:$4</definedName>
    <definedName name="_xlnm.Print_Titles" localSheetId="4">SF!$1:$4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8" i="68" l="1"/>
  <c r="N147" i="48"/>
  <c r="M104" i="68" l="1"/>
  <c r="B104" i="68"/>
  <c r="L20" i="68"/>
  <c r="K38" i="68"/>
  <c r="L21" i="68" l="1"/>
  <c r="M21" i="68" l="1"/>
  <c r="L165" i="68"/>
  <c r="K165" i="68"/>
  <c r="M165" i="68"/>
  <c r="B64" i="68"/>
  <c r="M60" i="48"/>
  <c r="L64" i="68"/>
  <c r="M22" i="68"/>
  <c r="N147" i="68"/>
  <c r="N146" i="48"/>
  <c r="M21" i="40" l="1"/>
  <c r="N48" i="44"/>
  <c r="N23" i="44"/>
  <c r="N4" i="44"/>
  <c r="M41" i="40"/>
  <c r="M30" i="40"/>
  <c r="M55" i="40"/>
  <c r="M91" i="40"/>
  <c r="M70" i="40"/>
  <c r="M104" i="40"/>
  <c r="L25" i="68" l="1"/>
  <c r="L22" i="68"/>
  <c r="L27" i="68"/>
  <c r="L23" i="68"/>
  <c r="L21" i="40" l="1"/>
  <c r="M4" i="44"/>
  <c r="M23" i="44"/>
  <c r="M48" i="44"/>
  <c r="M36" i="44"/>
  <c r="L36" i="44"/>
  <c r="M100" i="68" l="1"/>
  <c r="L57" i="40"/>
  <c r="K57" i="40"/>
  <c r="L41" i="40"/>
  <c r="L30" i="40"/>
  <c r="L55" i="40"/>
  <c r="L91" i="40"/>
  <c r="L70" i="40"/>
  <c r="L104" i="40"/>
  <c r="L53" i="44"/>
  <c r="L26" i="68"/>
  <c r="J22" i="68" l="1"/>
  <c r="K145" i="48"/>
  <c r="K146" i="68"/>
  <c r="K63" i="68" l="1"/>
  <c r="K166" i="68"/>
  <c r="K100" i="68"/>
  <c r="K145" i="68" l="1"/>
  <c r="K144" i="48"/>
  <c r="L103" i="68"/>
  <c r="K103" i="68"/>
  <c r="J42" i="40"/>
  <c r="J31" i="40"/>
  <c r="K29" i="68"/>
  <c r="K102" i="68" l="1"/>
  <c r="K20" i="68"/>
  <c r="J47" i="44"/>
  <c r="L48" i="44"/>
  <c r="L23" i="44" l="1"/>
  <c r="J165" i="68"/>
  <c r="L100" i="68"/>
  <c r="B103" i="68" l="1"/>
  <c r="K21" i="40" l="1"/>
  <c r="B102" i="68"/>
  <c r="O63" i="68"/>
  <c r="O64" i="68"/>
  <c r="O65" i="68"/>
  <c r="O66" i="68"/>
  <c r="K59" i="48"/>
  <c r="N101" i="68"/>
  <c r="K101" i="68"/>
  <c r="B101" i="68"/>
  <c r="L4" i="44" l="1"/>
  <c r="J158" i="48"/>
  <c r="K85" i="44"/>
  <c r="K24" i="44"/>
  <c r="K53" i="44"/>
  <c r="J53" i="44"/>
  <c r="K55" i="40"/>
  <c r="K41" i="40"/>
  <c r="K104" i="40"/>
  <c r="K70" i="40"/>
  <c r="K91" i="40"/>
  <c r="J157" i="48" l="1"/>
  <c r="J62" i="68" l="1"/>
  <c r="O62" i="68" s="1"/>
  <c r="J58" i="48"/>
  <c r="J98" i="68"/>
  <c r="I98" i="68"/>
  <c r="E56" i="73"/>
  <c r="F56" i="73"/>
  <c r="G56" i="73"/>
  <c r="H56" i="73"/>
  <c r="I56" i="73"/>
  <c r="J56" i="73"/>
  <c r="K56" i="73"/>
  <c r="L56" i="73"/>
  <c r="M56" i="73"/>
  <c r="N56" i="73"/>
  <c r="O56" i="73"/>
  <c r="J100" i="68"/>
  <c r="J95" i="48"/>
  <c r="J23" i="68"/>
  <c r="J21" i="68"/>
  <c r="J21" i="40"/>
  <c r="I47" i="44"/>
  <c r="K23" i="44"/>
  <c r="J57" i="40" l="1"/>
  <c r="I57" i="40"/>
  <c r="J65" i="40"/>
  <c r="I65" i="40"/>
  <c r="J20" i="68"/>
  <c r="I166" i="68"/>
  <c r="L31" i="44"/>
  <c r="M31" i="44"/>
  <c r="N31" i="44"/>
  <c r="O31" i="44"/>
  <c r="K31" i="44"/>
  <c r="E118" i="40"/>
  <c r="F118" i="40"/>
  <c r="G118" i="40"/>
  <c r="H118" i="40"/>
  <c r="I118" i="40"/>
  <c r="J118" i="40"/>
  <c r="K118" i="40"/>
  <c r="L118" i="40"/>
  <c r="M118" i="40"/>
  <c r="N118" i="40"/>
  <c r="O118" i="40"/>
  <c r="K48" i="44"/>
  <c r="K4" i="44"/>
  <c r="J59" i="44"/>
  <c r="J51" i="44"/>
  <c r="J88" i="79" l="1"/>
  <c r="C88" i="79"/>
  <c r="J83" i="78"/>
  <c r="J41" i="40"/>
  <c r="J30" i="40"/>
  <c r="J91" i="40"/>
  <c r="I24" i="68"/>
  <c r="H22" i="68"/>
  <c r="I61" i="68"/>
  <c r="I57" i="48"/>
  <c r="L99" i="68"/>
  <c r="I99" i="68"/>
  <c r="I60" i="68"/>
  <c r="I59" i="68"/>
  <c r="I56" i="48"/>
  <c r="I55" i="48"/>
  <c r="H33" i="44" l="1"/>
  <c r="I33" i="44"/>
  <c r="H28" i="68"/>
  <c r="I31" i="40"/>
  <c r="H165" i="68"/>
  <c r="I165" i="68"/>
  <c r="I21" i="40"/>
  <c r="I32" i="48"/>
  <c r="J23" i="44"/>
  <c r="I26" i="68" l="1"/>
  <c r="I158" i="48"/>
  <c r="J48" i="44" l="1"/>
  <c r="J4" i="44"/>
  <c r="J67" i="79"/>
  <c r="C67" i="79"/>
  <c r="I85" i="44"/>
  <c r="I82" i="44"/>
  <c r="I24" i="44"/>
  <c r="J45" i="40"/>
  <c r="I45" i="40"/>
  <c r="I53" i="44"/>
  <c r="I12" i="44"/>
  <c r="I41" i="40"/>
  <c r="I30" i="40"/>
  <c r="I55" i="40"/>
  <c r="I104" i="40"/>
  <c r="I70" i="40"/>
  <c r="I91" i="40"/>
  <c r="I20" i="68" l="1"/>
  <c r="G57" i="40" l="1"/>
  <c r="H57" i="40"/>
  <c r="F57" i="40"/>
  <c r="H64" i="40"/>
  <c r="G64" i="40"/>
  <c r="H166" i="68"/>
  <c r="G31" i="40" l="1"/>
  <c r="H31" i="40"/>
  <c r="F31" i="40"/>
  <c r="I42" i="40"/>
  <c r="F42" i="40"/>
  <c r="H49" i="40"/>
  <c r="H42" i="40" s="1"/>
  <c r="G49" i="40"/>
  <c r="G42" i="40" s="1"/>
  <c r="H21" i="40" l="1"/>
  <c r="H31" i="44" l="1"/>
  <c r="I23" i="44"/>
  <c r="I13" i="44" l="1"/>
  <c r="H48" i="44" l="1"/>
  <c r="I48" i="44"/>
  <c r="H85" i="44" l="1"/>
  <c r="H24" i="44"/>
  <c r="H68" i="44"/>
  <c r="G53" i="44" l="1"/>
  <c r="H53" i="44"/>
  <c r="H33" i="68"/>
  <c r="I4" i="44"/>
  <c r="H13" i="44"/>
  <c r="H93" i="68" l="1"/>
  <c r="H21" i="68"/>
  <c r="H23" i="68"/>
  <c r="H41" i="40" l="1"/>
  <c r="H30" i="40"/>
  <c r="H55" i="40"/>
  <c r="H91" i="40"/>
  <c r="H70" i="40"/>
  <c r="H104" i="40"/>
  <c r="G58" i="68" l="1"/>
  <c r="G54" i="48"/>
  <c r="G165" i="68"/>
  <c r="O94" i="68"/>
  <c r="H92" i="68"/>
  <c r="I92" i="68"/>
  <c r="J92" i="68"/>
  <c r="K92" i="68"/>
  <c r="L92" i="68"/>
  <c r="M92" i="68"/>
  <c r="N92" i="68"/>
  <c r="F97" i="68"/>
  <c r="O97" i="68" s="1"/>
  <c r="G157" i="48" l="1"/>
  <c r="H23" i="44" l="1"/>
  <c r="G21" i="40" l="1"/>
  <c r="G31" i="44" l="1"/>
  <c r="F165" i="68"/>
  <c r="H4" i="44"/>
  <c r="H12" i="77"/>
  <c r="G13" i="44" l="1"/>
  <c r="H12" i="74" l="1"/>
  <c r="G45" i="40" l="1"/>
  <c r="G41" i="40" l="1"/>
  <c r="G30" i="40"/>
  <c r="G55" i="40"/>
  <c r="G91" i="40"/>
  <c r="G70" i="40"/>
  <c r="G104" i="40"/>
  <c r="G144" i="68" l="1"/>
  <c r="G143" i="48"/>
  <c r="F92" i="48" l="1"/>
  <c r="H67" i="44" l="1"/>
  <c r="G42" i="68"/>
  <c r="B42" i="68"/>
  <c r="G20" i="68" l="1"/>
  <c r="G29" i="68"/>
  <c r="F23" i="68" l="1"/>
  <c r="G11" i="77"/>
  <c r="C11" i="77"/>
  <c r="C12" i="77"/>
  <c r="G11" i="74"/>
  <c r="G96" i="68" l="1"/>
  <c r="G92" i="68" s="1"/>
  <c r="F96" i="68"/>
  <c r="G91" i="48"/>
  <c r="F91" i="48"/>
  <c r="B97" i="68"/>
  <c r="B98" i="68"/>
  <c r="B99" i="68"/>
  <c r="B100" i="68"/>
  <c r="B96" i="68"/>
  <c r="F92" i="68" l="1"/>
  <c r="O96" i="68"/>
  <c r="F85" i="44"/>
  <c r="F24" i="44"/>
  <c r="F45" i="40"/>
  <c r="F53" i="44"/>
  <c r="F26" i="44"/>
  <c r="F34" i="40"/>
  <c r="F21" i="44"/>
  <c r="E165" i="68"/>
  <c r="G66" i="79"/>
  <c r="C66" i="79"/>
  <c r="G57" i="78"/>
  <c r="F21" i="40" l="1"/>
  <c r="G23" i="44" l="1"/>
  <c r="E31" i="40" l="1"/>
  <c r="F64" i="40"/>
  <c r="E64" i="40"/>
  <c r="E57" i="40" s="1"/>
  <c r="G4" i="44" l="1"/>
  <c r="G48" i="44"/>
  <c r="F140" i="48"/>
  <c r="G140" i="48"/>
  <c r="F62" i="44" l="1"/>
  <c r="F31" i="44"/>
  <c r="F20" i="68"/>
  <c r="E41" i="68"/>
  <c r="E142" i="48" l="1"/>
  <c r="F142" i="48"/>
  <c r="F22" i="68" l="1"/>
  <c r="F41" i="40" l="1"/>
  <c r="F30" i="40"/>
  <c r="F55" i="40"/>
  <c r="F91" i="40"/>
  <c r="F70" i="40"/>
  <c r="F104" i="40"/>
  <c r="G80" i="78" l="1"/>
  <c r="H80" i="78"/>
  <c r="I80" i="78"/>
  <c r="J80" i="78"/>
  <c r="K80" i="78"/>
  <c r="L80" i="78"/>
  <c r="M80" i="78"/>
  <c r="N80" i="78"/>
  <c r="O80" i="78"/>
  <c r="F81" i="78"/>
  <c r="F80" i="78" s="1"/>
  <c r="E166" i="68" l="1"/>
  <c r="C165" i="68" l="1"/>
  <c r="E158" i="48"/>
  <c r="E20" i="68" l="1"/>
  <c r="E21" i="68"/>
  <c r="E143" i="68" l="1"/>
  <c r="F138" i="48"/>
  <c r="D138" i="48"/>
  <c r="G138" i="48"/>
  <c r="H138" i="48"/>
  <c r="I138" i="48"/>
  <c r="J138" i="48"/>
  <c r="K138" i="48"/>
  <c r="L138" i="48"/>
  <c r="M138" i="48"/>
  <c r="N138" i="48"/>
  <c r="E76" i="68"/>
  <c r="B76" i="68"/>
  <c r="E72" i="48"/>
  <c r="F13" i="44"/>
  <c r="E142" i="68"/>
  <c r="E141" i="48"/>
  <c r="F18" i="79" l="1"/>
  <c r="E22" i="68" l="1"/>
  <c r="E141" i="68" l="1"/>
  <c r="E33" i="44" l="1"/>
  <c r="E24" i="68" l="1"/>
  <c r="E21" i="40"/>
  <c r="E82" i="78" l="1"/>
  <c r="E80" i="78" s="1"/>
  <c r="E87" i="79"/>
  <c r="C87" i="79"/>
  <c r="E93" i="68"/>
  <c r="E92" i="68" s="1"/>
  <c r="E21" i="44" l="1"/>
  <c r="E64" i="44"/>
  <c r="E85" i="44"/>
  <c r="E24" i="44"/>
  <c r="E140" i="68"/>
  <c r="E139" i="48"/>
  <c r="E138" i="48" s="1"/>
  <c r="E47" i="44"/>
  <c r="F23" i="44"/>
  <c r="F48" i="44"/>
  <c r="F4" i="44"/>
  <c r="E31" i="44" l="1"/>
  <c r="E48" i="44" l="1"/>
  <c r="E77" i="40"/>
  <c r="E98" i="40"/>
  <c r="E111" i="40"/>
  <c r="E49" i="40"/>
  <c r="E42" i="40" s="1"/>
  <c r="D165" i="68" l="1"/>
  <c r="C18" i="79"/>
  <c r="C19" i="79"/>
  <c r="C20" i="79"/>
  <c r="C21" i="79"/>
  <c r="C17" i="79"/>
  <c r="E53" i="44" l="1"/>
  <c r="E34" i="40" l="1"/>
  <c r="E27" i="68"/>
  <c r="E45" i="40" l="1"/>
  <c r="E10" i="77" l="1"/>
  <c r="F6" i="74"/>
  <c r="G6" i="74"/>
  <c r="H6" i="74"/>
  <c r="I6" i="74"/>
  <c r="J6" i="74"/>
  <c r="K6" i="74"/>
  <c r="L6" i="74"/>
  <c r="M6" i="74"/>
  <c r="N6" i="74"/>
  <c r="O6" i="74"/>
  <c r="E10" i="74"/>
  <c r="C10" i="77"/>
  <c r="F60" i="44"/>
  <c r="G60" i="44"/>
  <c r="H60" i="44"/>
  <c r="I60" i="44"/>
  <c r="J60" i="44"/>
  <c r="K60" i="44"/>
  <c r="L60" i="44"/>
  <c r="M60" i="44"/>
  <c r="N60" i="44"/>
  <c r="O60" i="44"/>
  <c r="P63" i="44"/>
  <c r="P64" i="44"/>
  <c r="P65" i="44"/>
  <c r="D60" i="44"/>
  <c r="E13" i="44"/>
  <c r="G86" i="79" l="1"/>
  <c r="C86" i="79"/>
  <c r="D75" i="68" l="1"/>
  <c r="B75" i="68"/>
  <c r="D71" i="48"/>
  <c r="D31" i="40"/>
  <c r="D49" i="40"/>
  <c r="D42" i="40" s="1"/>
  <c r="D57" i="40"/>
  <c r="D64" i="40"/>
  <c r="D47" i="44" l="1"/>
  <c r="D20" i="68" l="1"/>
  <c r="D23" i="68"/>
  <c r="D90" i="48" l="1"/>
  <c r="D95" i="68"/>
  <c r="B94" i="68"/>
  <c r="B95" i="68"/>
  <c r="D89" i="48"/>
  <c r="D23" i="44"/>
  <c r="E23" i="44"/>
  <c r="O95" i="68" l="1"/>
  <c r="D92" i="68"/>
  <c r="D21" i="40"/>
  <c r="C57" i="68"/>
  <c r="C53" i="48"/>
  <c r="E9" i="77"/>
  <c r="E8" i="77"/>
  <c r="C8" i="77"/>
  <c r="C9" i="77"/>
  <c r="E9" i="74"/>
  <c r="E8" i="74"/>
  <c r="E6" i="74" s="1"/>
  <c r="D21" i="68"/>
  <c r="D22" i="68"/>
  <c r="C26" i="68" l="1"/>
  <c r="C20" i="68"/>
  <c r="E62" i="44" l="1"/>
  <c r="E4" i="44"/>
  <c r="E60" i="44" l="1"/>
  <c r="P62" i="44"/>
  <c r="D34" i="40"/>
  <c r="D53" i="44"/>
  <c r="D85" i="44"/>
  <c r="D21" i="44" l="1"/>
  <c r="D16" i="44"/>
  <c r="D7" i="77"/>
  <c r="C7" i="77"/>
  <c r="D7" i="74"/>
  <c r="D104" i="40" l="1"/>
  <c r="D70" i="40"/>
  <c r="D41" i="40"/>
  <c r="D30" i="40"/>
  <c r="D55" i="40"/>
  <c r="D91" i="40"/>
  <c r="D38" i="68" l="1"/>
  <c r="D37" i="68"/>
  <c r="O37" i="68" s="1"/>
  <c r="O21" i="68"/>
  <c r="O22" i="68"/>
  <c r="O23" i="68"/>
  <c r="O24" i="68"/>
  <c r="O25" i="68"/>
  <c r="O26" i="68"/>
  <c r="O27" i="68"/>
  <c r="O28" i="68"/>
  <c r="O29" i="68"/>
  <c r="O30" i="68"/>
  <c r="O31" i="68"/>
  <c r="O32" i="68"/>
  <c r="O33" i="68"/>
  <c r="O34" i="68"/>
  <c r="O35" i="68"/>
  <c r="O36" i="68"/>
  <c r="O38" i="68"/>
  <c r="O39" i="68"/>
  <c r="O40" i="68"/>
  <c r="O41" i="68"/>
  <c r="O42" i="68"/>
  <c r="O43" i="68"/>
  <c r="O44" i="68"/>
  <c r="O45" i="68"/>
  <c r="O46" i="68"/>
  <c r="O47" i="68"/>
  <c r="O48" i="68"/>
  <c r="O49" i="68"/>
  <c r="O50" i="68"/>
  <c r="O51" i="68"/>
  <c r="O52" i="68"/>
  <c r="O53" i="68"/>
  <c r="O54" i="68"/>
  <c r="O57" i="68"/>
  <c r="O58" i="68"/>
  <c r="O59" i="68"/>
  <c r="O60" i="68"/>
  <c r="O61" i="68"/>
  <c r="O67" i="68"/>
  <c r="O68" i="68"/>
  <c r="O69" i="68"/>
  <c r="O70" i="68"/>
  <c r="O71" i="68"/>
  <c r="B57" i="68"/>
  <c r="D3" i="31" l="1"/>
  <c r="E3" i="31"/>
  <c r="F3" i="31"/>
  <c r="G3" i="31"/>
  <c r="H3" i="31"/>
  <c r="I3" i="31"/>
  <c r="J3" i="31"/>
  <c r="K3" i="31"/>
  <c r="L3" i="31"/>
  <c r="M3" i="31"/>
  <c r="N3" i="31"/>
  <c r="O3" i="31"/>
  <c r="P3" i="31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E18" i="44"/>
  <c r="F18" i="44"/>
  <c r="G18" i="44"/>
  <c r="H18" i="44"/>
  <c r="I18" i="44"/>
  <c r="J18" i="44"/>
  <c r="K18" i="44"/>
  <c r="L18" i="44"/>
  <c r="M18" i="44"/>
  <c r="N18" i="44"/>
  <c r="O18" i="44"/>
  <c r="D13" i="44" l="1"/>
  <c r="D23" i="80" l="1"/>
  <c r="D23" i="31"/>
  <c r="C93" i="68" l="1"/>
  <c r="C88" i="48"/>
  <c r="P30" i="44" l="1"/>
  <c r="P37" i="40" l="1"/>
  <c r="B41" i="68" l="1"/>
  <c r="B63" i="68" l="1"/>
  <c r="P20" i="77" l="1"/>
  <c r="P19" i="74"/>
  <c r="P20" i="74"/>
  <c r="P21" i="74"/>
  <c r="P22" i="74"/>
  <c r="P23" i="74"/>
  <c r="P24" i="74"/>
  <c r="P25" i="74"/>
  <c r="P26" i="74"/>
  <c r="P27" i="74"/>
  <c r="P28" i="74"/>
  <c r="E6" i="77"/>
  <c r="F6" i="77"/>
  <c r="I6" i="77"/>
  <c r="J6" i="77"/>
  <c r="K6" i="77"/>
  <c r="O6" i="77"/>
  <c r="P21" i="77"/>
  <c r="P22" i="77"/>
  <c r="P23" i="77"/>
  <c r="P24" i="77"/>
  <c r="P25" i="77"/>
  <c r="P26" i="77"/>
  <c r="N6" i="77"/>
  <c r="P19" i="77" l="1"/>
  <c r="B62" i="68" l="1"/>
  <c r="L90" i="40" l="1"/>
  <c r="N90" i="40"/>
  <c r="O90" i="40"/>
  <c r="P106" i="40"/>
  <c r="P107" i="40"/>
  <c r="P108" i="40"/>
  <c r="P109" i="40"/>
  <c r="L103" i="40"/>
  <c r="N103" i="40"/>
  <c r="O103" i="40"/>
  <c r="P92" i="40"/>
  <c r="P93" i="40"/>
  <c r="P94" i="40"/>
  <c r="P95" i="40"/>
  <c r="P96" i="40"/>
  <c r="D90" i="40"/>
  <c r="M90" i="40"/>
  <c r="M103" i="40" l="1"/>
  <c r="O105" i="48" l="1"/>
  <c r="O106" i="48"/>
  <c r="O107" i="48"/>
  <c r="O108" i="48"/>
  <c r="O109" i="48"/>
  <c r="O110" i="48"/>
  <c r="P18" i="77" l="1"/>
  <c r="P27" i="77"/>
  <c r="P16" i="74"/>
  <c r="P17" i="74"/>
  <c r="P18" i="74"/>
  <c r="P17" i="77" l="1"/>
  <c r="M6" i="77"/>
  <c r="O91" i="48" l="1"/>
  <c r="H87" i="48"/>
  <c r="I87" i="48"/>
  <c r="J87" i="48"/>
  <c r="L87" i="48"/>
  <c r="M87" i="48"/>
  <c r="N87" i="48"/>
  <c r="B61" i="68" l="1"/>
  <c r="O104" i="48" l="1"/>
  <c r="K87" i="48"/>
  <c r="B149" i="68" l="1"/>
  <c r="L6" i="77"/>
  <c r="H103" i="40" l="1"/>
  <c r="J103" i="40"/>
  <c r="K103" i="40"/>
  <c r="I90" i="40"/>
  <c r="J90" i="40"/>
  <c r="K90" i="40"/>
  <c r="P8" i="74" l="1"/>
  <c r="P9" i="74"/>
  <c r="P10" i="74"/>
  <c r="P11" i="74"/>
  <c r="P12" i="74"/>
  <c r="P13" i="74"/>
  <c r="P14" i="74"/>
  <c r="P15" i="74"/>
  <c r="P12" i="77" l="1"/>
  <c r="P13" i="77"/>
  <c r="P14" i="77"/>
  <c r="P15" i="77"/>
  <c r="P16" i="77"/>
  <c r="O148" i="68" l="1"/>
  <c r="B148" i="68"/>
  <c r="O143" i="68"/>
  <c r="O147" i="68"/>
  <c r="O149" i="68"/>
  <c r="O150" i="68"/>
  <c r="O151" i="68"/>
  <c r="O152" i="68"/>
  <c r="O153" i="68"/>
  <c r="D139" i="68"/>
  <c r="F139" i="68"/>
  <c r="G139" i="68"/>
  <c r="H139" i="68"/>
  <c r="I139" i="68"/>
  <c r="J139" i="68"/>
  <c r="K139" i="68"/>
  <c r="L139" i="68"/>
  <c r="M139" i="68"/>
  <c r="N139" i="68"/>
  <c r="C139" i="68"/>
  <c r="O147" i="48"/>
  <c r="O148" i="48"/>
  <c r="O149" i="48"/>
  <c r="O150" i="48"/>
  <c r="D18" i="44" l="1"/>
  <c r="P80" i="44" l="1"/>
  <c r="P81" i="44"/>
  <c r="P82" i="44"/>
  <c r="P83" i="44"/>
  <c r="P84" i="44"/>
  <c r="P85" i="44"/>
  <c r="E78" i="44"/>
  <c r="F78" i="44"/>
  <c r="G78" i="44"/>
  <c r="H78" i="44"/>
  <c r="I78" i="44"/>
  <c r="J78" i="44"/>
  <c r="K78" i="44"/>
  <c r="L78" i="44"/>
  <c r="M78" i="44"/>
  <c r="N78" i="44"/>
  <c r="O78" i="44"/>
  <c r="I76" i="73" l="1"/>
  <c r="J76" i="73"/>
  <c r="K76" i="73"/>
  <c r="L76" i="73"/>
  <c r="M76" i="73"/>
  <c r="N76" i="73"/>
  <c r="O76" i="73"/>
  <c r="I103" i="40" l="1"/>
  <c r="E29" i="74" l="1"/>
  <c r="F29" i="74"/>
  <c r="G29" i="74"/>
  <c r="H29" i="74"/>
  <c r="J29" i="74"/>
  <c r="K29" i="74"/>
  <c r="L29" i="74"/>
  <c r="M29" i="74"/>
  <c r="N29" i="74"/>
  <c r="O29" i="74"/>
  <c r="P31" i="74"/>
  <c r="C23" i="80" l="1"/>
  <c r="I29" i="74"/>
  <c r="C28" i="77"/>
  <c r="E76" i="73"/>
  <c r="F76" i="73"/>
  <c r="G76" i="73"/>
  <c r="H76" i="73"/>
  <c r="G87" i="48" l="1"/>
  <c r="H90" i="40" l="1"/>
  <c r="P27" i="78" l="1"/>
  <c r="P31" i="79"/>
  <c r="P32" i="79"/>
  <c r="P33" i="79"/>
  <c r="P34" i="79"/>
  <c r="P35" i="79"/>
  <c r="P36" i="79"/>
  <c r="P37" i="79"/>
  <c r="P38" i="79"/>
  <c r="P39" i="79"/>
  <c r="P29" i="79"/>
  <c r="E28" i="79"/>
  <c r="E8" i="79" s="1"/>
  <c r="F28" i="79"/>
  <c r="F8" i="79" s="1"/>
  <c r="G28" i="79"/>
  <c r="G8" i="79" s="1"/>
  <c r="H28" i="79"/>
  <c r="H8" i="79" s="1"/>
  <c r="I28" i="79"/>
  <c r="I8" i="79" s="1"/>
  <c r="J28" i="79"/>
  <c r="J8" i="79" s="1"/>
  <c r="K28" i="79"/>
  <c r="K8" i="79" s="1"/>
  <c r="L28" i="79"/>
  <c r="L8" i="79" s="1"/>
  <c r="M28" i="79"/>
  <c r="M8" i="79" s="1"/>
  <c r="N28" i="79"/>
  <c r="N8" i="79" s="1"/>
  <c r="O28" i="79"/>
  <c r="O8" i="79" s="1"/>
  <c r="D28" i="79"/>
  <c r="D8" i="79" s="1"/>
  <c r="E16" i="79"/>
  <c r="E7" i="79" s="1"/>
  <c r="F16" i="79"/>
  <c r="F7" i="79" s="1"/>
  <c r="G16" i="79"/>
  <c r="G7" i="79" s="1"/>
  <c r="H16" i="79"/>
  <c r="H7" i="79" s="1"/>
  <c r="I16" i="79"/>
  <c r="I7" i="79" s="1"/>
  <c r="J16" i="79"/>
  <c r="J7" i="79" s="1"/>
  <c r="K16" i="79"/>
  <c r="K7" i="79" s="1"/>
  <c r="L16" i="79"/>
  <c r="L7" i="79" s="1"/>
  <c r="M16" i="79"/>
  <c r="M7" i="79" s="1"/>
  <c r="N16" i="79"/>
  <c r="N7" i="79" s="1"/>
  <c r="O16" i="79"/>
  <c r="O7" i="79" s="1"/>
  <c r="P18" i="79"/>
  <c r="P19" i="79"/>
  <c r="P20" i="79"/>
  <c r="P21" i="79"/>
  <c r="P22" i="79"/>
  <c r="P23" i="79"/>
  <c r="P24" i="79"/>
  <c r="P25" i="79"/>
  <c r="P26" i="79"/>
  <c r="D16" i="79"/>
  <c r="P28" i="78"/>
  <c r="P29" i="78"/>
  <c r="P30" i="78"/>
  <c r="P31" i="78"/>
  <c r="P32" i="78"/>
  <c r="P33" i="78"/>
  <c r="P34" i="78"/>
  <c r="E26" i="78"/>
  <c r="E8" i="78" s="1"/>
  <c r="F26" i="78"/>
  <c r="F8" i="78" s="1"/>
  <c r="G26" i="78"/>
  <c r="G8" i="78" s="1"/>
  <c r="I26" i="78"/>
  <c r="I8" i="78" s="1"/>
  <c r="J26" i="78"/>
  <c r="J8" i="78" s="1"/>
  <c r="K26" i="78"/>
  <c r="K8" i="78" s="1"/>
  <c r="L26" i="78"/>
  <c r="L8" i="78" s="1"/>
  <c r="M26" i="78"/>
  <c r="M8" i="78" s="1"/>
  <c r="N26" i="78"/>
  <c r="N8" i="78" s="1"/>
  <c r="O26" i="78"/>
  <c r="O8" i="78" s="1"/>
  <c r="D26" i="78"/>
  <c r="D8" i="78" s="1"/>
  <c r="P18" i="78"/>
  <c r="P19" i="78"/>
  <c r="P20" i="78"/>
  <c r="P21" i="78"/>
  <c r="P22" i="78"/>
  <c r="P23" i="78"/>
  <c r="P24" i="78"/>
  <c r="E16" i="78"/>
  <c r="F16" i="78"/>
  <c r="G16" i="78"/>
  <c r="H16" i="78"/>
  <c r="I16" i="78"/>
  <c r="J16" i="78"/>
  <c r="K16" i="78"/>
  <c r="L16" i="78"/>
  <c r="M16" i="78"/>
  <c r="N16" i="78"/>
  <c r="O16" i="78"/>
  <c r="D16" i="78"/>
  <c r="C8" i="79"/>
  <c r="C7" i="79"/>
  <c r="P8" i="79" l="1"/>
  <c r="H26" i="78"/>
  <c r="P28" i="79"/>
  <c r="O146" i="48" l="1"/>
  <c r="P26" i="78"/>
  <c r="H8" i="78"/>
  <c r="P8" i="78" s="1"/>
  <c r="G46" i="44" l="1"/>
  <c r="P48" i="44"/>
  <c r="P49" i="44"/>
  <c r="P50" i="44"/>
  <c r="P51" i="44"/>
  <c r="P52" i="44"/>
  <c r="P54" i="44"/>
  <c r="P55" i="44"/>
  <c r="P56" i="44"/>
  <c r="P57" i="44"/>
  <c r="P58" i="44"/>
  <c r="P59" i="44"/>
  <c r="E46" i="44"/>
  <c r="F46" i="44"/>
  <c r="H46" i="44"/>
  <c r="I46" i="44"/>
  <c r="J46" i="44"/>
  <c r="K46" i="44"/>
  <c r="L46" i="44"/>
  <c r="M46" i="44"/>
  <c r="N46" i="44"/>
  <c r="O46" i="44"/>
  <c r="P53" i="44" l="1"/>
  <c r="O99" i="68" l="1"/>
  <c r="O100" i="68"/>
  <c r="O101" i="68"/>
  <c r="O102" i="68"/>
  <c r="O103" i="68"/>
  <c r="O104" i="68"/>
  <c r="O105" i="68"/>
  <c r="O108" i="68"/>
  <c r="O109" i="68"/>
  <c r="O110" i="68"/>
  <c r="O111" i="68"/>
  <c r="O112" i="68"/>
  <c r="O113" i="68"/>
  <c r="O94" i="48" l="1"/>
  <c r="O107" i="68" l="1"/>
  <c r="O114" i="68" l="1"/>
  <c r="O115" i="68"/>
  <c r="O116" i="68"/>
  <c r="O103" i="48"/>
  <c r="O102" i="48"/>
  <c r="O101" i="48" l="1"/>
  <c r="O106" i="68" l="1"/>
  <c r="F103" i="40" l="1"/>
  <c r="P11" i="77"/>
  <c r="G6" i="77" l="1"/>
  <c r="P9" i="77"/>
  <c r="H6" i="77"/>
  <c r="P10" i="77"/>
  <c r="P27" i="44" l="1"/>
  <c r="P21" i="44"/>
  <c r="P20" i="44"/>
  <c r="P22" i="44"/>
  <c r="P23" i="44"/>
  <c r="P24" i="44"/>
  <c r="P25" i="44"/>
  <c r="P26" i="44"/>
  <c r="P28" i="44"/>
  <c r="P29" i="44"/>
  <c r="P33" i="44"/>
  <c r="B60" i="68"/>
  <c r="D19" i="68" l="1"/>
  <c r="E19" i="68"/>
  <c r="F19" i="68"/>
  <c r="O96" i="48" l="1"/>
  <c r="J17" i="31" l="1"/>
  <c r="G17" i="31"/>
  <c r="O95" i="48" l="1"/>
  <c r="O100" i="48" l="1"/>
  <c r="B166" i="68" l="1"/>
  <c r="O93" i="48" l="1"/>
  <c r="O98" i="68"/>
  <c r="B59" i="68" l="1"/>
  <c r="O146" i="68" l="1"/>
  <c r="O90" i="48" l="1"/>
  <c r="O117" i="68"/>
  <c r="O120" i="68"/>
  <c r="O99" i="48"/>
  <c r="O98" i="48"/>
  <c r="O92" i="48"/>
  <c r="O97" i="48" l="1"/>
  <c r="F87" i="48"/>
  <c r="E87" i="48"/>
  <c r="P98" i="40" l="1"/>
  <c r="P111" i="40"/>
  <c r="O145" i="48"/>
  <c r="O144" i="48"/>
  <c r="O145" i="68"/>
  <c r="O143" i="48" l="1"/>
  <c r="E139" i="68" l="1"/>
  <c r="O144" i="68"/>
  <c r="O142" i="48"/>
  <c r="O141" i="48"/>
  <c r="B58" i="68" l="1"/>
  <c r="O89" i="48" l="1"/>
  <c r="G103" i="40"/>
  <c r="F90" i="40"/>
  <c r="G90" i="40"/>
  <c r="E90" i="40" l="1"/>
  <c r="P97" i="40"/>
  <c r="E103" i="40"/>
  <c r="P110" i="40"/>
  <c r="O142" i="68"/>
  <c r="P105" i="40" l="1"/>
  <c r="B141" i="68"/>
  <c r="B142" i="68"/>
  <c r="B143" i="68"/>
  <c r="B144" i="68"/>
  <c r="B145" i="68"/>
  <c r="B146" i="68"/>
  <c r="B147" i="68"/>
  <c r="B140" i="68"/>
  <c r="C138" i="48" l="1"/>
  <c r="B93" i="68" l="1"/>
  <c r="D87" i="48"/>
  <c r="O192" i="68" l="1"/>
  <c r="O193" i="68"/>
  <c r="O194" i="68"/>
  <c r="O195" i="68"/>
  <c r="P176" i="48"/>
  <c r="P175" i="48" l="1"/>
  <c r="D19" i="48" l="1"/>
  <c r="E19" i="48"/>
  <c r="F19" i="48"/>
  <c r="G19" i="48"/>
  <c r="J19" i="48"/>
  <c r="M19" i="48"/>
  <c r="N19" i="48"/>
  <c r="O20" i="48"/>
  <c r="N19" i="68"/>
  <c r="O20" i="68"/>
  <c r="O34" i="48" l="1"/>
  <c r="O35" i="48"/>
  <c r="O37" i="48"/>
  <c r="O38" i="48"/>
  <c r="O40" i="48"/>
  <c r="O41" i="48"/>
  <c r="O42" i="48"/>
  <c r="O43" i="48"/>
  <c r="O39" i="48"/>
  <c r="O36" i="48"/>
  <c r="L19" i="48"/>
  <c r="K19" i="48"/>
  <c r="I19" i="48" l="1"/>
  <c r="M19" i="68" l="1"/>
  <c r="K19" i="68" l="1"/>
  <c r="L19" i="68"/>
  <c r="J19" i="68" l="1"/>
  <c r="H19" i="48" l="1"/>
  <c r="I19" i="68" l="1"/>
  <c r="H19" i="68" l="1"/>
  <c r="G19" i="68" l="1"/>
  <c r="P41" i="74" l="1"/>
  <c r="P42" i="74"/>
  <c r="P43" i="74"/>
  <c r="P44" i="74"/>
  <c r="P45" i="74"/>
  <c r="P46" i="74"/>
  <c r="P47" i="74"/>
  <c r="P48" i="74"/>
  <c r="P49" i="74"/>
  <c r="E38" i="74"/>
  <c r="F38" i="74"/>
  <c r="H38" i="74"/>
  <c r="I38" i="74"/>
  <c r="J38" i="74"/>
  <c r="K38" i="74"/>
  <c r="L38" i="74"/>
  <c r="M38" i="74"/>
  <c r="N38" i="74"/>
  <c r="O38" i="74"/>
  <c r="P39" i="77"/>
  <c r="P40" i="77"/>
  <c r="P41" i="77"/>
  <c r="P42" i="77"/>
  <c r="P43" i="77"/>
  <c r="P44" i="77"/>
  <c r="P45" i="77"/>
  <c r="P46" i="77"/>
  <c r="P47" i="77"/>
  <c r="P48" i="77"/>
  <c r="E37" i="77"/>
  <c r="F37" i="77"/>
  <c r="G37" i="77"/>
  <c r="H37" i="77"/>
  <c r="I37" i="77"/>
  <c r="J37" i="77"/>
  <c r="K37" i="77"/>
  <c r="L37" i="77"/>
  <c r="M37" i="77"/>
  <c r="N37" i="77"/>
  <c r="O37" i="77"/>
  <c r="P40" i="74"/>
  <c r="G38" i="74" l="1"/>
  <c r="G164" i="68" l="1"/>
  <c r="H164" i="68"/>
  <c r="I164" i="68"/>
  <c r="J164" i="68"/>
  <c r="K164" i="68"/>
  <c r="L164" i="68"/>
  <c r="M164" i="68"/>
  <c r="N164" i="68"/>
  <c r="O32" i="48" l="1"/>
  <c r="O33" i="48"/>
  <c r="F164" i="68" l="1"/>
  <c r="O76" i="68" l="1"/>
  <c r="D74" i="68"/>
  <c r="G74" i="68"/>
  <c r="H74" i="68"/>
  <c r="I74" i="68"/>
  <c r="J74" i="68"/>
  <c r="K74" i="68"/>
  <c r="L74" i="68"/>
  <c r="M74" i="68"/>
  <c r="N74" i="68"/>
  <c r="O78" i="68"/>
  <c r="O74" i="48"/>
  <c r="O75" i="48"/>
  <c r="O76" i="48"/>
  <c r="F70" i="48"/>
  <c r="G70" i="48"/>
  <c r="H70" i="48"/>
  <c r="I70" i="48"/>
  <c r="J70" i="48"/>
  <c r="K70" i="48"/>
  <c r="L70" i="48"/>
  <c r="M70" i="48"/>
  <c r="N70" i="48"/>
  <c r="O72" i="48"/>
  <c r="E164" i="68"/>
  <c r="O77" i="68"/>
  <c r="O73" i="48"/>
  <c r="F74" i="68" l="1"/>
  <c r="E70" i="48"/>
  <c r="O75" i="68"/>
  <c r="E74" i="68" l="1"/>
  <c r="D164" i="68"/>
  <c r="O71" i="48"/>
  <c r="D70" i="48"/>
  <c r="B165" i="68" l="1"/>
  <c r="C19" i="68" l="1"/>
  <c r="C56" i="68"/>
  <c r="D28" i="77"/>
  <c r="E28" i="77"/>
  <c r="F28" i="77"/>
  <c r="G28" i="77"/>
  <c r="H28" i="77"/>
  <c r="I28" i="77"/>
  <c r="J28" i="77"/>
  <c r="K28" i="77"/>
  <c r="L28" i="77"/>
  <c r="M28" i="77"/>
  <c r="N28" i="77"/>
  <c r="O28" i="77"/>
  <c r="N52" i="40" l="1"/>
  <c r="O83" i="68" l="1"/>
  <c r="O84" i="68"/>
  <c r="O85" i="68"/>
  <c r="C74" i="68"/>
  <c r="E52" i="48"/>
  <c r="F52" i="48"/>
  <c r="G52" i="48"/>
  <c r="J52" i="48"/>
  <c r="K52" i="48"/>
  <c r="L52" i="48"/>
  <c r="M52" i="48"/>
  <c r="N52" i="48"/>
  <c r="O58" i="48"/>
  <c r="O59" i="48"/>
  <c r="O60" i="48"/>
  <c r="O61" i="48"/>
  <c r="C52" i="48"/>
  <c r="C70" i="48"/>
  <c r="O111" i="48" l="1"/>
  <c r="P125" i="40" l="1"/>
  <c r="E124" i="40"/>
  <c r="E17" i="40" s="1"/>
  <c r="F124" i="40"/>
  <c r="F17" i="40" s="1"/>
  <c r="G124" i="40"/>
  <c r="G17" i="40" s="1"/>
  <c r="H124" i="40"/>
  <c r="H17" i="40" s="1"/>
  <c r="I124" i="40"/>
  <c r="I17" i="40" s="1"/>
  <c r="J124" i="40"/>
  <c r="J17" i="40" s="1"/>
  <c r="K124" i="40"/>
  <c r="K17" i="40" s="1"/>
  <c r="L124" i="40"/>
  <c r="L17" i="40" s="1"/>
  <c r="M124" i="40"/>
  <c r="M17" i="40" s="1"/>
  <c r="O124" i="40"/>
  <c r="O17" i="40" s="1"/>
  <c r="P126" i="40"/>
  <c r="D124" i="40"/>
  <c r="D17" i="40" s="1"/>
  <c r="N124" i="40" l="1"/>
  <c r="N17" i="40" s="1"/>
  <c r="P124" i="40" l="1"/>
  <c r="O82" i="68" l="1"/>
  <c r="O57" i="48" l="1"/>
  <c r="F56" i="68" l="1"/>
  <c r="G56" i="68"/>
  <c r="I56" i="68"/>
  <c r="K56" i="68"/>
  <c r="L56" i="68"/>
  <c r="M56" i="68"/>
  <c r="N56" i="68"/>
  <c r="O81" i="68" l="1"/>
  <c r="E50" i="74" l="1"/>
  <c r="E5" i="74" s="1"/>
  <c r="F50" i="74"/>
  <c r="F5" i="74" s="1"/>
  <c r="G50" i="74"/>
  <c r="G5" i="74" s="1"/>
  <c r="H50" i="74"/>
  <c r="H5" i="74" s="1"/>
  <c r="I50" i="74"/>
  <c r="I5" i="74" s="1"/>
  <c r="K50" i="74"/>
  <c r="K5" i="74" s="1"/>
  <c r="L50" i="74"/>
  <c r="L5" i="74" s="1"/>
  <c r="M50" i="74"/>
  <c r="M5" i="74" s="1"/>
  <c r="N50" i="74"/>
  <c r="N5" i="74" s="1"/>
  <c r="O50" i="74"/>
  <c r="O5" i="74" s="1"/>
  <c r="D50" i="74"/>
  <c r="J50" i="74"/>
  <c r="J5" i="74" s="1"/>
  <c r="P50" i="74" l="1"/>
  <c r="O56" i="48"/>
  <c r="I52" i="48"/>
  <c r="J56" i="68"/>
  <c r="H56" i="68" l="1"/>
  <c r="H52" i="48" l="1"/>
  <c r="O55" i="48"/>
  <c r="E69" i="40" l="1"/>
  <c r="F69" i="40"/>
  <c r="H69" i="40"/>
  <c r="I69" i="40"/>
  <c r="J69" i="40"/>
  <c r="K69" i="40"/>
  <c r="M69" i="40"/>
  <c r="N69" i="40"/>
  <c r="O69" i="40"/>
  <c r="E54" i="40" l="1"/>
  <c r="F54" i="40"/>
  <c r="H54" i="40"/>
  <c r="I54" i="40"/>
  <c r="J54" i="40"/>
  <c r="K54" i="40"/>
  <c r="M54" i="40"/>
  <c r="N54" i="40"/>
  <c r="O54" i="40"/>
  <c r="P57" i="40" l="1"/>
  <c r="P58" i="40"/>
  <c r="P59" i="40"/>
  <c r="P60" i="40"/>
  <c r="P61" i="40"/>
  <c r="O141" i="68" l="1"/>
  <c r="O44" i="48" l="1"/>
  <c r="O45" i="48"/>
  <c r="O46" i="48"/>
  <c r="O47" i="48"/>
  <c r="P86" i="79" l="1"/>
  <c r="P87" i="79"/>
  <c r="P88" i="79"/>
  <c r="P89" i="79"/>
  <c r="P90" i="79"/>
  <c r="P91" i="79"/>
  <c r="P92" i="79"/>
  <c r="E85" i="79"/>
  <c r="F85" i="79"/>
  <c r="G85" i="79"/>
  <c r="H85" i="79"/>
  <c r="I85" i="79"/>
  <c r="J85" i="79"/>
  <c r="K85" i="79"/>
  <c r="L85" i="79"/>
  <c r="M85" i="79"/>
  <c r="N85" i="79"/>
  <c r="O85" i="79"/>
  <c r="P81" i="78"/>
  <c r="P83" i="78"/>
  <c r="P85" i="78"/>
  <c r="P86" i="78"/>
  <c r="D85" i="79"/>
  <c r="P84" i="78"/>
  <c r="E56" i="78" l="1"/>
  <c r="F56" i="78"/>
  <c r="G56" i="78"/>
  <c r="H56" i="78"/>
  <c r="I56" i="78"/>
  <c r="J56" i="78"/>
  <c r="K56" i="78"/>
  <c r="L56" i="78"/>
  <c r="M56" i="78"/>
  <c r="N56" i="78"/>
  <c r="O56" i="78"/>
  <c r="E44" i="78"/>
  <c r="F44" i="78"/>
  <c r="G44" i="78"/>
  <c r="H44" i="78"/>
  <c r="I44" i="78"/>
  <c r="J44" i="78"/>
  <c r="K44" i="78"/>
  <c r="L44" i="78"/>
  <c r="M44" i="78"/>
  <c r="N44" i="78"/>
  <c r="O44" i="78"/>
  <c r="P87" i="78"/>
  <c r="P88" i="78"/>
  <c r="P89" i="78"/>
  <c r="D80" i="78"/>
  <c r="P82" i="78"/>
  <c r="P80" i="78" l="1"/>
  <c r="F42" i="44" l="1"/>
  <c r="G42" i="44"/>
  <c r="H42" i="44"/>
  <c r="I42" i="44"/>
  <c r="J42" i="44"/>
  <c r="K42" i="44"/>
  <c r="L42" i="44"/>
  <c r="M42" i="44"/>
  <c r="N42" i="44"/>
  <c r="O42" i="44"/>
  <c r="E15" i="40" l="1"/>
  <c r="F15" i="40"/>
  <c r="H15" i="40"/>
  <c r="I15" i="40"/>
  <c r="J15" i="40"/>
  <c r="K15" i="40"/>
  <c r="M15" i="40"/>
  <c r="N15" i="40"/>
  <c r="O15" i="40"/>
  <c r="E14" i="40"/>
  <c r="H14" i="40"/>
  <c r="I14" i="40"/>
  <c r="J14" i="40"/>
  <c r="K14" i="40"/>
  <c r="M14" i="40"/>
  <c r="N14" i="40"/>
  <c r="O14" i="40"/>
  <c r="P104" i="40"/>
  <c r="D103" i="40"/>
  <c r="D15" i="40" s="1"/>
  <c r="F14" i="40"/>
  <c r="E13" i="40" l="1"/>
  <c r="F13" i="40"/>
  <c r="N13" i="40"/>
  <c r="M13" i="40"/>
  <c r="J13" i="40"/>
  <c r="I13" i="40"/>
  <c r="H13" i="40"/>
  <c r="O13" i="40"/>
  <c r="K13" i="40"/>
  <c r="P79" i="44" l="1"/>
  <c r="P75" i="44"/>
  <c r="P74" i="44"/>
  <c r="P73" i="44"/>
  <c r="O72" i="44"/>
  <c r="O71" i="44" s="1"/>
  <c r="O63" i="73" s="1"/>
  <c r="N72" i="44"/>
  <c r="N71" i="44" s="1"/>
  <c r="N63" i="73" s="1"/>
  <c r="M72" i="44"/>
  <c r="M71" i="44" s="1"/>
  <c r="M63" i="73" s="1"/>
  <c r="L72" i="44"/>
  <c r="L71" i="44" s="1"/>
  <c r="L63" i="73" s="1"/>
  <c r="K72" i="44"/>
  <c r="K71" i="44" s="1"/>
  <c r="K63" i="73" s="1"/>
  <c r="J72" i="44"/>
  <c r="J71" i="44" s="1"/>
  <c r="J63" i="73" s="1"/>
  <c r="I72" i="44"/>
  <c r="I71" i="44" s="1"/>
  <c r="I63" i="73" s="1"/>
  <c r="H72" i="44"/>
  <c r="H71" i="44" s="1"/>
  <c r="H63" i="73" s="1"/>
  <c r="G72" i="44"/>
  <c r="G71" i="44" s="1"/>
  <c r="G63" i="73" s="1"/>
  <c r="F72" i="44"/>
  <c r="F71" i="44" s="1"/>
  <c r="F63" i="73" s="1"/>
  <c r="E72" i="44"/>
  <c r="E71" i="44" s="1"/>
  <c r="E63" i="73" s="1"/>
  <c r="D72" i="44"/>
  <c r="D71" i="44" s="1"/>
  <c r="D63" i="73" s="1"/>
  <c r="P69" i="44"/>
  <c r="P67" i="44"/>
  <c r="O66" i="44"/>
  <c r="O62" i="73" s="1"/>
  <c r="N66" i="44"/>
  <c r="N62" i="73" s="1"/>
  <c r="M66" i="44"/>
  <c r="M62" i="73" s="1"/>
  <c r="L66" i="44"/>
  <c r="L62" i="73" s="1"/>
  <c r="K66" i="44"/>
  <c r="K62" i="73" s="1"/>
  <c r="J66" i="44"/>
  <c r="J62" i="73" s="1"/>
  <c r="I66" i="44"/>
  <c r="I62" i="73" s="1"/>
  <c r="H66" i="44"/>
  <c r="H62" i="73" s="1"/>
  <c r="F66" i="44"/>
  <c r="F62" i="73" s="1"/>
  <c r="D66" i="44"/>
  <c r="D62" i="73" s="1"/>
  <c r="P61" i="44"/>
  <c r="N61" i="73"/>
  <c r="M61" i="73"/>
  <c r="L61" i="73"/>
  <c r="J61" i="73"/>
  <c r="I61" i="73"/>
  <c r="H61" i="73"/>
  <c r="F61" i="73"/>
  <c r="E61" i="73"/>
  <c r="P47" i="44"/>
  <c r="P45" i="44"/>
  <c r="P44" i="44"/>
  <c r="F59" i="73"/>
  <c r="D42" i="44"/>
  <c r="D59" i="73" s="1"/>
  <c r="P38" i="44"/>
  <c r="P37" i="44"/>
  <c r="P36" i="44"/>
  <c r="P35" i="44"/>
  <c r="P34" i="44"/>
  <c r="O54" i="73"/>
  <c r="N54" i="73"/>
  <c r="K54" i="73"/>
  <c r="J54" i="73"/>
  <c r="I54" i="73"/>
  <c r="H54" i="73"/>
  <c r="G54" i="73"/>
  <c r="F54" i="73"/>
  <c r="P32" i="44"/>
  <c r="P17" i="44"/>
  <c r="P14" i="44"/>
  <c r="P13" i="44"/>
  <c r="F9" i="44"/>
  <c r="P10" i="44"/>
  <c r="O9" i="44"/>
  <c r="N9" i="44"/>
  <c r="M9" i="44"/>
  <c r="L9" i="44"/>
  <c r="K9" i="44"/>
  <c r="J9" i="44"/>
  <c r="I9" i="44"/>
  <c r="H9" i="44"/>
  <c r="G9" i="44"/>
  <c r="P5" i="44"/>
  <c r="P4" i="44"/>
  <c r="O3" i="44"/>
  <c r="N3" i="44"/>
  <c r="M3" i="44"/>
  <c r="L3" i="44"/>
  <c r="K3" i="44"/>
  <c r="J3" i="44"/>
  <c r="I3" i="44"/>
  <c r="H3" i="44"/>
  <c r="G3" i="44"/>
  <c r="F3" i="44"/>
  <c r="E3" i="44"/>
  <c r="D3" i="44"/>
  <c r="P2" i="44"/>
  <c r="P77" i="44" s="1"/>
  <c r="O2" i="44"/>
  <c r="O77" i="44" s="1"/>
  <c r="N2" i="44"/>
  <c r="N77" i="44" s="1"/>
  <c r="M2" i="44"/>
  <c r="M40" i="44" s="1"/>
  <c r="L2" i="44"/>
  <c r="L77" i="44" s="1"/>
  <c r="K2" i="44"/>
  <c r="K77" i="44" s="1"/>
  <c r="J2" i="44"/>
  <c r="J77" i="44" s="1"/>
  <c r="I2" i="44"/>
  <c r="I40" i="44" s="1"/>
  <c r="H2" i="44"/>
  <c r="H77" i="44" s="1"/>
  <c r="G2" i="44"/>
  <c r="G77" i="44" s="1"/>
  <c r="F2" i="44"/>
  <c r="F77" i="44" s="1"/>
  <c r="E2" i="44"/>
  <c r="E40" i="44" s="1"/>
  <c r="D2" i="44"/>
  <c r="D77" i="44" s="1"/>
  <c r="P121" i="40"/>
  <c r="P120" i="40"/>
  <c r="P119" i="40"/>
  <c r="O18" i="40"/>
  <c r="O16" i="40" s="1"/>
  <c r="N44" i="73"/>
  <c r="N42" i="73" s="1"/>
  <c r="M44" i="73"/>
  <c r="M42" i="73" s="1"/>
  <c r="L44" i="73"/>
  <c r="L42" i="73" s="1"/>
  <c r="K18" i="40"/>
  <c r="K16" i="40" s="1"/>
  <c r="J44" i="73"/>
  <c r="J42" i="73" s="1"/>
  <c r="I44" i="73"/>
  <c r="I42" i="73" s="1"/>
  <c r="H44" i="73"/>
  <c r="H42" i="73" s="1"/>
  <c r="G18" i="40"/>
  <c r="G16" i="40" s="1"/>
  <c r="F18" i="40"/>
  <c r="F16" i="40" s="1"/>
  <c r="D118" i="40"/>
  <c r="D44" i="73" s="1"/>
  <c r="D42" i="73" s="1"/>
  <c r="D14" i="40"/>
  <c r="P80" i="40"/>
  <c r="P78" i="40"/>
  <c r="P77" i="40"/>
  <c r="P76" i="40"/>
  <c r="P75" i="40"/>
  <c r="P74" i="40"/>
  <c r="P73" i="40"/>
  <c r="P70" i="40"/>
  <c r="O12" i="40"/>
  <c r="K12" i="40"/>
  <c r="H12" i="40"/>
  <c r="E12" i="40"/>
  <c r="D69" i="40"/>
  <c r="D12" i="40" s="1"/>
  <c r="P65" i="40"/>
  <c r="P63" i="40"/>
  <c r="P62" i="40"/>
  <c r="P55" i="40"/>
  <c r="O11" i="40"/>
  <c r="N11" i="40"/>
  <c r="M11" i="40"/>
  <c r="K11" i="40"/>
  <c r="J11" i="40"/>
  <c r="I11" i="40"/>
  <c r="H11" i="40"/>
  <c r="F11" i="40"/>
  <c r="E11" i="40"/>
  <c r="P46" i="40"/>
  <c r="P44" i="40"/>
  <c r="P43" i="40"/>
  <c r="P41" i="40"/>
  <c r="O40" i="40"/>
  <c r="O9" i="40" s="1"/>
  <c r="N40" i="40"/>
  <c r="N9" i="40" s="1"/>
  <c r="M40" i="40"/>
  <c r="M9" i="40" s="1"/>
  <c r="L40" i="40"/>
  <c r="L9" i="40" s="1"/>
  <c r="K40" i="40"/>
  <c r="K9" i="40" s="1"/>
  <c r="J40" i="40"/>
  <c r="J9" i="40" s="1"/>
  <c r="I40" i="40"/>
  <c r="I9" i="40" s="1"/>
  <c r="H40" i="40"/>
  <c r="H9" i="40" s="1"/>
  <c r="G40" i="40"/>
  <c r="G9" i="40" s="1"/>
  <c r="P35" i="40"/>
  <c r="P33" i="40"/>
  <c r="P32" i="40"/>
  <c r="P30" i="40"/>
  <c r="O29" i="40"/>
  <c r="O8" i="40" s="1"/>
  <c r="N29" i="40"/>
  <c r="N8" i="40" s="1"/>
  <c r="M29" i="40"/>
  <c r="M8" i="40" s="1"/>
  <c r="L29" i="40"/>
  <c r="L8" i="40" s="1"/>
  <c r="K29" i="40"/>
  <c r="K8" i="40" s="1"/>
  <c r="J29" i="40"/>
  <c r="J8" i="40" s="1"/>
  <c r="I29" i="40"/>
  <c r="I8" i="40" s="1"/>
  <c r="H29" i="40"/>
  <c r="H8" i="40" s="1"/>
  <c r="G29" i="40"/>
  <c r="G8" i="40" s="1"/>
  <c r="P25" i="40"/>
  <c r="P24" i="40"/>
  <c r="P23" i="40"/>
  <c r="P22" i="40"/>
  <c r="E37" i="73"/>
  <c r="P21" i="40"/>
  <c r="P20" i="40"/>
  <c r="P17" i="40"/>
  <c r="F34" i="73"/>
  <c r="N12" i="40"/>
  <c r="M12" i="40"/>
  <c r="J12" i="40"/>
  <c r="I12" i="40"/>
  <c r="C12" i="40"/>
  <c r="C11" i="40"/>
  <c r="P3" i="40"/>
  <c r="P102" i="40" s="1"/>
  <c r="O3" i="40"/>
  <c r="N3" i="40"/>
  <c r="M3" i="40"/>
  <c r="L3" i="40"/>
  <c r="K3" i="40"/>
  <c r="J3" i="40"/>
  <c r="I3" i="40"/>
  <c r="H3" i="40"/>
  <c r="G3" i="40"/>
  <c r="F3" i="40"/>
  <c r="E3" i="40"/>
  <c r="D3" i="40"/>
  <c r="P39" i="80"/>
  <c r="P38" i="80"/>
  <c r="P37" i="80"/>
  <c r="P36" i="80"/>
  <c r="O35" i="80"/>
  <c r="O12" i="80" s="1"/>
  <c r="O11" i="80" s="1"/>
  <c r="O23" i="73" s="1"/>
  <c r="N35" i="80"/>
  <c r="M35" i="80"/>
  <c r="M12" i="80" s="1"/>
  <c r="M11" i="80" s="1"/>
  <c r="M23" i="73" s="1"/>
  <c r="L35" i="80"/>
  <c r="L12" i="80" s="1"/>
  <c r="L11" i="80" s="1"/>
  <c r="L23" i="73" s="1"/>
  <c r="K35" i="80"/>
  <c r="K12" i="80" s="1"/>
  <c r="K11" i="80" s="1"/>
  <c r="K23" i="73" s="1"/>
  <c r="J35" i="80"/>
  <c r="J12" i="80" s="1"/>
  <c r="J11" i="80" s="1"/>
  <c r="J23" i="73" s="1"/>
  <c r="I35" i="80"/>
  <c r="I12" i="80" s="1"/>
  <c r="I11" i="80" s="1"/>
  <c r="I23" i="73" s="1"/>
  <c r="H35" i="80"/>
  <c r="H12" i="80" s="1"/>
  <c r="H11" i="80" s="1"/>
  <c r="H23" i="73" s="1"/>
  <c r="G35" i="80"/>
  <c r="G12" i="80" s="1"/>
  <c r="G11" i="80" s="1"/>
  <c r="G23" i="73" s="1"/>
  <c r="F35" i="80"/>
  <c r="E35" i="80"/>
  <c r="E12" i="80" s="1"/>
  <c r="E11" i="80" s="1"/>
  <c r="E23" i="73" s="1"/>
  <c r="D35" i="80"/>
  <c r="D12" i="80" s="1"/>
  <c r="P30" i="80"/>
  <c r="P29" i="80"/>
  <c r="P28" i="80"/>
  <c r="P27" i="80"/>
  <c r="P26" i="80"/>
  <c r="P25" i="80"/>
  <c r="P24" i="80"/>
  <c r="P23" i="80"/>
  <c r="O22" i="80"/>
  <c r="O9" i="80" s="1"/>
  <c r="N22" i="80"/>
  <c r="N9" i="80" s="1"/>
  <c r="M22" i="80"/>
  <c r="M9" i="80" s="1"/>
  <c r="L22" i="80"/>
  <c r="L9" i="80" s="1"/>
  <c r="K22" i="80"/>
  <c r="K9" i="80" s="1"/>
  <c r="J22" i="80"/>
  <c r="J9" i="80" s="1"/>
  <c r="I22" i="80"/>
  <c r="I9" i="80" s="1"/>
  <c r="H22" i="80"/>
  <c r="H9" i="80" s="1"/>
  <c r="G22" i="80"/>
  <c r="G9" i="80" s="1"/>
  <c r="F22" i="80"/>
  <c r="F9" i="80" s="1"/>
  <c r="E22" i="80"/>
  <c r="P19" i="80"/>
  <c r="P18" i="80"/>
  <c r="P17" i="80"/>
  <c r="O16" i="80"/>
  <c r="O8" i="80" s="1"/>
  <c r="N16" i="80"/>
  <c r="N8" i="80" s="1"/>
  <c r="M16" i="80"/>
  <c r="M8" i="80" s="1"/>
  <c r="L16" i="80"/>
  <c r="K16" i="80"/>
  <c r="K8" i="80" s="1"/>
  <c r="J16" i="80"/>
  <c r="J8" i="80" s="1"/>
  <c r="I16" i="80"/>
  <c r="I8" i="80" s="1"/>
  <c r="H16" i="80"/>
  <c r="G16" i="80"/>
  <c r="G8" i="80" s="1"/>
  <c r="F16" i="80"/>
  <c r="F8" i="80" s="1"/>
  <c r="E16" i="80"/>
  <c r="E8" i="80" s="1"/>
  <c r="D16" i="80"/>
  <c r="N12" i="80"/>
  <c r="N11" i="80" s="1"/>
  <c r="N23" i="73" s="1"/>
  <c r="F12" i="80"/>
  <c r="F11" i="80" s="1"/>
  <c r="F23" i="73" s="1"/>
  <c r="E9" i="80"/>
  <c r="L8" i="80"/>
  <c r="H8" i="80"/>
  <c r="P3" i="80"/>
  <c r="P15" i="80" s="1"/>
  <c r="O3" i="80"/>
  <c r="O34" i="80" s="1"/>
  <c r="N3" i="80"/>
  <c r="N34" i="80" s="1"/>
  <c r="M3" i="80"/>
  <c r="M21" i="80" s="1"/>
  <c r="L3" i="80"/>
  <c r="L21" i="80" s="1"/>
  <c r="K3" i="80"/>
  <c r="K34" i="80" s="1"/>
  <c r="J3" i="80"/>
  <c r="J34" i="80" s="1"/>
  <c r="I3" i="80"/>
  <c r="I21" i="80" s="1"/>
  <c r="H3" i="80"/>
  <c r="H21" i="80" s="1"/>
  <c r="G3" i="80"/>
  <c r="G34" i="80" s="1"/>
  <c r="F3" i="80"/>
  <c r="F34" i="80" s="1"/>
  <c r="E3" i="80"/>
  <c r="E21" i="80" s="1"/>
  <c r="D3" i="80"/>
  <c r="D21" i="80" s="1"/>
  <c r="P99" i="79"/>
  <c r="D96" i="79"/>
  <c r="P93" i="79"/>
  <c r="M13" i="79"/>
  <c r="M12" i="79" s="1"/>
  <c r="I13" i="79"/>
  <c r="I12" i="79" s="1"/>
  <c r="H13" i="79"/>
  <c r="E13" i="79"/>
  <c r="E12" i="79" s="1"/>
  <c r="P81" i="79"/>
  <c r="P80" i="79"/>
  <c r="P79" i="79"/>
  <c r="P78" i="79"/>
  <c r="P77" i="79"/>
  <c r="P76" i="79"/>
  <c r="P75" i="79"/>
  <c r="P74" i="79"/>
  <c r="P73" i="79"/>
  <c r="P72" i="79"/>
  <c r="P71" i="79"/>
  <c r="P70" i="79"/>
  <c r="P69" i="79"/>
  <c r="P68" i="79"/>
  <c r="P67" i="79"/>
  <c r="P66" i="79"/>
  <c r="O65" i="79"/>
  <c r="O11" i="79" s="1"/>
  <c r="N65" i="79"/>
  <c r="N11" i="79" s="1"/>
  <c r="M65" i="79"/>
  <c r="L65" i="79"/>
  <c r="K65" i="79"/>
  <c r="K11" i="79" s="1"/>
  <c r="J65" i="79"/>
  <c r="J11" i="79" s="1"/>
  <c r="I65" i="79"/>
  <c r="I11" i="79" s="1"/>
  <c r="H65" i="79"/>
  <c r="H11" i="79" s="1"/>
  <c r="G65" i="79"/>
  <c r="G11" i="79" s="1"/>
  <c r="F65" i="79"/>
  <c r="F11" i="79" s="1"/>
  <c r="E65" i="79"/>
  <c r="D65" i="79"/>
  <c r="P61" i="79"/>
  <c r="P60" i="79"/>
  <c r="P59" i="79"/>
  <c r="P58" i="79"/>
  <c r="P57" i="79"/>
  <c r="P56" i="79"/>
  <c r="P55" i="79"/>
  <c r="P54" i="79"/>
  <c r="P53" i="79"/>
  <c r="P52" i="79"/>
  <c r="P51" i="79"/>
  <c r="P50" i="79"/>
  <c r="P49" i="79"/>
  <c r="O48" i="79"/>
  <c r="O10" i="79" s="1"/>
  <c r="N48" i="79"/>
  <c r="M48" i="79"/>
  <c r="L48" i="79"/>
  <c r="L10" i="79" s="1"/>
  <c r="K48" i="79"/>
  <c r="K10" i="79" s="1"/>
  <c r="J48" i="79"/>
  <c r="J10" i="79" s="1"/>
  <c r="I48" i="79"/>
  <c r="I10" i="79" s="1"/>
  <c r="H48" i="79"/>
  <c r="H10" i="79" s="1"/>
  <c r="G48" i="79"/>
  <c r="G10" i="79" s="1"/>
  <c r="F48" i="79"/>
  <c r="F10" i="79" s="1"/>
  <c r="E48" i="79"/>
  <c r="E10" i="79" s="1"/>
  <c r="D48" i="79"/>
  <c r="P30" i="79"/>
  <c r="O6" i="79"/>
  <c r="N6" i="79"/>
  <c r="M6" i="79"/>
  <c r="L6" i="79"/>
  <c r="K6" i="79"/>
  <c r="J6" i="79"/>
  <c r="I6" i="79"/>
  <c r="H6" i="79"/>
  <c r="G6" i="79"/>
  <c r="F6" i="79"/>
  <c r="O13" i="79"/>
  <c r="O12" i="79" s="1"/>
  <c r="N13" i="79"/>
  <c r="N12" i="79" s="1"/>
  <c r="L13" i="79"/>
  <c r="L12" i="79" s="1"/>
  <c r="K13" i="79"/>
  <c r="K12" i="79" s="1"/>
  <c r="J13" i="79"/>
  <c r="J12" i="79" s="1"/>
  <c r="G13" i="79"/>
  <c r="G12" i="79" s="1"/>
  <c r="F13" i="79"/>
  <c r="F12" i="79" s="1"/>
  <c r="D13" i="79"/>
  <c r="D12" i="79" s="1"/>
  <c r="M11" i="79"/>
  <c r="L11" i="79"/>
  <c r="E11" i="79"/>
  <c r="D11" i="79"/>
  <c r="N10" i="79"/>
  <c r="M10" i="79"/>
  <c r="M9" i="79" s="1"/>
  <c r="D10" i="79"/>
  <c r="P3" i="79"/>
  <c r="O3" i="79"/>
  <c r="O84" i="79" s="1"/>
  <c r="N3" i="79"/>
  <c r="N84" i="79" s="1"/>
  <c r="M3" i="79"/>
  <c r="M64" i="79" s="1"/>
  <c r="L3" i="79"/>
  <c r="K3" i="79"/>
  <c r="K84" i="79" s="1"/>
  <c r="J3" i="79"/>
  <c r="J84" i="79" s="1"/>
  <c r="I3" i="79"/>
  <c r="I64" i="79" s="1"/>
  <c r="H3" i="79"/>
  <c r="G3" i="79"/>
  <c r="G84" i="79" s="1"/>
  <c r="F3" i="79"/>
  <c r="F84" i="79" s="1"/>
  <c r="E3" i="79"/>
  <c r="E47" i="79" s="1"/>
  <c r="D3" i="79"/>
  <c r="P54" i="77"/>
  <c r="P53" i="77"/>
  <c r="P52" i="77"/>
  <c r="P51" i="77"/>
  <c r="P50" i="77"/>
  <c r="O49" i="77"/>
  <c r="O5" i="77" s="1"/>
  <c r="O19" i="73" s="1"/>
  <c r="N49" i="77"/>
  <c r="M49" i="77"/>
  <c r="L49" i="77"/>
  <c r="K49" i="77"/>
  <c r="K5" i="77" s="1"/>
  <c r="K19" i="73" s="1"/>
  <c r="J49" i="77"/>
  <c r="I49" i="77"/>
  <c r="H49" i="77"/>
  <c r="G49" i="77"/>
  <c r="F49" i="77"/>
  <c r="E49" i="77"/>
  <c r="E5" i="77" s="1"/>
  <c r="E19" i="73" s="1"/>
  <c r="D49" i="77"/>
  <c r="P38" i="77"/>
  <c r="D37" i="77"/>
  <c r="P36" i="77"/>
  <c r="P35" i="77"/>
  <c r="P34" i="77"/>
  <c r="P33" i="77"/>
  <c r="P32" i="77"/>
  <c r="P31" i="77"/>
  <c r="P30" i="77"/>
  <c r="P29" i="77"/>
  <c r="P8" i="77"/>
  <c r="P7" i="77"/>
  <c r="D6" i="77"/>
  <c r="O191" i="68"/>
  <c r="O190" i="68"/>
  <c r="O189" i="68"/>
  <c r="O188" i="68"/>
  <c r="O187" i="68"/>
  <c r="O186" i="68"/>
  <c r="O185" i="68"/>
  <c r="O184" i="68"/>
  <c r="O183" i="68"/>
  <c r="O182" i="68"/>
  <c r="O181" i="68"/>
  <c r="O180" i="68"/>
  <c r="O179" i="68"/>
  <c r="O178" i="68"/>
  <c r="O177" i="68"/>
  <c r="O176" i="68"/>
  <c r="O174" i="68"/>
  <c r="O173" i="68"/>
  <c r="O172" i="68"/>
  <c r="O170" i="68"/>
  <c r="O169" i="68"/>
  <c r="O168" i="68"/>
  <c r="O167" i="68"/>
  <c r="O166" i="68"/>
  <c r="O165" i="68"/>
  <c r="N8" i="68"/>
  <c r="M8" i="68"/>
  <c r="L8" i="68"/>
  <c r="K8" i="68"/>
  <c r="J8" i="68"/>
  <c r="I8" i="68"/>
  <c r="H8" i="68"/>
  <c r="G8" i="68"/>
  <c r="F8" i="68"/>
  <c r="E8" i="68"/>
  <c r="O159" i="68"/>
  <c r="C156" i="68"/>
  <c r="M16" i="68"/>
  <c r="M15" i="68" s="1"/>
  <c r="L16" i="68"/>
  <c r="L15" i="68" s="1"/>
  <c r="K16" i="68"/>
  <c r="K15" i="68" s="1"/>
  <c r="J16" i="68"/>
  <c r="J15" i="68" s="1"/>
  <c r="I16" i="68"/>
  <c r="I15" i="68" s="1"/>
  <c r="H16" i="68"/>
  <c r="H15" i="68" s="1"/>
  <c r="G16" i="68"/>
  <c r="G15" i="68" s="1"/>
  <c r="F16" i="68"/>
  <c r="F15" i="68" s="1"/>
  <c r="D16" i="68"/>
  <c r="D15" i="68" s="1"/>
  <c r="C16" i="68"/>
  <c r="O135" i="68"/>
  <c r="O134" i="68"/>
  <c r="O133" i="68"/>
  <c r="O132" i="68"/>
  <c r="O131" i="68"/>
  <c r="O130" i="68"/>
  <c r="O129" i="68"/>
  <c r="O128" i="68"/>
  <c r="O127" i="68"/>
  <c r="O126" i="68"/>
  <c r="O125" i="68"/>
  <c r="O124" i="68"/>
  <c r="O123" i="68"/>
  <c r="O122" i="68"/>
  <c r="O121" i="68"/>
  <c r="N119" i="68"/>
  <c r="N14" i="68" s="1"/>
  <c r="M119" i="68"/>
  <c r="M14" i="68" s="1"/>
  <c r="L119" i="68"/>
  <c r="L14" i="68" s="1"/>
  <c r="K119" i="68"/>
  <c r="K14" i="68" s="1"/>
  <c r="J119" i="68"/>
  <c r="J14" i="68" s="1"/>
  <c r="I119" i="68"/>
  <c r="I14" i="68" s="1"/>
  <c r="H119" i="68"/>
  <c r="H14" i="68" s="1"/>
  <c r="G119" i="68"/>
  <c r="G14" i="68" s="1"/>
  <c r="F119" i="68"/>
  <c r="F14" i="68" s="1"/>
  <c r="E119" i="68"/>
  <c r="E14" i="68" s="1"/>
  <c r="D119" i="68"/>
  <c r="D14" i="68" s="1"/>
  <c r="C119" i="68"/>
  <c r="O93" i="68"/>
  <c r="N13" i="68"/>
  <c r="M13" i="68"/>
  <c r="L13" i="68"/>
  <c r="K13" i="68"/>
  <c r="J13" i="68"/>
  <c r="I13" i="68"/>
  <c r="H13" i="68"/>
  <c r="G13" i="68"/>
  <c r="F13" i="68"/>
  <c r="D13" i="68"/>
  <c r="C92" i="68"/>
  <c r="C13" i="68" s="1"/>
  <c r="O80" i="68"/>
  <c r="O79" i="68"/>
  <c r="N11" i="68"/>
  <c r="M11" i="68"/>
  <c r="L11" i="68"/>
  <c r="K11" i="68"/>
  <c r="J11" i="68"/>
  <c r="I11" i="68"/>
  <c r="H11" i="68"/>
  <c r="G11" i="68"/>
  <c r="F11" i="68"/>
  <c r="D11" i="68"/>
  <c r="D56" i="68"/>
  <c r="M10" i="68"/>
  <c r="L10" i="68"/>
  <c r="K10" i="68"/>
  <c r="J10" i="68"/>
  <c r="I10" i="68"/>
  <c r="H10" i="68"/>
  <c r="G10" i="68"/>
  <c r="F10" i="68"/>
  <c r="C10" i="68"/>
  <c r="N7" i="68"/>
  <c r="M7" i="68"/>
  <c r="L7" i="68"/>
  <c r="K7" i="68"/>
  <c r="J7" i="68"/>
  <c r="I7" i="68"/>
  <c r="H7" i="68"/>
  <c r="G7" i="68"/>
  <c r="N16" i="68"/>
  <c r="N15" i="68" s="1"/>
  <c r="N10" i="68"/>
  <c r="O3" i="68"/>
  <c r="N3" i="68"/>
  <c r="N118" i="68" s="1"/>
  <c r="M3" i="68"/>
  <c r="M73" i="68" s="1"/>
  <c r="L3" i="68"/>
  <c r="L163" i="68" s="1"/>
  <c r="K3" i="68"/>
  <c r="J3" i="68"/>
  <c r="J118" i="68" s="1"/>
  <c r="I3" i="68"/>
  <c r="I73" i="68" s="1"/>
  <c r="H3" i="68"/>
  <c r="H163" i="68" s="1"/>
  <c r="G3" i="68"/>
  <c r="F3" i="68"/>
  <c r="F118" i="68" s="1"/>
  <c r="E3" i="68"/>
  <c r="E73" i="68" s="1"/>
  <c r="D3" i="68"/>
  <c r="D163" i="68" s="1"/>
  <c r="C3" i="68"/>
  <c r="C55" i="68" s="1"/>
  <c r="P96" i="78"/>
  <c r="D93" i="78"/>
  <c r="P90" i="78"/>
  <c r="N13" i="78"/>
  <c r="N12" i="78" s="1"/>
  <c r="M13" i="78"/>
  <c r="M12" i="78" s="1"/>
  <c r="J13" i="78"/>
  <c r="J12" i="78" s="1"/>
  <c r="I13" i="78"/>
  <c r="I12" i="78" s="1"/>
  <c r="G13" i="78"/>
  <c r="G12" i="78" s="1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O11" i="78"/>
  <c r="N11" i="78"/>
  <c r="K11" i="78"/>
  <c r="J11" i="78"/>
  <c r="G11" i="78"/>
  <c r="F11" i="78"/>
  <c r="D56" i="78"/>
  <c r="D11" i="78" s="1"/>
  <c r="P52" i="78"/>
  <c r="P51" i="78"/>
  <c r="P50" i="78"/>
  <c r="P49" i="78"/>
  <c r="P48" i="78"/>
  <c r="P47" i="78"/>
  <c r="P46" i="78"/>
  <c r="P45" i="78"/>
  <c r="O10" i="78"/>
  <c r="M10" i="78"/>
  <c r="L10" i="78"/>
  <c r="K10" i="78"/>
  <c r="H10" i="78"/>
  <c r="G10" i="78"/>
  <c r="D44" i="78"/>
  <c r="D10" i="78" s="1"/>
  <c r="N7" i="78"/>
  <c r="N6" i="78" s="1"/>
  <c r="M7" i="78"/>
  <c r="M6" i="78" s="1"/>
  <c r="L7" i="78"/>
  <c r="L6" i="78" s="1"/>
  <c r="K7" i="78"/>
  <c r="K6" i="78" s="1"/>
  <c r="J7" i="78"/>
  <c r="J6" i="78" s="1"/>
  <c r="I7" i="78"/>
  <c r="I6" i="78" s="1"/>
  <c r="H7" i="78"/>
  <c r="H6" i="78" s="1"/>
  <c r="G7" i="78"/>
  <c r="G6" i="78" s="1"/>
  <c r="F7" i="78"/>
  <c r="F6" i="78" s="1"/>
  <c r="E7" i="78"/>
  <c r="E6" i="78" s="1"/>
  <c r="O13" i="78"/>
  <c r="O12" i="78" s="1"/>
  <c r="L13" i="78"/>
  <c r="L12" i="78" s="1"/>
  <c r="K13" i="78"/>
  <c r="K12" i="78" s="1"/>
  <c r="H13" i="78"/>
  <c r="H12" i="78" s="1"/>
  <c r="F13" i="78"/>
  <c r="F12" i="78" s="1"/>
  <c r="D13" i="78"/>
  <c r="D12" i="78" s="1"/>
  <c r="M11" i="78"/>
  <c r="L11" i="78"/>
  <c r="I11" i="78"/>
  <c r="H11" i="78"/>
  <c r="E11" i="78"/>
  <c r="N10" i="78"/>
  <c r="J10" i="78"/>
  <c r="I10" i="78"/>
  <c r="F10" i="78"/>
  <c r="E10" i="78"/>
  <c r="O7" i="78"/>
  <c r="O6" i="78" s="1"/>
  <c r="P3" i="78"/>
  <c r="P55" i="78" s="1"/>
  <c r="O3" i="78"/>
  <c r="O15" i="78" s="1"/>
  <c r="N3" i="78"/>
  <c r="M3" i="78"/>
  <c r="M15" i="78" s="1"/>
  <c r="L3" i="78"/>
  <c r="L55" i="78" s="1"/>
  <c r="K3" i="78"/>
  <c r="K15" i="78" s="1"/>
  <c r="J3" i="78"/>
  <c r="I3" i="78"/>
  <c r="I15" i="78" s="1"/>
  <c r="H3" i="78"/>
  <c r="H55" i="78" s="1"/>
  <c r="G3" i="78"/>
  <c r="G43" i="78" s="1"/>
  <c r="F3" i="78"/>
  <c r="E3" i="78"/>
  <c r="E15" i="78" s="1"/>
  <c r="D3" i="78"/>
  <c r="D55" i="78" s="1"/>
  <c r="P39" i="31"/>
  <c r="P38" i="31"/>
  <c r="P37" i="31"/>
  <c r="P36" i="31"/>
  <c r="O35" i="31"/>
  <c r="O12" i="31" s="1"/>
  <c r="O11" i="31" s="1"/>
  <c r="O14" i="73" s="1"/>
  <c r="N35" i="31"/>
  <c r="N12" i="31" s="1"/>
  <c r="N11" i="31" s="1"/>
  <c r="N14" i="73" s="1"/>
  <c r="M35" i="31"/>
  <c r="M12" i="31" s="1"/>
  <c r="M11" i="31" s="1"/>
  <c r="M14" i="73" s="1"/>
  <c r="L35" i="31"/>
  <c r="L12" i="31" s="1"/>
  <c r="L11" i="31" s="1"/>
  <c r="L14" i="73" s="1"/>
  <c r="K35" i="31"/>
  <c r="J35" i="31"/>
  <c r="I35" i="31"/>
  <c r="I12" i="31" s="1"/>
  <c r="I11" i="31" s="1"/>
  <c r="I14" i="73" s="1"/>
  <c r="H35" i="31"/>
  <c r="H12" i="31" s="1"/>
  <c r="H11" i="31" s="1"/>
  <c r="H14" i="73" s="1"/>
  <c r="G35" i="31"/>
  <c r="F35" i="31"/>
  <c r="F12" i="31" s="1"/>
  <c r="F11" i="31" s="1"/>
  <c r="F14" i="73" s="1"/>
  <c r="E35" i="31"/>
  <c r="E12" i="31" s="1"/>
  <c r="E11" i="31" s="1"/>
  <c r="E14" i="73" s="1"/>
  <c r="D35" i="31"/>
  <c r="P30" i="31"/>
  <c r="P29" i="31"/>
  <c r="P28" i="31"/>
  <c r="P27" i="31"/>
  <c r="P26" i="31"/>
  <c r="P25" i="31"/>
  <c r="P24" i="31"/>
  <c r="P23" i="31"/>
  <c r="O22" i="31"/>
  <c r="O9" i="31" s="1"/>
  <c r="N22" i="31"/>
  <c r="N9" i="31" s="1"/>
  <c r="M22" i="31"/>
  <c r="M9" i="31" s="1"/>
  <c r="L22" i="31"/>
  <c r="L9" i="31" s="1"/>
  <c r="K22" i="31"/>
  <c r="K9" i="31" s="1"/>
  <c r="J22" i="31"/>
  <c r="J9" i="31" s="1"/>
  <c r="I22" i="31"/>
  <c r="I9" i="31" s="1"/>
  <c r="H22" i="31"/>
  <c r="H9" i="31" s="1"/>
  <c r="G22" i="31"/>
  <c r="G9" i="31" s="1"/>
  <c r="F22" i="31"/>
  <c r="F9" i="31" s="1"/>
  <c r="E22" i="31"/>
  <c r="E9" i="31" s="1"/>
  <c r="P19" i="31"/>
  <c r="P18" i="31"/>
  <c r="P17" i="31"/>
  <c r="O16" i="31"/>
  <c r="O8" i="31" s="1"/>
  <c r="N16" i="31"/>
  <c r="M16" i="31"/>
  <c r="L16" i="31"/>
  <c r="L8" i="31" s="1"/>
  <c r="K16" i="31"/>
  <c r="K8" i="31" s="1"/>
  <c r="J16" i="31"/>
  <c r="J8" i="31" s="1"/>
  <c r="I16" i="31"/>
  <c r="H16" i="31"/>
  <c r="H8" i="31" s="1"/>
  <c r="G16" i="31"/>
  <c r="G8" i="31" s="1"/>
  <c r="F16" i="31"/>
  <c r="F8" i="31" s="1"/>
  <c r="E16" i="31"/>
  <c r="D16" i="31"/>
  <c r="D8" i="31" s="1"/>
  <c r="K12" i="31"/>
  <c r="K11" i="31" s="1"/>
  <c r="K14" i="73" s="1"/>
  <c r="J12" i="31"/>
  <c r="J11" i="31" s="1"/>
  <c r="J14" i="73" s="1"/>
  <c r="G12" i="31"/>
  <c r="G11" i="31" s="1"/>
  <c r="G14" i="73" s="1"/>
  <c r="N8" i="31"/>
  <c r="M8" i="31"/>
  <c r="I8" i="31"/>
  <c r="E8" i="31"/>
  <c r="P21" i="31"/>
  <c r="O34" i="31"/>
  <c r="N21" i="31"/>
  <c r="M21" i="31"/>
  <c r="L21" i="31"/>
  <c r="K34" i="31"/>
  <c r="J21" i="31"/>
  <c r="I21" i="31"/>
  <c r="H21" i="31"/>
  <c r="G34" i="31"/>
  <c r="F21" i="31"/>
  <c r="E21" i="31"/>
  <c r="D21" i="31"/>
  <c r="P55" i="74"/>
  <c r="P54" i="74"/>
  <c r="P53" i="74"/>
  <c r="P52" i="74"/>
  <c r="P51" i="74"/>
  <c r="P39" i="74"/>
  <c r="D38" i="74"/>
  <c r="P37" i="74"/>
  <c r="P36" i="74"/>
  <c r="P35" i="74"/>
  <c r="P34" i="74"/>
  <c r="P33" i="74"/>
  <c r="P32" i="74"/>
  <c r="P30" i="74"/>
  <c r="M10" i="73"/>
  <c r="K10" i="73"/>
  <c r="H10" i="73"/>
  <c r="E10" i="73"/>
  <c r="D29" i="74"/>
  <c r="P7" i="74"/>
  <c r="D6" i="74"/>
  <c r="N10" i="73"/>
  <c r="L10" i="73"/>
  <c r="J10" i="73"/>
  <c r="F10" i="73"/>
  <c r="O246" i="48"/>
  <c r="O245" i="48"/>
  <c r="O244" i="48"/>
  <c r="O243" i="48"/>
  <c r="O242" i="48"/>
  <c r="O241" i="48"/>
  <c r="O240" i="48"/>
  <c r="O239" i="48"/>
  <c r="O238" i="48"/>
  <c r="O237" i="48"/>
  <c r="O236" i="48"/>
  <c r="O235" i="48"/>
  <c r="O234" i="48"/>
  <c r="O233" i="48"/>
  <c r="O232" i="48"/>
  <c r="O231" i="48"/>
  <c r="O230" i="48"/>
  <c r="O229" i="48"/>
  <c r="O228" i="48"/>
  <c r="O227" i="48"/>
  <c r="O226" i="48"/>
  <c r="O225" i="48"/>
  <c r="O224" i="48"/>
  <c r="O223" i="48"/>
  <c r="O222" i="48"/>
  <c r="O221" i="48"/>
  <c r="O220" i="48"/>
  <c r="O219" i="48"/>
  <c r="O218" i="48"/>
  <c r="O217" i="48"/>
  <c r="O216" i="48"/>
  <c r="O215" i="48"/>
  <c r="O214" i="48"/>
  <c r="O213" i="48"/>
  <c r="O212" i="48"/>
  <c r="O211" i="48"/>
  <c r="O210" i="48"/>
  <c r="O209" i="48"/>
  <c r="O208" i="48"/>
  <c r="O207" i="48"/>
  <c r="O206" i="48"/>
  <c r="O205" i="48"/>
  <c r="O204" i="48"/>
  <c r="O203" i="48"/>
  <c r="O202" i="48"/>
  <c r="O201" i="48"/>
  <c r="O200" i="48"/>
  <c r="O199" i="48"/>
  <c r="O198" i="48"/>
  <c r="O197" i="48"/>
  <c r="O196" i="48"/>
  <c r="O195" i="48"/>
  <c r="O194" i="48"/>
  <c r="O193" i="48"/>
  <c r="O192" i="48"/>
  <c r="O191" i="48"/>
  <c r="O190" i="48"/>
  <c r="O189" i="48"/>
  <c r="O188" i="48"/>
  <c r="O187" i="48"/>
  <c r="O186" i="48"/>
  <c r="O185" i="48"/>
  <c r="O184" i="48"/>
  <c r="O183" i="48"/>
  <c r="O182" i="48"/>
  <c r="O181" i="48"/>
  <c r="O180" i="48"/>
  <c r="O179" i="48"/>
  <c r="O178" i="48"/>
  <c r="O177" i="48"/>
  <c r="O176" i="48"/>
  <c r="O175" i="48"/>
  <c r="O174" i="48"/>
  <c r="O173" i="48"/>
  <c r="O172" i="48"/>
  <c r="O171" i="48"/>
  <c r="O170" i="48"/>
  <c r="O169" i="48"/>
  <c r="O168" i="48"/>
  <c r="O167" i="48"/>
  <c r="O165" i="48"/>
  <c r="O164" i="48"/>
  <c r="D156" i="48"/>
  <c r="D8" i="48" s="1"/>
  <c r="O162" i="48"/>
  <c r="O161" i="48"/>
  <c r="O160" i="48"/>
  <c r="O158" i="48"/>
  <c r="O157" i="48"/>
  <c r="N156" i="48"/>
  <c r="N8" i="48" s="1"/>
  <c r="M156" i="48"/>
  <c r="M8" i="48" s="1"/>
  <c r="L156" i="48"/>
  <c r="L8" i="48" s="1"/>
  <c r="K156" i="48"/>
  <c r="K8" i="48" s="1"/>
  <c r="J156" i="48"/>
  <c r="J8" i="48" s="1"/>
  <c r="I156" i="48"/>
  <c r="I8" i="48" s="1"/>
  <c r="H156" i="48"/>
  <c r="H8" i="48" s="1"/>
  <c r="G156" i="48"/>
  <c r="G8" i="48" s="1"/>
  <c r="F156" i="48"/>
  <c r="F8" i="48" s="1"/>
  <c r="E156" i="48"/>
  <c r="E8" i="48" s="1"/>
  <c r="O140" i="48"/>
  <c r="O139" i="48"/>
  <c r="L16" i="48"/>
  <c r="L15" i="48" s="1"/>
  <c r="J16" i="48"/>
  <c r="J15" i="48" s="1"/>
  <c r="I16" i="48"/>
  <c r="I15" i="48" s="1"/>
  <c r="H16" i="48"/>
  <c r="H15" i="48" s="1"/>
  <c r="G16" i="48"/>
  <c r="G15" i="48" s="1"/>
  <c r="F16" i="48"/>
  <c r="F15" i="48" s="1"/>
  <c r="D16" i="48"/>
  <c r="D15" i="48" s="1"/>
  <c r="C16" i="48"/>
  <c r="C15" i="48" s="1"/>
  <c r="N114" i="48"/>
  <c r="N14" i="48" s="1"/>
  <c r="M114" i="48"/>
  <c r="M14" i="48" s="1"/>
  <c r="L114" i="48"/>
  <c r="L14" i="48" s="1"/>
  <c r="K114" i="48"/>
  <c r="K14" i="48" s="1"/>
  <c r="J114" i="48"/>
  <c r="J14" i="48" s="1"/>
  <c r="I114" i="48"/>
  <c r="I14" i="48" s="1"/>
  <c r="H114" i="48"/>
  <c r="H14" i="48" s="1"/>
  <c r="G114" i="48"/>
  <c r="G14" i="48" s="1"/>
  <c r="F114" i="48"/>
  <c r="F14" i="48" s="1"/>
  <c r="E114" i="48"/>
  <c r="E14" i="48" s="1"/>
  <c r="D114" i="48"/>
  <c r="D14" i="48" s="1"/>
  <c r="C114" i="48"/>
  <c r="C14" i="48" s="1"/>
  <c r="C87" i="48"/>
  <c r="C13" i="48" s="1"/>
  <c r="O88" i="48"/>
  <c r="N13" i="48"/>
  <c r="M13" i="48"/>
  <c r="K13" i="48"/>
  <c r="J13" i="48"/>
  <c r="I13" i="48"/>
  <c r="G13" i="48"/>
  <c r="D13" i="48"/>
  <c r="O78" i="48"/>
  <c r="O77" i="48"/>
  <c r="O67" i="48"/>
  <c r="O66" i="48"/>
  <c r="O65" i="48"/>
  <c r="O64" i="48"/>
  <c r="O63" i="48"/>
  <c r="O62" i="48"/>
  <c r="O53" i="48"/>
  <c r="N10" i="48"/>
  <c r="L10" i="48"/>
  <c r="K10" i="48"/>
  <c r="J10" i="48"/>
  <c r="I10" i="48"/>
  <c r="H10" i="48"/>
  <c r="O31" i="48"/>
  <c r="O30" i="48"/>
  <c r="O29" i="48"/>
  <c r="O25" i="48"/>
  <c r="O24" i="48"/>
  <c r="N7" i="48"/>
  <c r="M7" i="48"/>
  <c r="L7" i="48"/>
  <c r="K7" i="48"/>
  <c r="J7" i="48"/>
  <c r="I7" i="48"/>
  <c r="H7" i="48"/>
  <c r="G7" i="48"/>
  <c r="N16" i="48"/>
  <c r="N15" i="48" s="1"/>
  <c r="M16" i="48"/>
  <c r="M15" i="48" s="1"/>
  <c r="K16" i="48"/>
  <c r="K15" i="48" s="1"/>
  <c r="L13" i="48"/>
  <c r="H13" i="48"/>
  <c r="F13" i="48"/>
  <c r="N11" i="48"/>
  <c r="M11" i="48"/>
  <c r="L11" i="48"/>
  <c r="K11" i="48"/>
  <c r="J11" i="48"/>
  <c r="I11" i="48"/>
  <c r="H11" i="48"/>
  <c r="G11" i="48"/>
  <c r="F11" i="48"/>
  <c r="D11" i="48"/>
  <c r="C11" i="48"/>
  <c r="M10" i="48"/>
  <c r="G10" i="48"/>
  <c r="F10" i="48"/>
  <c r="E10" i="48"/>
  <c r="P3" i="77"/>
  <c r="O3" i="77"/>
  <c r="N3" i="77"/>
  <c r="M3" i="77"/>
  <c r="K113" i="48"/>
  <c r="K3" i="77"/>
  <c r="J3" i="77"/>
  <c r="I3" i="77"/>
  <c r="G113" i="48"/>
  <c r="G3" i="77"/>
  <c r="F3" i="77"/>
  <c r="E3" i="77"/>
  <c r="D3" i="77"/>
  <c r="P102" i="73"/>
  <c r="O102" i="73"/>
  <c r="N102" i="73"/>
  <c r="M102" i="73"/>
  <c r="L102" i="73"/>
  <c r="K102" i="73"/>
  <c r="J102" i="73"/>
  <c r="I102" i="73"/>
  <c r="H102" i="73"/>
  <c r="G102" i="73"/>
  <c r="F102" i="73"/>
  <c r="E102" i="73"/>
  <c r="D102" i="73"/>
  <c r="P97" i="73"/>
  <c r="P96" i="73"/>
  <c r="P95" i="73"/>
  <c r="O94" i="73"/>
  <c r="N94" i="73"/>
  <c r="M94" i="73"/>
  <c r="L94" i="73"/>
  <c r="K94" i="73"/>
  <c r="J94" i="73"/>
  <c r="I94" i="73"/>
  <c r="H94" i="73"/>
  <c r="G94" i="73"/>
  <c r="F94" i="73"/>
  <c r="E94" i="73"/>
  <c r="D94" i="73"/>
  <c r="P92" i="73"/>
  <c r="O91" i="73"/>
  <c r="N91" i="73"/>
  <c r="M91" i="73"/>
  <c r="L91" i="73"/>
  <c r="K91" i="73"/>
  <c r="J91" i="73"/>
  <c r="I91" i="73"/>
  <c r="H91" i="73"/>
  <c r="G91" i="73"/>
  <c r="F91" i="73"/>
  <c r="D91" i="73"/>
  <c r="P89" i="73"/>
  <c r="P88" i="73"/>
  <c r="E87" i="73"/>
  <c r="P87" i="73" s="1"/>
  <c r="O86" i="73"/>
  <c r="N86" i="73"/>
  <c r="M86" i="73"/>
  <c r="L86" i="73"/>
  <c r="K86" i="73"/>
  <c r="J86" i="73"/>
  <c r="I86" i="73"/>
  <c r="H86" i="73"/>
  <c r="G86" i="73"/>
  <c r="F86" i="73"/>
  <c r="D86" i="73"/>
  <c r="P85" i="73"/>
  <c r="P83" i="73"/>
  <c r="P82" i="73"/>
  <c r="P81" i="73"/>
  <c r="P80" i="73"/>
  <c r="P79" i="73"/>
  <c r="P77" i="73"/>
  <c r="O71" i="73"/>
  <c r="N71" i="73"/>
  <c r="M71" i="73"/>
  <c r="L71" i="73"/>
  <c r="K71" i="73"/>
  <c r="J71" i="73"/>
  <c r="I71" i="73"/>
  <c r="H71" i="73"/>
  <c r="G71" i="73"/>
  <c r="O70" i="73"/>
  <c r="N70" i="73"/>
  <c r="M70" i="73"/>
  <c r="L70" i="73"/>
  <c r="K70" i="73"/>
  <c r="J70" i="73"/>
  <c r="I70" i="73"/>
  <c r="H70" i="73"/>
  <c r="G70" i="73"/>
  <c r="F70" i="73"/>
  <c r="E70" i="73"/>
  <c r="D70" i="73"/>
  <c r="O69" i="73"/>
  <c r="N69" i="73"/>
  <c r="M69" i="73"/>
  <c r="L69" i="73"/>
  <c r="K69" i="73"/>
  <c r="J69" i="73"/>
  <c r="I69" i="73"/>
  <c r="H69" i="73"/>
  <c r="G69" i="73"/>
  <c r="F69" i="73"/>
  <c r="E69" i="73"/>
  <c r="D69" i="73"/>
  <c r="O68" i="73"/>
  <c r="N68" i="73"/>
  <c r="M68" i="73"/>
  <c r="L68" i="73"/>
  <c r="K68" i="73"/>
  <c r="J68" i="73"/>
  <c r="I68" i="73"/>
  <c r="H68" i="73"/>
  <c r="G68" i="73"/>
  <c r="F68" i="73"/>
  <c r="E68" i="73"/>
  <c r="D68" i="73"/>
  <c r="O67" i="73"/>
  <c r="N67" i="73"/>
  <c r="M67" i="73"/>
  <c r="L67" i="73"/>
  <c r="K67" i="73"/>
  <c r="J67" i="73"/>
  <c r="I67" i="73"/>
  <c r="H67" i="73"/>
  <c r="G67" i="73"/>
  <c r="F67" i="73"/>
  <c r="E67" i="73"/>
  <c r="D67" i="73"/>
  <c r="O66" i="73"/>
  <c r="N66" i="73"/>
  <c r="M66" i="73"/>
  <c r="L66" i="73"/>
  <c r="K66" i="73"/>
  <c r="J66" i="73"/>
  <c r="I66" i="73"/>
  <c r="H66" i="73"/>
  <c r="G66" i="73"/>
  <c r="F66" i="73"/>
  <c r="E66" i="73"/>
  <c r="D66" i="73"/>
  <c r="O61" i="73"/>
  <c r="K61" i="73"/>
  <c r="G61" i="73"/>
  <c r="O59" i="73"/>
  <c r="N59" i="73"/>
  <c r="M59" i="73"/>
  <c r="L59" i="73"/>
  <c r="K59" i="73"/>
  <c r="J59" i="73"/>
  <c r="I59" i="73"/>
  <c r="H59" i="73"/>
  <c r="G59" i="73"/>
  <c r="D56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M54" i="73"/>
  <c r="L54" i="73"/>
  <c r="E54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P43" i="73"/>
  <c r="P41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O37" i="73"/>
  <c r="N37" i="73"/>
  <c r="M37" i="73"/>
  <c r="L37" i="73"/>
  <c r="K37" i="73"/>
  <c r="J37" i="73"/>
  <c r="I37" i="73"/>
  <c r="H37" i="73"/>
  <c r="G37" i="73"/>
  <c r="F37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M34" i="73"/>
  <c r="I34" i="73"/>
  <c r="H34" i="73"/>
  <c r="P27" i="73"/>
  <c r="O46" i="73" l="1"/>
  <c r="N46" i="73"/>
  <c r="I9" i="79"/>
  <c r="I46" i="73"/>
  <c r="E9" i="78"/>
  <c r="P35" i="31"/>
  <c r="D46" i="73"/>
  <c r="O7" i="80"/>
  <c r="O6" i="80" s="1"/>
  <c r="N7" i="80"/>
  <c r="N6" i="80" s="1"/>
  <c r="N4" i="80" s="1"/>
  <c r="N7" i="31"/>
  <c r="N6" i="31" s="1"/>
  <c r="M7" i="80"/>
  <c r="M6" i="80" s="1"/>
  <c r="M22" i="73" s="1"/>
  <c r="M21" i="73" s="1"/>
  <c r="G46" i="73"/>
  <c r="M46" i="73"/>
  <c r="D53" i="40"/>
  <c r="D68" i="40" s="1"/>
  <c r="D102" i="40"/>
  <c r="D89" i="40"/>
  <c r="H28" i="40"/>
  <c r="H102" i="40"/>
  <c r="L28" i="40"/>
  <c r="L102" i="40"/>
  <c r="M53" i="40"/>
  <c r="M68" i="40" s="1"/>
  <c r="M102" i="40"/>
  <c r="F115" i="40"/>
  <c r="F102" i="40"/>
  <c r="J115" i="40"/>
  <c r="J102" i="40"/>
  <c r="N115" i="40"/>
  <c r="N102" i="40"/>
  <c r="E53" i="40"/>
  <c r="E68" i="40" s="1"/>
  <c r="E102" i="40"/>
  <c r="I53" i="40"/>
  <c r="I68" i="40" s="1"/>
  <c r="I102" i="40"/>
  <c r="G115" i="40"/>
  <c r="G102" i="40"/>
  <c r="K115" i="40"/>
  <c r="K102" i="40"/>
  <c r="O115" i="40"/>
  <c r="O102" i="40"/>
  <c r="I7" i="80"/>
  <c r="I6" i="80" s="1"/>
  <c r="I4" i="80" s="1"/>
  <c r="J9" i="79"/>
  <c r="J5" i="79" s="1"/>
  <c r="J20" i="73" s="1"/>
  <c r="D11" i="80"/>
  <c r="P12" i="80"/>
  <c r="M4" i="80"/>
  <c r="O4" i="80"/>
  <c r="G7" i="80"/>
  <c r="G6" i="80" s="1"/>
  <c r="G22" i="73" s="1"/>
  <c r="G21" i="73" s="1"/>
  <c r="L7" i="80"/>
  <c r="L6" i="80" s="1"/>
  <c r="L4" i="80" s="1"/>
  <c r="P35" i="80"/>
  <c r="K7" i="80"/>
  <c r="K6" i="80" s="1"/>
  <c r="K4" i="80" s="1"/>
  <c r="H7" i="80"/>
  <c r="H6" i="80" s="1"/>
  <c r="H4" i="80" s="1"/>
  <c r="P16" i="80"/>
  <c r="F7" i="80"/>
  <c r="F6" i="80" s="1"/>
  <c r="F4" i="80" s="1"/>
  <c r="J7" i="80"/>
  <c r="J6" i="80" s="1"/>
  <c r="J7" i="31"/>
  <c r="J6" i="31" s="1"/>
  <c r="J4" i="31" s="1"/>
  <c r="D12" i="31"/>
  <c r="P12" i="31" s="1"/>
  <c r="P8" i="31"/>
  <c r="C14" i="68"/>
  <c r="C12" i="68" s="1"/>
  <c r="O119" i="68"/>
  <c r="F7" i="31"/>
  <c r="F6" i="31" s="1"/>
  <c r="F13" i="73" s="1"/>
  <c r="F12" i="73" s="1"/>
  <c r="L7" i="31"/>
  <c r="L6" i="31" s="1"/>
  <c r="L13" i="73" s="1"/>
  <c r="L12" i="73" s="1"/>
  <c r="M7" i="31"/>
  <c r="M6" i="31" s="1"/>
  <c r="M4" i="31" s="1"/>
  <c r="P16" i="31"/>
  <c r="E7" i="31"/>
  <c r="E6" i="31" s="1"/>
  <c r="E4" i="31" s="1"/>
  <c r="I7" i="31"/>
  <c r="I6" i="31" s="1"/>
  <c r="I4" i="31" s="1"/>
  <c r="G7" i="31"/>
  <c r="G6" i="31" s="1"/>
  <c r="G13" i="73" s="1"/>
  <c r="G12" i="73" s="1"/>
  <c r="K7" i="31"/>
  <c r="K6" i="31" s="1"/>
  <c r="K13" i="73" s="1"/>
  <c r="K12" i="73" s="1"/>
  <c r="O7" i="31"/>
  <c r="O6" i="31" s="1"/>
  <c r="O4" i="31" s="1"/>
  <c r="H7" i="31"/>
  <c r="H6" i="31" s="1"/>
  <c r="H4" i="31" s="1"/>
  <c r="D61" i="73"/>
  <c r="P61" i="73" s="1"/>
  <c r="P60" i="44"/>
  <c r="K46" i="73"/>
  <c r="J46" i="73"/>
  <c r="D54" i="73"/>
  <c r="P54" i="73" s="1"/>
  <c r="F12" i="68"/>
  <c r="J12" i="68"/>
  <c r="H9" i="79"/>
  <c r="L9" i="79"/>
  <c r="N9" i="79"/>
  <c r="F9" i="79"/>
  <c r="F5" i="79" s="1"/>
  <c r="F20" i="73" s="1"/>
  <c r="P11" i="79"/>
  <c r="P65" i="79"/>
  <c r="G9" i="79"/>
  <c r="G5" i="79" s="1"/>
  <c r="G20" i="73" s="1"/>
  <c r="D9" i="79"/>
  <c r="L5" i="79"/>
  <c r="L20" i="73" s="1"/>
  <c r="K9" i="79"/>
  <c r="K5" i="79" s="1"/>
  <c r="K20" i="73" s="1"/>
  <c r="O9" i="79"/>
  <c r="O5" i="79" s="1"/>
  <c r="O20" i="73" s="1"/>
  <c r="F46" i="73"/>
  <c r="M9" i="48"/>
  <c r="L12" i="48"/>
  <c r="E46" i="73"/>
  <c r="N18" i="40"/>
  <c r="N16" i="40" s="1"/>
  <c r="J4" i="80"/>
  <c r="J22" i="73"/>
  <c r="J21" i="73" s="1"/>
  <c r="G4" i="80"/>
  <c r="E7" i="80"/>
  <c r="E6" i="80" s="1"/>
  <c r="E22" i="73" s="1"/>
  <c r="E21" i="73" s="1"/>
  <c r="O22" i="73"/>
  <c r="O21" i="73" s="1"/>
  <c r="D8" i="80"/>
  <c r="P8" i="80" s="1"/>
  <c r="I5" i="79"/>
  <c r="I20" i="73" s="1"/>
  <c r="N5" i="79"/>
  <c r="N20" i="73" s="1"/>
  <c r="J13" i="73"/>
  <c r="J12" i="73" s="1"/>
  <c r="N4" i="31"/>
  <c r="N13" i="73"/>
  <c r="N12" i="73" s="1"/>
  <c r="M13" i="73"/>
  <c r="M12" i="73" s="1"/>
  <c r="I10" i="73"/>
  <c r="O10" i="73"/>
  <c r="D18" i="40"/>
  <c r="D16" i="40" s="1"/>
  <c r="O54" i="48"/>
  <c r="D52" i="48"/>
  <c r="D10" i="48" s="1"/>
  <c r="D9" i="48" s="1"/>
  <c r="D7" i="68"/>
  <c r="E7" i="48"/>
  <c r="E6" i="48" s="1"/>
  <c r="F7" i="68"/>
  <c r="F6" i="68" s="1"/>
  <c r="D7" i="48"/>
  <c r="D6" i="48" s="1"/>
  <c r="F7" i="48"/>
  <c r="F6" i="48" s="1"/>
  <c r="G9" i="48"/>
  <c r="E13" i="48"/>
  <c r="E12" i="48" s="1"/>
  <c r="P38" i="74"/>
  <c r="M18" i="40"/>
  <c r="M16" i="40" s="1"/>
  <c r="L18" i="40"/>
  <c r="L16" i="40" s="1"/>
  <c r="G12" i="68"/>
  <c r="K12" i="68"/>
  <c r="O140" i="68"/>
  <c r="E16" i="68"/>
  <c r="E15" i="68" s="1"/>
  <c r="E56" i="68"/>
  <c r="E10" i="68" s="1"/>
  <c r="L6" i="48"/>
  <c r="L46" i="73"/>
  <c r="M5" i="79"/>
  <c r="M20" i="73" s="1"/>
  <c r="D5" i="77"/>
  <c r="D19" i="73" s="1"/>
  <c r="L5" i="77"/>
  <c r="L19" i="73" s="1"/>
  <c r="L22" i="73"/>
  <c r="L21" i="73" s="1"/>
  <c r="L4" i="31"/>
  <c r="H5" i="77"/>
  <c r="H19" i="73" s="1"/>
  <c r="P6" i="77"/>
  <c r="J5" i="77"/>
  <c r="J19" i="73" s="1"/>
  <c r="N5" i="77"/>
  <c r="N19" i="73" s="1"/>
  <c r="O65" i="73"/>
  <c r="P72" i="44"/>
  <c r="P71" i="44"/>
  <c r="K65" i="73"/>
  <c r="J41" i="44"/>
  <c r="E10" i="40"/>
  <c r="E33" i="73" s="1"/>
  <c r="I18" i="40"/>
  <c r="I16" i="40" s="1"/>
  <c r="I6" i="48"/>
  <c r="L65" i="73"/>
  <c r="P29" i="74"/>
  <c r="H65" i="73"/>
  <c r="P67" i="73"/>
  <c r="P68" i="73"/>
  <c r="P70" i="73"/>
  <c r="M65" i="73"/>
  <c r="J65" i="73"/>
  <c r="N65" i="73"/>
  <c r="I65" i="73"/>
  <c r="P69" i="73"/>
  <c r="H46" i="73"/>
  <c r="G65" i="73"/>
  <c r="P63" i="73"/>
  <c r="P55" i="73"/>
  <c r="K6" i="48"/>
  <c r="F12" i="48"/>
  <c r="N9" i="48"/>
  <c r="E13" i="68"/>
  <c r="E12" i="68" s="1"/>
  <c r="P48" i="73"/>
  <c r="P3" i="44"/>
  <c r="I9" i="78"/>
  <c r="I5" i="78" s="1"/>
  <c r="I11" i="73" s="1"/>
  <c r="M9" i="78"/>
  <c r="M5" i="78" s="1"/>
  <c r="M11" i="73" s="1"/>
  <c r="P44" i="78"/>
  <c r="F9" i="78"/>
  <c r="F5" i="78" s="1"/>
  <c r="F11" i="73" s="1"/>
  <c r="J9" i="78"/>
  <c r="J5" i="78" s="1"/>
  <c r="J11" i="73" s="1"/>
  <c r="N9" i="78"/>
  <c r="N5" i="78" s="1"/>
  <c r="N11" i="73" s="1"/>
  <c r="P10" i="78"/>
  <c r="D9" i="78"/>
  <c r="G9" i="78"/>
  <c r="G5" i="78" s="1"/>
  <c r="G11" i="73" s="1"/>
  <c r="K9" i="78"/>
  <c r="K5" i="78" s="1"/>
  <c r="K11" i="73" s="1"/>
  <c r="O9" i="78"/>
  <c r="O5" i="78" s="1"/>
  <c r="O11" i="73" s="1"/>
  <c r="P56" i="78"/>
  <c r="H9" i="78"/>
  <c r="L9" i="78"/>
  <c r="L5" i="78" s="1"/>
  <c r="L11" i="73" s="1"/>
  <c r="P11" i="78"/>
  <c r="P47" i="73"/>
  <c r="C11" i="68"/>
  <c r="C9" i="68" s="1"/>
  <c r="H6" i="68"/>
  <c r="F9" i="48"/>
  <c r="J9" i="48"/>
  <c r="G6" i="68"/>
  <c r="K6" i="68"/>
  <c r="G9" i="68"/>
  <c r="I9" i="68"/>
  <c r="M9" i="68"/>
  <c r="P6" i="74"/>
  <c r="P13" i="79"/>
  <c r="H12" i="79"/>
  <c r="P12" i="79" s="1"/>
  <c r="P85" i="79"/>
  <c r="P56" i="73"/>
  <c r="P37" i="77"/>
  <c r="P49" i="77"/>
  <c r="F5" i="77"/>
  <c r="F19" i="73" s="1"/>
  <c r="I5" i="77"/>
  <c r="I19" i="73" s="1"/>
  <c r="M5" i="77"/>
  <c r="M19" i="73" s="1"/>
  <c r="P28" i="77"/>
  <c r="G5" i="77"/>
  <c r="G19" i="73" s="1"/>
  <c r="G10" i="73"/>
  <c r="P66" i="73"/>
  <c r="G7" i="40"/>
  <c r="G32" i="73" s="1"/>
  <c r="H7" i="40"/>
  <c r="H32" i="73" s="1"/>
  <c r="I7" i="40"/>
  <c r="I32" i="73" s="1"/>
  <c r="O7" i="40"/>
  <c r="O32" i="73" s="1"/>
  <c r="J7" i="40"/>
  <c r="J32" i="73" s="1"/>
  <c r="N7" i="40"/>
  <c r="N32" i="73" s="1"/>
  <c r="D54" i="40"/>
  <c r="D11" i="40" s="1"/>
  <c r="D10" i="40" s="1"/>
  <c r="D33" i="73" s="1"/>
  <c r="K7" i="40"/>
  <c r="K32" i="73" s="1"/>
  <c r="I10" i="40"/>
  <c r="I33" i="73" s="1"/>
  <c r="M10" i="40"/>
  <c r="M33" i="73" s="1"/>
  <c r="J18" i="40"/>
  <c r="J16" i="40" s="1"/>
  <c r="F44" i="73"/>
  <c r="F42" i="73" s="1"/>
  <c r="L7" i="40"/>
  <c r="L32" i="73" s="1"/>
  <c r="M7" i="40"/>
  <c r="H18" i="40"/>
  <c r="H16" i="40" s="1"/>
  <c r="D13" i="40"/>
  <c r="G44" i="73"/>
  <c r="G42" i="73" s="1"/>
  <c r="K44" i="73"/>
  <c r="K42" i="73" s="1"/>
  <c r="O44" i="73"/>
  <c r="O42" i="73" s="1"/>
  <c r="J10" i="40"/>
  <c r="J33" i="73" s="1"/>
  <c r="N10" i="40"/>
  <c r="N33" i="73" s="1"/>
  <c r="P91" i="40"/>
  <c r="D37" i="73"/>
  <c r="P37" i="73" s="1"/>
  <c r="K10" i="40"/>
  <c r="K33" i="73" s="1"/>
  <c r="O10" i="40"/>
  <c r="O33" i="73" s="1"/>
  <c r="P118" i="40"/>
  <c r="H10" i="40"/>
  <c r="P28" i="40"/>
  <c r="K34" i="73"/>
  <c r="O34" i="73"/>
  <c r="J34" i="73"/>
  <c r="N34" i="73"/>
  <c r="P36" i="73"/>
  <c r="P38" i="73"/>
  <c r="F12" i="40"/>
  <c r="P39" i="73"/>
  <c r="D5" i="74"/>
  <c r="D10" i="73" s="1"/>
  <c r="L6" i="68"/>
  <c r="I12" i="68"/>
  <c r="M6" i="68"/>
  <c r="I6" i="68"/>
  <c r="K9" i="68"/>
  <c r="N12" i="68"/>
  <c r="H9" i="68"/>
  <c r="L9" i="68"/>
  <c r="H12" i="68"/>
  <c r="L12" i="68"/>
  <c r="J6" i="68"/>
  <c r="N6" i="68"/>
  <c r="F9" i="68"/>
  <c r="J9" i="68"/>
  <c r="N9" i="68"/>
  <c r="M12" i="68"/>
  <c r="D12" i="68"/>
  <c r="H12" i="48"/>
  <c r="I12" i="48"/>
  <c r="M12" i="48"/>
  <c r="J12" i="48"/>
  <c r="N12" i="48"/>
  <c r="G6" i="48"/>
  <c r="K9" i="48"/>
  <c r="H6" i="48"/>
  <c r="H9" i="48"/>
  <c r="L9" i="48"/>
  <c r="C10" i="48"/>
  <c r="C9" i="48" s="1"/>
  <c r="J6" i="48"/>
  <c r="G12" i="48"/>
  <c r="K12" i="48"/>
  <c r="M6" i="48"/>
  <c r="I9" i="48"/>
  <c r="N6" i="48"/>
  <c r="O14" i="48"/>
  <c r="D12" i="48"/>
  <c r="O114" i="48"/>
  <c r="O21" i="48"/>
  <c r="O23" i="48"/>
  <c r="N15" i="79"/>
  <c r="G64" i="79"/>
  <c r="P91" i="73"/>
  <c r="P94" i="73"/>
  <c r="J47" i="79"/>
  <c r="N64" i="79"/>
  <c r="D28" i="40"/>
  <c r="I77" i="44"/>
  <c r="O64" i="79"/>
  <c r="D39" i="40"/>
  <c r="P115" i="40"/>
  <c r="F40" i="44"/>
  <c r="P86" i="73"/>
  <c r="F15" i="79"/>
  <c r="F64" i="79"/>
  <c r="P52" i="73"/>
  <c r="P12" i="44"/>
  <c r="E7" i="68"/>
  <c r="E6" i="68" s="1"/>
  <c r="D18" i="68"/>
  <c r="D91" i="68"/>
  <c r="I15" i="79"/>
  <c r="F47" i="79"/>
  <c r="N47" i="79"/>
  <c r="J64" i="79"/>
  <c r="F21" i="80"/>
  <c r="N21" i="80"/>
  <c r="E28" i="40"/>
  <c r="H39" i="40"/>
  <c r="D115" i="40"/>
  <c r="M77" i="44"/>
  <c r="H18" i="68"/>
  <c r="H91" i="68"/>
  <c r="J15" i="79"/>
  <c r="I47" i="79"/>
  <c r="K64" i="79"/>
  <c r="E84" i="79"/>
  <c r="G21" i="80"/>
  <c r="O21" i="80"/>
  <c r="I28" i="40"/>
  <c r="L39" i="40"/>
  <c r="P68" i="40"/>
  <c r="P89" i="40"/>
  <c r="H115" i="40"/>
  <c r="J40" i="44"/>
  <c r="M47" i="79"/>
  <c r="M84" i="79"/>
  <c r="K21" i="80"/>
  <c r="L18" i="68"/>
  <c r="E15" i="79"/>
  <c r="M15" i="79"/>
  <c r="I84" i="79"/>
  <c r="J21" i="80"/>
  <c r="M28" i="40"/>
  <c r="P39" i="40"/>
  <c r="L115" i="40"/>
  <c r="N40" i="44"/>
  <c r="E77" i="44"/>
  <c r="E44" i="73"/>
  <c r="E42" i="73" s="1"/>
  <c r="E18" i="40"/>
  <c r="E16" i="40" s="1"/>
  <c r="P48" i="79"/>
  <c r="P10" i="79"/>
  <c r="E9" i="79"/>
  <c r="O27" i="48"/>
  <c r="C15" i="68"/>
  <c r="I163" i="68"/>
  <c r="I18" i="68"/>
  <c r="F73" i="68"/>
  <c r="M163" i="68"/>
  <c r="E18" i="68"/>
  <c r="M18" i="68"/>
  <c r="N73" i="68"/>
  <c r="L91" i="68"/>
  <c r="M138" i="68"/>
  <c r="E163" i="68"/>
  <c r="O92" i="68"/>
  <c r="E138" i="68"/>
  <c r="J73" i="68"/>
  <c r="I138" i="68"/>
  <c r="C164" i="68"/>
  <c r="C8" i="68" s="1"/>
  <c r="E16" i="48"/>
  <c r="E15" i="48" s="1"/>
  <c r="O15" i="48" s="1"/>
  <c r="O163" i="48"/>
  <c r="C12" i="48"/>
  <c r="E6" i="79"/>
  <c r="J60" i="73"/>
  <c r="J58" i="73" s="1"/>
  <c r="O22" i="48"/>
  <c r="P36" i="40"/>
  <c r="E9" i="44"/>
  <c r="C19" i="48"/>
  <c r="C7" i="48" s="1"/>
  <c r="D22" i="80"/>
  <c r="P22" i="80" s="1"/>
  <c r="D9" i="44"/>
  <c r="D8" i="44" s="1"/>
  <c r="D51" i="73" s="1"/>
  <c r="O171" i="68"/>
  <c r="O159" i="48"/>
  <c r="C156" i="48"/>
  <c r="I60" i="73"/>
  <c r="I58" i="73" s="1"/>
  <c r="I41" i="44"/>
  <c r="P48" i="40"/>
  <c r="O26" i="48"/>
  <c r="O28" i="48"/>
  <c r="D22" i="31"/>
  <c r="P16" i="78"/>
  <c r="P11" i="44"/>
  <c r="C18" i="48"/>
  <c r="G18" i="48"/>
  <c r="K18" i="48"/>
  <c r="O18" i="48"/>
  <c r="C49" i="48"/>
  <c r="G49" i="48"/>
  <c r="K49" i="48"/>
  <c r="O49" i="48"/>
  <c r="F51" i="48"/>
  <c r="J51" i="48"/>
  <c r="N51" i="48"/>
  <c r="C69" i="48"/>
  <c r="G69" i="48"/>
  <c r="K69" i="48"/>
  <c r="O69" i="48"/>
  <c r="C86" i="48"/>
  <c r="G86" i="48"/>
  <c r="K86" i="48"/>
  <c r="O86" i="48"/>
  <c r="E113" i="48"/>
  <c r="I113" i="48"/>
  <c r="M113" i="48"/>
  <c r="C137" i="48"/>
  <c r="G137" i="48"/>
  <c r="K137" i="48"/>
  <c r="O137" i="48"/>
  <c r="F155" i="48"/>
  <c r="J155" i="48"/>
  <c r="N155" i="48"/>
  <c r="D15" i="31"/>
  <c r="H15" i="31"/>
  <c r="L15" i="31"/>
  <c r="P15" i="31"/>
  <c r="G21" i="31"/>
  <c r="K21" i="31"/>
  <c r="O21" i="31"/>
  <c r="D34" i="31"/>
  <c r="H34" i="31"/>
  <c r="L34" i="31"/>
  <c r="P34" i="31"/>
  <c r="F79" i="78"/>
  <c r="F43" i="78"/>
  <c r="F37" i="78"/>
  <c r="J79" i="78"/>
  <c r="J43" i="78"/>
  <c r="J37" i="78"/>
  <c r="N79" i="78"/>
  <c r="N43" i="78"/>
  <c r="N37" i="78"/>
  <c r="G15" i="78"/>
  <c r="D37" i="78"/>
  <c r="L37" i="78"/>
  <c r="P79" i="78"/>
  <c r="C91" i="68"/>
  <c r="C163" i="68"/>
  <c r="C138" i="68"/>
  <c r="C18" i="68"/>
  <c r="C73" i="68"/>
  <c r="G91" i="68"/>
  <c r="G163" i="68"/>
  <c r="G138" i="68"/>
  <c r="G18" i="68"/>
  <c r="G73" i="68"/>
  <c r="K91" i="68"/>
  <c r="K163" i="68"/>
  <c r="K138" i="68"/>
  <c r="K18" i="68"/>
  <c r="K73" i="68"/>
  <c r="O91" i="68"/>
  <c r="O163" i="68"/>
  <c r="O138" i="68"/>
  <c r="O18" i="68"/>
  <c r="O73" i="68"/>
  <c r="C118" i="68"/>
  <c r="H3" i="77"/>
  <c r="L15" i="80"/>
  <c r="L34" i="80"/>
  <c r="D18" i="48"/>
  <c r="H18" i="48"/>
  <c r="L18" i="48"/>
  <c r="D49" i="48"/>
  <c r="H49" i="48"/>
  <c r="L49" i="48"/>
  <c r="C51" i="48"/>
  <c r="G51" i="48"/>
  <c r="K51" i="48"/>
  <c r="O51" i="48"/>
  <c r="D69" i="48"/>
  <c r="H69" i="48"/>
  <c r="L69" i="48"/>
  <c r="D86" i="48"/>
  <c r="H86" i="48"/>
  <c r="L86" i="48"/>
  <c r="F113" i="48"/>
  <c r="J113" i="48"/>
  <c r="N113" i="48"/>
  <c r="D137" i="48"/>
  <c r="H137" i="48"/>
  <c r="L137" i="48"/>
  <c r="C155" i="48"/>
  <c r="G155" i="48"/>
  <c r="K155" i="48"/>
  <c r="O155" i="48"/>
  <c r="E15" i="31"/>
  <c r="I15" i="31"/>
  <c r="M15" i="31"/>
  <c r="E34" i="31"/>
  <c r="I34" i="31"/>
  <c r="M34" i="31"/>
  <c r="G79" i="78"/>
  <c r="G37" i="78"/>
  <c r="G55" i="78"/>
  <c r="K79" i="78"/>
  <c r="K43" i="78"/>
  <c r="K37" i="78"/>
  <c r="K55" i="78"/>
  <c r="O79" i="78"/>
  <c r="O43" i="78"/>
  <c r="O37" i="78"/>
  <c r="O55" i="78"/>
  <c r="D15" i="78"/>
  <c r="H15" i="78"/>
  <c r="L15" i="78"/>
  <c r="P15" i="78"/>
  <c r="E37" i="78"/>
  <c r="M37" i="78"/>
  <c r="H43" i="78"/>
  <c r="F55" i="78"/>
  <c r="D79" i="78"/>
  <c r="G118" i="68"/>
  <c r="L3" i="77"/>
  <c r="E18" i="48"/>
  <c r="I18" i="48"/>
  <c r="M18" i="48"/>
  <c r="E49" i="48"/>
  <c r="I49" i="48"/>
  <c r="M49" i="48"/>
  <c r="D51" i="48"/>
  <c r="H51" i="48"/>
  <c r="L51" i="48"/>
  <c r="E69" i="48"/>
  <c r="I69" i="48"/>
  <c r="M69" i="48"/>
  <c r="E86" i="48"/>
  <c r="I86" i="48"/>
  <c r="M86" i="48"/>
  <c r="C113" i="48"/>
  <c r="O113" i="48"/>
  <c r="E137" i="48"/>
  <c r="I137" i="48"/>
  <c r="M137" i="48"/>
  <c r="D155" i="48"/>
  <c r="H155" i="48"/>
  <c r="L155" i="48"/>
  <c r="F15" i="31"/>
  <c r="J15" i="31"/>
  <c r="N15" i="31"/>
  <c r="F34" i="31"/>
  <c r="J34" i="31"/>
  <c r="N34" i="31"/>
  <c r="H37" i="78"/>
  <c r="P37" i="78"/>
  <c r="L43" i="78"/>
  <c r="J55" i="78"/>
  <c r="H79" i="78"/>
  <c r="G55" i="68"/>
  <c r="K118" i="68"/>
  <c r="D84" i="79"/>
  <c r="D15" i="79"/>
  <c r="D47" i="79"/>
  <c r="D64" i="79"/>
  <c r="H84" i="79"/>
  <c r="H15" i="79"/>
  <c r="H47" i="79"/>
  <c r="H64" i="79"/>
  <c r="L84" i="79"/>
  <c r="L15" i="79"/>
  <c r="L47" i="79"/>
  <c r="L64" i="79"/>
  <c r="P84" i="79"/>
  <c r="P15" i="79"/>
  <c r="P47" i="79"/>
  <c r="P64" i="79"/>
  <c r="P21" i="80"/>
  <c r="P34" i="80"/>
  <c r="D15" i="80"/>
  <c r="D34" i="80"/>
  <c r="F18" i="48"/>
  <c r="J18" i="48"/>
  <c r="N18" i="48"/>
  <c r="F49" i="48"/>
  <c r="J49" i="48"/>
  <c r="N49" i="48"/>
  <c r="E51" i="48"/>
  <c r="I51" i="48"/>
  <c r="M51" i="48"/>
  <c r="F69" i="48"/>
  <c r="J69" i="48"/>
  <c r="N69" i="48"/>
  <c r="F86" i="48"/>
  <c r="J86" i="48"/>
  <c r="N86" i="48"/>
  <c r="D113" i="48"/>
  <c r="H113" i="48"/>
  <c r="L113" i="48"/>
  <c r="F137" i="48"/>
  <c r="J137" i="48"/>
  <c r="N137" i="48"/>
  <c r="E155" i="48"/>
  <c r="I155" i="48"/>
  <c r="M155" i="48"/>
  <c r="G15" i="31"/>
  <c r="K15" i="31"/>
  <c r="O15" i="31"/>
  <c r="E55" i="78"/>
  <c r="E79" i="78"/>
  <c r="E43" i="78"/>
  <c r="I55" i="78"/>
  <c r="I79" i="78"/>
  <c r="I43" i="78"/>
  <c r="M55" i="78"/>
  <c r="M79" i="78"/>
  <c r="M43" i="78"/>
  <c r="F15" i="78"/>
  <c r="J15" i="78"/>
  <c r="N15" i="78"/>
  <c r="I37" i="78"/>
  <c r="D43" i="78"/>
  <c r="P43" i="78"/>
  <c r="N55" i="78"/>
  <c r="L79" i="78"/>
  <c r="K55" i="68"/>
  <c r="H15" i="80"/>
  <c r="H34" i="80"/>
  <c r="F53" i="40"/>
  <c r="F68" i="40" s="1"/>
  <c r="J53" i="40"/>
  <c r="J68" i="40" s="1"/>
  <c r="N53" i="40"/>
  <c r="N68" i="40" s="1"/>
  <c r="F18" i="68"/>
  <c r="J18" i="68"/>
  <c r="N18" i="68"/>
  <c r="D55" i="68"/>
  <c r="H55" i="68"/>
  <c r="L55" i="68"/>
  <c r="E91" i="68"/>
  <c r="I91" i="68"/>
  <c r="M91" i="68"/>
  <c r="D118" i="68"/>
  <c r="H118" i="68"/>
  <c r="L118" i="68"/>
  <c r="F138" i="68"/>
  <c r="J138" i="68"/>
  <c r="N138" i="68"/>
  <c r="F163" i="68"/>
  <c r="J163" i="68"/>
  <c r="N163" i="68"/>
  <c r="G47" i="79"/>
  <c r="K47" i="79"/>
  <c r="O47" i="79"/>
  <c r="E15" i="80"/>
  <c r="I15" i="80"/>
  <c r="M15" i="80"/>
  <c r="E34" i="80"/>
  <c r="I34" i="80"/>
  <c r="M34" i="80"/>
  <c r="F28" i="40"/>
  <c r="J28" i="40"/>
  <c r="N28" i="40"/>
  <c r="E39" i="40"/>
  <c r="I39" i="40"/>
  <c r="M39" i="40"/>
  <c r="G53" i="40"/>
  <c r="G68" i="40" s="1"/>
  <c r="K53" i="40"/>
  <c r="K68" i="40" s="1"/>
  <c r="O53" i="40"/>
  <c r="O68" i="40" s="1"/>
  <c r="E115" i="40"/>
  <c r="I115" i="40"/>
  <c r="M115" i="40"/>
  <c r="G40" i="44"/>
  <c r="K40" i="44"/>
  <c r="O40" i="44"/>
  <c r="E55" i="68"/>
  <c r="I55" i="68"/>
  <c r="M55" i="68"/>
  <c r="D73" i="68"/>
  <c r="H73" i="68"/>
  <c r="L73" i="68"/>
  <c r="F91" i="68"/>
  <c r="J91" i="68"/>
  <c r="N91" i="68"/>
  <c r="E118" i="68"/>
  <c r="I118" i="68"/>
  <c r="M118" i="68"/>
  <c r="G15" i="79"/>
  <c r="K15" i="79"/>
  <c r="O15" i="79"/>
  <c r="E64" i="79"/>
  <c r="F15" i="80"/>
  <c r="J15" i="80"/>
  <c r="N15" i="80"/>
  <c r="G28" i="40"/>
  <c r="K28" i="40"/>
  <c r="O28" i="40"/>
  <c r="F39" i="40"/>
  <c r="J39" i="40"/>
  <c r="N39" i="40"/>
  <c r="H53" i="40"/>
  <c r="H68" i="40" s="1"/>
  <c r="L53" i="40"/>
  <c r="L68" i="40" s="1"/>
  <c r="P53" i="40"/>
  <c r="D40" i="44"/>
  <c r="H40" i="44"/>
  <c r="L40" i="44"/>
  <c r="P40" i="44"/>
  <c r="F55" i="68"/>
  <c r="J55" i="68"/>
  <c r="N55" i="68"/>
  <c r="D138" i="68"/>
  <c r="H138" i="68"/>
  <c r="L138" i="68"/>
  <c r="G15" i="80"/>
  <c r="K15" i="80"/>
  <c r="O15" i="80"/>
  <c r="G39" i="40"/>
  <c r="K39" i="40"/>
  <c r="O39" i="40"/>
  <c r="D7" i="79"/>
  <c r="D6" i="79" s="1"/>
  <c r="P17" i="78"/>
  <c r="P17" i="79"/>
  <c r="G4" i="31" l="1"/>
  <c r="D11" i="31"/>
  <c r="O14" i="68"/>
  <c r="O56" i="68"/>
  <c r="O55" i="68"/>
  <c r="H22" i="73"/>
  <c r="H21" i="73" s="1"/>
  <c r="I22" i="73"/>
  <c r="I21" i="73" s="1"/>
  <c r="O13" i="73"/>
  <c r="O12" i="73" s="1"/>
  <c r="I13" i="73"/>
  <c r="I12" i="73" s="1"/>
  <c r="N22" i="73"/>
  <c r="N21" i="73" s="1"/>
  <c r="K4" i="31"/>
  <c r="K22" i="73"/>
  <c r="K21" i="73" s="1"/>
  <c r="F22" i="73"/>
  <c r="F21" i="73" s="1"/>
  <c r="P11" i="80"/>
  <c r="D23" i="73"/>
  <c r="P23" i="73" s="1"/>
  <c r="H13" i="73"/>
  <c r="H12" i="73" s="1"/>
  <c r="F4" i="31"/>
  <c r="D14" i="73"/>
  <c r="P14" i="73" s="1"/>
  <c r="P11" i="31"/>
  <c r="E13" i="73"/>
  <c r="E12" i="73" s="1"/>
  <c r="O118" i="68"/>
  <c r="P9" i="79"/>
  <c r="L5" i="48"/>
  <c r="M9" i="73" s="1"/>
  <c r="M8" i="73" s="1"/>
  <c r="M7" i="73" s="1"/>
  <c r="E4" i="80"/>
  <c r="E5" i="79"/>
  <c r="E20" i="73" s="1"/>
  <c r="O13" i="68"/>
  <c r="O6" i="40"/>
  <c r="O5" i="40" s="1"/>
  <c r="O70" i="48"/>
  <c r="E11" i="48"/>
  <c r="O10" i="48"/>
  <c r="F5" i="48"/>
  <c r="G9" i="73" s="1"/>
  <c r="G8" i="73" s="1"/>
  <c r="G7" i="73" s="1"/>
  <c r="O87" i="48"/>
  <c r="O13" i="48"/>
  <c r="M5" i="48"/>
  <c r="N9" i="73" s="1"/>
  <c r="N8" i="73" s="1"/>
  <c r="N7" i="73" s="1"/>
  <c r="J5" i="48"/>
  <c r="K9" i="73" s="1"/>
  <c r="K8" i="73" s="1"/>
  <c r="K7" i="73" s="1"/>
  <c r="P46" i="73"/>
  <c r="I31" i="73"/>
  <c r="I30" i="73" s="1"/>
  <c r="I29" i="73" s="1"/>
  <c r="O31" i="73"/>
  <c r="O30" i="73" s="1"/>
  <c r="O29" i="73" s="1"/>
  <c r="K31" i="73"/>
  <c r="K30" i="73" s="1"/>
  <c r="K29" i="73" s="1"/>
  <c r="H5" i="48"/>
  <c r="I9" i="73" s="1"/>
  <c r="I8" i="73" s="1"/>
  <c r="O52" i="48"/>
  <c r="N5" i="48"/>
  <c r="O9" i="73" s="1"/>
  <c r="O8" i="73" s="1"/>
  <c r="F5" i="68"/>
  <c r="G18" i="73" s="1"/>
  <c r="G17" i="73" s="1"/>
  <c r="G16" i="73" s="1"/>
  <c r="J5" i="68"/>
  <c r="K18" i="73" s="1"/>
  <c r="K17" i="73" s="1"/>
  <c r="H5" i="79"/>
  <c r="H20" i="73" s="1"/>
  <c r="P9" i="78"/>
  <c r="H5" i="78"/>
  <c r="H11" i="73" s="1"/>
  <c r="K5" i="68"/>
  <c r="L18" i="73" s="1"/>
  <c r="L17" i="73" s="1"/>
  <c r="L16" i="73" s="1"/>
  <c r="G5" i="68"/>
  <c r="H18" i="73" s="1"/>
  <c r="N5" i="68"/>
  <c r="O18" i="73" s="1"/>
  <c r="O17" i="73" s="1"/>
  <c r="O16" i="73" s="1"/>
  <c r="O15" i="68"/>
  <c r="I5" i="68"/>
  <c r="J18" i="73" s="1"/>
  <c r="J17" i="73" s="1"/>
  <c r="J16" i="73" s="1"/>
  <c r="P19" i="73"/>
  <c r="P5" i="77"/>
  <c r="P5" i="74"/>
  <c r="P10" i="73"/>
  <c r="P16" i="79"/>
  <c r="I6" i="40"/>
  <c r="I5" i="40" s="1"/>
  <c r="N6" i="40"/>
  <c r="N5" i="40" s="1"/>
  <c r="M5" i="68"/>
  <c r="N18" i="73" s="1"/>
  <c r="N17" i="73" s="1"/>
  <c r="M6" i="40"/>
  <c r="M5" i="40" s="1"/>
  <c r="M32" i="73"/>
  <c r="M31" i="73" s="1"/>
  <c r="M30" i="73" s="1"/>
  <c r="M29" i="73" s="1"/>
  <c r="K6" i="40"/>
  <c r="K5" i="40" s="1"/>
  <c r="H33" i="73"/>
  <c r="H31" i="73" s="1"/>
  <c r="H30" i="73" s="1"/>
  <c r="H29" i="73" s="1"/>
  <c r="H6" i="40"/>
  <c r="H5" i="40" s="1"/>
  <c r="F10" i="40"/>
  <c r="D34" i="73"/>
  <c r="P42" i="73"/>
  <c r="N31" i="73"/>
  <c r="N30" i="73" s="1"/>
  <c r="N29" i="73" s="1"/>
  <c r="J6" i="40"/>
  <c r="J5" i="40" s="1"/>
  <c r="J31" i="73"/>
  <c r="J30" i="73" s="1"/>
  <c r="J29" i="73" s="1"/>
  <c r="O16" i="68"/>
  <c r="L5" i="68"/>
  <c r="M18" i="73" s="1"/>
  <c r="M17" i="73" s="1"/>
  <c r="M16" i="73" s="1"/>
  <c r="O12" i="68"/>
  <c r="H5" i="68"/>
  <c r="I18" i="73" s="1"/>
  <c r="I17" i="73" s="1"/>
  <c r="K5" i="48"/>
  <c r="L9" i="73" s="1"/>
  <c r="L8" i="73" s="1"/>
  <c r="L7" i="73" s="1"/>
  <c r="G5" i="48"/>
  <c r="H9" i="73" s="1"/>
  <c r="I5" i="48"/>
  <c r="J9" i="73" s="1"/>
  <c r="J8" i="73" s="1"/>
  <c r="J7" i="73" s="1"/>
  <c r="D5" i="48"/>
  <c r="E9" i="73" s="1"/>
  <c r="O12" i="48"/>
  <c r="O138" i="48"/>
  <c r="P9" i="44"/>
  <c r="P18" i="40"/>
  <c r="P16" i="40"/>
  <c r="P44" i="73"/>
  <c r="E34" i="73"/>
  <c r="O139" i="68"/>
  <c r="O16" i="48"/>
  <c r="O19" i="68"/>
  <c r="D7" i="78"/>
  <c r="C7" i="68"/>
  <c r="O7" i="68" s="1"/>
  <c r="D9" i="80"/>
  <c r="D7" i="80" s="1"/>
  <c r="D8" i="68"/>
  <c r="O164" i="68"/>
  <c r="D9" i="31"/>
  <c r="P22" i="31"/>
  <c r="D10" i="68"/>
  <c r="O74" i="68"/>
  <c r="E11" i="68"/>
  <c r="O11" i="68" s="1"/>
  <c r="E13" i="78"/>
  <c r="O19" i="48"/>
  <c r="O156" i="48"/>
  <c r="C8" i="48"/>
  <c r="O8" i="48" s="1"/>
  <c r="D40" i="40"/>
  <c r="P7" i="79"/>
  <c r="O7" i="48"/>
  <c r="I16" i="73" l="1"/>
  <c r="K16" i="73"/>
  <c r="K25" i="73" s="1"/>
  <c r="K26" i="73" s="1"/>
  <c r="O7" i="73"/>
  <c r="O25" i="73" s="1"/>
  <c r="O26" i="73" s="1"/>
  <c r="I7" i="73"/>
  <c r="N16" i="73"/>
  <c r="N25" i="73" s="1"/>
  <c r="N26" i="73" s="1"/>
  <c r="P7" i="78"/>
  <c r="D6" i="78"/>
  <c r="P6" i="78" s="1"/>
  <c r="O11" i="48"/>
  <c r="E9" i="48"/>
  <c r="L25" i="73"/>
  <c r="L26" i="73" s="1"/>
  <c r="H17" i="73"/>
  <c r="H16" i="73" s="1"/>
  <c r="M25" i="73"/>
  <c r="M26" i="73" s="1"/>
  <c r="H8" i="73"/>
  <c r="H7" i="73" s="1"/>
  <c r="J25" i="73"/>
  <c r="J26" i="73" s="1"/>
  <c r="G25" i="73"/>
  <c r="G26" i="73" s="1"/>
  <c r="F33" i="73"/>
  <c r="E9" i="68"/>
  <c r="E5" i="68" s="1"/>
  <c r="F18" i="73" s="1"/>
  <c r="F17" i="73" s="1"/>
  <c r="F16" i="73" s="1"/>
  <c r="C6" i="68"/>
  <c r="C5" i="68" s="1"/>
  <c r="P9" i="80"/>
  <c r="C6" i="48"/>
  <c r="O6" i="48" s="1"/>
  <c r="O8" i="68"/>
  <c r="D6" i="68"/>
  <c r="D9" i="40"/>
  <c r="P13" i="78"/>
  <c r="E12" i="78"/>
  <c r="P9" i="31"/>
  <c r="D7" i="31"/>
  <c r="P7" i="80"/>
  <c r="D6" i="80"/>
  <c r="O10" i="68"/>
  <c r="D9" i="68"/>
  <c r="P6" i="79"/>
  <c r="D5" i="79"/>
  <c r="I25" i="73" l="1"/>
  <c r="I26" i="73" s="1"/>
  <c r="H6" i="73"/>
  <c r="E5" i="48"/>
  <c r="F9" i="73" s="1"/>
  <c r="F8" i="73" s="1"/>
  <c r="F7" i="73" s="1"/>
  <c r="F25" i="73" s="1"/>
  <c r="F26" i="73" s="1"/>
  <c r="O9" i="48"/>
  <c r="H25" i="73"/>
  <c r="H26" i="73" s="1"/>
  <c r="O6" i="68"/>
  <c r="D5" i="78"/>
  <c r="D11" i="73" s="1"/>
  <c r="C5" i="48"/>
  <c r="D9" i="73" s="1"/>
  <c r="P12" i="78"/>
  <c r="E5" i="78"/>
  <c r="E11" i="73" s="1"/>
  <c r="E8" i="73" s="1"/>
  <c r="E7" i="73" s="1"/>
  <c r="O9" i="68"/>
  <c r="D5" i="68"/>
  <c r="E18" i="73" s="1"/>
  <c r="E17" i="73" s="1"/>
  <c r="E16" i="73" s="1"/>
  <c r="P6" i="80"/>
  <c r="D22" i="73"/>
  <c r="D4" i="80"/>
  <c r="P4" i="80" s="1"/>
  <c r="D6" i="31"/>
  <c r="P7" i="31"/>
  <c r="D18" i="73"/>
  <c r="P5" i="79"/>
  <c r="D20" i="73"/>
  <c r="P20" i="73" s="1"/>
  <c r="P5" i="78" l="1"/>
  <c r="O5" i="48"/>
  <c r="P11" i="73"/>
  <c r="P22" i="73"/>
  <c r="D21" i="73"/>
  <c r="P21" i="73" s="1"/>
  <c r="E6" i="73"/>
  <c r="E25" i="73"/>
  <c r="P6" i="31"/>
  <c r="D4" i="31"/>
  <c r="P4" i="31" s="1"/>
  <c r="D13" i="73"/>
  <c r="O5" i="68"/>
  <c r="P18" i="73"/>
  <c r="D17" i="73"/>
  <c r="P9" i="73"/>
  <c r="D8" i="73"/>
  <c r="E26" i="73" l="1"/>
  <c r="D12" i="73"/>
  <c r="P12" i="73" s="1"/>
  <c r="P13" i="73"/>
  <c r="P8" i="73"/>
  <c r="P17" i="73"/>
  <c r="D16" i="73"/>
  <c r="P16" i="73" s="1"/>
  <c r="D7" i="73" l="1"/>
  <c r="D25" i="73" l="1"/>
  <c r="D26" i="73" s="1"/>
  <c r="P7" i="73"/>
  <c r="P2" i="73" s="1"/>
  <c r="P25" i="73" l="1"/>
  <c r="P26" i="73" s="1"/>
  <c r="F29" i="40" l="1"/>
  <c r="F8" i="40" s="1"/>
  <c r="G66" i="44" l="1"/>
  <c r="P68" i="44"/>
  <c r="G62" i="73" l="1"/>
  <c r="H53" i="73" l="1"/>
  <c r="F53" i="73"/>
  <c r="G53" i="73"/>
  <c r="N8" i="44"/>
  <c r="J8" i="44"/>
  <c r="F8" i="44"/>
  <c r="K8" i="44"/>
  <c r="M8" i="44"/>
  <c r="I8" i="44"/>
  <c r="O8" i="44"/>
  <c r="L8" i="44"/>
  <c r="H8" i="44"/>
  <c r="G8" i="44"/>
  <c r="P34" i="40"/>
  <c r="D29" i="40"/>
  <c r="P43" i="44"/>
  <c r="E42" i="44"/>
  <c r="E71" i="73"/>
  <c r="E65" i="73" s="1"/>
  <c r="H51" i="73" l="1"/>
  <c r="H50" i="73" s="1"/>
  <c r="H7" i="44"/>
  <c r="I51" i="73"/>
  <c r="J51" i="73"/>
  <c r="E59" i="73"/>
  <c r="P59" i="73" s="1"/>
  <c r="P42" i="44"/>
  <c r="D8" i="40"/>
  <c r="L51" i="73"/>
  <c r="M51" i="73"/>
  <c r="N51" i="73"/>
  <c r="O51" i="73"/>
  <c r="K51" i="73"/>
  <c r="G51" i="73"/>
  <c r="G50" i="73" s="1"/>
  <c r="G7" i="44"/>
  <c r="P16" i="44"/>
  <c r="F7" i="44"/>
  <c r="F51" i="73"/>
  <c r="F50" i="73" s="1"/>
  <c r="P15" i="44" l="1"/>
  <c r="P8" i="44" s="1"/>
  <c r="E8" i="44"/>
  <c r="E51" i="73" s="1"/>
  <c r="P51" i="73" s="1"/>
  <c r="D7" i="40"/>
  <c r="D6" i="40" l="1"/>
  <c r="D32" i="73"/>
  <c r="D31" i="73" l="1"/>
  <c r="D5" i="40"/>
  <c r="D30" i="73" l="1"/>
  <c r="D29" i="73" l="1"/>
  <c r="H60" i="73" l="1"/>
  <c r="H58" i="73" s="1"/>
  <c r="H28" i="73" s="1"/>
  <c r="H73" i="73" s="1"/>
  <c r="H41" i="44"/>
  <c r="H74" i="73" l="1"/>
  <c r="E7" i="44" l="1"/>
  <c r="E53" i="73" l="1"/>
  <c r="E50" i="73" s="1"/>
  <c r="G60" i="73" l="1"/>
  <c r="G58" i="73" s="1"/>
  <c r="G41" i="44"/>
  <c r="P70" i="44" l="1"/>
  <c r="E66" i="44"/>
  <c r="P66" i="44" s="1"/>
  <c r="P42" i="40"/>
  <c r="E40" i="40"/>
  <c r="P31" i="40"/>
  <c r="E29" i="40"/>
  <c r="E9" i="40" l="1"/>
  <c r="E8" i="40"/>
  <c r="P29" i="40"/>
  <c r="E62" i="73"/>
  <c r="P8" i="40" l="1"/>
  <c r="E7" i="40"/>
  <c r="P62" i="73"/>
  <c r="E32" i="73" l="1"/>
  <c r="E6" i="40"/>
  <c r="E31" i="73" l="1"/>
  <c r="E5" i="40"/>
  <c r="E30" i="73" l="1"/>
  <c r="E29" i="73" l="1"/>
  <c r="K60" i="73" l="1"/>
  <c r="K41" i="44"/>
  <c r="K58" i="73" l="1"/>
  <c r="L15" i="40" l="1"/>
  <c r="L14" i="40"/>
  <c r="L54" i="40"/>
  <c r="L69" i="40"/>
  <c r="L12" i="40" l="1"/>
  <c r="L13" i="40"/>
  <c r="L11" i="40"/>
  <c r="L34" i="73" l="1"/>
  <c r="L10" i="40"/>
  <c r="L33" i="73" l="1"/>
  <c r="L6" i="40"/>
  <c r="L5" i="40" l="1"/>
  <c r="L31" i="73"/>
  <c r="L30" i="73" l="1"/>
  <c r="L29" i="73" l="1"/>
  <c r="L60" i="73" l="1"/>
  <c r="L41" i="44"/>
  <c r="L58" i="73" l="1"/>
  <c r="L7" i="44" l="1"/>
  <c r="L53" i="73"/>
  <c r="L50" i="73" s="1"/>
  <c r="L28" i="73" s="1"/>
  <c r="L73" i="73" s="1"/>
  <c r="L99" i="73" l="1"/>
  <c r="L100" i="73" s="1"/>
  <c r="L74" i="73"/>
  <c r="I7" i="44"/>
  <c r="I53" i="73"/>
  <c r="I50" i="73" l="1"/>
  <c r="I28" i="73" l="1"/>
  <c r="I73" i="73" s="1"/>
  <c r="I74" i="73" l="1"/>
  <c r="M41" i="44" l="1"/>
  <c r="M60" i="73"/>
  <c r="M58" i="73" s="1"/>
  <c r="M7" i="44" l="1"/>
  <c r="M53" i="73"/>
  <c r="M50" i="73" s="1"/>
  <c r="M28" i="73" s="1"/>
  <c r="M73" i="73" s="1"/>
  <c r="M74" i="73" l="1"/>
  <c r="M99" i="73"/>
  <c r="M100" i="73" s="1"/>
  <c r="N7" i="44" l="1"/>
  <c r="N53" i="73"/>
  <c r="N50" i="73" s="1"/>
  <c r="P19" i="44"/>
  <c r="N60" i="73" l="1"/>
  <c r="N41" i="44"/>
  <c r="N58" i="73" l="1"/>
  <c r="N28" i="73" l="1"/>
  <c r="N73" i="73" l="1"/>
  <c r="N74" i="73" l="1"/>
  <c r="N99" i="73"/>
  <c r="N100" i="73" s="1"/>
  <c r="O53" i="73" l="1"/>
  <c r="O7" i="44"/>
  <c r="O50" i="73" l="1"/>
  <c r="O60" i="73" l="1"/>
  <c r="O41" i="44"/>
  <c r="O58" i="73" l="1"/>
  <c r="O28" i="73" l="1"/>
  <c r="O73" i="73" l="1"/>
  <c r="O74" i="73" l="1"/>
  <c r="P84" i="73" l="1"/>
  <c r="O99" i="73" l="1"/>
  <c r="O100" i="73" s="1"/>
  <c r="D71" i="73" l="1"/>
  <c r="D78" i="44"/>
  <c r="D7" i="44" l="1"/>
  <c r="D53" i="73"/>
  <c r="D65" i="73"/>
  <c r="D50" i="73" l="1"/>
  <c r="F71" i="73" l="1"/>
  <c r="P78" i="44"/>
  <c r="F65" i="73" l="1"/>
  <c r="P71" i="73"/>
  <c r="P65" i="73" l="1"/>
  <c r="F60" i="73" l="1"/>
  <c r="F41" i="44" l="1"/>
  <c r="F58" i="73"/>
  <c r="G15" i="40" l="1"/>
  <c r="P15" i="40" s="1"/>
  <c r="P103" i="40"/>
  <c r="G54" i="40"/>
  <c r="P56" i="40"/>
  <c r="P54" i="40" l="1"/>
  <c r="G11" i="40"/>
  <c r="G14" i="40"/>
  <c r="P90" i="40"/>
  <c r="P11" i="40" l="1"/>
  <c r="G13" i="40"/>
  <c r="P14" i="40"/>
  <c r="P13" i="40" l="1"/>
  <c r="G34" i="73"/>
  <c r="P34" i="73" s="1"/>
  <c r="H99" i="73" l="1"/>
  <c r="H100" i="73" s="1"/>
  <c r="G69" i="40" l="1"/>
  <c r="P71" i="40"/>
  <c r="G12" i="40" l="1"/>
  <c r="P69" i="40"/>
  <c r="P12" i="40" l="1"/>
  <c r="G10" i="40"/>
  <c r="G33" i="73" l="1"/>
  <c r="P10" i="40"/>
  <c r="G6" i="40"/>
  <c r="G5" i="40" l="1"/>
  <c r="P33" i="73"/>
  <c r="G31" i="73"/>
  <c r="G30" i="73" l="1"/>
  <c r="G29" i="73" l="1"/>
  <c r="G28" i="73" l="1"/>
  <c r="G73" i="73" l="1"/>
  <c r="G99" i="73" l="1"/>
  <c r="G100" i="73" s="1"/>
  <c r="G74" i="73"/>
  <c r="D46" i="44" l="1"/>
  <c r="D60" i="73" s="1"/>
  <c r="D41" i="44" l="1"/>
  <c r="D58" i="73" l="1"/>
  <c r="D28" i="73" l="1"/>
  <c r="D73" i="73" l="1"/>
  <c r="D74" i="73" l="1"/>
  <c r="D76" i="73" l="1"/>
  <c r="D99" i="73" l="1"/>
  <c r="D100" i="73" l="1"/>
  <c r="F40" i="40" l="1"/>
  <c r="P45" i="40"/>
  <c r="F9" i="40" l="1"/>
  <c r="P40" i="40"/>
  <c r="F7" i="40" l="1"/>
  <c r="P9" i="40"/>
  <c r="P7" i="40" l="1"/>
  <c r="F32" i="73"/>
  <c r="F6" i="40"/>
  <c r="P6" i="40" l="1"/>
  <c r="F5" i="40"/>
  <c r="P5" i="40" s="1"/>
  <c r="P32" i="73"/>
  <c r="F31" i="73"/>
  <c r="P31" i="73" l="1"/>
  <c r="F30" i="73"/>
  <c r="F29" i="73" l="1"/>
  <c r="P30" i="73"/>
  <c r="F28" i="73" l="1"/>
  <c r="F73" i="73" s="1"/>
  <c r="P29" i="73"/>
  <c r="F99" i="73" l="1"/>
  <c r="F100" i="73" s="1"/>
  <c r="F74" i="73"/>
  <c r="P46" i="44" l="1"/>
  <c r="E60" i="73"/>
  <c r="E41" i="44"/>
  <c r="P41" i="44" s="1"/>
  <c r="P60" i="73" l="1"/>
  <c r="E58" i="73"/>
  <c r="P58" i="73" l="1"/>
  <c r="E28" i="73"/>
  <c r="E73" i="73" l="1"/>
  <c r="E74" i="73" l="1"/>
  <c r="E99" i="73"/>
  <c r="E100" i="73" l="1"/>
  <c r="P78" i="73" l="1"/>
  <c r="P76" i="73" l="1"/>
  <c r="I99" i="73"/>
  <c r="I100" i="73" l="1"/>
  <c r="J7" i="44" l="1"/>
  <c r="P31" i="44"/>
  <c r="P18" i="44" s="1"/>
  <c r="K53" i="73"/>
  <c r="K7" i="44"/>
  <c r="J53" i="73" l="1"/>
  <c r="J50" i="73" s="1"/>
  <c r="J28" i="73" s="1"/>
  <c r="J73" i="73" s="1"/>
  <c r="J99" i="73" s="1"/>
  <c r="J100" i="73" s="1"/>
  <c r="P7" i="44"/>
  <c r="K50" i="73"/>
  <c r="P53" i="73" l="1"/>
  <c r="J74" i="73"/>
  <c r="K28" i="73"/>
  <c r="P50" i="73"/>
  <c r="K73" i="73" l="1"/>
  <c r="P28" i="73"/>
  <c r="K74" i="73" l="1"/>
  <c r="K99" i="73"/>
  <c r="P73" i="73"/>
  <c r="P74" i="73" l="1"/>
  <c r="O75" i="73"/>
  <c r="N75" i="73" s="1"/>
  <c r="K100" i="73"/>
  <c r="P99" i="73"/>
  <c r="P100" i="7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</author>
    <author>tc={DFD4DE28-BCE4-4D15-9870-E3265A087065}</author>
    <author>tc={0590D88F-774E-4995-8353-82411B70D55E}</author>
  </authors>
  <commentList>
    <comment ref="K7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usd 1428 x 12 pax a tc MEP 1035.-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F.Perazzo CER001
</t>
        </r>
        <r>
          <rPr>
            <sz val="9"/>
            <color indexed="81"/>
            <rFont val="Tahoma"/>
            <family val="2"/>
          </rPr>
          <t xml:space="preserve">
M.Roumi CER001
</t>
        </r>
      </text>
    </comment>
    <comment ref="J157" authorId="1" shapeId="0" xr:uid="{DFD4DE28-BCE4-4D15-9870-E3265A0870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M.Gomez + J.Yaya + D.Tedesco</t>
      </text>
    </comment>
    <comment ref="E15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SACDE FA 4-1319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8" authorId="2" shapeId="0" xr:uid="{0590D88F-774E-4995-8353-82411B70D5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Javier Ccanto PER CER006 04/02/25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</author>
    <author>tc={20761913-2918-406B-90AD-4D8CCF01F208}</author>
    <author>tc={414B55EA-D056-4040-AB0E-BF716F932766}</author>
    <author>tc={3548B1AE-A67C-47F8-ACB0-9F3A39B47DD5}</author>
    <author>tc={84789B19-E168-40AF-9CD5-61875CB18A34}</author>
    <author>tc={11A50668-789B-4B27-B040-96F48CF9A758}</author>
    <author>tc={158D8201-ED91-4828-A018-F0A7711367AD}</author>
    <author>tc={334F6540-B40D-4A1A-8483-D2E9F5B2E166}</author>
    <author>tc={75A29413-9E8C-4DBC-9341-608644B07B81}</author>
    <author>tc={C55F271D-384E-4D27-8CDD-2DE3F075B137}</author>
    <author>tc={20ED03D0-B366-4506-AFF2-DCBBAC94198E}</author>
    <author>tc={47A4A0D4-933E-4CD2-82F0-37BE09531FFA}</author>
    <author>tc={935894DF-1A5C-497E-8B53-F3BD4CA4C39A}</author>
    <author>tc={337F4169-75F4-4728-9BA2-F611A2EFB55A}</author>
    <author>tc={DB1FC4E2-C3FF-4202-9186-F090932AEE47}</author>
    <author>tc={E8A1BD5A-D5DB-47B5-9792-7AE68B471F8F}</author>
    <author>tc={0A01523A-CB44-44A3-8F0C-C044F9FFC4DF}</author>
    <author>tc={D05AF3B0-CD03-48E9-91F2-D1A9404912E1}</author>
    <author>tc={2E504F2C-D8D5-458E-A014-7EEBE7C9510F}</author>
    <author>tc={7C4F97E1-7F07-4B0A-B9F9-A03CB6FAD260}</author>
    <author>tc={B34D38FE-8564-4404-A3A4-14E93E6D5480}</author>
    <author>tc={00FDB575-D2E8-438C-882B-33E0BA2A1C6E}</author>
    <author>tc={3ECD4444-9ACE-413D-9A59-C78EAC0D222B}</author>
    <author>tc={126CEAF3-AA37-44CC-B2D1-BA3700151546}</author>
  </authors>
  <commentList>
    <comment ref="C2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J.Fedoruk 12/08/2024
20hs x 20000/h
</t>
        </r>
      </text>
    </comment>
    <comment ref="D20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J.Fedoruk 30/09 al 04/10/24
22000/h</t>
        </r>
      </text>
    </comment>
    <comment ref="E20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Jose Fedoruk
30/10 al 05/11/2024
$ 22000/h
</t>
        </r>
      </text>
    </comment>
    <comment ref="F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 xml:space="preserve">Fran Carvajal
07/11 al 20/12/2024
$ 23000/h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0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Nahuel Gonzalez
02/12 al 06/12/2024
$22000/h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1" shapeId="0" xr:uid="{20761913-2918-406B-90AD-4D8CCF01F2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Nahuel Gonzalez 03 al 07/02/2025 - 23000/h</t>
      </text>
    </comment>
    <comment ref="J20" authorId="2" shapeId="0" xr:uid="{414B55EA-D056-4040-AB0E-BF716F9327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Fedoruk 10 al 14/03 - 24000/h</t>
      </text>
    </comment>
    <comment ref="K20" authorId="3" shapeId="0" xr:uid="{3548B1AE-A67C-47F8-ACB0-9F3A39B47D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Nahuel Gonzalez 25000/h, inicio 21/04/2025</t>
      </text>
    </comment>
    <comment ref="D2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 xml:space="preserve">Irina Castro
16/09 al 28/10/2024
100hs x 20000/h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Irina Castro
29/10 al 11/12/2024</t>
        </r>
        <r>
          <rPr>
            <sz val="9"/>
            <color indexed="81"/>
            <rFont val="Tahoma"/>
            <family val="2"/>
          </rPr>
          <t xml:space="preserve">
$22000/h
</t>
        </r>
      </text>
    </comment>
    <comment ref="H2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Irina Castro
20/01 al 05/03/2025
$23000/h</t>
        </r>
      </text>
    </comment>
    <comment ref="J21" authorId="4" shapeId="0" xr:uid="{84789B19-E168-40AF-9CD5-61875CB18A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Tamara Gutierrez 25000/h, 17/03 al 05/05/2025</t>
      </text>
    </comment>
    <comment ref="D22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Erika Horna 16/09 al 28/10/2024
100 x 22000/h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Seba Gresko 28/10 al 10/12/2024
$23000/h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 xml:space="preserve">E.Horna 07/11 al 23/12/2024
23000/h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Silvia Krimmer
23000/h
13/01 al 24/02/2025</t>
        </r>
        <r>
          <rPr>
            <sz val="9"/>
            <color indexed="81"/>
            <rFont val="Tahoma"/>
            <family val="2"/>
          </rPr>
          <t xml:space="preserve">
Seba Gresko,4hs 27/02/25 $23000/h</t>
        </r>
      </text>
    </comment>
    <comment ref="J22" authorId="5" shapeId="0" xr:uid="{11A50668-789B-4B27-B040-96F48CF9A7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17/03 al 05/05/25 $32000/h Gabriel Sagripanti</t>
      </text>
    </comment>
    <comment ref="L22" authorId="6" shapeId="0" xr:uid="{158D8201-ED91-4828-A018-F0A7711367A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E. Horna 26K/H
</t>
      </text>
    </comment>
    <comment ref="D2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F.Carvajal 23/09 al 05/11/2024
21000/h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 xml:space="preserve">F.Carvajal 23000/h
07/11 al 20/12/2024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Francisco Carvajal
20/01 al 03/03/2025
$23000/h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7" shapeId="0" xr:uid="{334F6540-B40D-4A1A-8483-D2E9F5B2E1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F.Carvajal 17/03 al 05/05/2025 $25000/h</t>
      </text>
    </comment>
    <comment ref="L23" authorId="8" shapeId="0" xr:uid="{75A29413-9E8C-4DBC-9341-608644B07B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F.Carvajal 27k/H</t>
      </text>
    </comment>
    <comment ref="E24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P.Fernandez 64hs x 22000
Dani Torres 36hs x 23000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9" shapeId="0" xr:uid="{C55F271D-384E-4D27-8CDD-2DE3F075B1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M.Belfiori 30k/h</t>
      </text>
    </comment>
    <comment ref="C26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 xml:space="preserve">N.Molero 05/08/2024
100hs x 20.000/h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6" authorId="0" shapeId="0" xr:uid="{0157D99A-38DD-4BEE-BAE9-F4E9BCA9A3B5}">
      <text>
        <r>
          <rPr>
            <b/>
            <sz val="9"/>
            <color indexed="81"/>
            <rFont val="Tahoma"/>
            <family val="2"/>
          </rPr>
          <t>10/02 al 27/03/2025 $25000/h Nathaniel</t>
        </r>
      </text>
    </comment>
    <comment ref="L26" authorId="10" shapeId="0" xr:uid="{20ED03D0-B366-4506-AFF2-DCBBAC94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N.Molero 27000/h 05/05 al 16/06/2025</t>
      </text>
    </comment>
    <comment ref="E27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 xml:space="preserve">N.Giordano 14/10 al 26/11/2024
22000/h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1" shapeId="0" xr:uid="{47A4A0D4-933E-4CD2-82F0-37BE09531F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28k/h Nico Giordano</t>
      </text>
    </comment>
    <comment ref="H28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 xml:space="preserve">Marisa Focanti
13/01 al 28/02/2025
</t>
        </r>
        <r>
          <rPr>
            <sz val="9"/>
            <color indexed="81"/>
            <rFont val="Tahoma"/>
            <family val="2"/>
          </rPr>
          <t xml:space="preserve">
100hs
</t>
        </r>
      </text>
    </comment>
    <comment ref="G29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 xml:space="preserve">Alejandro Fariña
02/12 al 19/12/2024
$23000/h
</t>
        </r>
      </text>
    </comment>
    <comment ref="K29" authorId="12" shapeId="0" xr:uid="{935894DF-1A5C-497E-8B53-F3BD4CA4C3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A.Fariña 26000/h, 14/04 al 07/05/2025</t>
      </text>
    </comment>
    <comment ref="H33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 xml:space="preserve">Nataly
27/01 al 26/02/2025
23000/h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 xml:space="preserve">M.De Vicenzo 16 al 20/09/24 $25.000/h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Leandro Barrios 16 al 19/09/2024 $ 20000/h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3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MM: E.Horna 13/08 al 04/09 - 25K/H x 24hs
FI T.Gutierrez 12/08 al 04/09 - 25K/H  x24hs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PP 24hs N.Giordan al /10 al 15/11/24 - 25000/h
SD 24hs - J. Fedoruk 07/10 al 14/11/2024 - 25000/h
Engels Rodriguez 26/09 al 03/10/2024: 15hs x usd 30/</t>
        </r>
      </text>
    </comment>
    <comment ref="H93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 xml:space="preserve">M.Belfiori
06/01 al 24/01/2025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4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F.Becerra MSP Consulting: 4hs total ars 275K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0" authorId="13" shapeId="0" xr:uid="{337F4169-75F4-4728-9BA2-F611A2EFB5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Nico Giordano 18/03 al 07/05/2025 30000/h</t>
      </text>
    </comment>
    <comment ref="K100" authorId="14" shapeId="0" xr:uid="{DB1FC4E2-C3FF-4202-9186-F090932AEE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LH p-PP y PM</t>
      </text>
    </comment>
    <comment ref="L100" authorId="15" shapeId="0" xr:uid="{E8A1BD5A-D5DB-47B5-9792-7AE68B471F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Trainer PP 35K/H Marcos Delle Gandine</t>
      </text>
    </comment>
    <comment ref="M100" authorId="16" shapeId="0" xr:uid="{0A01523A-CB44-44A3-8F0C-C044F9FFC4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Trainer PM Maria A.Ramirez 30K/H</t>
      </text>
    </comment>
    <comment ref="K102" authorId="17" shapeId="0" xr:uid="{D05AF3B0-CD03-48E9-91F2-D1A9404912E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Melisa Castro 40000/h
</t>
      </text>
    </comment>
    <comment ref="E140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 xml:space="preserve">G.Reguilon 40hs prep + 40hs dictado, 25000/h
</t>
        </r>
      </text>
    </comment>
    <comment ref="E143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Irina 20hs x 25K
Ale Fariña 40hs x 25K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7" authorId="18" shapeId="0" xr:uid="{2E504F2C-D8D5-458E-A014-7EEBE7C951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Delle Gandine PP 20hs x 30K/H + Tamara FI 20hs x 30K/H + ….MM 20hs x 32K/H</t>
      </text>
    </comment>
    <comment ref="C165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Marleyllin tc 950
Sandez, Romero, Lugo - tc 951</t>
        </r>
      </text>
    </comment>
    <comment ref="D165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CER001 Tais + Rivero, tc 963,50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Pineda Perez/Restrepo/Quinelli/Gamboa
TC 990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5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 xml:space="preserve">G.Dulanto tc 1007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5" authorId="0" shapeId="0" xr:uid="{00000000-0006-0000-0600-000022000000}">
      <text>
        <r>
          <rPr>
            <b/>
            <sz val="9"/>
            <color indexed="81"/>
            <rFont val="Tahoma"/>
            <family val="2"/>
          </rPr>
          <t xml:space="preserve">F.Perazzo tc 1016,50
</t>
        </r>
        <r>
          <rPr>
            <sz val="9"/>
            <color indexed="81"/>
            <rFont val="Tahoma"/>
            <family val="2"/>
          </rPr>
          <t xml:space="preserve">
M.Roumie tc 1023
</t>
        </r>
      </text>
    </comment>
    <comment ref="H165" authorId="0" shapeId="0" xr:uid="{00000000-0006-0000-0600-000023000000}">
      <text>
        <r>
          <rPr>
            <b/>
            <sz val="9"/>
            <color indexed="81"/>
            <rFont val="Tahoma"/>
            <family val="2"/>
          </rPr>
          <t xml:space="preserve">Carmen Luna tc 1070? (16/01/2025)
</t>
        </r>
      </text>
    </comment>
    <comment ref="I165" authorId="19" shapeId="0" xr:uid="{7C4F97E1-7F07-4B0A-B9F9-A03CB6FAD2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Pereira/Aguirre/Avila/Peinero x CER001 - TC 1054.25</t>
      </text>
    </comment>
    <comment ref="J165" authorId="20" shapeId="0" xr:uid="{B34D38FE-8564-4404-A3A4-14E93E6D54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CER001 M.Gomez + J.Yaya + D.Tedesco tc 1071.75</t>
      </text>
    </comment>
    <comment ref="K165" authorId="21" shapeId="0" xr:uid="{00FDB575-D2E8-438C-882B-33E0BA2A1C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L. Anza tc 1200?</t>
      </text>
    </comment>
    <comment ref="E166" authorId="0" shapeId="0" xr:uid="{00000000-0006-0000-0600-000024000000}">
      <text>
        <r>
          <rPr>
            <b/>
            <sz val="9"/>
            <color indexed="81"/>
            <rFont val="Tahoma"/>
            <family val="2"/>
          </rPr>
          <t>SACDE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6" authorId="0" shapeId="0" xr:uid="{00000000-0006-0000-0600-000025000000}">
      <text>
        <r>
          <rPr>
            <b/>
            <sz val="9"/>
            <color indexed="81"/>
            <rFont val="Tahoma"/>
            <family val="2"/>
          </rPr>
          <t xml:space="preserve">J. Velez Bolivar tc 1039,50
</t>
        </r>
      </text>
    </comment>
    <comment ref="I166" authorId="22" shapeId="0" xr:uid="{3ECD4444-9ACE-413D-9A59-C78EAC0D22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Javier Ccanto CER006 tc 1059.75</t>
      </text>
    </comment>
    <comment ref="K166" authorId="23" shapeId="0" xr:uid="{126CEAF3-AA37-44CC-B2D1-BA37001515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M.Capis tc 1110?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</author>
  </authors>
  <commentList>
    <comment ref="F1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Elena Iñurrategui 21 al 24/10/24 16hs, usd 35 a BL</t>
        </r>
      </text>
    </comment>
    <comment ref="G8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 Eboli 30000/h x 40hs
FALTA vouchers SF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</author>
    <author>tc={03B0F23A-0A6F-4EFE-8655-D881B8BEFE86}</author>
  </authors>
  <commentList>
    <comment ref="F5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Relac. Dependencia + Aumento Mensual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Bono Navideño 80K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Bim Jul-Ago 2024
usd 2000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 xml:space="preserve">Bim.Sept-Oct 2024 usd 1500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0" authorId="1" shapeId="0" xr:uid="{03B0F23A-0A6F-4EFE-8655-D881B8BEFE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Incl. Plus Vacacional</t>
      </text>
    </comment>
    <comment ref="H77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 xml:space="preserve">Bono Navideño 80K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 xml:space="preserve">Bono Navideño 80K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4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 xml:space="preserve">Incluy ajuste x SAC + aumento 12/2024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1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 xml:space="preserve">Bono Navideño 80K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tc={2B38A67C-B51A-44BC-9BF1-1D06762BAD8A}</author>
    <author>Marina</author>
    <author>tc={5E38437E-3479-4179-ACC0-65A8EEDBB5FD}</author>
    <author>tc={FE54B8A3-2201-4C04-8737-CA695744DAE9}</author>
    <author>tc={D35D3D15-0C57-4E5D-889B-8BC14A12E5DE}</author>
    <author>tc={148FE249-F3D9-4938-ADCC-6144123F2BEA}</author>
    <author>tc={889C6E60-5D0F-4061-9703-C8C4640CDEC8}</author>
  </authors>
  <commentList>
    <comment ref="I12" authorId="0" shapeId="0" xr:uid="{2B38A67C-B51A-44BC-9BF1-1D06762BAD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Mto mensual + Renov. Anual VISA AX x 2</t>
      </text>
    </comment>
    <comment ref="E17" authorId="1" shapeId="0" xr:uid="{00000000-0006-0000-0B00-000001000000}">
      <text>
        <r>
          <rPr>
            <b/>
            <sz val="9"/>
            <color indexed="81"/>
            <rFont val="Tahoma"/>
            <family val="2"/>
          </rPr>
          <t>09/2024: 13% aumento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" authorId="1" shapeId="0" xr:uid="{00000000-0006-0000-0B00-000002000000}">
      <text>
        <r>
          <rPr>
            <b/>
            <sz val="9"/>
            <color indexed="81"/>
            <rFont val="Tahoma"/>
            <family val="2"/>
          </rPr>
          <t xml:space="preserve">Aumento 9% 12/2024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7" authorId="2" shapeId="0" xr:uid="{5E38437E-3479-4179-ACC0-65A8EEDBB5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Aumento 7,5% 03/2025</t>
      </text>
    </comment>
    <comment ref="D23" authorId="1" shapeId="0" xr:uid="{00000000-0006-0000-0B00-000003000000}">
      <text>
        <r>
          <rPr>
            <b/>
            <sz val="9"/>
            <color indexed="81"/>
            <rFont val="Tahoma"/>
            <family val="2"/>
          </rPr>
          <t>Adicional Costo Instalacion Terminal ars 150K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1" authorId="3" shapeId="0" xr:uid="{FE54B8A3-2201-4C04-8737-CA695744DA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DQ 10hs x mes a partir de 03/2025</t>
      </text>
    </comment>
    <comment ref="E33" authorId="1" shapeId="0" xr:uid="{00000000-0006-0000-0B00-000004000000}">
      <text>
        <r>
          <rPr>
            <b/>
            <sz val="9"/>
            <color indexed="81"/>
            <rFont val="Tahoma"/>
            <family val="2"/>
          </rPr>
          <t xml:space="preserve">FF 10/10/2024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3" authorId="4" shapeId="0" xr:uid="{D35D3D15-0C57-4E5D-889B-8BC14A12E5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+ Roaming USA Marito ars 65K</t>
      </text>
    </comment>
    <comment ref="D38" authorId="1" shapeId="0" xr:uid="{00000000-0006-0000-0B00-000005000000}">
      <text>
        <r>
          <rPr>
            <b/>
            <sz val="9"/>
            <color indexed="81"/>
            <rFont val="Tahoma"/>
            <family val="2"/>
          </rPr>
          <t>Aumento 10% respecto a mes anterior</t>
        </r>
      </text>
    </comment>
    <comment ref="J51" authorId="5" shapeId="0" xr:uid="{148FE249-F3D9-4938-ADCC-6144123F2B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+ Reintegro Gastos 198k, almuerzo Kansas</t>
      </text>
    </comment>
    <comment ref="E55" authorId="1" shapeId="0" xr:uid="{00000000-0006-0000-0B00-000006000000}">
      <text>
        <r>
          <rPr>
            <b/>
            <sz val="9"/>
            <color indexed="81"/>
            <rFont val="Tahoma"/>
            <family val="2"/>
          </rPr>
          <t>10.000 envios 20/09/2024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5" authorId="1" shapeId="0" xr:uid="{00000000-0006-0000-0B00-000007000000}">
      <text>
        <r>
          <rPr>
            <b/>
            <sz val="9"/>
            <color indexed="81"/>
            <rFont val="Tahoma"/>
            <family val="2"/>
          </rPr>
          <t>10.000 envios 
Fecha 19/11/2024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3" authorId="1" shapeId="0" xr:uid="{00000000-0006-0000-0B00-000008000000}">
      <text>
        <r>
          <rPr>
            <b/>
            <sz val="9"/>
            <color indexed="81"/>
            <rFont val="Tahoma"/>
            <family val="2"/>
          </rPr>
          <t>Importe adicional, saldo final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1" shapeId="0" xr:uid="{00000000-0006-0000-0B00-000009000000}">
      <text>
        <r>
          <rPr>
            <b/>
            <sz val="9"/>
            <color indexed="81"/>
            <rFont val="Tahoma"/>
            <family val="2"/>
          </rPr>
          <t>usd 152</t>
        </r>
        <r>
          <rPr>
            <sz val="9"/>
            <color indexed="81"/>
            <rFont val="Tahoma"/>
            <family val="2"/>
          </rPr>
          <t xml:space="preserve">
TC AMEX 994 + Imp. Pais 30%</t>
        </r>
      </text>
    </comment>
    <comment ref="I82" authorId="6" shapeId="0" xr:uid="{889C6E60-5D0F-4061-9703-C8C4640CDEC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Evaluación Proveedor AX USA x SAP Colombia SAS</t>
      </text>
    </comment>
    <comment ref="G83" authorId="1" shapeId="0" xr:uid="{00000000-0006-0000-0B00-00000A000000}">
      <text>
        <r>
          <rPr>
            <b/>
            <sz val="9"/>
            <color indexed="81"/>
            <rFont val="Tahoma"/>
            <family val="2"/>
          </rPr>
          <t>Certificación Balance Y19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5" authorId="1" shapeId="0" xr:uid="{00000000-0006-0000-0B00-00000B000000}">
      <text>
        <r>
          <rPr>
            <b/>
            <sz val="9"/>
            <color indexed="81"/>
            <rFont val="Tahoma"/>
            <family val="2"/>
          </rPr>
          <t xml:space="preserve">pdfguru.com MA AMEX usd 19,99
</t>
        </r>
        <r>
          <rPr>
            <sz val="9"/>
            <color indexed="81"/>
            <rFont val="Tahoma"/>
            <family val="2"/>
          </rPr>
          <t xml:space="preserve">
Open AI USD 20 + Greg usd 25,93 AMEX MC</t>
        </r>
      </text>
    </comment>
  </commentList>
</comments>
</file>

<file path=xl/sharedStrings.xml><?xml version="1.0" encoding="utf-8"?>
<sst xmlns="http://schemas.openxmlformats.org/spreadsheetml/2006/main" count="502" uniqueCount="330">
  <si>
    <t>SERVICIOS</t>
  </si>
  <si>
    <t xml:space="preserve">Celulares </t>
  </si>
  <si>
    <t>Telefonia Internacional</t>
  </si>
  <si>
    <t>OTROS</t>
  </si>
  <si>
    <t>Librería</t>
  </si>
  <si>
    <t>Misceláneos</t>
  </si>
  <si>
    <t>Meeting Operativa</t>
  </si>
  <si>
    <t>Gastos Documentación / Certificaciones</t>
  </si>
  <si>
    <t xml:space="preserve">Cargas Sociales </t>
  </si>
  <si>
    <t>Beneficios Adicionales</t>
  </si>
  <si>
    <t xml:space="preserve">Preocupacionales - Búsquedas </t>
  </si>
  <si>
    <t>BUSINESS DEVELOPMENT</t>
  </si>
  <si>
    <t>REVENUE - TRAINING SAP</t>
  </si>
  <si>
    <t>CURSOS Offshore</t>
  </si>
  <si>
    <t>Comisiones</t>
  </si>
  <si>
    <t>REVENUE PRODUCTOS IT</t>
  </si>
  <si>
    <t>COSTOS DIRECTOS - TRAINING SAP</t>
  </si>
  <si>
    <t>Bonus Cierre Ejercicio / Otros</t>
  </si>
  <si>
    <t>Eventos - Invitaciones - Regalos corporativos</t>
  </si>
  <si>
    <t>COSTOS INDIRECTOS - PERSONAL</t>
  </si>
  <si>
    <t>SUELDOS -  Personal en relación de dependencia</t>
  </si>
  <si>
    <t>SUELDOS Management Team</t>
  </si>
  <si>
    <t>CFO- M. Curone</t>
  </si>
  <si>
    <t>CEO - M. Agüero</t>
  </si>
  <si>
    <t>SUELDOS Área Comercial</t>
  </si>
  <si>
    <t>SUELDOS Área Adm. &amp; Finanzas</t>
  </si>
  <si>
    <t>HONORARIOS-  Personal Contratado</t>
  </si>
  <si>
    <t>Autónomos</t>
  </si>
  <si>
    <t>CURSOS in Company</t>
  </si>
  <si>
    <t>SAC</t>
  </si>
  <si>
    <t>INICIO CONTRATO:</t>
  </si>
  <si>
    <t>Mantenimiento Cta. Cte.</t>
  </si>
  <si>
    <t>Com.- Trans. Bancarias</t>
  </si>
  <si>
    <t>Gastos Tarjeta VISA Business (Resumen- + Imp. Sellos + Cargo Renov. Anual)</t>
  </si>
  <si>
    <t>Almuerzos - Gtos representación - Regalos Corporativos</t>
  </si>
  <si>
    <t>Pricing Axigma</t>
  </si>
  <si>
    <t>Pricing SAP</t>
  </si>
  <si>
    <t>Formato</t>
  </si>
  <si>
    <t>Total REVENUE</t>
  </si>
  <si>
    <t xml:space="preserve">Cant Academias </t>
  </si>
  <si>
    <t>Periodicidad</t>
  </si>
  <si>
    <t xml:space="preserve">BASE </t>
  </si>
  <si>
    <t>REVENUE ESTIMADO Projected</t>
  </si>
  <si>
    <t>COSTOS INDIRECTOS Personal</t>
  </si>
  <si>
    <t>COSTOS INDIRECTOS</t>
  </si>
  <si>
    <t>INPUT TRAINING SAP</t>
  </si>
  <si>
    <t>Septiembre - Diciembre 2010</t>
  </si>
  <si>
    <t>* CURSOS SAP Projected (Territorio asignado por SAP)</t>
  </si>
  <si>
    <t>Pricing Promedio</t>
  </si>
  <si>
    <t>ASSUMPTION - CARRERA SAP BASIS ONSITE</t>
  </si>
  <si>
    <t>TOTAL Y6</t>
  </si>
  <si>
    <t>Gastos movilidad</t>
  </si>
  <si>
    <t>Servicios Bancarios - Otros</t>
  </si>
  <si>
    <t>AMEX Corporate</t>
  </si>
  <si>
    <t>CONSULTORIA IT</t>
  </si>
  <si>
    <t>CONSULTORÍA IT</t>
  </si>
  <si>
    <t>CONSULTORIA LOCAL</t>
  </si>
  <si>
    <t>CONSULTORIA OFFSHORE</t>
  </si>
  <si>
    <t xml:space="preserve">Viajes de Negocios </t>
  </si>
  <si>
    <t>Servicio de Mensajería</t>
  </si>
  <si>
    <t>ALQUILER SITE AXIGMA</t>
  </si>
  <si>
    <t>Gastos Movilidad - Estacionamiento</t>
  </si>
  <si>
    <t xml:space="preserve"> </t>
  </si>
  <si>
    <t>Prepaga GALENO</t>
  </si>
  <si>
    <t>Servicios de Telefonía</t>
  </si>
  <si>
    <t>P&amp;L - Valores expresados en Pesos Argentinos - ARS -</t>
  </si>
  <si>
    <t>VENTAS</t>
  </si>
  <si>
    <t>TRAINING IT</t>
  </si>
  <si>
    <t>COSTOS OPERATIVOS -DIRECTOS-</t>
  </si>
  <si>
    <t>GROSS MARGIN ($)</t>
  </si>
  <si>
    <t>GROSS MARGIN (%)</t>
  </si>
  <si>
    <t>COSTOS OPERATIVOS -INDIRECTOS-</t>
  </si>
  <si>
    <t>PERSONAL</t>
  </si>
  <si>
    <t>Personal Dot. Fija (relac. de dependencia)</t>
  </si>
  <si>
    <t>Sueldos</t>
  </si>
  <si>
    <t>Sueldos - Management Team-</t>
  </si>
  <si>
    <t>Sueldos -  Área Comercial</t>
  </si>
  <si>
    <t>Sueldos Área Adm. &amp; Finanzas</t>
  </si>
  <si>
    <t>Personal Contratado</t>
  </si>
  <si>
    <t>SAP Sales</t>
  </si>
  <si>
    <t>Servicios Bancarios</t>
  </si>
  <si>
    <t>Viajes de Negocios</t>
  </si>
  <si>
    <t>EBITDA ($)</t>
  </si>
  <si>
    <t>EBITDA (%)</t>
  </si>
  <si>
    <t>IMPUESTOS</t>
  </si>
  <si>
    <t>IIBB -Mensual-</t>
  </si>
  <si>
    <t>Tasa de Justicia IGJ -A-</t>
  </si>
  <si>
    <t>AMORTIZACIONES</t>
  </si>
  <si>
    <t>Infraestructura IT -Hardware-</t>
  </si>
  <si>
    <t>Activos Intangibles -Licencias-</t>
  </si>
  <si>
    <t>Amoblamiento instalaciones</t>
  </si>
  <si>
    <t>INGRESOS NO OPERATIVOS</t>
  </si>
  <si>
    <t>Aportes Socios</t>
  </si>
  <si>
    <t>GASTOS NO OPERATIVOS</t>
  </si>
  <si>
    <t>RESULTADO a/IAG ($)</t>
  </si>
  <si>
    <t>SAP Certificaciones</t>
  </si>
  <si>
    <t xml:space="preserve">Gastos Totales </t>
  </si>
  <si>
    <t>Servicios IT (Hosting &amp; Cloud)</t>
  </si>
  <si>
    <t>Cloud MC - MA Sugarsync</t>
  </si>
  <si>
    <t>Cloud AX - Dropbox</t>
  </si>
  <si>
    <t>Soporte Técnico</t>
  </si>
  <si>
    <t>Google Adwords</t>
  </si>
  <si>
    <t>Website AX &amp; Merchandising</t>
  </si>
  <si>
    <t>Dominios AX</t>
  </si>
  <si>
    <t>Cecilia Castro - SAP Sales &amp; Directora</t>
  </si>
  <si>
    <t>Soporte Técnico (Nikko Soluciones)</t>
  </si>
  <si>
    <t>Gastos Documentación / Certificaciones / Talonarios FC</t>
  </si>
  <si>
    <t>Plataforma Zoom US</t>
  </si>
  <si>
    <t>SAP ARGENTINA</t>
  </si>
  <si>
    <t>SAP CHILE</t>
  </si>
  <si>
    <t>SAP COLOMBIA</t>
  </si>
  <si>
    <t>Daniela Vila - A&amp;F Executive</t>
  </si>
  <si>
    <t>Prepaga</t>
  </si>
  <si>
    <t>Skype</t>
  </si>
  <si>
    <t>Seguro Caución Director -CC-</t>
  </si>
  <si>
    <t>Seguro Caución Director -MA-</t>
  </si>
  <si>
    <t>AX - CURSOS CORPORATIVOS</t>
  </si>
  <si>
    <t>AXIGMA - Revenue Training SAP -</t>
  </si>
  <si>
    <t>AXIGMA - Costos Directos Training SAP -</t>
  </si>
  <si>
    <t>AX - CURSOS Corporativos</t>
  </si>
  <si>
    <t>CD AX - CURSOS Corporativos</t>
  </si>
  <si>
    <t>AXIGMA USA</t>
  </si>
  <si>
    <t>Hosting Mails AX - Eapps &amp; Otros</t>
  </si>
  <si>
    <t>Art. 60 IGJ</t>
  </si>
  <si>
    <t>S. Variable / BL</t>
  </si>
  <si>
    <t>Hosting Mails AX by G-Suite</t>
  </si>
  <si>
    <t>Suscripciones AX</t>
  </si>
  <si>
    <t>Cargo Servicio LAPOS Web + Plan Cuotas VISA</t>
  </si>
  <si>
    <t>Participaciones Accionarias (BP- Anual)</t>
  </si>
  <si>
    <t>Hosting Server AX - Red Net Group</t>
  </si>
  <si>
    <t>SAP LH</t>
  </si>
  <si>
    <t xml:space="preserve">CURSOS VLC </t>
  </si>
  <si>
    <t>ACADEMIA &amp; CURSOS SAP</t>
  </si>
  <si>
    <t>AX - CALENDARIO PUBLICO</t>
  </si>
  <si>
    <t>AX - CURSOS OFFSHORE</t>
  </si>
  <si>
    <t>CD AX - CALENDARIO PUBLICO</t>
  </si>
  <si>
    <t>CD AX - CURSOS Offshore</t>
  </si>
  <si>
    <t>AX - CURSOS Offshore</t>
  </si>
  <si>
    <t>AX - SAP - LH &amp; VLC</t>
  </si>
  <si>
    <t>AX - SAP  LH &amp; VLC</t>
  </si>
  <si>
    <t>CD AX - SAP LH &amp; VLC</t>
  </si>
  <si>
    <t>ACADEMIAS &amp; CURSOS SAP</t>
  </si>
  <si>
    <t xml:space="preserve">CURSOS in Axigma </t>
  </si>
  <si>
    <t>Training SAP</t>
  </si>
  <si>
    <t>SAP Demand</t>
  </si>
  <si>
    <t>Training SALESFORCE</t>
  </si>
  <si>
    <t>REVENUE - SAP Demand</t>
  </si>
  <si>
    <t>COSTOS DIRECTOS  - SAP Demand</t>
  </si>
  <si>
    <t>AXIGMA Technologies - CD SAP Demand</t>
  </si>
  <si>
    <t>AXIGMA - Revenue Training SALESFORCE</t>
  </si>
  <si>
    <t>REVENUE - TRAINING SALESFORCE</t>
  </si>
  <si>
    <t>CURSOS SALESFORCE</t>
  </si>
  <si>
    <t>AXIGMA - Costos Directos Training SALESFORCE</t>
  </si>
  <si>
    <t>COSTOS DIRECTOS - TRAINING SALESFORCE</t>
  </si>
  <si>
    <t>REVENUE  CONSULTORIA  IT</t>
  </si>
  <si>
    <t>AXIGMA - Revenue Consultoria &amp; Productos IT -</t>
  </si>
  <si>
    <t>AXIGMA - Venta a SAP</t>
  </si>
  <si>
    <t>REVENUE  CONSULTORIA &amp; PRODUCTOS  IT</t>
  </si>
  <si>
    <t>PRODUCTO AX</t>
  </si>
  <si>
    <t>CONSULTORIA &amp; PRODUCTOS IT</t>
  </si>
  <si>
    <t>Consultoría IT</t>
  </si>
  <si>
    <t>Productos AX</t>
  </si>
  <si>
    <t>AXIGMA - COSTOS DIRECTOS Consultoria &amp; Productos IT -</t>
  </si>
  <si>
    <t>COSTOS DIRECTOS CONSULTORIA &amp; PRODUCTOS  IT</t>
  </si>
  <si>
    <t>CD CONSULTORIA  IT</t>
  </si>
  <si>
    <t>CD PRODUCTOS IT</t>
  </si>
  <si>
    <t>COSTOS CONSULTORIA &amp; PRODUCTOS IT</t>
  </si>
  <si>
    <t>COSTOS TRAINING IT</t>
  </si>
  <si>
    <t>DB. IMPUESTO PAIS + SIRADIG-Percepción (VISA + AMEX)</t>
  </si>
  <si>
    <t>AX - CURSOS OFFSHORE &amp; OTROS</t>
  </si>
  <si>
    <t>6K</t>
  </si>
  <si>
    <t>,</t>
  </si>
  <si>
    <t>Comisiones Vta Exterior</t>
  </si>
  <si>
    <t>ALQUILER OFFICE</t>
  </si>
  <si>
    <t>Office One - Alquiler OV</t>
  </si>
  <si>
    <t>Otros costos  (TE)</t>
  </si>
  <si>
    <t>Otros Bancos</t>
  </si>
  <si>
    <t>Servicos Contables</t>
  </si>
  <si>
    <t>Eventos &amp; Otros</t>
  </si>
  <si>
    <t>Otros Dominios</t>
  </si>
  <si>
    <t>Dominios Campañas E-mailing</t>
  </si>
  <si>
    <t>Business Trip …………..</t>
  </si>
  <si>
    <t>eWise (Google Ads)</t>
  </si>
  <si>
    <t xml:space="preserve">MKTG </t>
  </si>
  <si>
    <t>Chatbot Website AX (Cliengo)</t>
  </si>
  <si>
    <t>Website AX</t>
  </si>
  <si>
    <t>Banco Santander</t>
  </si>
  <si>
    <t>Imp. al Cheque  (B. Santander)</t>
  </si>
  <si>
    <t>Sueldo Bruto (incluido feriados/otros)</t>
  </si>
  <si>
    <t>SAC s/Comisiones</t>
  </si>
  <si>
    <t>I.Ext.-Bonus</t>
  </si>
  <si>
    <t xml:space="preserve">SAP LH </t>
  </si>
  <si>
    <t>SAP LVC</t>
  </si>
  <si>
    <t>INCREMENTO</t>
  </si>
  <si>
    <t>CURSOS AX &amp; Remotos</t>
  </si>
  <si>
    <t>CERTIFICACIONES SAP</t>
  </si>
  <si>
    <t>Sistema AX (I.Marelli)</t>
  </si>
  <si>
    <t>E.Preocupacionales</t>
  </si>
  <si>
    <t>Malena Alodi - A&amp;F Executive</t>
  </si>
  <si>
    <t xml:space="preserve">Daniela Vila -A&amp;F Executive </t>
  </si>
  <si>
    <t xml:space="preserve">Malena Alodi -A&amp;F Executive </t>
  </si>
  <si>
    <t>DIEGO IANIERO (F.Alta: 04/02/2019)</t>
  </si>
  <si>
    <t xml:space="preserve">Diego Ianiero - SAP Sales </t>
  </si>
  <si>
    <t>DANIELA VILA - A&amp;F Executive (F.Alta: 16/10/2018)</t>
  </si>
  <si>
    <t>MALENA ALODI - A&amp;F Executive (F.Alta: 01/11/2021)</t>
  </si>
  <si>
    <t>CEO - M. Agüero (F. Alta: 01/11/2007)</t>
  </si>
  <si>
    <t>CFO- M. Curone (F. Alta: 02/03/2006)</t>
  </si>
  <si>
    <t>Cecilia Castro - SAP Sales (F. Alta Directora: 02/01/2017)</t>
  </si>
  <si>
    <t>Vimeo (videos cursos)</t>
  </si>
  <si>
    <t>Serv. Mantenimiento Server AX  (DQ)</t>
  </si>
  <si>
    <t>SAP Proyecto NEXT GEN</t>
  </si>
  <si>
    <t>HR ERP</t>
  </si>
  <si>
    <t>PM ERP</t>
  </si>
  <si>
    <t>PP ERP</t>
  </si>
  <si>
    <t>ABAP Func.</t>
  </si>
  <si>
    <t>S4FI</t>
  </si>
  <si>
    <t>S4MM</t>
  </si>
  <si>
    <t>S4SD</t>
  </si>
  <si>
    <t>DELTA FI</t>
  </si>
  <si>
    <t>DELTA MM</t>
  </si>
  <si>
    <t>ABAP ERP</t>
  </si>
  <si>
    <t>DELTA SD</t>
  </si>
  <si>
    <t>B1</t>
  </si>
  <si>
    <t>HA200</t>
  </si>
  <si>
    <t>AC530 -ML</t>
  </si>
  <si>
    <t>Templates MKTG - Otros</t>
  </si>
  <si>
    <t>Imágenes&amp; Fotos MKTG</t>
  </si>
  <si>
    <t>ADX201</t>
  </si>
  <si>
    <t>BL</t>
  </si>
  <si>
    <t>Prep. Server AX (DQ)</t>
  </si>
  <si>
    <t>Banco Fotos (Shutterstock)</t>
  </si>
  <si>
    <t>MKT101</t>
  </si>
  <si>
    <t>CRT101</t>
  </si>
  <si>
    <t>Licencias Website AX</t>
  </si>
  <si>
    <t>BASIS</t>
  </si>
  <si>
    <t>ADM940</t>
  </si>
  <si>
    <t>TEAM Comercial (MAB)</t>
  </si>
  <si>
    <t>DEX450</t>
  </si>
  <si>
    <t>E-mailing Hosting Bahia</t>
  </si>
  <si>
    <t>ANALISTA Liquidador</t>
  </si>
  <si>
    <t>Trabaje con S4HANA</t>
  </si>
  <si>
    <t>SAP FM</t>
  </si>
  <si>
    <t>RRSS Campañas</t>
  </si>
  <si>
    <t>CER001</t>
  </si>
  <si>
    <t>Mailchimp</t>
  </si>
  <si>
    <t>Prepaga OSDE</t>
  </si>
  <si>
    <t>CER006</t>
  </si>
  <si>
    <t>NABSA Proyecto Portal WEB (SLL)</t>
  </si>
  <si>
    <t>Google Storage</t>
  </si>
  <si>
    <t>TC</t>
  </si>
  <si>
    <t>DELTA CO</t>
  </si>
  <si>
    <t>VOUCHERS SF</t>
  </si>
  <si>
    <t>Regalos Team AX + SAP</t>
  </si>
  <si>
    <t>Hosting Site AX CLOUDWAYS</t>
  </si>
  <si>
    <t>SAP PERÚ SAC</t>
  </si>
  <si>
    <t>SAP Chile Consultoria SAP J.Maciel</t>
  </si>
  <si>
    <t>A. Brea - Campañas Emailing + Mto Sitio Web</t>
  </si>
  <si>
    <t>Pauta Publicitaria Consejo Prof. CABA</t>
  </si>
  <si>
    <t>Suscripciones AX (ARG)</t>
  </si>
  <si>
    <t>Suscripciones AX (EXT)</t>
  </si>
  <si>
    <t>S4CO</t>
  </si>
  <si>
    <t>PLUS VACACIONAL</t>
  </si>
  <si>
    <t>Dominios AX - Godaddy</t>
  </si>
  <si>
    <t>Capacitación</t>
  </si>
  <si>
    <t>Librería - Imprenta</t>
  </si>
  <si>
    <t>Adm. Caja AX</t>
  </si>
  <si>
    <t>ACTIVATE</t>
  </si>
  <si>
    <t>Citrusvil SAP Varios 08&amp;09/2024</t>
  </si>
  <si>
    <t>TOTAL Y20</t>
  </si>
  <si>
    <t>SAP ARG. P-OSDE M.De Vincenzo ADM945 26/08/2024</t>
  </si>
  <si>
    <t>AMEX Corporate - Renovación Anual MA &amp; MC (09/24 al 08/25)</t>
  </si>
  <si>
    <t>SAP ARG. P-OSDE C.Cortez UX100 05/08/2024</t>
  </si>
  <si>
    <t>SAP ARG. P-OSDE C.Cortez UX200 19/08/2025</t>
  </si>
  <si>
    <t>Boehringer Inheilm LH x 2 26/08/2024</t>
  </si>
  <si>
    <t>Soporte Securitización Server AX  (usd/h a BL)</t>
  </si>
  <si>
    <t>EDASA - Coca Cola EWM 09/2024</t>
  </si>
  <si>
    <t>EDASA - Coca Cola Datos Maestros  09/2025</t>
  </si>
  <si>
    <t>J.Ayala TADM55 30/09/2024</t>
  </si>
  <si>
    <t>GSK Panamá MKT101 13/11/2024</t>
  </si>
  <si>
    <t>Website AX &amp; Campus Virtual</t>
  </si>
  <si>
    <t>Campus Virtual (Desarrollo)</t>
  </si>
  <si>
    <t>Campus Virtual (Theme Scholastica)</t>
  </si>
  <si>
    <t>SAP ARG. P-OSDE R.Alcantara S4H00 02/09/2024</t>
  </si>
  <si>
    <t xml:space="preserve">PM </t>
  </si>
  <si>
    <t xml:space="preserve">PP </t>
  </si>
  <si>
    <t>ADX261</t>
  </si>
  <si>
    <t>CHACOMER (PY) Curso SAP BW (40HS)</t>
  </si>
  <si>
    <t>Salesforce Inc (US) p-Cencosud (CL) MKT101 09/2024</t>
  </si>
  <si>
    <t>EPI-USE Chile Intro+HR+HA400 21/10/2024</t>
  </si>
  <si>
    <t>INFOCENTER Webinar Intro SAP 22/10/2024</t>
  </si>
  <si>
    <t>Genneia GRC100 30/10/2024</t>
  </si>
  <si>
    <t>COGNITUS MX p-BBVA 21/10/2024</t>
  </si>
  <si>
    <t>IBM Arg - Vouchers SF x 15 -FCE 4-166</t>
  </si>
  <si>
    <t>Amazon Web Services</t>
  </si>
  <si>
    <t>U.Blas PASCAL/DICSYS SAP BTP 19/11/2024</t>
  </si>
  <si>
    <t>SAP ARG. P-OSDE R.Alcantara GW100 11/11/2024</t>
  </si>
  <si>
    <t>SAP ARG. P-SIDERCA C.Aguirre CLD900 25/11/2024</t>
  </si>
  <si>
    <t>EWM</t>
  </si>
  <si>
    <t>UNIMACO LH x 2 + Curso UX100 05/12/2024</t>
  </si>
  <si>
    <t>INVENZIS (UY) ADM945 09/12/2024</t>
  </si>
  <si>
    <t>Boehringer LH (Santiago Chereque)</t>
  </si>
  <si>
    <t>Dominio DOTSTER</t>
  </si>
  <si>
    <t>Capacitación Team AX - Automatización AX</t>
  </si>
  <si>
    <t>Capacitación Team AX - Automatización AX USA</t>
  </si>
  <si>
    <t>ACCENTURE Intro-MM-EWM-M1 Consultor 02/2025</t>
  </si>
  <si>
    <t>IBM Arg - Vouchers SF x 16 -FCE 4-171</t>
  </si>
  <si>
    <t>Gabriel Sagripanti LH 14/02/2025</t>
  </si>
  <si>
    <t>ACCENTURE FI-CO 24/02/2025</t>
  </si>
  <si>
    <t>Juan Carta LH 18/02/2025</t>
  </si>
  <si>
    <t>Rosina Fernandez LH 19/02/2025</t>
  </si>
  <si>
    <t>Salesforce Inc (US) p-Banco de Chile (CL) MKT101 02/2025</t>
  </si>
  <si>
    <t>MKTG &amp; Business Development</t>
  </si>
  <si>
    <t>Setters - Recruiting (x 2)</t>
  </si>
  <si>
    <t>Licencias MSFT</t>
  </si>
  <si>
    <t>Setters AX</t>
  </si>
  <si>
    <t>Facundo Cabrera</t>
  </si>
  <si>
    <t>Fernanda Blanco</t>
  </si>
  <si>
    <t>ACCENTURE QM-PP-PM 03&amp;05-2025</t>
  </si>
  <si>
    <t>Rigoberto Gallardo Azuaje LH 26/03/2025</t>
  </si>
  <si>
    <t>ARIBIAN SAP PP 04&amp;08-2025</t>
  </si>
  <si>
    <t>KUATECC PY LH 04/2025</t>
  </si>
  <si>
    <t>DPEC Intro S4HANA 04/2025</t>
  </si>
  <si>
    <t>OSPECON Delta MM - Delta FI 04&amp;05/2025</t>
  </si>
  <si>
    <t>TENARIS MX Analista Liquidador</t>
  </si>
  <si>
    <t>EPIUSE Intro-HR-Payroll 22/04/2025</t>
  </si>
  <si>
    <t>CEMENTOS ARTIGAS UY 07/2025</t>
  </si>
  <si>
    <t>Sebastián Degano LH 05/2025</t>
  </si>
  <si>
    <t>OSPECON Delta HR 24/06/2025</t>
  </si>
  <si>
    <t>Prom. ERREPAR</t>
  </si>
  <si>
    <t>EPIUSE DELTA HR 24/06/2025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</si>
</sst>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&quot;€&quot;_-;\-* #,##0.00\ &quot;€&quot;_-;_-* &quot;-&quot;??\ &quot;€&quot;_-;_-@_-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&quot;$&quot;#,##0_);\(&quot;$&quot;#,##0\)"/>
    <numFmt numFmtId="168" formatCode="_(* #,##0.00_);_(* \(#,##0.00\);_(* &quot;-&quot;??_);_(@_)"/>
    <numFmt numFmtId="169" formatCode="_(* #,##0_);_(* \(#,##0\);_(* &quot;-&quot;??_);_(@_)"/>
    <numFmt numFmtId="170" formatCode="#,##0.00\ _€"/>
    <numFmt numFmtId="171" formatCode="#,##0\ _€"/>
    <numFmt numFmtId="172" formatCode="0.0%"/>
    <numFmt numFmtId="173" formatCode="_ * #,##0_ ;_ * \-#,##0_ ;_ * &quot;-&quot;??_ ;_ @_ "/>
    <numFmt numFmtId="174" formatCode="[$$-2C0A]\ #,##0.00;[$$-2C0A]\ \-#,##0.00"/>
    <numFmt numFmtId="175" formatCode="[$$-2C0A]\ #,##0;[$$-2C0A]\ \-#,##0"/>
    <numFmt numFmtId="176" formatCode="[$USD]\ #,##0;[$USD]\ \-#,##0"/>
    <numFmt numFmtId="177" formatCode="0.0"/>
    <numFmt numFmtId="178" formatCode="_(* #,##0.000_);_(* \(#,##0.000\);_(* &quot;-&quot;??_);_(@_)"/>
    <numFmt numFmtId="179" formatCode="_(* #,##0.0_);_(* \(#,##0.0\);_(* &quot;-&quot;??_);_(@_)"/>
  </numFmts>
  <fonts count="3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DCF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9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5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251">
    <xf numFmtId="0" fontId="0" fillId="0" borderId="0" xfId="0"/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horizontal="left" vertical="center"/>
    </xf>
    <xf numFmtId="0" fontId="7" fillId="2" borderId="0" xfId="10" applyFont="1" applyFill="1" applyAlignment="1">
      <alignment vertical="center"/>
    </xf>
    <xf numFmtId="173" fontId="7" fillId="2" borderId="0" xfId="1" applyNumberFormat="1" applyFont="1" applyFill="1" applyAlignment="1">
      <alignment vertical="center"/>
    </xf>
    <xf numFmtId="0" fontId="8" fillId="2" borderId="0" xfId="10" applyFont="1" applyFill="1" applyAlignment="1">
      <alignment vertical="center"/>
    </xf>
    <xf numFmtId="166" fontId="8" fillId="2" borderId="0" xfId="1" applyFont="1" applyFill="1" applyAlignment="1">
      <alignment vertical="center"/>
    </xf>
    <xf numFmtId="0" fontId="7" fillId="2" borderId="0" xfId="1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1" xfId="0" applyFont="1" applyBorder="1"/>
    <xf numFmtId="0" fontId="10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169" fontId="7" fillId="2" borderId="3" xfId="0" applyNumberFormat="1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10" fontId="7" fillId="2" borderId="0" xfId="13" applyNumberFormat="1" applyFont="1" applyFill="1" applyAlignment="1">
      <alignment vertical="center"/>
    </xf>
    <xf numFmtId="169" fontId="11" fillId="2" borderId="0" xfId="0" applyNumberFormat="1" applyFont="1" applyFill="1" applyAlignment="1">
      <alignment vertical="center"/>
    </xf>
    <xf numFmtId="10" fontId="7" fillId="2" borderId="0" xfId="0" applyNumberFormat="1" applyFont="1" applyFill="1" applyAlignment="1">
      <alignment vertical="center"/>
    </xf>
    <xf numFmtId="169" fontId="7" fillId="2" borderId="0" xfId="8" applyNumberFormat="1" applyFont="1" applyFill="1" applyBorder="1" applyAlignment="1">
      <alignment horizontal="center" vertical="center"/>
    </xf>
    <xf numFmtId="169" fontId="7" fillId="2" borderId="0" xfId="0" applyNumberFormat="1" applyFont="1" applyFill="1" applyAlignment="1">
      <alignment vertical="center"/>
    </xf>
    <xf numFmtId="169" fontId="12" fillId="2" borderId="5" xfId="0" applyNumberFormat="1" applyFont="1" applyFill="1" applyBorder="1" applyAlignment="1">
      <alignment vertical="center"/>
    </xf>
    <xf numFmtId="169" fontId="12" fillId="2" borderId="6" xfId="0" applyNumberFormat="1" applyFont="1" applyFill="1" applyBorder="1" applyAlignment="1">
      <alignment vertical="center"/>
    </xf>
    <xf numFmtId="0" fontId="13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174" fontId="14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7" fontId="16" fillId="6" borderId="1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10"/>
    </xf>
    <xf numFmtId="0" fontId="14" fillId="2" borderId="0" xfId="0" applyFont="1" applyFill="1" applyAlignment="1">
      <alignment horizontal="right" vertical="center"/>
    </xf>
    <xf numFmtId="175" fontId="14" fillId="2" borderId="0" xfId="0" applyNumberFormat="1" applyFont="1" applyFill="1" applyAlignment="1">
      <alignment horizontal="center" vertical="center"/>
    </xf>
    <xf numFmtId="175" fontId="7" fillId="2" borderId="0" xfId="0" applyNumberFormat="1" applyFont="1" applyFill="1" applyAlignment="1">
      <alignment vertical="center"/>
    </xf>
    <xf numFmtId="0" fontId="16" fillId="2" borderId="0" xfId="0" applyFont="1" applyFill="1" applyAlignment="1">
      <alignment horizontal="left" vertical="center" indent="2"/>
    </xf>
    <xf numFmtId="0" fontId="11" fillId="2" borderId="0" xfId="0" applyFont="1" applyFill="1" applyAlignment="1">
      <alignment vertical="center"/>
    </xf>
    <xf numFmtId="0" fontId="16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vertical="center"/>
    </xf>
    <xf numFmtId="169" fontId="7" fillId="2" borderId="8" xfId="8" applyNumberFormat="1" applyFont="1" applyFill="1" applyBorder="1" applyAlignment="1">
      <alignment horizontal="center" vertical="center"/>
    </xf>
    <xf numFmtId="175" fontId="12" fillId="2" borderId="0" xfId="0" applyNumberFormat="1" applyFont="1" applyFill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8" xfId="1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9" fontId="14" fillId="2" borderId="0" xfId="8" applyNumberFormat="1" applyFont="1" applyFill="1" applyBorder="1" applyAlignment="1">
      <alignment horizontal="center" vertical="center"/>
    </xf>
    <xf numFmtId="169" fontId="14" fillId="2" borderId="0" xfId="0" applyNumberFormat="1" applyFont="1" applyFill="1" applyAlignment="1">
      <alignment vertical="center"/>
    </xf>
    <xf numFmtId="0" fontId="18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indent="6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 indent="1"/>
    </xf>
    <xf numFmtId="0" fontId="13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right" vertical="center" indent="1"/>
    </xf>
    <xf numFmtId="0" fontId="11" fillId="2" borderId="8" xfId="0" applyFont="1" applyFill="1" applyBorder="1" applyAlignment="1">
      <alignment horizontal="right" vertical="center"/>
    </xf>
    <xf numFmtId="176" fontId="14" fillId="2" borderId="0" xfId="0" applyNumberFormat="1" applyFont="1" applyFill="1" applyAlignment="1">
      <alignment horizontal="center" vertical="center"/>
    </xf>
    <xf numFmtId="9" fontId="7" fillId="2" borderId="0" xfId="12" applyFont="1" applyFill="1" applyBorder="1" applyAlignment="1">
      <alignment horizontal="center" vertical="center"/>
    </xf>
    <xf numFmtId="169" fontId="16" fillId="2" borderId="0" xfId="9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indent="13"/>
    </xf>
    <xf numFmtId="0" fontId="17" fillId="2" borderId="0" xfId="0" applyFont="1" applyFill="1" applyAlignment="1">
      <alignment vertical="center"/>
    </xf>
    <xf numFmtId="169" fontId="12" fillId="2" borderId="0" xfId="0" applyNumberFormat="1" applyFont="1" applyFill="1" applyAlignment="1">
      <alignment vertical="center"/>
    </xf>
    <xf numFmtId="9" fontId="7" fillId="2" borderId="2" xfId="0" applyNumberFormat="1" applyFont="1" applyFill="1" applyBorder="1" applyAlignment="1">
      <alignment vertical="center"/>
    </xf>
    <xf numFmtId="173" fontId="19" fillId="2" borderId="0" xfId="1" applyNumberFormat="1" applyFont="1" applyFill="1" applyBorder="1" applyAlignment="1">
      <alignment vertical="center"/>
    </xf>
    <xf numFmtId="169" fontId="7" fillId="2" borderId="0" xfId="9" applyNumberFormat="1" applyFont="1" applyFill="1" applyBorder="1" applyAlignment="1">
      <alignment horizontal="center" vertical="center"/>
    </xf>
    <xf numFmtId="169" fontId="16" fillId="2" borderId="5" xfId="0" applyNumberFormat="1" applyFont="1" applyFill="1" applyBorder="1" applyAlignment="1">
      <alignment vertical="center"/>
    </xf>
    <xf numFmtId="169" fontId="16" fillId="2" borderId="6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8"/>
    </xf>
    <xf numFmtId="0" fontId="6" fillId="2" borderId="0" xfId="0" applyFont="1" applyFill="1" applyAlignment="1">
      <alignment horizontal="left" vertical="center" indent="6"/>
    </xf>
    <xf numFmtId="0" fontId="7" fillId="2" borderId="0" xfId="0" applyFont="1" applyFill="1" applyAlignment="1">
      <alignment horizontal="left" vertical="center" indent="9"/>
    </xf>
    <xf numFmtId="0" fontId="9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indent="16"/>
    </xf>
    <xf numFmtId="169" fontId="16" fillId="2" borderId="9" xfId="0" applyNumberFormat="1" applyFont="1" applyFill="1" applyBorder="1" applyAlignment="1">
      <alignment vertical="center"/>
    </xf>
    <xf numFmtId="169" fontId="12" fillId="2" borderId="0" xfId="8" applyNumberFormat="1" applyFont="1" applyFill="1" applyBorder="1" applyAlignment="1">
      <alignment horizontal="center" vertical="center"/>
    </xf>
    <xf numFmtId="169" fontId="11" fillId="2" borderId="0" xfId="8" applyNumberFormat="1" applyFont="1" applyFill="1" applyBorder="1" applyAlignment="1">
      <alignment horizontal="center" vertical="center"/>
    </xf>
    <xf numFmtId="169" fontId="7" fillId="2" borderId="8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12"/>
    </xf>
    <xf numFmtId="0" fontId="13" fillId="2" borderId="7" xfId="10" applyFont="1" applyFill="1" applyBorder="1" applyAlignment="1">
      <alignment horizontal="center" vertical="center"/>
    </xf>
    <xf numFmtId="169" fontId="7" fillId="2" borderId="0" xfId="10" applyNumberFormat="1" applyFont="1" applyFill="1" applyAlignment="1">
      <alignment vertical="center"/>
    </xf>
    <xf numFmtId="169" fontId="14" fillId="2" borderId="13" xfId="8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169" fontId="11" fillId="2" borderId="8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7" fillId="2" borderId="0" xfId="10" applyFont="1" applyFill="1" applyAlignment="1">
      <alignment horizontal="left" vertical="center" indent="7"/>
    </xf>
    <xf numFmtId="0" fontId="7" fillId="2" borderId="0" xfId="10" applyFont="1" applyFill="1" applyAlignment="1">
      <alignment horizontal="left" vertical="center" indent="9"/>
    </xf>
    <xf numFmtId="169" fontId="14" fillId="2" borderId="8" xfId="8" applyNumberFormat="1" applyFont="1" applyFill="1" applyBorder="1" applyAlignment="1">
      <alignment horizontal="center" vertical="center"/>
    </xf>
    <xf numFmtId="169" fontId="7" fillId="2" borderId="10" xfId="8" applyNumberFormat="1" applyFont="1" applyFill="1" applyBorder="1" applyAlignment="1">
      <alignment horizontal="center" vertical="center"/>
    </xf>
    <xf numFmtId="9" fontId="7" fillId="2" borderId="0" xfId="16" applyFont="1" applyFill="1" applyAlignment="1">
      <alignment vertical="center"/>
    </xf>
    <xf numFmtId="0" fontId="16" fillId="7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6" borderId="9" xfId="1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169" fontId="12" fillId="2" borderId="13" xfId="0" applyNumberFormat="1" applyFont="1" applyFill="1" applyBorder="1" applyAlignment="1">
      <alignment vertical="center"/>
    </xf>
    <xf numFmtId="10" fontId="7" fillId="2" borderId="0" xfId="14" applyNumberFormat="1" applyFont="1" applyFill="1" applyAlignment="1">
      <alignment vertical="center"/>
    </xf>
    <xf numFmtId="17" fontId="16" fillId="8" borderId="14" xfId="0" applyNumberFormat="1" applyFont="1" applyFill="1" applyBorder="1" applyAlignment="1">
      <alignment horizontal="center" vertical="center" wrapText="1"/>
    </xf>
    <xf numFmtId="169" fontId="20" fillId="2" borderId="0" xfId="8" applyNumberFormat="1" applyFont="1" applyFill="1" applyBorder="1" applyAlignment="1">
      <alignment horizontal="center" vertical="center"/>
    </xf>
    <xf numFmtId="169" fontId="14" fillId="2" borderId="15" xfId="8" applyNumberFormat="1" applyFont="1" applyFill="1" applyBorder="1" applyAlignment="1">
      <alignment horizontal="center" vertical="center"/>
    </xf>
    <xf numFmtId="0" fontId="7" fillId="2" borderId="0" xfId="10" applyFont="1" applyFill="1" applyAlignment="1">
      <alignment horizontal="left" vertical="center" indent="10"/>
    </xf>
    <xf numFmtId="169" fontId="21" fillId="2" borderId="0" xfId="8" applyNumberFormat="1" applyFont="1" applyFill="1" applyBorder="1" applyAlignment="1">
      <alignment horizontal="center" vertical="center"/>
    </xf>
    <xf numFmtId="169" fontId="21" fillId="2" borderId="0" xfId="10" applyNumberFormat="1" applyFont="1" applyFill="1" applyAlignment="1">
      <alignment vertical="center"/>
    </xf>
    <xf numFmtId="169" fontId="14" fillId="2" borderId="11" xfId="0" applyNumberFormat="1" applyFont="1" applyFill="1" applyBorder="1" applyAlignment="1">
      <alignment horizontal="center" vertical="center"/>
    </xf>
    <xf numFmtId="169" fontId="12" fillId="2" borderId="11" xfId="0" applyNumberFormat="1" applyFont="1" applyFill="1" applyBorder="1" applyAlignment="1">
      <alignment vertical="center"/>
    </xf>
    <xf numFmtId="0" fontId="18" fillId="9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indent="8"/>
    </xf>
    <xf numFmtId="175" fontId="7" fillId="2" borderId="0" xfId="0" applyNumberFormat="1" applyFont="1" applyFill="1" applyAlignment="1">
      <alignment horizontal="center" vertical="center"/>
    </xf>
    <xf numFmtId="0" fontId="17" fillId="9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2" borderId="0" xfId="10" applyFont="1" applyFill="1" applyAlignment="1">
      <alignment vertical="center"/>
    </xf>
    <xf numFmtId="0" fontId="17" fillId="0" borderId="0" xfId="10" applyFont="1" applyAlignment="1">
      <alignment vertical="center"/>
    </xf>
    <xf numFmtId="0" fontId="18" fillId="2" borderId="0" xfId="10" applyFont="1" applyFill="1" applyAlignment="1">
      <alignment vertical="center"/>
    </xf>
    <xf numFmtId="169" fontId="6" fillId="2" borderId="0" xfId="10" applyNumberFormat="1" applyFont="1" applyFill="1" applyAlignment="1">
      <alignment vertical="center"/>
    </xf>
    <xf numFmtId="0" fontId="6" fillId="2" borderId="2" xfId="10" applyFont="1" applyFill="1" applyBorder="1" applyAlignment="1">
      <alignment vertical="center"/>
    </xf>
    <xf numFmtId="169" fontId="6" fillId="2" borderId="16" xfId="10" applyNumberFormat="1" applyFont="1" applyFill="1" applyBorder="1" applyAlignment="1">
      <alignment vertical="center"/>
    </xf>
    <xf numFmtId="17" fontId="16" fillId="6" borderId="12" xfId="10" applyNumberFormat="1" applyFont="1" applyFill="1" applyBorder="1" applyAlignment="1">
      <alignment horizontal="center" vertical="center"/>
    </xf>
    <xf numFmtId="17" fontId="16" fillId="8" borderId="14" xfId="10" applyNumberFormat="1" applyFont="1" applyFill="1" applyBorder="1" applyAlignment="1">
      <alignment horizontal="center" vertical="center" wrapText="1"/>
    </xf>
    <xf numFmtId="10" fontId="16" fillId="2" borderId="0" xfId="9" applyNumberFormat="1" applyFont="1" applyFill="1" applyBorder="1" applyAlignment="1">
      <alignment horizontal="center" vertical="center"/>
    </xf>
    <xf numFmtId="169" fontId="6" fillId="2" borderId="0" xfId="10" applyNumberFormat="1" applyFont="1" applyFill="1" applyAlignment="1">
      <alignment horizontal="center" vertical="center"/>
    </xf>
    <xf numFmtId="0" fontId="6" fillId="8" borderId="0" xfId="10" applyFont="1" applyFill="1" applyAlignment="1">
      <alignment vertical="center"/>
    </xf>
    <xf numFmtId="0" fontId="16" fillId="2" borderId="2" xfId="10" applyFont="1" applyFill="1" applyBorder="1" applyAlignment="1">
      <alignment vertical="center"/>
    </xf>
    <xf numFmtId="0" fontId="16" fillId="2" borderId="0" xfId="10" applyFont="1" applyFill="1" applyAlignment="1">
      <alignment vertical="center"/>
    </xf>
    <xf numFmtId="169" fontId="16" fillId="2" borderId="0" xfId="10" applyNumberFormat="1" applyFont="1" applyFill="1" applyAlignment="1">
      <alignment vertical="center"/>
    </xf>
    <xf numFmtId="171" fontId="16" fillId="3" borderId="0" xfId="10" applyNumberFormat="1" applyFont="1" applyFill="1" applyAlignment="1">
      <alignment horizontal="center" vertical="center"/>
    </xf>
    <xf numFmtId="169" fontId="16" fillId="4" borderId="0" xfId="10" applyNumberFormat="1" applyFont="1" applyFill="1" applyAlignment="1">
      <alignment horizontal="center" vertical="center"/>
    </xf>
    <xf numFmtId="0" fontId="16" fillId="4" borderId="0" xfId="10" applyFont="1" applyFill="1" applyAlignment="1">
      <alignment horizontal="center" vertical="center"/>
    </xf>
    <xf numFmtId="169" fontId="16" fillId="5" borderId="0" xfId="10" applyNumberFormat="1" applyFont="1" applyFill="1" applyAlignment="1">
      <alignment horizontal="center" vertical="center"/>
    </xf>
    <xf numFmtId="0" fontId="16" fillId="5" borderId="0" xfId="10" applyFont="1" applyFill="1" applyAlignment="1">
      <alignment horizontal="center" vertical="center"/>
    </xf>
    <xf numFmtId="0" fontId="16" fillId="8" borderId="0" xfId="10" applyFont="1" applyFill="1" applyAlignment="1">
      <alignment vertical="center"/>
    </xf>
    <xf numFmtId="0" fontId="18" fillId="6" borderId="8" xfId="10" applyFont="1" applyFill="1" applyBorder="1" applyAlignment="1">
      <alignment vertical="center"/>
    </xf>
    <xf numFmtId="169" fontId="16" fillId="2" borderId="8" xfId="9" applyNumberFormat="1" applyFont="1" applyFill="1" applyBorder="1" applyAlignment="1">
      <alignment horizontal="center" vertical="center"/>
    </xf>
    <xf numFmtId="169" fontId="16" fillId="8" borderId="8" xfId="10" applyNumberFormat="1" applyFont="1" applyFill="1" applyBorder="1" applyAlignment="1">
      <alignment vertical="center"/>
    </xf>
    <xf numFmtId="0" fontId="16" fillId="2" borderId="0" xfId="10" applyFont="1" applyFill="1" applyAlignment="1">
      <alignment horizontal="left" vertical="center" indent="3"/>
    </xf>
    <xf numFmtId="169" fontId="12" fillId="2" borderId="0" xfId="10" applyNumberFormat="1" applyFont="1" applyFill="1" applyAlignment="1">
      <alignment horizontal="center" vertical="center"/>
    </xf>
    <xf numFmtId="169" fontId="16" fillId="8" borderId="0" xfId="10" applyNumberFormat="1" applyFont="1" applyFill="1" applyAlignment="1">
      <alignment vertical="center"/>
    </xf>
    <xf numFmtId="0" fontId="6" fillId="2" borderId="0" xfId="10" applyFont="1" applyFill="1" applyAlignment="1">
      <alignment horizontal="left" vertical="center" indent="10"/>
    </xf>
    <xf numFmtId="169" fontId="11" fillId="2" borderId="0" xfId="10" applyNumberFormat="1" applyFont="1" applyFill="1" applyAlignment="1">
      <alignment horizontal="center" vertical="center"/>
    </xf>
    <xf numFmtId="169" fontId="11" fillId="8" borderId="0" xfId="10" applyNumberFormat="1" applyFont="1" applyFill="1" applyAlignment="1">
      <alignment horizontal="center" vertical="center"/>
    </xf>
    <xf numFmtId="169" fontId="16" fillId="2" borderId="0" xfId="10" applyNumberFormat="1" applyFont="1" applyFill="1" applyAlignment="1">
      <alignment horizontal="center" vertical="center"/>
    </xf>
    <xf numFmtId="10" fontId="6" fillId="2" borderId="0" xfId="10" applyNumberFormat="1" applyFont="1" applyFill="1" applyAlignment="1">
      <alignment vertical="center"/>
    </xf>
    <xf numFmtId="0" fontId="6" fillId="2" borderId="2" xfId="10" applyFont="1" applyFill="1" applyBorder="1" applyAlignment="1">
      <alignment horizontal="center" vertical="center"/>
    </xf>
    <xf numFmtId="0" fontId="6" fillId="2" borderId="0" xfId="10" applyFont="1" applyFill="1" applyAlignment="1">
      <alignment horizontal="center" vertical="center"/>
    </xf>
    <xf numFmtId="9" fontId="6" fillId="2" borderId="0" xfId="10" applyNumberFormat="1" applyFont="1" applyFill="1" applyAlignment="1">
      <alignment horizontal="center" vertical="center"/>
    </xf>
    <xf numFmtId="0" fontId="18" fillId="2" borderId="8" xfId="10" applyFont="1" applyFill="1" applyBorder="1" applyAlignment="1">
      <alignment vertical="center"/>
    </xf>
    <xf numFmtId="169" fontId="11" fillId="2" borderId="0" xfId="9" applyNumberFormat="1" applyFont="1" applyFill="1" applyBorder="1" applyAlignment="1">
      <alignment horizontal="center" vertical="center"/>
    </xf>
    <xf numFmtId="169" fontId="11" fillId="8" borderId="0" xfId="9" applyNumberFormat="1" applyFont="1" applyFill="1" applyBorder="1" applyAlignment="1">
      <alignment horizontal="center" vertical="center"/>
    </xf>
    <xf numFmtId="0" fontId="6" fillId="2" borderId="0" xfId="10" applyFont="1" applyFill="1" applyAlignment="1">
      <alignment horizontal="left" vertical="center" indent="3"/>
    </xf>
    <xf numFmtId="169" fontId="6" fillId="2" borderId="0" xfId="9" applyNumberFormat="1" applyFont="1" applyFill="1" applyBorder="1" applyAlignment="1">
      <alignment horizontal="center" vertical="center"/>
    </xf>
    <xf numFmtId="169" fontId="16" fillId="2" borderId="8" xfId="9" applyNumberFormat="1" applyFont="1" applyFill="1" applyBorder="1" applyAlignment="1">
      <alignment vertical="center"/>
    </xf>
    <xf numFmtId="0" fontId="18" fillId="6" borderId="0" xfId="10" applyFont="1" applyFill="1" applyAlignment="1">
      <alignment vertical="center"/>
    </xf>
    <xf numFmtId="9" fontId="16" fillId="2" borderId="0" xfId="9" applyNumberFormat="1" applyFont="1" applyFill="1" applyBorder="1" applyAlignment="1">
      <alignment horizontal="center" vertical="center"/>
    </xf>
    <xf numFmtId="9" fontId="16" fillId="8" borderId="0" xfId="12" applyFont="1" applyFill="1" applyAlignment="1">
      <alignment vertical="center"/>
    </xf>
    <xf numFmtId="169" fontId="6" fillId="8" borderId="0" xfId="9" applyNumberFormat="1" applyFont="1" applyFill="1" applyBorder="1" applyAlignment="1">
      <alignment horizontal="center" vertical="center"/>
    </xf>
    <xf numFmtId="0" fontId="6" fillId="2" borderId="0" xfId="10" applyFont="1" applyFill="1" applyAlignment="1">
      <alignment horizontal="left" vertical="center" indent="2"/>
    </xf>
    <xf numFmtId="9" fontId="7" fillId="2" borderId="0" xfId="10" applyNumberFormat="1" applyFont="1" applyFill="1" applyAlignment="1">
      <alignment horizontal="center" vertical="center"/>
    </xf>
    <xf numFmtId="172" fontId="6" fillId="2" borderId="2" xfId="10" applyNumberFormat="1" applyFont="1" applyFill="1" applyBorder="1" applyAlignment="1">
      <alignment horizontal="center" vertical="center"/>
    </xf>
    <xf numFmtId="0" fontId="16" fillId="0" borderId="0" xfId="10" applyFont="1" applyAlignment="1">
      <alignment vertical="center"/>
    </xf>
    <xf numFmtId="10" fontId="16" fillId="8" borderId="0" xfId="12" applyNumberFormat="1" applyFont="1" applyFill="1" applyAlignment="1">
      <alignment vertical="center"/>
    </xf>
    <xf numFmtId="9" fontId="6" fillId="2" borderId="0" xfId="12" applyFont="1" applyFill="1" applyAlignment="1">
      <alignment vertical="center"/>
    </xf>
    <xf numFmtId="0" fontId="6" fillId="0" borderId="0" xfId="10" applyFont="1" applyAlignment="1">
      <alignment vertical="center"/>
    </xf>
    <xf numFmtId="169" fontId="22" fillId="2" borderId="0" xfId="9" applyNumberFormat="1" applyFont="1" applyFill="1" applyBorder="1" applyAlignment="1">
      <alignment horizontal="center" vertical="center"/>
    </xf>
    <xf numFmtId="9" fontId="6" fillId="2" borderId="0" xfId="12" applyFont="1" applyFill="1" applyBorder="1" applyAlignment="1">
      <alignment vertical="center"/>
    </xf>
    <xf numFmtId="0" fontId="6" fillId="2" borderId="0" xfId="10" applyFont="1" applyFill="1" applyAlignment="1">
      <alignment horizontal="left" vertical="center" indent="1"/>
    </xf>
    <xf numFmtId="0" fontId="16" fillId="2" borderId="2" xfId="10" applyFont="1" applyFill="1" applyBorder="1" applyAlignment="1">
      <alignment horizontal="center" vertical="center"/>
    </xf>
    <xf numFmtId="0" fontId="16" fillId="2" borderId="0" xfId="10" applyFont="1" applyFill="1" applyAlignment="1">
      <alignment horizontal="center" vertical="center"/>
    </xf>
    <xf numFmtId="169" fontId="23" fillId="2" borderId="0" xfId="9" applyNumberFormat="1" applyFont="1" applyFill="1" applyBorder="1" applyAlignment="1">
      <alignment horizontal="center" vertical="center"/>
    </xf>
    <xf numFmtId="0" fontId="16" fillId="6" borderId="8" xfId="10" applyFont="1" applyFill="1" applyBorder="1" applyAlignment="1">
      <alignment vertical="center"/>
    </xf>
    <xf numFmtId="9" fontId="16" fillId="2" borderId="0" xfId="9" applyNumberFormat="1" applyFont="1" applyFill="1" applyBorder="1" applyAlignment="1">
      <alignment vertical="center"/>
    </xf>
    <xf numFmtId="10" fontId="16" fillId="8" borderId="0" xfId="12" applyNumberFormat="1" applyFont="1" applyFill="1" applyAlignment="1">
      <alignment horizontal="center" vertical="center"/>
    </xf>
    <xf numFmtId="17" fontId="16" fillId="10" borderId="12" xfId="0" applyNumberFormat="1" applyFont="1" applyFill="1" applyBorder="1" applyAlignment="1">
      <alignment horizontal="center" vertical="center"/>
    </xf>
    <xf numFmtId="168" fontId="7" fillId="2" borderId="0" xfId="8" applyNumberFormat="1" applyFont="1" applyFill="1" applyBorder="1" applyAlignment="1">
      <alignment horizontal="center" vertical="center"/>
    </xf>
    <xf numFmtId="9" fontId="16" fillId="2" borderId="0" xfId="10" applyNumberFormat="1" applyFont="1" applyFill="1" applyAlignment="1">
      <alignment horizontal="center" vertical="center"/>
    </xf>
    <xf numFmtId="9" fontId="6" fillId="2" borderId="0" xfId="16" applyFont="1" applyFill="1" applyAlignment="1">
      <alignment vertical="center"/>
    </xf>
    <xf numFmtId="0" fontId="7" fillId="11" borderId="0" xfId="0" applyFont="1" applyFill="1" applyAlignment="1">
      <alignment horizontal="right" vertical="center"/>
    </xf>
    <xf numFmtId="169" fontId="11" fillId="11" borderId="0" xfId="8" applyNumberFormat="1" applyFont="1" applyFill="1" applyBorder="1" applyAlignment="1">
      <alignment horizontal="center" vertical="center"/>
    </xf>
    <xf numFmtId="1" fontId="7" fillId="11" borderId="0" xfId="0" applyNumberFormat="1" applyFont="1" applyFill="1" applyAlignment="1">
      <alignment horizontal="center" vertical="center"/>
    </xf>
    <xf numFmtId="1" fontId="7" fillId="11" borderId="0" xfId="0" applyNumberFormat="1" applyFont="1" applyFill="1" applyAlignment="1">
      <alignment vertical="center"/>
    </xf>
    <xf numFmtId="0" fontId="7" fillId="11" borderId="0" xfId="0" applyFont="1" applyFill="1" applyAlignment="1">
      <alignment horizontal="center" vertical="center"/>
    </xf>
    <xf numFmtId="10" fontId="7" fillId="2" borderId="0" xfId="16" applyNumberFormat="1" applyFont="1" applyFill="1" applyAlignment="1">
      <alignment vertical="center"/>
    </xf>
    <xf numFmtId="0" fontId="14" fillId="2" borderId="0" xfId="10" applyFont="1" applyFill="1" applyAlignment="1">
      <alignment vertical="center"/>
    </xf>
    <xf numFmtId="10" fontId="14" fillId="2" borderId="0" xfId="16" applyNumberFormat="1" applyFont="1" applyFill="1" applyAlignment="1">
      <alignment horizontal="center" vertical="center"/>
    </xf>
    <xf numFmtId="175" fontId="14" fillId="2" borderId="0" xfId="16" applyNumberFormat="1" applyFont="1" applyFill="1" applyAlignment="1">
      <alignment horizontal="center" vertical="center"/>
    </xf>
    <xf numFmtId="0" fontId="7" fillId="2" borderId="8" xfId="0" applyFont="1" applyFill="1" applyBorder="1" applyAlignment="1">
      <alignment horizontal="right" vertical="center"/>
    </xf>
    <xf numFmtId="169" fontId="28" fillId="2" borderId="0" xfId="0" applyNumberFormat="1" applyFont="1" applyFill="1" applyAlignment="1">
      <alignment vertical="center"/>
    </xf>
    <xf numFmtId="0" fontId="21" fillId="2" borderId="0" xfId="0" applyFont="1" applyFill="1" applyAlignment="1">
      <alignment vertical="center"/>
    </xf>
    <xf numFmtId="168" fontId="11" fillId="2" borderId="0" xfId="0" applyNumberFormat="1" applyFont="1" applyFill="1" applyAlignment="1">
      <alignment vertical="center"/>
    </xf>
    <xf numFmtId="2" fontId="14" fillId="2" borderId="0" xfId="0" applyNumberFormat="1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21" fillId="2" borderId="0" xfId="0" applyFont="1" applyFill="1" applyAlignment="1">
      <alignment horizontal="right" vertical="center"/>
    </xf>
    <xf numFmtId="169" fontId="21" fillId="2" borderId="0" xfId="9" applyNumberFormat="1" applyFont="1" applyFill="1" applyBorder="1" applyAlignment="1">
      <alignment horizontal="center" vertical="center"/>
    </xf>
    <xf numFmtId="1" fontId="7" fillId="2" borderId="0" xfId="0" applyNumberFormat="1" applyFont="1" applyFill="1" applyAlignment="1">
      <alignment vertical="center"/>
    </xf>
    <xf numFmtId="2" fontId="7" fillId="2" borderId="0" xfId="0" applyNumberFormat="1" applyFont="1" applyFill="1" applyAlignment="1">
      <alignment vertical="center"/>
    </xf>
    <xf numFmtId="2" fontId="30" fillId="2" borderId="0" xfId="0" applyNumberFormat="1" applyFont="1" applyFill="1" applyAlignment="1">
      <alignment vertical="center"/>
    </xf>
    <xf numFmtId="0" fontId="21" fillId="2" borderId="0" xfId="10" applyFont="1" applyFill="1" applyAlignment="1">
      <alignment vertical="center"/>
    </xf>
    <xf numFmtId="17" fontId="7" fillId="2" borderId="0" xfId="0" applyNumberFormat="1" applyFont="1" applyFill="1" applyAlignment="1">
      <alignment vertical="center"/>
    </xf>
    <xf numFmtId="169" fontId="7" fillId="6" borderId="8" xfId="8" applyNumberFormat="1" applyFont="1" applyFill="1" applyBorder="1" applyAlignment="1">
      <alignment horizontal="center" vertical="center"/>
    </xf>
    <xf numFmtId="0" fontId="7" fillId="12" borderId="0" xfId="10" applyFont="1" applyFill="1" applyAlignment="1">
      <alignment vertical="center"/>
    </xf>
    <xf numFmtId="0" fontId="16" fillId="2" borderId="11" xfId="0" applyFont="1" applyFill="1" applyBorder="1" applyAlignment="1">
      <alignment vertical="center"/>
    </xf>
    <xf numFmtId="169" fontId="7" fillId="2" borderId="11" xfId="0" applyNumberFormat="1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169" fontId="14" fillId="2" borderId="0" xfId="0" applyNumberFormat="1" applyFont="1" applyFill="1" applyAlignment="1">
      <alignment horizontal="center" vertical="center"/>
    </xf>
    <xf numFmtId="168" fontId="28" fillId="2" borderId="0" xfId="0" applyNumberFormat="1" applyFont="1" applyFill="1" applyAlignment="1">
      <alignment vertical="center"/>
    </xf>
    <xf numFmtId="178" fontId="7" fillId="2" borderId="0" xfId="10" applyNumberFormat="1" applyFont="1" applyFill="1" applyAlignment="1">
      <alignment vertical="center"/>
    </xf>
    <xf numFmtId="1" fontId="16" fillId="14" borderId="0" xfId="10" applyNumberFormat="1" applyFont="1" applyFill="1" applyAlignment="1">
      <alignment horizontal="center" vertical="center"/>
    </xf>
    <xf numFmtId="10" fontId="21" fillId="2" borderId="0" xfId="16" applyNumberFormat="1" applyFont="1" applyFill="1" applyAlignment="1">
      <alignment vertical="center"/>
    </xf>
    <xf numFmtId="0" fontId="11" fillId="2" borderId="0" xfId="0" applyFont="1" applyFill="1" applyAlignment="1">
      <alignment horizontal="right" vertical="center"/>
    </xf>
    <xf numFmtId="169" fontId="12" fillId="2" borderId="11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left" vertical="center"/>
    </xf>
    <xf numFmtId="168" fontId="7" fillId="2" borderId="0" xfId="10" applyNumberFormat="1" applyFont="1" applyFill="1" applyAlignment="1">
      <alignment vertical="center"/>
    </xf>
    <xf numFmtId="0" fontId="2" fillId="0" borderId="0" xfId="7" applyAlignment="1" applyProtection="1">
      <alignment vertical="center"/>
    </xf>
    <xf numFmtId="177" fontId="21" fillId="2" borderId="0" xfId="0" applyNumberFormat="1" applyFont="1" applyFill="1" applyAlignment="1">
      <alignment vertical="center"/>
    </xf>
    <xf numFmtId="169" fontId="16" fillId="15" borderId="8" xfId="9" applyNumberFormat="1" applyFont="1" applyFill="1" applyBorder="1" applyAlignment="1">
      <alignment horizontal="center" vertical="center"/>
    </xf>
    <xf numFmtId="169" fontId="16" fillId="16" borderId="8" xfId="9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7" fillId="13" borderId="0" xfId="0" applyFont="1" applyFill="1" applyAlignment="1">
      <alignment vertical="center"/>
    </xf>
    <xf numFmtId="169" fontId="7" fillId="17" borderId="0" xfId="10" applyNumberFormat="1" applyFont="1" applyFill="1" applyAlignment="1">
      <alignment vertical="center"/>
    </xf>
    <xf numFmtId="169" fontId="11" fillId="0" borderId="0" xfId="0" applyNumberFormat="1" applyFont="1" applyAlignment="1">
      <alignment vertical="center"/>
    </xf>
    <xf numFmtId="0" fontId="21" fillId="2" borderId="2" xfId="0" applyFont="1" applyFill="1" applyBorder="1" applyAlignment="1">
      <alignment vertical="center"/>
    </xf>
    <xf numFmtId="169" fontId="32" fillId="2" borderId="0" xfId="8" applyNumberFormat="1" applyFont="1" applyFill="1" applyBorder="1" applyAlignment="1">
      <alignment horizontal="center" vertical="center"/>
    </xf>
    <xf numFmtId="169" fontId="7" fillId="17" borderId="0" xfId="8" applyNumberFormat="1" applyFont="1" applyFill="1" applyBorder="1" applyAlignment="1">
      <alignment horizontal="center" vertical="center"/>
    </xf>
    <xf numFmtId="2" fontId="29" fillId="2" borderId="0" xfId="0" applyNumberFormat="1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7" fillId="18" borderId="0" xfId="0" applyFont="1" applyFill="1" applyAlignment="1">
      <alignment vertical="center"/>
    </xf>
    <xf numFmtId="169" fontId="16" fillId="19" borderId="8" xfId="9" applyNumberFormat="1" applyFont="1" applyFill="1" applyBorder="1" applyAlignment="1">
      <alignment horizontal="center" vertical="center"/>
    </xf>
    <xf numFmtId="169" fontId="7" fillId="11" borderId="0" xfId="10" applyNumberFormat="1" applyFont="1" applyFill="1" applyAlignment="1">
      <alignment vertical="center"/>
    </xf>
    <xf numFmtId="168" fontId="7" fillId="11" borderId="0" xfId="10" applyNumberFormat="1" applyFont="1" applyFill="1" applyAlignment="1">
      <alignment vertical="center"/>
    </xf>
    <xf numFmtId="169" fontId="7" fillId="18" borderId="0" xfId="8" applyNumberFormat="1" applyFont="1" applyFill="1" applyBorder="1" applyAlignment="1">
      <alignment horizontal="center" vertical="center"/>
    </xf>
    <xf numFmtId="169" fontId="7" fillId="13" borderId="0" xfId="8" applyNumberFormat="1" applyFont="1" applyFill="1" applyBorder="1" applyAlignment="1">
      <alignment horizontal="center" vertical="center"/>
    </xf>
    <xf numFmtId="179" fontId="7" fillId="2" borderId="0" xfId="10" applyNumberFormat="1" applyFont="1" applyFill="1" applyAlignment="1">
      <alignment vertical="center"/>
    </xf>
    <xf numFmtId="168" fontId="7" fillId="17" borderId="0" xfId="10" applyNumberFormat="1" applyFont="1" applyFill="1" applyAlignment="1">
      <alignment vertical="center"/>
    </xf>
    <xf numFmtId="169" fontId="7" fillId="20" borderId="0" xfId="8" applyNumberFormat="1" applyFont="1" applyFill="1" applyBorder="1" applyAlignment="1">
      <alignment horizontal="center" vertical="center"/>
    </xf>
    <xf numFmtId="169" fontId="7" fillId="14" borderId="0" xfId="10" applyNumberFormat="1" applyFont="1" applyFill="1" applyAlignment="1">
      <alignment vertical="center"/>
    </xf>
    <xf numFmtId="169" fontId="7" fillId="2" borderId="0" xfId="10" applyNumberFormat="1" applyFont="1" applyFill="1" applyAlignment="1">
      <alignment horizontal="center" vertical="center"/>
    </xf>
    <xf numFmtId="2" fontId="33" fillId="2" borderId="0" xfId="0" applyNumberFormat="1" applyFont="1" applyFill="1" applyAlignment="1">
      <alignment vertical="center"/>
    </xf>
    <xf numFmtId="169" fontId="34" fillId="2" borderId="0" xfId="0" applyNumberFormat="1" applyFont="1" applyFill="1" applyAlignment="1">
      <alignment vertical="center"/>
    </xf>
    <xf numFmtId="169" fontId="35" fillId="2" borderId="0" xfId="8" applyNumberFormat="1" applyFont="1" applyFill="1" applyBorder="1" applyAlignment="1">
      <alignment horizontal="center" vertical="center"/>
    </xf>
    <xf numFmtId="169" fontId="28" fillId="11" borderId="0" xfId="8" applyNumberFormat="1" applyFont="1" applyFill="1" applyBorder="1" applyAlignment="1">
      <alignment horizontal="center" vertical="center"/>
    </xf>
    <xf numFmtId="169" fontId="7" fillId="2" borderId="8" xfId="0" applyNumberFormat="1" applyFont="1" applyFill="1" applyBorder="1" applyAlignment="1">
      <alignment horizontal="center" vertical="center"/>
    </xf>
    <xf numFmtId="169" fontId="32" fillId="6" borderId="0" xfId="10" applyNumberFormat="1" applyFont="1" applyFill="1" applyAlignment="1">
      <alignment vertical="center"/>
    </xf>
    <xf numFmtId="168" fontId="32" fillId="6" borderId="0" xfId="10" applyNumberFormat="1" applyFont="1" applyFill="1" applyAlignment="1">
      <alignment vertical="center"/>
    </xf>
    <xf numFmtId="168" fontId="7" fillId="18" borderId="0" xfId="10" applyNumberFormat="1" applyFont="1" applyFill="1" applyAlignment="1">
      <alignment vertical="center"/>
    </xf>
    <xf numFmtId="1" fontId="14" fillId="2" borderId="0" xfId="0" applyNumberFormat="1" applyFont="1" applyFill="1" applyAlignment="1">
      <alignment vertical="center"/>
    </xf>
    <xf numFmtId="169" fontId="21" fillId="17" borderId="0" xfId="8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vertical="center"/>
    </xf>
    <xf numFmtId="169" fontId="7" fillId="20" borderId="0" xfId="10" applyNumberFormat="1" applyFont="1" applyFill="1" applyAlignment="1">
      <alignment vertical="center"/>
    </xf>
    <xf numFmtId="169" fontId="28" fillId="13" borderId="0" xfId="8" applyNumberFormat="1" applyFont="1" applyFill="1" applyBorder="1" applyAlignment="1">
      <alignment horizontal="center" vertical="center"/>
    </xf>
    <xf numFmtId="168" fontId="6" fillId="2" borderId="0" xfId="9" applyFont="1" applyFill="1" applyBorder="1" applyAlignment="1">
      <alignment horizontal="center" vertical="center"/>
    </xf>
    <xf numFmtId="1" fontId="6" fillId="2" borderId="0" xfId="10" applyNumberFormat="1" applyFont="1" applyFill="1" applyAlignment="1">
      <alignment vertical="center"/>
    </xf>
    <xf numFmtId="10" fontId="6" fillId="2" borderId="0" xfId="16" applyNumberFormat="1" applyFont="1" applyFill="1" applyAlignment="1">
      <alignment vertical="center"/>
    </xf>
    <xf numFmtId="169" fontId="7" fillId="6" borderId="0" xfId="8" applyNumberFormat="1" applyFont="1" applyFill="1" applyBorder="1" applyAlignment="1">
      <alignment horizontal="center" vertical="center"/>
    </xf>
    <xf numFmtId="169" fontId="11" fillId="19" borderId="0" xfId="0" applyNumberFormat="1" applyFont="1" applyFill="1" applyAlignment="1">
      <alignment vertical="center"/>
    </xf>
    <xf numFmtId="169" fontId="11" fillId="19" borderId="0" xfId="8" applyNumberFormat="1" applyFont="1" applyFill="1" applyBorder="1" applyAlignment="1">
      <alignment horizontal="center" vertical="center"/>
    </xf>
    <xf numFmtId="0" fontId="24" fillId="0" borderId="0" xfId="10" applyFont="1" applyAlignment="1">
      <alignment horizontal="left" vertical="center"/>
    </xf>
    <xf numFmtId="0" fontId="25" fillId="6" borderId="8" xfId="10" applyFont="1" applyFill="1" applyBorder="1" applyAlignment="1">
      <alignment horizontal="center" vertical="center"/>
    </xf>
    <xf numFmtId="0" fontId="25" fillId="6" borderId="9" xfId="10" applyFont="1" applyFill="1" applyBorder="1" applyAlignment="1">
      <alignment horizontal="center" vertical="center"/>
    </xf>
  </cellXfs>
  <cellStyles count="19">
    <cellStyle name="Comma 2" xfId="1" xr:uid="{00000000-0005-0000-0000-000000000000}"/>
    <cellStyle name="Currency 2" xfId="2" xr:uid="{00000000-0005-0000-0000-000001000000}"/>
    <cellStyle name="Currency 2 2" xfId="3" xr:uid="{00000000-0005-0000-0000-000002000000}"/>
    <cellStyle name="Currency 3" xfId="4" xr:uid="{00000000-0005-0000-0000-000003000000}"/>
    <cellStyle name="Euro" xfId="5" xr:uid="{00000000-0005-0000-0000-000004000000}"/>
    <cellStyle name="Euro 2" xfId="6" xr:uid="{00000000-0005-0000-0000-000005000000}"/>
    <cellStyle name="Hipervínculo" xfId="7" builtinId="8"/>
    <cellStyle name="Millares_CASH FLOW CONFIDENCIAL 2" xfId="8" xr:uid="{00000000-0005-0000-0000-000007000000}"/>
    <cellStyle name="Millares_CASH FLOW CONFIDENCIAL 3" xfId="9" xr:uid="{00000000-0005-0000-0000-000008000000}"/>
    <cellStyle name="Moneda 2" xfId="18" xr:uid="{00000000-0005-0000-0000-000009000000}"/>
    <cellStyle name="Normal" xfId="0" builtinId="0"/>
    <cellStyle name="Normal 2" xfId="10" xr:uid="{00000000-0005-0000-0000-00000B000000}"/>
    <cellStyle name="Normal 3" xfId="11" xr:uid="{00000000-0005-0000-0000-00000C000000}"/>
    <cellStyle name="Normal 4" xfId="17" xr:uid="{00000000-0005-0000-0000-00000D000000}"/>
    <cellStyle name="Percent 2" xfId="12" xr:uid="{00000000-0005-0000-0000-00000E000000}"/>
    <cellStyle name="Percent 3" xfId="13" xr:uid="{00000000-0005-0000-0000-00000F000000}"/>
    <cellStyle name="Percent 3 2" xfId="14" xr:uid="{00000000-0005-0000-0000-000010000000}"/>
    <cellStyle name="Percent 4" xfId="15" xr:uid="{00000000-0005-0000-0000-000011000000}"/>
    <cellStyle name="Porcentaje" xfId="16" builtinId="5"/>
  </cellStyles>
  <dxfs count="0"/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na Curone" id="{4153BBAC-8762-4B72-90EC-4FF427EBDA1A}" userId="2f1b97e924f89ae9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57" dT="2025-03-29T00:01:58.66" personId="{4153BBAC-8762-4B72-90EC-4FF427EBDA1A}" id="{DFD4DE28-BCE4-4D15-9870-E3265A087065}">
    <text>M.Gomez + J.Yaya + D.Tedesco</text>
  </threadedComment>
  <threadedComment ref="I158" dT="2025-02-04T22:23:03.84" personId="{4153BBAC-8762-4B72-90EC-4FF427EBDA1A}" id="{0590D88F-774E-4995-8353-82411B70D55E}">
    <text>Javier Ccanto PER CER006 04/02/25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0" dT="2025-01-31T22:46:54.33" personId="{4153BBAC-8762-4B72-90EC-4FF427EBDA1A}" id="{20761913-2918-406B-90AD-4D8CCF01F208}">
    <text>Nahuel Gonzalez 03 al 07/02/2025 - 23000/h</text>
  </threadedComment>
  <threadedComment ref="J20" dT="2025-03-07T14:35:28.03" personId="{4153BBAC-8762-4B72-90EC-4FF427EBDA1A}" id="{414B55EA-D056-4040-AB0E-BF716F932766}">
    <text>Fedoruk 10 al 14/03 - 24000/h</text>
  </threadedComment>
  <threadedComment ref="K20" dT="2025-04-11T15:45:41.97" personId="{4153BBAC-8762-4B72-90EC-4FF427EBDA1A}" id="{3548B1AE-A67C-47F8-ACB0-9F3A39B47DD5}">
    <text>Nahuel Gonzalez 25000/h, inicio 21/04/2025</text>
  </threadedComment>
  <threadedComment ref="J21" dT="2025-03-11T15:12:06.11" personId="{4153BBAC-8762-4B72-90EC-4FF427EBDA1A}" id="{84789B19-E168-40AF-9CD5-61875CB18A34}">
    <text>Tamara Gutierrez 25000/h, 17/03 al 05/05/2025</text>
  </threadedComment>
  <threadedComment ref="J22" dT="2025-03-11T15:08:16.92" personId="{4153BBAC-8762-4B72-90EC-4FF427EBDA1A}" id="{11A50668-789B-4B27-B040-96F48CF9A758}">
    <text>17/03 al 05/05/25 $32000/h Gabriel Sagripanti</text>
  </threadedComment>
  <threadedComment ref="L22" dT="2025-06-11T19:53:30.55" personId="{4153BBAC-8762-4B72-90EC-4FF427EBDA1A}" id="{158D8201-ED91-4828-A018-F0A7711367AD}">
    <text xml:space="preserve">E. Horna 26K/H
</text>
  </threadedComment>
  <threadedComment ref="J23" dT="2025-03-11T15:38:51.43" personId="{4153BBAC-8762-4B72-90EC-4FF427EBDA1A}" id="{334F6540-B40D-4A1A-8483-D2E9F5B2E166}">
    <text>F.Carvajal 17/03 al 05/05/2025 $25000/h</text>
  </threadedComment>
  <threadedComment ref="L23" dT="2025-06-11T19:06:38.93" personId="{4153BBAC-8762-4B72-90EC-4FF427EBDA1A}" id="{75A29413-9E8C-4DBC-9341-608644B07B81}">
    <text>F.Carvajal 27k/H</text>
  </threadedComment>
  <threadedComment ref="L25" dT="2025-06-11T19:58:35.66" personId="{4153BBAC-8762-4B72-90EC-4FF427EBDA1A}" id="{C55F271D-384E-4D27-8CDD-2DE3F075B137}">
    <text>M.Belfiori 30k/h</text>
  </threadedComment>
  <threadedComment ref="L26" dT="2025-04-29T00:28:40.97" personId="{4153BBAC-8762-4B72-90EC-4FF427EBDA1A}" id="{20ED03D0-B366-4506-AFF2-DCBBAC94198E}">
    <text>N.Molero 27000/h 05/05 al 16/06/2025</text>
  </threadedComment>
  <threadedComment ref="L27" dT="2025-06-11T19:07:07.95" personId="{4153BBAC-8762-4B72-90EC-4FF427EBDA1A}" id="{47A4A0D4-933E-4CD2-82F0-37BE09531FFA}">
    <text>28k/h Nico Giordano</text>
  </threadedComment>
  <threadedComment ref="K29" dT="2025-04-11T19:37:00.79" personId="{4153BBAC-8762-4B72-90EC-4FF427EBDA1A}" id="{935894DF-1A5C-497E-8B53-F3BD4CA4C39A}">
    <text>A.Fariña 26000/h, 14/04 al 07/05/2025</text>
  </threadedComment>
  <threadedComment ref="J100" dT="2025-03-14T20:04:55.46" personId="{4153BBAC-8762-4B72-90EC-4FF427EBDA1A}" id="{337F4169-75F4-4728-9BA2-F611A2EFB55A}">
    <text>Nico Giordano 18/03 al 07/05/2025 30000/h</text>
  </threadedComment>
  <threadedComment ref="K100" dT="2025-04-09T20:06:27.62" personId="{4153BBAC-8762-4B72-90EC-4FF427EBDA1A}" id="{DB1FC4E2-C3FF-4202-9186-F090932AEE47}">
    <text>2 LH p-PP y PM</text>
  </threadedComment>
  <threadedComment ref="L100" dT="2025-04-09T20:07:22.59" personId="{4153BBAC-8762-4B72-90EC-4FF427EBDA1A}" id="{E8A1BD5A-D5DB-47B5-9792-7AE68B471F8F}">
    <text>Trainer PP 35K/H Marcos Delle Gandine</text>
  </threadedComment>
  <threadedComment ref="M100" dT="2025-04-09T20:33:59.04" personId="{4153BBAC-8762-4B72-90EC-4FF427EBDA1A}" id="{0A01523A-CB44-44A3-8F0C-C044F9FFC4DF}">
    <text>Trainer PM Maria A.Ramirez 30K/H</text>
  </threadedComment>
  <threadedComment ref="K102" dT="2025-04-11T15:46:23.54" personId="{4153BBAC-8762-4B72-90EC-4FF427EBDA1A}" id="{D05AF3B0-CD03-48E9-91F2-D1A9404912E1}">
    <text xml:space="preserve">Melisa Castro 40000/h
</text>
  </threadedComment>
  <threadedComment ref="N147" dT="2025-06-17T16:44:55.70" personId="{4153BBAC-8762-4B72-90EC-4FF427EBDA1A}" id="{2E504F2C-D8D5-458E-A014-7EEBE7C9510F}">
    <text>Delle Gandine PP 20hs x 30K/H + Tamara FI 20hs x 30K/H + ….MM 20hs x 32K/H</text>
  </threadedComment>
  <threadedComment ref="I165" dT="2025-02-13T16:52:30.25" personId="{4153BBAC-8762-4B72-90EC-4FF427EBDA1A}" id="{7C4F97E1-7F07-4B0A-B9F9-A03CB6FAD260}">
    <text>Pereira/Aguirre/Avila/Peinero x CER001 - TC 1054.25</text>
  </threadedComment>
  <threadedComment ref="J165" dT="2025-03-29T00:02:48.20" personId="{4153BBAC-8762-4B72-90EC-4FF427EBDA1A}" id="{B34D38FE-8564-4404-A3A4-14E93E6D5480}">
    <text>CER001 M.Gomez + J.Yaya + D.Tedesco tc 1071.75</text>
  </threadedComment>
  <threadedComment ref="K165" dT="2025-04-28T23:40:40.93" personId="{4153BBAC-8762-4B72-90EC-4FF427EBDA1A}" id="{00FDB575-D2E8-438C-882B-33E0BA2A1C6E}">
    <text>L. Anza tc 1200?</text>
  </threadedComment>
  <threadedComment ref="I166" dT="2025-02-04T22:23:51.68" personId="{4153BBAC-8762-4B72-90EC-4FF427EBDA1A}" id="{3ECD4444-9ACE-413D-9A59-C78EAC0D222B}">
    <text>Javier Ccanto CER006 tc 1059.75</text>
  </threadedComment>
  <threadedComment ref="K166" dT="2025-04-02T00:27:26.06" personId="{4153BBAC-8762-4B72-90EC-4FF427EBDA1A}" id="{126CEAF3-AA37-44CC-B2D1-BA3700151546}">
    <text>M.Capis tc 1110?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70" dT="2025-02-01T17:38:22.50" personId="{4153BBAC-8762-4B72-90EC-4FF427EBDA1A}" id="{03B0F23A-0A6F-4EFE-8655-D881B8BEFE86}">
    <text>Incl. Plus Vacacional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12" dT="2025-02-03T18:45:24.58" personId="{4153BBAC-8762-4B72-90EC-4FF427EBDA1A}" id="{2B38A67C-B51A-44BC-9BF1-1D06762BAD8A}">
    <text>Mto mensual + Renov. Anual VISA AX x 2</text>
  </threadedComment>
  <threadedComment ref="K17" dT="2025-03-25T23:30:30.03" personId="{4153BBAC-8762-4B72-90EC-4FF427EBDA1A}" id="{5E38437E-3479-4179-ACC0-65A8EEDBB5FD}">
    <text>Aumento 7,5% 03/2025</text>
  </threadedComment>
  <threadedComment ref="K31" dT="2025-03-06T22:09:06.55" personId="{4153BBAC-8762-4B72-90EC-4FF427EBDA1A}" id="{FE54B8A3-2201-4C04-8737-CA695744DAE9}">
    <text>DQ 10hs x mes a partir de 03/2025</text>
  </threadedComment>
  <threadedComment ref="I33" dT="2025-02-18T17:48:07.51" personId="{4153BBAC-8762-4B72-90EC-4FF427EBDA1A}" id="{D35D3D15-0C57-4E5D-889B-8BC14A12E5DE}">
    <text>+ Roaming USA Marito ars 65K</text>
  </threadedComment>
  <threadedComment ref="J51" dT="2025-03-05T21:00:50.98" personId="{4153BBAC-8762-4B72-90EC-4FF427EBDA1A}" id="{148FE249-F3D9-4938-ADCC-6144123F2BEA}">
    <text>+ Reintegro Gastos 198k, almuerzo Kansas</text>
  </threadedComment>
  <threadedComment ref="I82" dT="2025-02-03T19:02:25.60" personId="{4153BBAC-8762-4B72-90EC-4FF427EBDA1A}" id="{889C6E60-5D0F-4061-9703-C8C4640CDEC8}">
    <text>Evaluación Proveedor AX USA x SAP Colombia SAS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/>
  </sheetPr>
  <dimension ref="A1:IG142"/>
  <sheetViews>
    <sheetView tabSelected="1" topLeftCell="C1" zoomScale="70" zoomScaleNormal="70" workbookViewId="0">
      <pane ySplit="5" topLeftCell="A7" activePane="bottomLeft" state="frozen"/>
      <selection pane="bottomLeft" activeCell="O2" sqref="O2"/>
    </sheetView>
  </sheetViews>
  <sheetFormatPr baseColWidth="10" defaultColWidth="9.109375" defaultRowHeight="15.6" outlineLevelRow="4" outlineLevelCol="1" x14ac:dyDescent="0.25"/>
  <cols>
    <col min="1" max="1" width="6.6640625" style="103" customWidth="1"/>
    <col min="2" max="2" width="5" style="103" hidden="1" customWidth="1"/>
    <col min="3" max="3" width="56.6640625" style="103" customWidth="1"/>
    <col min="4" max="9" width="16.5546875" style="135" customWidth="1" outlineLevel="1"/>
    <col min="10" max="10" width="18.33203125" style="135" customWidth="1" outlineLevel="1"/>
    <col min="11" max="15" width="16.5546875" style="103" customWidth="1" outlineLevel="1"/>
    <col min="16" max="16" width="19.44140625" style="103" customWidth="1"/>
    <col min="17" max="25" width="11.44140625" style="103" customWidth="1"/>
    <col min="26" max="26" width="21.33203125" style="103" customWidth="1"/>
    <col min="27" max="27" width="14" style="103" customWidth="1"/>
    <col min="28" max="16384" width="9.109375" style="103"/>
  </cols>
  <sheetData>
    <row r="1" spans="1:16" ht="35.25" customHeight="1" x14ac:dyDescent="0.25">
      <c r="B1" s="104"/>
      <c r="C1" s="248" t="s">
        <v>65</v>
      </c>
      <c r="D1" s="248"/>
      <c r="E1" s="248"/>
      <c r="F1" s="248"/>
      <c r="G1" s="248"/>
      <c r="H1" s="248"/>
      <c r="I1" s="248"/>
      <c r="J1" s="248"/>
    </row>
    <row r="2" spans="1:16" ht="24" customHeight="1" x14ac:dyDescent="0.25">
      <c r="B2" s="104"/>
      <c r="C2" s="105"/>
      <c r="D2" s="103"/>
      <c r="E2" s="106"/>
      <c r="F2" s="106"/>
      <c r="G2" s="106"/>
      <c r="H2" s="106"/>
      <c r="I2" s="106"/>
      <c r="J2" s="106"/>
      <c r="N2" s="103" t="s">
        <v>328</v>
      </c>
      <c r="O2" s="103">
        <v>1180</v>
      </c>
      <c r="P2" s="198">
        <f>+P7/O2</f>
        <v>461333.35885593225</v>
      </c>
    </row>
    <row r="3" spans="1:16" ht="4.5" customHeight="1" x14ac:dyDescent="0.25">
      <c r="B3" s="104"/>
      <c r="D3" s="103"/>
      <c r="E3" s="103"/>
      <c r="F3" s="103"/>
      <c r="G3" s="103"/>
      <c r="H3" s="103"/>
      <c r="I3" s="103"/>
      <c r="J3" s="103"/>
    </row>
    <row r="4" spans="1:16" ht="33" customHeight="1" x14ac:dyDescent="0.25">
      <c r="A4" s="107"/>
      <c r="C4" s="108"/>
      <c r="D4" s="109">
        <v>45505</v>
      </c>
      <c r="E4" s="109">
        <v>45536</v>
      </c>
      <c r="F4" s="109">
        <v>45566</v>
      </c>
      <c r="G4" s="109">
        <v>45597</v>
      </c>
      <c r="H4" s="109">
        <v>45627</v>
      </c>
      <c r="I4" s="109">
        <v>45658</v>
      </c>
      <c r="J4" s="109">
        <v>45689</v>
      </c>
      <c r="K4" s="109">
        <v>45717</v>
      </c>
      <c r="L4" s="109">
        <v>45748</v>
      </c>
      <c r="M4" s="109">
        <v>45778</v>
      </c>
      <c r="N4" s="109">
        <v>45809</v>
      </c>
      <c r="O4" s="109">
        <v>45839</v>
      </c>
      <c r="P4" s="110" t="s">
        <v>268</v>
      </c>
    </row>
    <row r="5" spans="1:16" ht="5.25" customHeight="1" x14ac:dyDescent="0.25">
      <c r="A5" s="107"/>
      <c r="C5" s="111"/>
      <c r="D5" s="112"/>
      <c r="E5" s="112"/>
      <c r="F5" s="112"/>
      <c r="G5" s="112"/>
      <c r="H5" s="112"/>
      <c r="I5" s="112"/>
      <c r="J5" s="112"/>
      <c r="P5" s="113"/>
    </row>
    <row r="6" spans="1:16" s="115" customFormat="1" ht="29.25" hidden="1" customHeight="1" x14ac:dyDescent="0.25">
      <c r="A6" s="114"/>
      <c r="C6" s="116"/>
      <c r="D6" s="117"/>
      <c r="E6" s="118">
        <f>E7+F7+G7</f>
        <v>188289426.01000002</v>
      </c>
      <c r="F6" s="119"/>
      <c r="G6" s="119"/>
      <c r="H6" s="120">
        <f>H7+I7+J7</f>
        <v>117073689.86000001</v>
      </c>
      <c r="I6" s="121"/>
      <c r="J6" s="121"/>
      <c r="P6" s="122"/>
    </row>
    <row r="7" spans="1:16" ht="45" customHeight="1" collapsed="1" x14ac:dyDescent="0.25">
      <c r="A7" s="107"/>
      <c r="C7" s="123" t="s">
        <v>66</v>
      </c>
      <c r="D7" s="206">
        <f>+D8+D12</f>
        <v>37761584</v>
      </c>
      <c r="E7" s="206">
        <f t="shared" ref="E7:O7" si="0">+E8+E12</f>
        <v>76481924.520000011</v>
      </c>
      <c r="F7" s="206">
        <f t="shared" si="0"/>
        <v>50136080.490000002</v>
      </c>
      <c r="G7" s="206">
        <f t="shared" si="0"/>
        <v>61671421</v>
      </c>
      <c r="H7" s="219">
        <f t="shared" si="0"/>
        <v>31812533.109999999</v>
      </c>
      <c r="I7" s="206">
        <f t="shared" si="0"/>
        <v>53070463.350000001</v>
      </c>
      <c r="J7" s="219">
        <f t="shared" si="0"/>
        <v>32190693.399999999</v>
      </c>
      <c r="K7" s="206">
        <f t="shared" si="0"/>
        <v>65686566.039999999</v>
      </c>
      <c r="L7" s="219">
        <f t="shared" si="0"/>
        <v>30729392</v>
      </c>
      <c r="M7" s="206">
        <f t="shared" si="0"/>
        <v>75412795.540000007</v>
      </c>
      <c r="N7" s="207">
        <f t="shared" si="0"/>
        <v>7132410</v>
      </c>
      <c r="O7" s="207">
        <f t="shared" si="0"/>
        <v>22287500</v>
      </c>
      <c r="P7" s="125">
        <f t="shared" ref="P7:P14" si="1">SUM(D7:O7)</f>
        <v>544373363.45000005</v>
      </c>
    </row>
    <row r="8" spans="1:16" ht="24.75" hidden="1" customHeight="1" outlineLevel="1" x14ac:dyDescent="0.25">
      <c r="A8" s="107"/>
      <c r="C8" s="126" t="s">
        <v>67</v>
      </c>
      <c r="D8" s="127">
        <f>SUM(D9:D11)</f>
        <v>32901584</v>
      </c>
      <c r="E8" s="127">
        <f t="shared" ref="E8:O8" si="2">SUM(E9:E11)</f>
        <v>76481924.520000011</v>
      </c>
      <c r="F8" s="127">
        <f t="shared" si="2"/>
        <v>50136080.490000002</v>
      </c>
      <c r="G8" s="127">
        <f t="shared" si="2"/>
        <v>53271421</v>
      </c>
      <c r="H8" s="127">
        <f t="shared" si="2"/>
        <v>31812533.109999999</v>
      </c>
      <c r="I8" s="127">
        <f t="shared" si="2"/>
        <v>53070463.350000001</v>
      </c>
      <c r="J8" s="127">
        <f t="shared" si="2"/>
        <v>28590693.399999999</v>
      </c>
      <c r="K8" s="127">
        <f t="shared" si="2"/>
        <v>65686566.039999999</v>
      </c>
      <c r="L8" s="127">
        <f t="shared" si="2"/>
        <v>30729392</v>
      </c>
      <c r="M8" s="127">
        <f t="shared" si="2"/>
        <v>75412795.540000007</v>
      </c>
      <c r="N8" s="127">
        <f t="shared" si="2"/>
        <v>7132410</v>
      </c>
      <c r="O8" s="127">
        <f t="shared" si="2"/>
        <v>22287500</v>
      </c>
      <c r="P8" s="128">
        <f t="shared" si="1"/>
        <v>527513363.45000005</v>
      </c>
    </row>
    <row r="9" spans="1:16" ht="24.75" hidden="1" customHeight="1" outlineLevel="2" x14ac:dyDescent="0.25">
      <c r="A9" s="107"/>
      <c r="C9" s="129" t="s">
        <v>143</v>
      </c>
      <c r="D9" s="130">
        <f>+'SAP '!C5</f>
        <v>32021584</v>
      </c>
      <c r="E9" s="130">
        <f>+'SAP '!D5</f>
        <v>45695674.520000003</v>
      </c>
      <c r="F9" s="130">
        <f>+'SAP '!E5</f>
        <v>41169780.490000002</v>
      </c>
      <c r="G9" s="130">
        <f>+'SAP '!F5</f>
        <v>36389421</v>
      </c>
      <c r="H9" s="130">
        <f>+'SAP '!G5</f>
        <v>23062533.109999999</v>
      </c>
      <c r="I9" s="130">
        <f>+'SAP '!H5</f>
        <v>53070463.350000001</v>
      </c>
      <c r="J9" s="130">
        <f>+'SAP '!I5</f>
        <v>14843700</v>
      </c>
      <c r="K9" s="130">
        <f>+'SAP '!J5</f>
        <v>65686566.039999999</v>
      </c>
      <c r="L9" s="130">
        <f>+'SAP '!K5</f>
        <v>30729392</v>
      </c>
      <c r="M9" s="130">
        <f>+'SAP '!L5</f>
        <v>75412795.540000007</v>
      </c>
      <c r="N9" s="130">
        <f>+'SAP '!M5</f>
        <v>7132410</v>
      </c>
      <c r="O9" s="130">
        <f>+'SAP '!N5</f>
        <v>22287500</v>
      </c>
      <c r="P9" s="131">
        <f t="shared" si="1"/>
        <v>447501820.05000001</v>
      </c>
    </row>
    <row r="10" spans="1:16" ht="24.75" hidden="1" customHeight="1" outlineLevel="2" x14ac:dyDescent="0.25">
      <c r="A10" s="107"/>
      <c r="C10" s="129" t="s">
        <v>144</v>
      </c>
      <c r="D10" s="130">
        <f>+'SAP D'!D5</f>
        <v>880000</v>
      </c>
      <c r="E10" s="130">
        <f>+'SAP D'!E5</f>
        <v>26250000</v>
      </c>
      <c r="F10" s="130">
        <f>+'SAP D'!F5</f>
        <v>0</v>
      </c>
      <c r="G10" s="130">
        <f>+'SAP D'!G5</f>
        <v>8750000</v>
      </c>
      <c r="H10" s="130">
        <f>+'SAP D'!H5</f>
        <v>8750000</v>
      </c>
      <c r="I10" s="130">
        <f>+'SAP D'!I5</f>
        <v>0</v>
      </c>
      <c r="J10" s="130">
        <f>+'SAP D'!J5</f>
        <v>0</v>
      </c>
      <c r="K10" s="130">
        <f>+'SAP D'!K5</f>
        <v>0</v>
      </c>
      <c r="L10" s="130">
        <f>+'SAP D'!L5</f>
        <v>0</v>
      </c>
      <c r="M10" s="130">
        <f>+'SAP D'!M5</f>
        <v>0</v>
      </c>
      <c r="N10" s="130">
        <f>+'SAP D'!N5</f>
        <v>0</v>
      </c>
      <c r="O10" s="130">
        <f>+'SAP D'!O5</f>
        <v>0</v>
      </c>
      <c r="P10" s="131">
        <f t="shared" si="1"/>
        <v>44630000</v>
      </c>
    </row>
    <row r="11" spans="1:16" ht="24.75" hidden="1" customHeight="1" outlineLevel="2" x14ac:dyDescent="0.25">
      <c r="A11" s="107"/>
      <c r="C11" s="129" t="s">
        <v>145</v>
      </c>
      <c r="D11" s="130">
        <f>+SF!D5</f>
        <v>0</v>
      </c>
      <c r="E11" s="130">
        <f>+SF!E5</f>
        <v>4536250</v>
      </c>
      <c r="F11" s="130">
        <f>+SF!F5</f>
        <v>8966300</v>
      </c>
      <c r="G11" s="130">
        <f>+SF!G5</f>
        <v>8132000</v>
      </c>
      <c r="H11" s="130">
        <f>+SF!H5</f>
        <v>0</v>
      </c>
      <c r="I11" s="130">
        <f>+SF!I5</f>
        <v>0</v>
      </c>
      <c r="J11" s="130">
        <f>+SF!J5</f>
        <v>13746993.399999999</v>
      </c>
      <c r="K11" s="130">
        <f>+SF!K5</f>
        <v>0</v>
      </c>
      <c r="L11" s="130">
        <f>+SF!L5</f>
        <v>0</v>
      </c>
      <c r="M11" s="130">
        <f>+SF!M5</f>
        <v>0</v>
      </c>
      <c r="N11" s="130">
        <f>+SF!N5</f>
        <v>0</v>
      </c>
      <c r="O11" s="130">
        <f>+SF!O5</f>
        <v>0</v>
      </c>
      <c r="P11" s="131">
        <f t="shared" si="1"/>
        <v>35381543.399999999</v>
      </c>
    </row>
    <row r="12" spans="1:16" ht="24.75" hidden="1" customHeight="1" outlineLevel="1" x14ac:dyDescent="0.25">
      <c r="A12" s="107"/>
      <c r="C12" s="126" t="s">
        <v>159</v>
      </c>
      <c r="D12" s="132">
        <f>SUM(D13:D14)</f>
        <v>4860000</v>
      </c>
      <c r="E12" s="132">
        <f t="shared" ref="E12:O12" si="3">SUM(E13:E14)</f>
        <v>0</v>
      </c>
      <c r="F12" s="132">
        <f t="shared" si="3"/>
        <v>0</v>
      </c>
      <c r="G12" s="132">
        <f t="shared" si="3"/>
        <v>8400000</v>
      </c>
      <c r="H12" s="132">
        <f t="shared" si="3"/>
        <v>0</v>
      </c>
      <c r="I12" s="132">
        <f t="shared" si="3"/>
        <v>0</v>
      </c>
      <c r="J12" s="132">
        <f t="shared" si="3"/>
        <v>3600000</v>
      </c>
      <c r="K12" s="132">
        <f t="shared" si="3"/>
        <v>0</v>
      </c>
      <c r="L12" s="132">
        <f t="shared" si="3"/>
        <v>0</v>
      </c>
      <c r="M12" s="132">
        <f t="shared" si="3"/>
        <v>0</v>
      </c>
      <c r="N12" s="132">
        <f t="shared" si="3"/>
        <v>0</v>
      </c>
      <c r="O12" s="132">
        <f t="shared" si="3"/>
        <v>0</v>
      </c>
      <c r="P12" s="128">
        <f t="shared" si="1"/>
        <v>16860000</v>
      </c>
    </row>
    <row r="13" spans="1:16" ht="24.75" hidden="1" customHeight="1" outlineLevel="2" x14ac:dyDescent="0.25">
      <c r="A13" s="107"/>
      <c r="C13" s="129" t="s">
        <v>160</v>
      </c>
      <c r="D13" s="130">
        <f>+'C-P IT'!D6</f>
        <v>4860000</v>
      </c>
      <c r="E13" s="130">
        <f>+'C-P IT'!E6</f>
        <v>0</v>
      </c>
      <c r="F13" s="130">
        <f>+'C-P IT'!F6</f>
        <v>0</v>
      </c>
      <c r="G13" s="130">
        <f>+'C-P IT'!G6</f>
        <v>8400000</v>
      </c>
      <c r="H13" s="130">
        <f>+'C-P IT'!H6</f>
        <v>0</v>
      </c>
      <c r="I13" s="130">
        <f>+'C-P IT'!I6</f>
        <v>0</v>
      </c>
      <c r="J13" s="130">
        <f>+'C-P IT'!J6</f>
        <v>3600000</v>
      </c>
      <c r="K13" s="130">
        <f>+'C-P IT'!K6</f>
        <v>0</v>
      </c>
      <c r="L13" s="130">
        <f>+'C-P IT'!L6</f>
        <v>0</v>
      </c>
      <c r="M13" s="130">
        <f>+'C-P IT'!M6</f>
        <v>0</v>
      </c>
      <c r="N13" s="130">
        <f>+'C-P IT'!N6</f>
        <v>0</v>
      </c>
      <c r="O13" s="130">
        <f>+'C-P IT'!O6</f>
        <v>0</v>
      </c>
      <c r="P13" s="128">
        <f t="shared" si="1"/>
        <v>16860000</v>
      </c>
    </row>
    <row r="14" spans="1:16" ht="24.75" hidden="1" customHeight="1" outlineLevel="2" x14ac:dyDescent="0.25">
      <c r="A14" s="107"/>
      <c r="C14" s="129" t="s">
        <v>161</v>
      </c>
      <c r="D14" s="130">
        <f>+'C-P IT'!D11</f>
        <v>0</v>
      </c>
      <c r="E14" s="130">
        <f>+'C-P IT'!E11</f>
        <v>0</v>
      </c>
      <c r="F14" s="130">
        <f>+'C-P IT'!F11</f>
        <v>0</v>
      </c>
      <c r="G14" s="130">
        <f>+'C-P IT'!G11</f>
        <v>0</v>
      </c>
      <c r="H14" s="130">
        <f>+'C-P IT'!H11</f>
        <v>0</v>
      </c>
      <c r="I14" s="130">
        <f>+'C-P IT'!I11</f>
        <v>0</v>
      </c>
      <c r="J14" s="130">
        <f>+'C-P IT'!J11</f>
        <v>0</v>
      </c>
      <c r="K14" s="130">
        <f>+'C-P IT'!K11</f>
        <v>0</v>
      </c>
      <c r="L14" s="130">
        <f>+'C-P IT'!L11</f>
        <v>0</v>
      </c>
      <c r="M14" s="130">
        <f>+'C-P IT'!M11</f>
        <v>0</v>
      </c>
      <c r="N14" s="130">
        <f>+'C-P IT'!N11</f>
        <v>0</v>
      </c>
      <c r="O14" s="130">
        <f>+'C-P IT'!O11</f>
        <v>0</v>
      </c>
      <c r="P14" s="128">
        <f t="shared" si="1"/>
        <v>0</v>
      </c>
    </row>
    <row r="15" spans="1:16" ht="12.75" customHeight="1" x14ac:dyDescent="0.25">
      <c r="A15" s="134"/>
      <c r="B15" s="135"/>
      <c r="D15" s="112"/>
      <c r="E15" s="112"/>
      <c r="F15" s="112"/>
      <c r="G15" s="112"/>
      <c r="H15" s="112"/>
      <c r="I15" s="112"/>
      <c r="J15" s="112"/>
      <c r="P15" s="128"/>
    </row>
    <row r="16" spans="1:16" ht="39.75" customHeight="1" collapsed="1" x14ac:dyDescent="0.25">
      <c r="A16" s="134"/>
      <c r="B16" s="136"/>
      <c r="C16" s="137" t="s">
        <v>68</v>
      </c>
      <c r="D16" s="124">
        <f>+D17+D21</f>
        <v>-9426958.0999999996</v>
      </c>
      <c r="E16" s="124">
        <f t="shared" ref="E16:O16" si="4">+E17+E21</f>
        <v>-19296651.300000001</v>
      </c>
      <c r="F16" s="124">
        <f t="shared" si="4"/>
        <v>-20957893.899999999</v>
      </c>
      <c r="G16" s="124">
        <f t="shared" si="4"/>
        <v>-16527443</v>
      </c>
      <c r="H16" s="124">
        <f t="shared" si="4"/>
        <v>-8101749.5</v>
      </c>
      <c r="I16" s="124">
        <f t="shared" si="4"/>
        <v>-12229979.300000001</v>
      </c>
      <c r="J16" s="124">
        <f t="shared" si="4"/>
        <v>-20958242.199999999</v>
      </c>
      <c r="K16" s="124">
        <f t="shared" si="4"/>
        <v>-15652103.504999999</v>
      </c>
      <c r="L16" s="124">
        <f t="shared" si="4"/>
        <v>-12039442.800000001</v>
      </c>
      <c r="M16" s="124">
        <f t="shared" si="4"/>
        <v>-23553519.400000002</v>
      </c>
      <c r="N16" s="124">
        <f t="shared" si="4"/>
        <v>-9607048</v>
      </c>
      <c r="O16" s="124">
        <f t="shared" si="4"/>
        <v>-5970000</v>
      </c>
      <c r="P16" s="125">
        <f t="shared" ref="P16:P23" si="5">SUM(D16:O16)</f>
        <v>-174321031.005</v>
      </c>
    </row>
    <row r="17" spans="1:16" ht="25.5" hidden="1" customHeight="1" outlineLevel="1" x14ac:dyDescent="0.25">
      <c r="A17" s="134"/>
      <c r="B17" s="136"/>
      <c r="C17" s="126" t="s">
        <v>167</v>
      </c>
      <c r="D17" s="127">
        <f>SUM(D18:D20)</f>
        <v>-6446158.0999999996</v>
      </c>
      <c r="E17" s="127">
        <f t="shared" ref="E17:O17" si="6">SUM(E18:E20)</f>
        <v>-19296651.300000001</v>
      </c>
      <c r="F17" s="127">
        <f t="shared" si="6"/>
        <v>-20957893.899999999</v>
      </c>
      <c r="G17" s="127">
        <f t="shared" si="6"/>
        <v>-16527443</v>
      </c>
      <c r="H17" s="127">
        <f t="shared" si="6"/>
        <v>-8101749.5</v>
      </c>
      <c r="I17" s="127">
        <f t="shared" si="6"/>
        <v>-12229979.300000001</v>
      </c>
      <c r="J17" s="127">
        <f t="shared" si="6"/>
        <v>-20958242.199999999</v>
      </c>
      <c r="K17" s="127">
        <f t="shared" si="6"/>
        <v>-15652103.504999999</v>
      </c>
      <c r="L17" s="127">
        <f t="shared" si="6"/>
        <v>-12039442.800000001</v>
      </c>
      <c r="M17" s="127">
        <f t="shared" si="6"/>
        <v>-23553519.400000002</v>
      </c>
      <c r="N17" s="127">
        <f t="shared" si="6"/>
        <v>-9607048</v>
      </c>
      <c r="O17" s="127">
        <f t="shared" si="6"/>
        <v>-5970000</v>
      </c>
      <c r="P17" s="128">
        <f t="shared" si="5"/>
        <v>-171340231.005</v>
      </c>
    </row>
    <row r="18" spans="1:16" ht="25.5" hidden="1" customHeight="1" outlineLevel="2" x14ac:dyDescent="0.25">
      <c r="A18" s="134"/>
      <c r="B18" s="136"/>
      <c r="C18" s="129" t="s">
        <v>143</v>
      </c>
      <c r="D18" s="138">
        <f>+'CD SAP'!C5</f>
        <v>-5996158.0999999996</v>
      </c>
      <c r="E18" s="138">
        <f>+'CD SAP'!D5</f>
        <v>-9696651.3000000007</v>
      </c>
      <c r="F18" s="138">
        <f>+'CD SAP'!E5</f>
        <v>-20322293.899999999</v>
      </c>
      <c r="G18" s="138">
        <f>+'CD SAP'!F5</f>
        <v>-11037443</v>
      </c>
      <c r="H18" s="138">
        <f>+'CD SAP'!G5</f>
        <v>-6781749.5</v>
      </c>
      <c r="I18" s="138">
        <f>+'CD SAP'!H5</f>
        <v>-12229979.300000001</v>
      </c>
      <c r="J18" s="138">
        <f>+'CD SAP'!I5</f>
        <v>-15498867.199999999</v>
      </c>
      <c r="K18" s="138">
        <f>+'CD SAP'!J5</f>
        <v>-15652103.504999999</v>
      </c>
      <c r="L18" s="138">
        <f>+'CD SAP'!K5</f>
        <v>-12039442.800000001</v>
      </c>
      <c r="M18" s="138">
        <f>+'CD SAP'!L5</f>
        <v>-23553519.400000002</v>
      </c>
      <c r="N18" s="138">
        <f>+'CD SAP'!M5</f>
        <v>-9607048</v>
      </c>
      <c r="O18" s="138">
        <f>+'CD SAP'!N5</f>
        <v>-5970000</v>
      </c>
      <c r="P18" s="139">
        <f t="shared" si="5"/>
        <v>-148385256.005</v>
      </c>
    </row>
    <row r="19" spans="1:16" ht="25.5" hidden="1" customHeight="1" outlineLevel="2" x14ac:dyDescent="0.25">
      <c r="A19" s="134"/>
      <c r="B19" s="136"/>
      <c r="C19" s="129" t="s">
        <v>144</v>
      </c>
      <c r="D19" s="138">
        <f>+'CD SAP D'!D5</f>
        <v>-450000</v>
      </c>
      <c r="E19" s="138">
        <f>+'CD SAP D'!E5</f>
        <v>-7200000</v>
      </c>
      <c r="F19" s="138">
        <f>+'CD SAP D'!F5</f>
        <v>0</v>
      </c>
      <c r="G19" s="138">
        <f>+'CD SAP D'!G5</f>
        <v>-2200000</v>
      </c>
      <c r="H19" s="138">
        <f>+'CD SAP D'!H5</f>
        <v>-1320000</v>
      </c>
      <c r="I19" s="138">
        <f>+'CD SAP D'!I5</f>
        <v>0</v>
      </c>
      <c r="J19" s="138">
        <f>+'CD SAP D'!J5</f>
        <v>0</v>
      </c>
      <c r="K19" s="138">
        <f>+'CD SAP D'!K5</f>
        <v>0</v>
      </c>
      <c r="L19" s="138">
        <f>+'CD SAP D'!L5</f>
        <v>0</v>
      </c>
      <c r="M19" s="138">
        <f>+'CD SAP D'!M5</f>
        <v>0</v>
      </c>
      <c r="N19" s="138">
        <f>+'CD SAP D'!N5</f>
        <v>0</v>
      </c>
      <c r="O19" s="138">
        <f>+'CD SAP D'!O5</f>
        <v>0</v>
      </c>
      <c r="P19" s="139">
        <f t="shared" si="5"/>
        <v>-11170000</v>
      </c>
    </row>
    <row r="20" spans="1:16" ht="25.5" hidden="1" customHeight="1" outlineLevel="2" x14ac:dyDescent="0.25">
      <c r="A20" s="134"/>
      <c r="B20" s="136"/>
      <c r="C20" s="129" t="s">
        <v>145</v>
      </c>
      <c r="D20" s="138">
        <f>+'CD SF'!D5</f>
        <v>0</v>
      </c>
      <c r="E20" s="138">
        <f>+'CD SF'!E5</f>
        <v>-2400000</v>
      </c>
      <c r="F20" s="138">
        <f>+'CD SF'!F5</f>
        <v>-635600</v>
      </c>
      <c r="G20" s="138">
        <f>+'CD SF'!G5</f>
        <v>-3290000</v>
      </c>
      <c r="H20" s="138">
        <f>+'CD SF'!H5</f>
        <v>0</v>
      </c>
      <c r="I20" s="138">
        <f>+'CD SF'!I5</f>
        <v>0</v>
      </c>
      <c r="J20" s="138">
        <f>+'CD SF'!J5</f>
        <v>-5459375</v>
      </c>
      <c r="K20" s="138">
        <f>+'CD SF'!K5</f>
        <v>0</v>
      </c>
      <c r="L20" s="138">
        <f>+'CD SF'!L5</f>
        <v>0</v>
      </c>
      <c r="M20" s="138">
        <f>+'CD SF'!M5</f>
        <v>0</v>
      </c>
      <c r="N20" s="138">
        <f>+'CD SF'!N5</f>
        <v>0</v>
      </c>
      <c r="O20" s="138">
        <f>+'CD SF'!O5</f>
        <v>0</v>
      </c>
      <c r="P20" s="139">
        <f t="shared" si="5"/>
        <v>-11784975</v>
      </c>
    </row>
    <row r="21" spans="1:16" ht="25.5" hidden="1" customHeight="1" outlineLevel="1" x14ac:dyDescent="0.25">
      <c r="A21" s="134"/>
      <c r="B21" s="136"/>
      <c r="C21" s="126" t="s">
        <v>166</v>
      </c>
      <c r="D21" s="127">
        <f>SUM(D22:D23)</f>
        <v>-2980800</v>
      </c>
      <c r="E21" s="127">
        <f t="shared" ref="E21:O21" si="7">SUM(E22:E23)</f>
        <v>0</v>
      </c>
      <c r="F21" s="127">
        <f t="shared" si="7"/>
        <v>0</v>
      </c>
      <c r="G21" s="127">
        <f t="shared" si="7"/>
        <v>0</v>
      </c>
      <c r="H21" s="127">
        <f t="shared" si="7"/>
        <v>0</v>
      </c>
      <c r="I21" s="127">
        <f t="shared" si="7"/>
        <v>0</v>
      </c>
      <c r="J21" s="127">
        <f t="shared" si="7"/>
        <v>0</v>
      </c>
      <c r="K21" s="127">
        <f t="shared" si="7"/>
        <v>0</v>
      </c>
      <c r="L21" s="127">
        <f t="shared" si="7"/>
        <v>0</v>
      </c>
      <c r="M21" s="127">
        <f t="shared" si="7"/>
        <v>0</v>
      </c>
      <c r="N21" s="127">
        <f t="shared" si="7"/>
        <v>0</v>
      </c>
      <c r="O21" s="127">
        <f t="shared" si="7"/>
        <v>0</v>
      </c>
      <c r="P21" s="128">
        <f t="shared" si="5"/>
        <v>-2980800</v>
      </c>
    </row>
    <row r="22" spans="1:16" ht="25.5" hidden="1" customHeight="1" outlineLevel="2" x14ac:dyDescent="0.25">
      <c r="A22" s="134"/>
      <c r="B22" s="136"/>
      <c r="C22" s="129" t="s">
        <v>160</v>
      </c>
      <c r="D22" s="138">
        <f>+'CD C-P IT '!D6</f>
        <v>-2980800</v>
      </c>
      <c r="E22" s="138">
        <f>+'CD C-P IT '!E6</f>
        <v>0</v>
      </c>
      <c r="F22" s="138">
        <f>+'CD C-P IT '!F6</f>
        <v>0</v>
      </c>
      <c r="G22" s="138">
        <f>+'CD C-P IT '!G6</f>
        <v>0</v>
      </c>
      <c r="H22" s="138">
        <f>+'CD C-P IT '!H6</f>
        <v>0</v>
      </c>
      <c r="I22" s="138">
        <f>+'CD C-P IT '!I6</f>
        <v>0</v>
      </c>
      <c r="J22" s="138">
        <f>+'CD C-P IT '!J6</f>
        <v>0</v>
      </c>
      <c r="K22" s="138">
        <f>+'CD C-P IT '!K6</f>
        <v>0</v>
      </c>
      <c r="L22" s="138">
        <f>+'CD C-P IT '!L6</f>
        <v>0</v>
      </c>
      <c r="M22" s="138">
        <f>+'CD C-P IT '!M6</f>
        <v>0</v>
      </c>
      <c r="N22" s="138">
        <f>+'CD C-P IT '!N6</f>
        <v>0</v>
      </c>
      <c r="O22" s="138">
        <f>+'CD C-P IT '!O6</f>
        <v>0</v>
      </c>
      <c r="P22" s="139">
        <f t="shared" si="5"/>
        <v>-2980800</v>
      </c>
    </row>
    <row r="23" spans="1:16" ht="25.5" hidden="1" customHeight="1" outlineLevel="2" x14ac:dyDescent="0.25">
      <c r="A23" s="134"/>
      <c r="B23" s="136"/>
      <c r="C23" s="129" t="s">
        <v>161</v>
      </c>
      <c r="D23" s="138">
        <f>+'CD C-P IT '!D11</f>
        <v>0</v>
      </c>
      <c r="E23" s="138">
        <f>+'CD C-P IT '!E11</f>
        <v>0</v>
      </c>
      <c r="F23" s="138">
        <f>+'CD C-P IT '!F11</f>
        <v>0</v>
      </c>
      <c r="G23" s="138">
        <f>+'CD C-P IT '!G11</f>
        <v>0</v>
      </c>
      <c r="H23" s="138">
        <f>+'CD C-P IT '!H11</f>
        <v>0</v>
      </c>
      <c r="I23" s="138">
        <f>+'CD C-P IT '!I11</f>
        <v>0</v>
      </c>
      <c r="J23" s="138">
        <f>+'CD C-P IT '!J11</f>
        <v>0</v>
      </c>
      <c r="K23" s="138">
        <f>+'CD C-P IT '!K11</f>
        <v>0</v>
      </c>
      <c r="L23" s="138">
        <f>+'CD C-P IT '!L11</f>
        <v>0</v>
      </c>
      <c r="M23" s="138">
        <f>+'CD C-P IT '!M11</f>
        <v>0</v>
      </c>
      <c r="N23" s="138">
        <f>+'CD C-P IT '!N11</f>
        <v>0</v>
      </c>
      <c r="O23" s="138">
        <f>+'CD C-P IT '!O11</f>
        <v>0</v>
      </c>
      <c r="P23" s="139">
        <f t="shared" si="5"/>
        <v>0</v>
      </c>
    </row>
    <row r="24" spans="1:16" ht="23.25" customHeight="1" x14ac:dyDescent="0.25">
      <c r="A24" s="134"/>
      <c r="B24" s="136"/>
      <c r="C24" s="140"/>
      <c r="D24" s="141"/>
      <c r="E24" s="141"/>
      <c r="F24" s="141"/>
      <c r="G24" s="141"/>
      <c r="H24" s="141"/>
      <c r="I24" s="141"/>
      <c r="J24" s="141"/>
      <c r="P24" s="128"/>
    </row>
    <row r="25" spans="1:16" ht="44.25" customHeight="1" x14ac:dyDescent="0.25">
      <c r="A25" s="134"/>
      <c r="B25" s="136"/>
      <c r="C25" s="123" t="s">
        <v>69</v>
      </c>
      <c r="D25" s="142">
        <f t="shared" ref="D25:O25" si="8">D7+D16</f>
        <v>28334625.899999999</v>
      </c>
      <c r="E25" s="142">
        <f t="shared" si="8"/>
        <v>57185273.220000014</v>
      </c>
      <c r="F25" s="142">
        <f t="shared" si="8"/>
        <v>29178186.590000004</v>
      </c>
      <c r="G25" s="142">
        <f t="shared" si="8"/>
        <v>45143978</v>
      </c>
      <c r="H25" s="142">
        <f t="shared" si="8"/>
        <v>23710783.609999999</v>
      </c>
      <c r="I25" s="142">
        <f t="shared" si="8"/>
        <v>40840484.049999997</v>
      </c>
      <c r="J25" s="142">
        <f t="shared" si="8"/>
        <v>11232451.199999999</v>
      </c>
      <c r="K25" s="142">
        <f t="shared" si="8"/>
        <v>50034462.534999996</v>
      </c>
      <c r="L25" s="142">
        <f t="shared" si="8"/>
        <v>18689949.199999999</v>
      </c>
      <c r="M25" s="142">
        <f t="shared" si="8"/>
        <v>51859276.140000001</v>
      </c>
      <c r="N25" s="142">
        <f t="shared" si="8"/>
        <v>-2474638</v>
      </c>
      <c r="O25" s="142">
        <f t="shared" si="8"/>
        <v>16317500</v>
      </c>
      <c r="P25" s="125">
        <f>SUM(D25:O25)</f>
        <v>370052332.44499999</v>
      </c>
    </row>
    <row r="26" spans="1:16" ht="44.25" customHeight="1" x14ac:dyDescent="0.25">
      <c r="A26" s="134"/>
      <c r="B26" s="136"/>
      <c r="C26" s="143" t="s">
        <v>70</v>
      </c>
      <c r="D26" s="144">
        <f t="shared" ref="D26:P26" si="9">D25/D7</f>
        <v>0.75035586166088797</v>
      </c>
      <c r="E26" s="144">
        <f t="shared" si="9"/>
        <v>0.74769657770635822</v>
      </c>
      <c r="F26" s="144">
        <f t="shared" si="9"/>
        <v>0.58197980984612074</v>
      </c>
      <c r="G26" s="144">
        <f t="shared" si="9"/>
        <v>0.73200807226413678</v>
      </c>
      <c r="H26" s="144">
        <f t="shared" si="9"/>
        <v>0.7453283750782711</v>
      </c>
      <c r="I26" s="144">
        <f t="shared" si="9"/>
        <v>0.76955205347759592</v>
      </c>
      <c r="J26" s="144">
        <f t="shared" si="9"/>
        <v>0.34893473900751698</v>
      </c>
      <c r="K26" s="144">
        <f t="shared" si="9"/>
        <v>0.76171530270788379</v>
      </c>
      <c r="L26" s="144">
        <f t="shared" si="9"/>
        <v>0.60821083606209969</v>
      </c>
      <c r="M26" s="144">
        <f t="shared" si="9"/>
        <v>0.68767210880669594</v>
      </c>
      <c r="N26" s="144">
        <f t="shared" si="9"/>
        <v>-0.34695677898494337</v>
      </c>
      <c r="O26" s="144">
        <f t="shared" si="9"/>
        <v>0.73213684800897361</v>
      </c>
      <c r="P26" s="145">
        <f t="shared" si="9"/>
        <v>0.67977670711103555</v>
      </c>
    </row>
    <row r="27" spans="1:16" ht="16.5" customHeight="1" x14ac:dyDescent="0.25">
      <c r="A27" s="134"/>
      <c r="B27" s="136"/>
      <c r="C27" s="115"/>
      <c r="D27" s="53"/>
      <c r="E27" s="53"/>
      <c r="F27" s="53"/>
      <c r="G27" s="53"/>
      <c r="H27" s="53"/>
      <c r="I27" s="53"/>
      <c r="J27" s="53"/>
      <c r="P27" s="128">
        <f t="shared" ref="P27:P34" si="10">SUM(D27:O27)</f>
        <v>0</v>
      </c>
    </row>
    <row r="28" spans="1:16" ht="36" customHeight="1" collapsed="1" x14ac:dyDescent="0.25">
      <c r="A28" s="134"/>
      <c r="B28" s="136"/>
      <c r="C28" s="137" t="s">
        <v>71</v>
      </c>
      <c r="D28" s="124">
        <f t="shared" ref="D28:O28" si="11">D29+D46+D50+D58+D65</f>
        <v>-32693102.149999999</v>
      </c>
      <c r="E28" s="124">
        <f t="shared" si="11"/>
        <v>-37022280.57</v>
      </c>
      <c r="F28" s="124">
        <f t="shared" si="11"/>
        <v>-37771386.428999998</v>
      </c>
      <c r="G28" s="124">
        <f t="shared" si="11"/>
        <v>-33581213.949999996</v>
      </c>
      <c r="H28" s="124">
        <f t="shared" si="11"/>
        <v>-45965508.63000001</v>
      </c>
      <c r="I28" s="124">
        <f t="shared" si="11"/>
        <v>-36332625.710000001</v>
      </c>
      <c r="J28" s="124">
        <f t="shared" si="11"/>
        <v>-32409811.414929997</v>
      </c>
      <c r="K28" s="124">
        <f t="shared" si="11"/>
        <v>-30181738.029999997</v>
      </c>
      <c r="L28" s="124">
        <f t="shared" si="11"/>
        <v>-28078540.5</v>
      </c>
      <c r="M28" s="124">
        <f t="shared" si="11"/>
        <v>-24524147.970000003</v>
      </c>
      <c r="N28" s="124">
        <f t="shared" si="11"/>
        <v>-1703019</v>
      </c>
      <c r="O28" s="124">
        <f t="shared" si="11"/>
        <v>-283750</v>
      </c>
      <c r="P28" s="125">
        <f t="shared" si="10"/>
        <v>-340547124.35393</v>
      </c>
    </row>
    <row r="29" spans="1:16" ht="24.75" hidden="1" customHeight="1" outlineLevel="1" x14ac:dyDescent="0.25">
      <c r="A29" s="107"/>
      <c r="C29" s="115" t="s">
        <v>72</v>
      </c>
      <c r="D29" s="53">
        <f t="shared" ref="D29:O29" si="12">D30+D42</f>
        <v>-28596050.849999998</v>
      </c>
      <c r="E29" s="53">
        <f t="shared" si="12"/>
        <v>-32216422.550000001</v>
      </c>
      <c r="F29" s="53">
        <f t="shared" si="12"/>
        <v>-33568427.969999999</v>
      </c>
      <c r="G29" s="53">
        <f t="shared" si="12"/>
        <v>-29891614.149999999</v>
      </c>
      <c r="H29" s="53">
        <f t="shared" si="12"/>
        <v>-41716714.050000004</v>
      </c>
      <c r="I29" s="53">
        <f t="shared" si="12"/>
        <v>-31424248.739999998</v>
      </c>
      <c r="J29" s="53">
        <f t="shared" si="12"/>
        <v>-27432467.434929997</v>
      </c>
      <c r="K29" s="53">
        <f t="shared" si="12"/>
        <v>-25505770.719999999</v>
      </c>
      <c r="L29" s="53">
        <f t="shared" si="12"/>
        <v>-23204309.289999999</v>
      </c>
      <c r="M29" s="53">
        <f t="shared" si="12"/>
        <v>-21729503.450000003</v>
      </c>
      <c r="N29" s="53">
        <f t="shared" si="12"/>
        <v>-250000</v>
      </c>
      <c r="O29" s="53">
        <f t="shared" si="12"/>
        <v>0</v>
      </c>
      <c r="P29" s="128">
        <f t="shared" si="10"/>
        <v>-295535529.20493001</v>
      </c>
    </row>
    <row r="30" spans="1:16" ht="24.75" hidden="1" customHeight="1" outlineLevel="2" x14ac:dyDescent="0.25">
      <c r="A30" s="107"/>
      <c r="C30" s="115" t="s">
        <v>73</v>
      </c>
      <c r="D30" s="141">
        <f t="shared" ref="D30:O30" si="13">D31+SUM(D36:D39)</f>
        <v>-28596050.849999998</v>
      </c>
      <c r="E30" s="141">
        <f t="shared" si="13"/>
        <v>-32216422.550000001</v>
      </c>
      <c r="F30" s="141">
        <f t="shared" si="13"/>
        <v>-33568427.969999999</v>
      </c>
      <c r="G30" s="141">
        <f t="shared" si="13"/>
        <v>-29891614.149999999</v>
      </c>
      <c r="H30" s="141">
        <f t="shared" si="13"/>
        <v>-41716714.050000004</v>
      </c>
      <c r="I30" s="141">
        <f t="shared" si="13"/>
        <v>-31424248.739999998</v>
      </c>
      <c r="J30" s="141">
        <f t="shared" si="13"/>
        <v>-27432467.434929997</v>
      </c>
      <c r="K30" s="141">
        <f t="shared" si="13"/>
        <v>-25105770.719999999</v>
      </c>
      <c r="L30" s="141">
        <f t="shared" si="13"/>
        <v>-23204309.289999999</v>
      </c>
      <c r="M30" s="141">
        <f t="shared" si="13"/>
        <v>-21729503.450000003</v>
      </c>
      <c r="N30" s="141">
        <f t="shared" si="13"/>
        <v>-250000</v>
      </c>
      <c r="O30" s="141">
        <f t="shared" si="13"/>
        <v>0</v>
      </c>
      <c r="P30" s="146">
        <f t="shared" si="10"/>
        <v>-295135529.20493001</v>
      </c>
    </row>
    <row r="31" spans="1:16" ht="24.75" hidden="1" customHeight="1" outlineLevel="3" collapsed="1" x14ac:dyDescent="0.25">
      <c r="A31" s="107"/>
      <c r="C31" s="115" t="s">
        <v>74</v>
      </c>
      <c r="D31" s="141">
        <f t="shared" ref="D31:O31" si="14">SUM(D32:D34)</f>
        <v>-27112514.449999999</v>
      </c>
      <c r="E31" s="141">
        <f t="shared" si="14"/>
        <v>-29985994.82</v>
      </c>
      <c r="F31" s="141">
        <f t="shared" si="14"/>
        <v>-30756608.629999999</v>
      </c>
      <c r="G31" s="141">
        <f t="shared" si="14"/>
        <v>-27098735.449999999</v>
      </c>
      <c r="H31" s="141">
        <f t="shared" si="14"/>
        <v>-37122063.560000002</v>
      </c>
      <c r="I31" s="141">
        <f t="shared" si="14"/>
        <v>-26876957.289999999</v>
      </c>
      <c r="J31" s="141">
        <f t="shared" si="14"/>
        <v>-24270037.284929998</v>
      </c>
      <c r="K31" s="141">
        <f t="shared" si="14"/>
        <v>-21484468.120000001</v>
      </c>
      <c r="L31" s="141">
        <f t="shared" si="14"/>
        <v>-19662562.439999998</v>
      </c>
      <c r="M31" s="141">
        <f t="shared" si="14"/>
        <v>-18187444.600000001</v>
      </c>
      <c r="N31" s="141">
        <f t="shared" si="14"/>
        <v>-250000</v>
      </c>
      <c r="O31" s="141">
        <f t="shared" si="14"/>
        <v>0</v>
      </c>
      <c r="P31" s="146">
        <f>SUM(D31:O31)</f>
        <v>-262807386.64492998</v>
      </c>
    </row>
    <row r="32" spans="1:16" ht="20.25" hidden="1" customHeight="1" outlineLevel="4" x14ac:dyDescent="0.25">
      <c r="A32" s="107"/>
      <c r="C32" s="147" t="s">
        <v>75</v>
      </c>
      <c r="D32" s="141">
        <f>+'CI Per'!D7</f>
        <v>-19709364</v>
      </c>
      <c r="E32" s="141">
        <f>+'CI Per'!E7</f>
        <v>-19838884.450000003</v>
      </c>
      <c r="F32" s="141">
        <f>+'CI Per'!F7</f>
        <v>-22073826.919999998</v>
      </c>
      <c r="G32" s="141">
        <f>+'CI Per'!G7</f>
        <v>-19111509.009999998</v>
      </c>
      <c r="H32" s="141">
        <f>+'CI Per'!H7</f>
        <v>-24382000.609999999</v>
      </c>
      <c r="I32" s="141">
        <f>+'CI Per'!I7</f>
        <v>-14482849.460000001</v>
      </c>
      <c r="J32" s="141">
        <f>+'CI Per'!J7</f>
        <v>-13543132.73</v>
      </c>
      <c r="K32" s="141">
        <f>+'CI Per'!K7</f>
        <v>-9633328.6300000008</v>
      </c>
      <c r="L32" s="141">
        <f>+'CI Per'!L7</f>
        <v>-9650799.1600000001</v>
      </c>
      <c r="M32" s="141">
        <f>+'CI Per'!M7</f>
        <v>-9452594.0800000001</v>
      </c>
      <c r="N32" s="141">
        <f>+'CI Per'!N7</f>
        <v>0</v>
      </c>
      <c r="O32" s="141">
        <f>+'CI Per'!O7</f>
        <v>0</v>
      </c>
      <c r="P32" s="146">
        <f t="shared" si="10"/>
        <v>-161878289.05000001</v>
      </c>
    </row>
    <row r="33" spans="1:16" ht="24.75" hidden="1" customHeight="1" outlineLevel="4" x14ac:dyDescent="0.25">
      <c r="A33" s="107"/>
      <c r="C33" s="147" t="s">
        <v>76</v>
      </c>
      <c r="D33" s="141">
        <f>+'CI Per'!D10</f>
        <v>-4356309.95</v>
      </c>
      <c r="E33" s="141">
        <f>+'CI Per'!E10</f>
        <v>-5233861.29</v>
      </c>
      <c r="F33" s="141">
        <f>+'CI Per'!F10</f>
        <v>-4800962.08</v>
      </c>
      <c r="G33" s="141">
        <f>+'CI Per'!G10</f>
        <v>-4490317.0999999996</v>
      </c>
      <c r="H33" s="141">
        <f>+'CI Per'!H10</f>
        <v>-6964338.7199999997</v>
      </c>
      <c r="I33" s="141">
        <f>+'CI Per'!I10</f>
        <v>-6826568</v>
      </c>
      <c r="J33" s="141">
        <f>+'CI Per'!J10</f>
        <v>-6109201.8724649996</v>
      </c>
      <c r="K33" s="141">
        <f>+'CI Per'!K10</f>
        <v>-6141402.1299999999</v>
      </c>
      <c r="L33" s="141">
        <f>+'CI Per'!L10</f>
        <v>-5326105.7199999988</v>
      </c>
      <c r="M33" s="141">
        <f>+'CI Per'!M10</f>
        <v>-4546454.08</v>
      </c>
      <c r="N33" s="141">
        <f>+'CI Per'!N10</f>
        <v>-250000</v>
      </c>
      <c r="O33" s="141">
        <f>+'CI Per'!O10</f>
        <v>0</v>
      </c>
      <c r="P33" s="146">
        <f t="shared" si="10"/>
        <v>-55045520.942465</v>
      </c>
    </row>
    <row r="34" spans="1:16" ht="24.75" hidden="1" customHeight="1" outlineLevel="4" x14ac:dyDescent="0.25">
      <c r="A34" s="107"/>
      <c r="C34" s="147" t="s">
        <v>77</v>
      </c>
      <c r="D34" s="141">
        <f>+'CI Per'!D13</f>
        <v>-3046840.5</v>
      </c>
      <c r="E34" s="141">
        <f>+'CI Per'!E13</f>
        <v>-4913249.08</v>
      </c>
      <c r="F34" s="141">
        <f>+'CI Per'!F13</f>
        <v>-3881819.63</v>
      </c>
      <c r="G34" s="141">
        <f>+'CI Per'!G13</f>
        <v>-3496909.34</v>
      </c>
      <c r="H34" s="141">
        <f>+'CI Per'!H13</f>
        <v>-5775724.2300000004</v>
      </c>
      <c r="I34" s="141">
        <f>+'CI Per'!I13</f>
        <v>-5567539.8300000001</v>
      </c>
      <c r="J34" s="141">
        <f>+'CI Per'!J13</f>
        <v>-4617702.6824650001</v>
      </c>
      <c r="K34" s="141">
        <f>+'CI Per'!K13</f>
        <v>-5709737.3600000003</v>
      </c>
      <c r="L34" s="141">
        <f>+'CI Per'!L13</f>
        <v>-4685657.5599999996</v>
      </c>
      <c r="M34" s="141">
        <f>+'CI Per'!M13</f>
        <v>-4188396.44</v>
      </c>
      <c r="N34" s="141">
        <f>+'CI Per'!N13</f>
        <v>0</v>
      </c>
      <c r="O34" s="141">
        <f>+'CI Per'!O13</f>
        <v>0</v>
      </c>
      <c r="P34" s="146">
        <f t="shared" si="10"/>
        <v>-45883576.652465001</v>
      </c>
    </row>
    <row r="35" spans="1:16" ht="13.5" hidden="1" customHeight="1" outlineLevel="3" x14ac:dyDescent="0.25">
      <c r="A35" s="134"/>
      <c r="B35" s="136"/>
      <c r="C35" s="147"/>
      <c r="D35" s="141"/>
      <c r="E35" s="141"/>
      <c r="F35" s="141"/>
      <c r="G35" s="141"/>
      <c r="H35" s="141"/>
      <c r="I35" s="141"/>
      <c r="J35" s="141"/>
      <c r="P35" s="146"/>
    </row>
    <row r="36" spans="1:16" ht="23.25" hidden="1" customHeight="1" outlineLevel="3" x14ac:dyDescent="0.25">
      <c r="A36" s="134"/>
      <c r="B36" s="136"/>
      <c r="C36" s="147" t="s">
        <v>17</v>
      </c>
      <c r="D36" s="141">
        <f>+'CI Per'!D20</f>
        <v>0</v>
      </c>
      <c r="E36" s="141">
        <f>+'CI Per'!E20</f>
        <v>0</v>
      </c>
      <c r="F36" s="141">
        <f>+'CI Per'!F20</f>
        <v>0</v>
      </c>
      <c r="G36" s="141">
        <f>+'CI Per'!G20</f>
        <v>0</v>
      </c>
      <c r="H36" s="141">
        <f>+'CI Per'!H20</f>
        <v>0</v>
      </c>
      <c r="I36" s="141">
        <f>+'CI Per'!I20</f>
        <v>0</v>
      </c>
      <c r="J36" s="141">
        <f>+'CI Per'!J20</f>
        <v>0</v>
      </c>
      <c r="K36" s="141">
        <f>+'CI Per'!K20</f>
        <v>0</v>
      </c>
      <c r="L36" s="141">
        <f>+'CI Per'!L20</f>
        <v>0</v>
      </c>
      <c r="M36" s="141">
        <f>+'CI Per'!M20</f>
        <v>0</v>
      </c>
      <c r="N36" s="141">
        <f>+'CI Per'!N20</f>
        <v>0</v>
      </c>
      <c r="O36" s="141">
        <f>+'CI Per'!O20</f>
        <v>0</v>
      </c>
      <c r="P36" s="146">
        <f>SUM(D36:O36)</f>
        <v>0</v>
      </c>
    </row>
    <row r="37" spans="1:16" ht="23.25" hidden="1" customHeight="1" outlineLevel="3" x14ac:dyDescent="0.25">
      <c r="A37" s="134"/>
      <c r="B37" s="148">
        <v>0.26</v>
      </c>
      <c r="C37" s="147" t="s">
        <v>8</v>
      </c>
      <c r="D37" s="141">
        <f>+'CI Per'!D21</f>
        <v>-1483536.4</v>
      </c>
      <c r="E37" s="141">
        <f>+'CI Per'!E21</f>
        <v>-1630427.7299999997</v>
      </c>
      <c r="F37" s="141">
        <f>+'CI Per'!F21</f>
        <v>-2211819.34</v>
      </c>
      <c r="G37" s="141">
        <f>+'CI Per'!G21</f>
        <v>-2192878.6999999997</v>
      </c>
      <c r="H37" s="141">
        <f>+'CI Per'!H21</f>
        <v>-3694650.4899999998</v>
      </c>
      <c r="I37" s="141">
        <f>+'CI Per'!I21</f>
        <v>-2847291.4499999997</v>
      </c>
      <c r="J37" s="141">
        <f>+'CI Per'!J21</f>
        <v>-3162430.1500000004</v>
      </c>
      <c r="K37" s="141">
        <f>+'CI Per'!K21</f>
        <v>-3621302.5999999996</v>
      </c>
      <c r="L37" s="141">
        <f>+'CI Per'!L21</f>
        <v>-3541746.8499999996</v>
      </c>
      <c r="M37" s="141">
        <f>+'CI Per'!M21</f>
        <v>-3542058.8499999996</v>
      </c>
      <c r="N37" s="141">
        <f>+'CI Per'!N21</f>
        <v>0</v>
      </c>
      <c r="O37" s="141">
        <f>+'CI Per'!O21</f>
        <v>0</v>
      </c>
      <c r="P37" s="146">
        <f>SUM(D37:O37)</f>
        <v>-27928142.560000002</v>
      </c>
    </row>
    <row r="38" spans="1:16" ht="23.25" hidden="1" customHeight="1" outlineLevel="3" x14ac:dyDescent="0.25">
      <c r="A38" s="149"/>
      <c r="C38" s="147" t="s">
        <v>10</v>
      </c>
      <c r="D38" s="141">
        <f>+'CI Per'!D22</f>
        <v>0</v>
      </c>
      <c r="E38" s="141">
        <f>+'CI Per'!E22</f>
        <v>-600000</v>
      </c>
      <c r="F38" s="141">
        <f>+'CI Per'!F22</f>
        <v>-600000</v>
      </c>
      <c r="G38" s="141">
        <f>+'CI Per'!G22</f>
        <v>-600000</v>
      </c>
      <c r="H38" s="141">
        <f>+'CI Per'!H22</f>
        <v>-900000</v>
      </c>
      <c r="I38" s="141">
        <f>+'CI Per'!I22</f>
        <v>-900000</v>
      </c>
      <c r="J38" s="141">
        <f>+'CI Per'!J22</f>
        <v>0</v>
      </c>
      <c r="K38" s="141">
        <f>+'CI Per'!K22</f>
        <v>0</v>
      </c>
      <c r="L38" s="141">
        <f>+'CI Per'!L22</f>
        <v>0</v>
      </c>
      <c r="M38" s="141">
        <f>+'CI Per'!M22</f>
        <v>0</v>
      </c>
      <c r="N38" s="141">
        <f>+'CI Per'!N22</f>
        <v>0</v>
      </c>
      <c r="O38" s="141">
        <f>+'CI Per'!O22</f>
        <v>0</v>
      </c>
      <c r="P38" s="146">
        <f>SUM(D38:O38)</f>
        <v>-3600000</v>
      </c>
    </row>
    <row r="39" spans="1:16" ht="23.25" hidden="1" customHeight="1" outlineLevel="3" x14ac:dyDescent="0.25">
      <c r="A39" s="149"/>
      <c r="C39" s="147" t="s">
        <v>9</v>
      </c>
      <c r="D39" s="141">
        <f>+'CI Per'!D23</f>
        <v>0</v>
      </c>
      <c r="E39" s="141">
        <f>+'CI Per'!E23</f>
        <v>0</v>
      </c>
      <c r="F39" s="141">
        <f>+'CI Per'!F23</f>
        <v>0</v>
      </c>
      <c r="G39" s="141">
        <f>+'CI Per'!G23</f>
        <v>0</v>
      </c>
      <c r="H39" s="141">
        <f>+'CI Per'!H23</f>
        <v>0</v>
      </c>
      <c r="I39" s="141">
        <f>+'CI Per'!I23</f>
        <v>-800000</v>
      </c>
      <c r="J39" s="141">
        <f>+'CI Per'!J23</f>
        <v>0</v>
      </c>
      <c r="K39" s="141">
        <f>+'CI Per'!K23</f>
        <v>0</v>
      </c>
      <c r="L39" s="141">
        <f>+'CI Per'!L23</f>
        <v>0</v>
      </c>
      <c r="M39" s="141">
        <f>+'CI Per'!M23</f>
        <v>0</v>
      </c>
      <c r="N39" s="141">
        <f>+'CI Per'!N23</f>
        <v>0</v>
      </c>
      <c r="O39" s="141">
        <f>+'CI Per'!O23</f>
        <v>0</v>
      </c>
      <c r="P39" s="146">
        <f>SUM(D39:O39)</f>
        <v>-800000</v>
      </c>
    </row>
    <row r="40" spans="1:16" ht="12" hidden="1" customHeight="1" outlineLevel="3" x14ac:dyDescent="0.25">
      <c r="A40" s="149"/>
      <c r="C40" s="147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6"/>
    </row>
    <row r="41" spans="1:16" ht="9" hidden="1" customHeight="1" outlineLevel="2" x14ac:dyDescent="0.25">
      <c r="A41" s="149"/>
      <c r="D41" s="141"/>
      <c r="E41" s="141"/>
      <c r="F41" s="141"/>
      <c r="G41" s="141"/>
      <c r="H41" s="141"/>
      <c r="I41" s="141"/>
      <c r="J41" s="141"/>
      <c r="P41" s="146">
        <f>SUM(D41:O41)</f>
        <v>0</v>
      </c>
    </row>
    <row r="42" spans="1:16" ht="24.75" hidden="1" customHeight="1" outlineLevel="2" collapsed="1" x14ac:dyDescent="0.25">
      <c r="A42" s="149"/>
      <c r="C42" s="115" t="s">
        <v>78</v>
      </c>
      <c r="D42" s="141">
        <f>SUM(D43:D44)</f>
        <v>0</v>
      </c>
      <c r="E42" s="141">
        <f t="shared" ref="E42:O42" si="15">SUM(E43:E44)</f>
        <v>0</v>
      </c>
      <c r="F42" s="141">
        <f t="shared" si="15"/>
        <v>0</v>
      </c>
      <c r="G42" s="141">
        <f t="shared" si="15"/>
        <v>0</v>
      </c>
      <c r="H42" s="141">
        <f t="shared" si="15"/>
        <v>0</v>
      </c>
      <c r="I42" s="141">
        <f t="shared" si="15"/>
        <v>0</v>
      </c>
      <c r="J42" s="141">
        <f t="shared" si="15"/>
        <v>0</v>
      </c>
      <c r="K42" s="141">
        <f t="shared" si="15"/>
        <v>-400000</v>
      </c>
      <c r="L42" s="141">
        <f t="shared" si="15"/>
        <v>0</v>
      </c>
      <c r="M42" s="141">
        <f t="shared" si="15"/>
        <v>0</v>
      </c>
      <c r="N42" s="141">
        <f t="shared" si="15"/>
        <v>0</v>
      </c>
      <c r="O42" s="141">
        <f t="shared" si="15"/>
        <v>0</v>
      </c>
      <c r="P42" s="146">
        <f>SUM(D42:O42)</f>
        <v>-400000</v>
      </c>
    </row>
    <row r="43" spans="1:16" ht="21.75" hidden="1" customHeight="1" outlineLevel="3" x14ac:dyDescent="0.25">
      <c r="A43" s="134"/>
      <c r="B43" s="135"/>
      <c r="C43" s="147" t="s">
        <v>79</v>
      </c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6">
        <f>SUM(D43:O43)</f>
        <v>0</v>
      </c>
    </row>
    <row r="44" spans="1:16" ht="21.75" hidden="1" customHeight="1" outlineLevel="3" x14ac:dyDescent="0.25">
      <c r="A44" s="134"/>
      <c r="B44" s="135"/>
      <c r="C44" s="147" t="s">
        <v>95</v>
      </c>
      <c r="D44" s="141">
        <f>+'CI Per'!D118</f>
        <v>0</v>
      </c>
      <c r="E44" s="141">
        <f>+'CI Per'!E118</f>
        <v>0</v>
      </c>
      <c r="F44" s="141">
        <f>+'CI Per'!F118</f>
        <v>0</v>
      </c>
      <c r="G44" s="141">
        <f>+'CI Per'!G118</f>
        <v>0</v>
      </c>
      <c r="H44" s="141">
        <f>+'CI Per'!H118</f>
        <v>0</v>
      </c>
      <c r="I44" s="141">
        <f>+'CI Per'!I118</f>
        <v>0</v>
      </c>
      <c r="J44" s="141">
        <f>+'CI Per'!J118</f>
        <v>0</v>
      </c>
      <c r="K44" s="141">
        <f>+'CI Per'!K118</f>
        <v>-400000</v>
      </c>
      <c r="L44" s="141">
        <f>+'CI Per'!L118</f>
        <v>0</v>
      </c>
      <c r="M44" s="141">
        <f>+'CI Per'!M118</f>
        <v>0</v>
      </c>
      <c r="N44" s="141">
        <f>+'CI Per'!N118</f>
        <v>0</v>
      </c>
      <c r="O44" s="141">
        <f>+'CI Per'!O118</f>
        <v>0</v>
      </c>
      <c r="P44" s="146">
        <f>SUM(D44:O44)</f>
        <v>-400000</v>
      </c>
    </row>
    <row r="45" spans="1:16" ht="17.25" hidden="1" customHeight="1" outlineLevel="1" x14ac:dyDescent="0.25">
      <c r="A45" s="107"/>
      <c r="D45" s="53"/>
      <c r="E45" s="53"/>
      <c r="F45" s="53"/>
      <c r="G45" s="53"/>
      <c r="H45" s="53"/>
      <c r="I45" s="53"/>
      <c r="J45" s="53"/>
      <c r="P45" s="128"/>
    </row>
    <row r="46" spans="1:16" ht="20.25" hidden="1" customHeight="1" outlineLevel="1" x14ac:dyDescent="0.25">
      <c r="A46" s="107"/>
      <c r="C46" s="115" t="s">
        <v>60</v>
      </c>
      <c r="D46" s="53">
        <f>SUM(D47:D48)</f>
        <v>-300</v>
      </c>
      <c r="E46" s="53">
        <f t="shared" ref="E46:O46" si="16">SUM(E47:E48)</f>
        <v>-78060</v>
      </c>
      <c r="F46" s="53">
        <f t="shared" si="16"/>
        <v>-79500</v>
      </c>
      <c r="G46" s="53">
        <f t="shared" si="16"/>
        <v>-80920</v>
      </c>
      <c r="H46" s="53">
        <f t="shared" si="16"/>
        <v>-82780</v>
      </c>
      <c r="I46" s="53">
        <f t="shared" si="16"/>
        <v>-84200</v>
      </c>
      <c r="J46" s="53">
        <f t="shared" si="16"/>
        <v>-86180</v>
      </c>
      <c r="K46" s="53">
        <f t="shared" si="16"/>
        <v>-92461.25</v>
      </c>
      <c r="L46" s="53">
        <f t="shared" si="16"/>
        <v>-93247.5</v>
      </c>
      <c r="M46" s="53">
        <f t="shared" si="16"/>
        <v>-101150</v>
      </c>
      <c r="N46" s="53">
        <f t="shared" si="16"/>
        <v>-102000</v>
      </c>
      <c r="O46" s="53">
        <f t="shared" si="16"/>
        <v>0</v>
      </c>
      <c r="P46" s="128">
        <f>SUM(D46:O46)</f>
        <v>-880798.75</v>
      </c>
    </row>
    <row r="47" spans="1:16" ht="17.25" hidden="1" customHeight="1" outlineLevel="2" x14ac:dyDescent="0.25">
      <c r="A47" s="107"/>
      <c r="C47" s="147" t="s">
        <v>174</v>
      </c>
      <c r="D47" s="141">
        <f>+'CI Otros'!D4</f>
        <v>0</v>
      </c>
      <c r="E47" s="141">
        <f>+'CI Otros'!E4</f>
        <v>-77760</v>
      </c>
      <c r="F47" s="141">
        <f>+'CI Otros'!F4</f>
        <v>-79200</v>
      </c>
      <c r="G47" s="141">
        <f>+'CI Otros'!G4</f>
        <v>-80920</v>
      </c>
      <c r="H47" s="141">
        <f>+'CI Otros'!H4</f>
        <v>-82480</v>
      </c>
      <c r="I47" s="141">
        <f>+'CI Otros'!I4</f>
        <v>-84200</v>
      </c>
      <c r="J47" s="141">
        <f>+'CI Otros'!J4</f>
        <v>-85880</v>
      </c>
      <c r="K47" s="141">
        <f>+'CI Otros'!K4</f>
        <v>-92161.25</v>
      </c>
      <c r="L47" s="141">
        <f>+'CI Otros'!L4</f>
        <v>-92947.5</v>
      </c>
      <c r="M47" s="141">
        <f>+'CI Otros'!M4</f>
        <v>-101150</v>
      </c>
      <c r="N47" s="141">
        <f>+'CI Otros'!N4</f>
        <v>-102000</v>
      </c>
      <c r="O47" s="141">
        <f>+'CI Otros'!O4</f>
        <v>0</v>
      </c>
      <c r="P47" s="146">
        <f>SUM(D47:O47)</f>
        <v>-878698.75</v>
      </c>
    </row>
    <row r="48" spans="1:16" ht="17.25" hidden="1" customHeight="1" outlineLevel="2" x14ac:dyDescent="0.25">
      <c r="A48" s="107"/>
      <c r="C48" s="1" t="s">
        <v>175</v>
      </c>
      <c r="D48" s="141">
        <f>+'CI Otros'!D5</f>
        <v>-300</v>
      </c>
      <c r="E48" s="141">
        <f>+'CI Otros'!E5</f>
        <v>-300</v>
      </c>
      <c r="F48" s="141">
        <f>+'CI Otros'!F5</f>
        <v>-300</v>
      </c>
      <c r="G48" s="141">
        <f>+'CI Otros'!G5</f>
        <v>0</v>
      </c>
      <c r="H48" s="141">
        <f>+'CI Otros'!H5</f>
        <v>-300</v>
      </c>
      <c r="I48" s="141">
        <f>+'CI Otros'!I5</f>
        <v>0</v>
      </c>
      <c r="J48" s="141">
        <f>+'CI Otros'!J5</f>
        <v>-300</v>
      </c>
      <c r="K48" s="141">
        <f>+'CI Otros'!K5</f>
        <v>-300</v>
      </c>
      <c r="L48" s="141">
        <f>+'CI Otros'!L5</f>
        <v>-300</v>
      </c>
      <c r="M48" s="141">
        <f>+'CI Otros'!M5</f>
        <v>0</v>
      </c>
      <c r="N48" s="141">
        <f>+'CI Otros'!N5</f>
        <v>0</v>
      </c>
      <c r="O48" s="141">
        <f>+'CI Otros'!O5</f>
        <v>0</v>
      </c>
      <c r="P48" s="146">
        <f>SUM(D48:O48)</f>
        <v>-2100</v>
      </c>
    </row>
    <row r="49" spans="1:27" ht="17.25" hidden="1" customHeight="1" outlineLevel="1" x14ac:dyDescent="0.25">
      <c r="A49" s="107"/>
      <c r="D49" s="53"/>
      <c r="E49" s="53"/>
      <c r="F49" s="53"/>
      <c r="G49" s="53"/>
      <c r="H49" s="53"/>
      <c r="I49" s="53"/>
      <c r="J49" s="53"/>
      <c r="P49" s="128"/>
    </row>
    <row r="50" spans="1:27" ht="28.5" hidden="1" customHeight="1" outlineLevel="1" x14ac:dyDescent="0.25">
      <c r="A50" s="107"/>
      <c r="C50" s="115" t="s">
        <v>0</v>
      </c>
      <c r="D50" s="53">
        <f t="shared" ref="D50:O50" si="17">SUM(D51:D56)</f>
        <v>-2061927.3640000001</v>
      </c>
      <c r="E50" s="53">
        <f t="shared" si="17"/>
        <v>-1897302.8559999999</v>
      </c>
      <c r="F50" s="53">
        <f t="shared" si="17"/>
        <v>-2025795.9439999999</v>
      </c>
      <c r="G50" s="53">
        <f t="shared" si="17"/>
        <v>-1849457.4000000001</v>
      </c>
      <c r="H50" s="53">
        <f t="shared" si="17"/>
        <v>-1984081.6549999998</v>
      </c>
      <c r="I50" s="53">
        <f t="shared" si="17"/>
        <v>-2488546.6350000002</v>
      </c>
      <c r="J50" s="53">
        <f t="shared" si="17"/>
        <v>-2435475.12</v>
      </c>
      <c r="K50" s="53">
        <f t="shared" si="17"/>
        <v>-2431302.9350000001</v>
      </c>
      <c r="L50" s="53">
        <f t="shared" si="17"/>
        <v>-2443847.62</v>
      </c>
      <c r="M50" s="53">
        <f t="shared" si="17"/>
        <v>-1223494.52</v>
      </c>
      <c r="N50" s="53">
        <f t="shared" si="17"/>
        <v>-1113019</v>
      </c>
      <c r="O50" s="53">
        <f t="shared" si="17"/>
        <v>-283750</v>
      </c>
      <c r="P50" s="128">
        <f t="shared" ref="P50:P56" si="18">SUM(D50:O50)</f>
        <v>-22238001.048999999</v>
      </c>
    </row>
    <row r="51" spans="1:27" ht="18.75" hidden="1" customHeight="1" outlineLevel="2" x14ac:dyDescent="0.25">
      <c r="A51" s="107"/>
      <c r="C51" s="147" t="s">
        <v>80</v>
      </c>
      <c r="D51" s="141">
        <f>+'CI Otros'!D8</f>
        <v>-89332.800000000003</v>
      </c>
      <c r="E51" s="141">
        <f>+'CI Otros'!E8</f>
        <v>-20772.8</v>
      </c>
      <c r="F51" s="141">
        <f>+'CI Otros'!F8</f>
        <v>-21087.8</v>
      </c>
      <c r="G51" s="141">
        <f>+'CI Otros'!G8</f>
        <v>-13437.8</v>
      </c>
      <c r="H51" s="141">
        <f>+'CI Otros'!H8</f>
        <v>-5104.12</v>
      </c>
      <c r="I51" s="141">
        <f>+'CI Otros'!I8</f>
        <v>-44226.12</v>
      </c>
      <c r="J51" s="141">
        <f>+'CI Otros'!J8</f>
        <v>-4475.12</v>
      </c>
      <c r="K51" s="141">
        <f>+'CI Otros'!K8</f>
        <v>-107270.12</v>
      </c>
      <c r="L51" s="141">
        <f>+'CI Otros'!L8</f>
        <v>-49025.120000000003</v>
      </c>
      <c r="M51" s="141">
        <f>+'CI Otros'!M8</f>
        <v>-48644.52</v>
      </c>
      <c r="N51" s="141">
        <f>+'CI Otros'!N8</f>
        <v>-1269</v>
      </c>
      <c r="O51" s="141">
        <f>+'CI Otros'!O8</f>
        <v>0</v>
      </c>
      <c r="P51" s="146">
        <f t="shared" si="18"/>
        <v>-404645.31999999995</v>
      </c>
    </row>
    <row r="52" spans="1:27" ht="21" hidden="1" customHeight="1" outlineLevel="2" x14ac:dyDescent="0.25">
      <c r="A52" s="107"/>
      <c r="C52" s="1" t="s">
        <v>177</v>
      </c>
      <c r="D52" s="141">
        <f>+'CI Otros'!D17</f>
        <v>-323200</v>
      </c>
      <c r="E52" s="141">
        <f>+'CI Otros'!E17</f>
        <v>-365220</v>
      </c>
      <c r="F52" s="141">
        <f>+'CI Otros'!F17</f>
        <v>-365220</v>
      </c>
      <c r="G52" s="141">
        <f>+'CI Otros'!G17</f>
        <v>-365220</v>
      </c>
      <c r="H52" s="141">
        <f>+'CI Otros'!H17</f>
        <v>-400000</v>
      </c>
      <c r="I52" s="141">
        <f>+'CI Otros'!I17</f>
        <v>-400000</v>
      </c>
      <c r="J52" s="141">
        <f>+'CI Otros'!J17</f>
        <v>-400000</v>
      </c>
      <c r="K52" s="141">
        <f>+'CI Otros'!K17</f>
        <v>-430000</v>
      </c>
      <c r="L52" s="141">
        <f>+'CI Otros'!L17</f>
        <v>-430000</v>
      </c>
      <c r="M52" s="141">
        <f>+'CI Otros'!M17</f>
        <v>0</v>
      </c>
      <c r="N52" s="141">
        <f>+'CI Otros'!N17</f>
        <v>0</v>
      </c>
      <c r="O52" s="141">
        <f>+'CI Otros'!O17</f>
        <v>0</v>
      </c>
      <c r="P52" s="146">
        <f t="shared" si="18"/>
        <v>-3478860</v>
      </c>
    </row>
    <row r="53" spans="1:27" ht="18.75" hidden="1" customHeight="1" outlineLevel="2" x14ac:dyDescent="0.25">
      <c r="A53" s="107"/>
      <c r="C53" s="147" t="s">
        <v>97</v>
      </c>
      <c r="D53" s="141">
        <f>+'CI Otros'!D18</f>
        <v>-1316394.564</v>
      </c>
      <c r="E53" s="141">
        <f>+'CI Otros'!E18</f>
        <v>-1114310.0559999999</v>
      </c>
      <c r="F53" s="141">
        <f>+'CI Otros'!F18</f>
        <v>-1278988.1439999999</v>
      </c>
      <c r="G53" s="141">
        <f>+'CI Otros'!G18</f>
        <v>-1072799.6000000001</v>
      </c>
      <c r="H53" s="141">
        <f>+'CI Otros'!H18</f>
        <v>-956977.53499999992</v>
      </c>
      <c r="I53" s="141">
        <f>+'CI Otros'!I18</f>
        <v>-1063320.5150000001</v>
      </c>
      <c r="J53" s="141">
        <f>+'CI Otros'!J18</f>
        <v>-1471000</v>
      </c>
      <c r="K53" s="141">
        <f>+'CI Otros'!K18</f>
        <v>-1437032.8149999999</v>
      </c>
      <c r="L53" s="141">
        <f>+'CI Otros'!L18</f>
        <v>-1477322.5</v>
      </c>
      <c r="M53" s="141">
        <f>+'CI Otros'!M18</f>
        <v>-807350</v>
      </c>
      <c r="N53" s="141">
        <f>+'CI Otros'!N18</f>
        <v>-811750</v>
      </c>
      <c r="O53" s="141">
        <f>+'CI Otros'!O18</f>
        <v>-283750</v>
      </c>
      <c r="P53" s="146">
        <f t="shared" si="18"/>
        <v>-13090995.729</v>
      </c>
    </row>
    <row r="54" spans="1:27" ht="17.25" hidden="1" customHeight="1" outlineLevel="2" x14ac:dyDescent="0.25">
      <c r="A54" s="134"/>
      <c r="B54" s="135"/>
      <c r="C54" s="147" t="s">
        <v>64</v>
      </c>
      <c r="D54" s="141">
        <f>+'CI Otros'!D32</f>
        <v>0</v>
      </c>
      <c r="E54" s="141">
        <f>+'CI Otros'!E32</f>
        <v>0</v>
      </c>
      <c r="F54" s="141">
        <f>+'CI Otros'!F32</f>
        <v>0</v>
      </c>
      <c r="G54" s="141">
        <f>+'CI Otros'!G32</f>
        <v>0</v>
      </c>
      <c r="H54" s="141">
        <f>+'CI Otros'!H32</f>
        <v>0</v>
      </c>
      <c r="I54" s="141">
        <f>+'CI Otros'!I32</f>
        <v>0</v>
      </c>
      <c r="J54" s="141">
        <f>+'CI Otros'!J32</f>
        <v>0</v>
      </c>
      <c r="K54" s="141">
        <f>+'CI Otros'!K32</f>
        <v>0</v>
      </c>
      <c r="L54" s="141">
        <f>+'CI Otros'!L32</f>
        <v>0</v>
      </c>
      <c r="M54" s="141">
        <f>+'CI Otros'!M32</f>
        <v>0</v>
      </c>
      <c r="N54" s="141">
        <f>+'CI Otros'!N32</f>
        <v>0</v>
      </c>
      <c r="O54" s="141">
        <f>+'CI Otros'!O32</f>
        <v>0</v>
      </c>
      <c r="P54" s="146">
        <f t="shared" si="18"/>
        <v>0</v>
      </c>
    </row>
    <row r="55" spans="1:27" ht="21.75" hidden="1" customHeight="1" outlineLevel="2" x14ac:dyDescent="0.25">
      <c r="A55" s="134"/>
      <c r="B55" s="135"/>
      <c r="C55" s="147" t="s">
        <v>59</v>
      </c>
      <c r="D55" s="141">
        <f>+'CI Otros'!D36</f>
        <v>-58000</v>
      </c>
      <c r="E55" s="141">
        <f>+'CI Otros'!E36</f>
        <v>-92000</v>
      </c>
      <c r="F55" s="141">
        <f>+'CI Otros'!F36</f>
        <v>-85500</v>
      </c>
      <c r="G55" s="141">
        <f>+'CI Otros'!G36</f>
        <v>-73000</v>
      </c>
      <c r="H55" s="141">
        <f>+'CI Otros'!H36</f>
        <v>-177000</v>
      </c>
      <c r="I55" s="141">
        <f>+'CI Otros'!I36</f>
        <v>-136000</v>
      </c>
      <c r="J55" s="141">
        <f>+'CI Otros'!J36</f>
        <v>-185000</v>
      </c>
      <c r="K55" s="141">
        <f>+'CI Otros'!K36</f>
        <v>-137000</v>
      </c>
      <c r="L55" s="141">
        <f>+'CI Otros'!L36</f>
        <v>-92500</v>
      </c>
      <c r="M55" s="141">
        <f>+'CI Otros'!M36</f>
        <v>-92500</v>
      </c>
      <c r="N55" s="141">
        <f>+'CI Otros'!N36</f>
        <v>0</v>
      </c>
      <c r="O55" s="141">
        <f>+'CI Otros'!O36</f>
        <v>0</v>
      </c>
      <c r="P55" s="146">
        <f t="shared" si="18"/>
        <v>-1128500</v>
      </c>
    </row>
    <row r="56" spans="1:27" ht="21.75" hidden="1" customHeight="1" outlineLevel="2" x14ac:dyDescent="0.25">
      <c r="A56" s="134"/>
      <c r="B56" s="135"/>
      <c r="C56" s="1" t="s">
        <v>100</v>
      </c>
      <c r="D56" s="141">
        <f>+'CI Otros'!D37+'CI Otros'!D38</f>
        <v>-275000</v>
      </c>
      <c r="E56" s="141">
        <f>+'CI Otros'!E37+'CI Otros'!E38</f>
        <v>-305000</v>
      </c>
      <c r="F56" s="141">
        <f>+'CI Otros'!F37+'CI Otros'!F38</f>
        <v>-275000</v>
      </c>
      <c r="G56" s="141">
        <f>+'CI Otros'!G37+'CI Otros'!G38</f>
        <v>-325000</v>
      </c>
      <c r="H56" s="141">
        <f>+'CI Otros'!H37+'CI Otros'!H38</f>
        <v>-445000</v>
      </c>
      <c r="I56" s="141">
        <f>+'CI Otros'!I37+'CI Otros'!I38</f>
        <v>-845000</v>
      </c>
      <c r="J56" s="141">
        <f>+'CI Otros'!J37+'CI Otros'!J38</f>
        <v>-375000</v>
      </c>
      <c r="K56" s="141">
        <f>+'CI Otros'!K37+'CI Otros'!K38</f>
        <v>-320000</v>
      </c>
      <c r="L56" s="141">
        <f>+'CI Otros'!L37+'CI Otros'!L38</f>
        <v>-395000</v>
      </c>
      <c r="M56" s="141">
        <f>+'CI Otros'!M37+'CI Otros'!M38</f>
        <v>-275000</v>
      </c>
      <c r="N56" s="141">
        <f>+'CI Otros'!N37+'CI Otros'!N38</f>
        <v>-300000</v>
      </c>
      <c r="O56" s="141">
        <f>+'CI Otros'!O37+'CI Otros'!O38</f>
        <v>0</v>
      </c>
      <c r="P56" s="146">
        <f t="shared" si="18"/>
        <v>-4135000</v>
      </c>
    </row>
    <row r="57" spans="1:27" ht="9.75" hidden="1" customHeight="1" outlineLevel="1" x14ac:dyDescent="0.25">
      <c r="A57" s="107"/>
      <c r="D57" s="53"/>
      <c r="E57" s="53"/>
      <c r="F57" s="53"/>
      <c r="G57" s="53"/>
      <c r="H57" s="53"/>
      <c r="I57" s="53"/>
      <c r="J57" s="53"/>
      <c r="P57" s="146"/>
    </row>
    <row r="58" spans="1:27" ht="29.25" hidden="1" customHeight="1" outlineLevel="1" x14ac:dyDescent="0.25">
      <c r="A58" s="134"/>
      <c r="B58" s="135"/>
      <c r="C58" s="150" t="s">
        <v>11</v>
      </c>
      <c r="D58" s="53">
        <f t="shared" ref="D58:O58" si="19">SUM(D59:D63)</f>
        <v>-2001009.9999999998</v>
      </c>
      <c r="E58" s="53">
        <f t="shared" si="19"/>
        <v>-2672562.48</v>
      </c>
      <c r="F58" s="53">
        <f t="shared" si="19"/>
        <v>-2033465.75</v>
      </c>
      <c r="G58" s="53">
        <f t="shared" si="19"/>
        <v>-1582722.4</v>
      </c>
      <c r="H58" s="53">
        <f t="shared" si="19"/>
        <v>-2091523.645</v>
      </c>
      <c r="I58" s="53">
        <f t="shared" si="19"/>
        <v>-2130924.62</v>
      </c>
      <c r="J58" s="53">
        <f t="shared" si="19"/>
        <v>-2441588.86</v>
      </c>
      <c r="K58" s="53">
        <f t="shared" si="19"/>
        <v>-2079321.35</v>
      </c>
      <c r="L58" s="53">
        <f t="shared" si="19"/>
        <v>-2337136.09</v>
      </c>
      <c r="M58" s="53">
        <f t="shared" si="19"/>
        <v>-1458000</v>
      </c>
      <c r="N58" s="53">
        <f t="shared" si="19"/>
        <v>-238000</v>
      </c>
      <c r="O58" s="53">
        <f t="shared" si="19"/>
        <v>0</v>
      </c>
      <c r="P58" s="128">
        <f t="shared" ref="P58:P63" si="20">SUM(D58:O58)</f>
        <v>-21066255.195</v>
      </c>
    </row>
    <row r="59" spans="1:27" ht="24" hidden="1" customHeight="1" outlineLevel="2" x14ac:dyDescent="0.25">
      <c r="A59" s="134"/>
      <c r="B59" s="135"/>
      <c r="C59" s="147" t="s">
        <v>18</v>
      </c>
      <c r="D59" s="141">
        <f>+'CI Otros'!D42</f>
        <v>0</v>
      </c>
      <c r="E59" s="141">
        <f>+'CI Otros'!E42</f>
        <v>0</v>
      </c>
      <c r="F59" s="141">
        <f>+'CI Otros'!F42</f>
        <v>-176500</v>
      </c>
      <c r="G59" s="141">
        <f>+'CI Otros'!G42</f>
        <v>0</v>
      </c>
      <c r="H59" s="141">
        <f>+'CI Otros'!H42</f>
        <v>0</v>
      </c>
      <c r="I59" s="141">
        <f>+'CI Otros'!I42</f>
        <v>0</v>
      </c>
      <c r="J59" s="141">
        <f>+'CI Otros'!J42</f>
        <v>0</v>
      </c>
      <c r="K59" s="141">
        <f>+'CI Otros'!K42</f>
        <v>0</v>
      </c>
      <c r="L59" s="141">
        <f>+'CI Otros'!L42</f>
        <v>-147190.09</v>
      </c>
      <c r="M59" s="141">
        <f>+'CI Otros'!M42</f>
        <v>0</v>
      </c>
      <c r="N59" s="141">
        <f>+'CI Otros'!N42</f>
        <v>0</v>
      </c>
      <c r="O59" s="141">
        <f>+'CI Otros'!O42</f>
        <v>0</v>
      </c>
      <c r="P59" s="146">
        <f t="shared" si="20"/>
        <v>-323690.08999999997</v>
      </c>
    </row>
    <row r="60" spans="1:27" ht="24" hidden="1" customHeight="1" outlineLevel="2" x14ac:dyDescent="0.25">
      <c r="A60" s="134"/>
      <c r="B60" s="135"/>
      <c r="C60" s="147" t="s">
        <v>183</v>
      </c>
      <c r="D60" s="141">
        <f>+'CI Otros'!D46</f>
        <v>-1676009.9999999998</v>
      </c>
      <c r="E60" s="141">
        <f>+'CI Otros'!E46</f>
        <v>-1982148.0799999998</v>
      </c>
      <c r="F60" s="141">
        <f>+'CI Otros'!F46</f>
        <v>-1378565.75</v>
      </c>
      <c r="G60" s="141">
        <f>+'CI Otros'!G46</f>
        <v>-1432722.4</v>
      </c>
      <c r="H60" s="141">
        <f>+'CI Otros'!H46</f>
        <v>-2040948.51</v>
      </c>
      <c r="I60" s="141">
        <f>+'CI Otros'!I46</f>
        <v>-2130924.62</v>
      </c>
      <c r="J60" s="141">
        <f>+'CI Otros'!J46</f>
        <v>-2324921.86</v>
      </c>
      <c r="K60" s="141">
        <f>+'CI Otros'!K46</f>
        <v>-1962654.35</v>
      </c>
      <c r="L60" s="141">
        <f>+'CI Otros'!L46</f>
        <v>-2073280</v>
      </c>
      <c r="M60" s="141">
        <f>+'CI Otros'!M46</f>
        <v>-1458000</v>
      </c>
      <c r="N60" s="141">
        <f>+'CI Otros'!N46</f>
        <v>-238000</v>
      </c>
      <c r="O60" s="141">
        <f>+'CI Otros'!O46</f>
        <v>0</v>
      </c>
      <c r="P60" s="146">
        <f t="shared" si="20"/>
        <v>-18698175.57</v>
      </c>
    </row>
    <row r="61" spans="1:27" ht="24" hidden="1" customHeight="1" outlineLevel="2" x14ac:dyDescent="0.25">
      <c r="A61" s="134"/>
      <c r="B61" s="135"/>
      <c r="C61" s="1" t="s">
        <v>102</v>
      </c>
      <c r="D61" s="141">
        <f>+'CI Otros'!D60</f>
        <v>-325000</v>
      </c>
      <c r="E61" s="141">
        <f>+'CI Otros'!E60</f>
        <v>-690414.4</v>
      </c>
      <c r="F61" s="141">
        <f>+'CI Otros'!F60</f>
        <v>-478400</v>
      </c>
      <c r="G61" s="141">
        <f>+'CI Otros'!G60</f>
        <v>-150000</v>
      </c>
      <c r="H61" s="141">
        <f>+'CI Otros'!H60</f>
        <v>0</v>
      </c>
      <c r="I61" s="141">
        <f>+'CI Otros'!I60</f>
        <v>0</v>
      </c>
      <c r="J61" s="141">
        <f>+'CI Otros'!J60</f>
        <v>-116667</v>
      </c>
      <c r="K61" s="141">
        <f>+'CI Otros'!K60</f>
        <v>-116667</v>
      </c>
      <c r="L61" s="141">
        <f>+'CI Otros'!L60</f>
        <v>-116666</v>
      </c>
      <c r="M61" s="141">
        <f>+'CI Otros'!M60</f>
        <v>0</v>
      </c>
      <c r="N61" s="141">
        <f>+'CI Otros'!N60</f>
        <v>0</v>
      </c>
      <c r="O61" s="141">
        <f>+'CI Otros'!O60</f>
        <v>0</v>
      </c>
      <c r="P61" s="146">
        <f t="shared" si="20"/>
        <v>-1993814.4</v>
      </c>
    </row>
    <row r="62" spans="1:27" ht="24" hidden="1" customHeight="1" outlineLevel="2" x14ac:dyDescent="0.25">
      <c r="A62" s="134"/>
      <c r="B62" s="135"/>
      <c r="C62" s="1" t="s">
        <v>103</v>
      </c>
      <c r="D62" s="141">
        <f>+'CI Otros'!D66</f>
        <v>0</v>
      </c>
      <c r="E62" s="141">
        <f>+'CI Otros'!E66</f>
        <v>0</v>
      </c>
      <c r="F62" s="141">
        <f>+'CI Otros'!F66</f>
        <v>0</v>
      </c>
      <c r="G62" s="141">
        <f>+'CI Otros'!G66</f>
        <v>0</v>
      </c>
      <c r="H62" s="141">
        <f>+'CI Otros'!H66</f>
        <v>-50575.135000000002</v>
      </c>
      <c r="I62" s="141">
        <f>+'CI Otros'!I66</f>
        <v>0</v>
      </c>
      <c r="J62" s="141">
        <f>+'CI Otros'!J66</f>
        <v>0</v>
      </c>
      <c r="K62" s="141">
        <f>+'CI Otros'!K66</f>
        <v>0</v>
      </c>
      <c r="L62" s="141">
        <f>+'CI Otros'!L66</f>
        <v>0</v>
      </c>
      <c r="M62" s="141">
        <f>+'CI Otros'!M66</f>
        <v>0</v>
      </c>
      <c r="N62" s="141">
        <f>+'CI Otros'!N66</f>
        <v>0</v>
      </c>
      <c r="O62" s="141">
        <f>+'CI Otros'!O66</f>
        <v>0</v>
      </c>
      <c r="P62" s="146">
        <f t="shared" si="20"/>
        <v>-50575.135000000002</v>
      </c>
    </row>
    <row r="63" spans="1:27" ht="24" hidden="1" customHeight="1" outlineLevel="2" x14ac:dyDescent="0.25">
      <c r="A63" s="107"/>
      <c r="C63" s="147" t="s">
        <v>81</v>
      </c>
      <c r="D63" s="141">
        <f>+'CI Otros'!D71</f>
        <v>0</v>
      </c>
      <c r="E63" s="141">
        <f>+'CI Otros'!E71</f>
        <v>0</v>
      </c>
      <c r="F63" s="141">
        <f>+'CI Otros'!F71</f>
        <v>0</v>
      </c>
      <c r="G63" s="141">
        <f>+'CI Otros'!G71</f>
        <v>0</v>
      </c>
      <c r="H63" s="141">
        <f>+'CI Otros'!H71</f>
        <v>0</v>
      </c>
      <c r="I63" s="141">
        <f>+'CI Otros'!I71</f>
        <v>0</v>
      </c>
      <c r="J63" s="141">
        <f>+'CI Otros'!J71</f>
        <v>0</v>
      </c>
      <c r="K63" s="141">
        <f>+'CI Otros'!K71</f>
        <v>0</v>
      </c>
      <c r="L63" s="141">
        <f>+'CI Otros'!L71</f>
        <v>0</v>
      </c>
      <c r="M63" s="141">
        <f>+'CI Otros'!M71</f>
        <v>0</v>
      </c>
      <c r="N63" s="141">
        <f>+'CI Otros'!N71</f>
        <v>0</v>
      </c>
      <c r="O63" s="141">
        <f>+'CI Otros'!O71</f>
        <v>0</v>
      </c>
      <c r="P63" s="146">
        <f t="shared" si="20"/>
        <v>0</v>
      </c>
    </row>
    <row r="64" spans="1:27" ht="12.75" hidden="1" customHeight="1" outlineLevel="1" x14ac:dyDescent="0.25">
      <c r="A64" s="107"/>
      <c r="C64" s="147"/>
      <c r="D64" s="141"/>
      <c r="E64" s="141"/>
      <c r="F64" s="141"/>
      <c r="G64" s="141"/>
      <c r="H64" s="141"/>
      <c r="I64" s="141"/>
      <c r="J64" s="141"/>
      <c r="P64" s="128"/>
      <c r="AA64" s="133"/>
    </row>
    <row r="65" spans="1:241" ht="26.25" hidden="1" customHeight="1" outlineLevel="1" x14ac:dyDescent="0.25">
      <c r="A65" s="134"/>
      <c r="B65" s="135"/>
      <c r="C65" s="150" t="s">
        <v>3</v>
      </c>
      <c r="D65" s="53">
        <f>SUM(D66:D71)</f>
        <v>-33813.936000000002</v>
      </c>
      <c r="E65" s="53">
        <f t="shared" ref="E65:O65" si="21">SUM(E66:E71)</f>
        <v>-157932.68400000001</v>
      </c>
      <c r="F65" s="53">
        <f t="shared" si="21"/>
        <v>-64196.765000000007</v>
      </c>
      <c r="G65" s="53">
        <f t="shared" si="21"/>
        <v>-176500</v>
      </c>
      <c r="H65" s="53">
        <f t="shared" si="21"/>
        <v>-90409.279999999999</v>
      </c>
      <c r="I65" s="53">
        <f t="shared" si="21"/>
        <v>-204705.715</v>
      </c>
      <c r="J65" s="53">
        <f t="shared" si="21"/>
        <v>-14100</v>
      </c>
      <c r="K65" s="53">
        <f t="shared" si="21"/>
        <v>-72881.774999999994</v>
      </c>
      <c r="L65" s="53">
        <f t="shared" si="21"/>
        <v>0</v>
      </c>
      <c r="M65" s="53">
        <f t="shared" si="21"/>
        <v>-12000</v>
      </c>
      <c r="N65" s="53">
        <f t="shared" si="21"/>
        <v>0</v>
      </c>
      <c r="O65" s="53">
        <f t="shared" si="21"/>
        <v>0</v>
      </c>
      <c r="P65" s="128">
        <f t="shared" ref="P65:P71" si="22">SUM(D65:O65)</f>
        <v>-826540.15500000003</v>
      </c>
    </row>
    <row r="66" spans="1:241" ht="23.25" hidden="1" customHeight="1" outlineLevel="2" x14ac:dyDescent="0.25">
      <c r="A66" s="134"/>
      <c r="B66" s="135"/>
      <c r="C66" s="147" t="s">
        <v>6</v>
      </c>
      <c r="D66" s="141">
        <f>'CI Otros'!D79</f>
        <v>0</v>
      </c>
      <c r="E66" s="141">
        <f>'CI Otros'!E79</f>
        <v>0</v>
      </c>
      <c r="F66" s="141">
        <f>'CI Otros'!F79</f>
        <v>0</v>
      </c>
      <c r="G66" s="141">
        <f>'CI Otros'!G79</f>
        <v>0</v>
      </c>
      <c r="H66" s="141">
        <f>'CI Otros'!H79</f>
        <v>0</v>
      </c>
      <c r="I66" s="141">
        <f>'CI Otros'!I79</f>
        <v>0</v>
      </c>
      <c r="J66" s="141">
        <f>'CI Otros'!J79</f>
        <v>0</v>
      </c>
      <c r="K66" s="141">
        <f>'CI Otros'!K79</f>
        <v>0</v>
      </c>
      <c r="L66" s="141">
        <f>'CI Otros'!L79</f>
        <v>0</v>
      </c>
      <c r="M66" s="141">
        <f>'CI Otros'!M79</f>
        <v>0</v>
      </c>
      <c r="N66" s="141">
        <f>'CI Otros'!N79</f>
        <v>0</v>
      </c>
      <c r="O66" s="141">
        <f>'CI Otros'!O79</f>
        <v>0</v>
      </c>
      <c r="P66" s="146">
        <f t="shared" si="22"/>
        <v>0</v>
      </c>
    </row>
    <row r="67" spans="1:241" ht="23.25" hidden="1" customHeight="1" outlineLevel="2" x14ac:dyDescent="0.25">
      <c r="A67" s="134"/>
      <c r="B67" s="135"/>
      <c r="C67" s="147" t="s">
        <v>4</v>
      </c>
      <c r="D67" s="141">
        <f>'CI Otros'!D80</f>
        <v>0</v>
      </c>
      <c r="E67" s="141">
        <f>'CI Otros'!E80</f>
        <v>0</v>
      </c>
      <c r="F67" s="141">
        <f>'CI Otros'!F80</f>
        <v>-2500</v>
      </c>
      <c r="G67" s="141">
        <f>'CI Otros'!G80</f>
        <v>0</v>
      </c>
      <c r="H67" s="141">
        <f>'CI Otros'!H80</f>
        <v>0</v>
      </c>
      <c r="I67" s="141">
        <f>'CI Otros'!I80</f>
        <v>0</v>
      </c>
      <c r="J67" s="141">
        <f>'CI Otros'!J80</f>
        <v>-14100</v>
      </c>
      <c r="K67" s="141">
        <f>'CI Otros'!K80</f>
        <v>0</v>
      </c>
      <c r="L67" s="141">
        <f>'CI Otros'!L80</f>
        <v>0</v>
      </c>
      <c r="M67" s="141">
        <f>'CI Otros'!M80</f>
        <v>-12000</v>
      </c>
      <c r="N67" s="141">
        <f>'CI Otros'!N80</f>
        <v>0</v>
      </c>
      <c r="O67" s="141">
        <f>'CI Otros'!O80</f>
        <v>0</v>
      </c>
      <c r="P67" s="146">
        <f t="shared" si="22"/>
        <v>-28600</v>
      </c>
    </row>
    <row r="68" spans="1:241" ht="23.25" hidden="1" customHeight="1" outlineLevel="2" x14ac:dyDescent="0.25">
      <c r="A68" s="134"/>
      <c r="B68" s="135"/>
      <c r="C68" s="1" t="s">
        <v>61</v>
      </c>
      <c r="D68" s="141">
        <f>'CI Otros'!D81</f>
        <v>0</v>
      </c>
      <c r="E68" s="141">
        <f>'CI Otros'!E81</f>
        <v>0</v>
      </c>
      <c r="F68" s="141">
        <f>'CI Otros'!F81</f>
        <v>0</v>
      </c>
      <c r="G68" s="141">
        <f>'CI Otros'!G81</f>
        <v>0</v>
      </c>
      <c r="H68" s="141">
        <f>'CI Otros'!H81</f>
        <v>0</v>
      </c>
      <c r="I68" s="141">
        <f>'CI Otros'!I81</f>
        <v>0</v>
      </c>
      <c r="J68" s="141">
        <f>'CI Otros'!J81</f>
        <v>0</v>
      </c>
      <c r="K68" s="141">
        <f>'CI Otros'!K81</f>
        <v>0</v>
      </c>
      <c r="L68" s="141">
        <f>'CI Otros'!L81</f>
        <v>0</v>
      </c>
      <c r="M68" s="141">
        <f>'CI Otros'!M81</f>
        <v>0</v>
      </c>
      <c r="N68" s="141">
        <f>'CI Otros'!N81</f>
        <v>0</v>
      </c>
      <c r="O68" s="141">
        <f>'CI Otros'!O81</f>
        <v>0</v>
      </c>
      <c r="P68" s="146">
        <f t="shared" si="22"/>
        <v>0</v>
      </c>
    </row>
    <row r="69" spans="1:241" ht="23.25" hidden="1" customHeight="1" outlineLevel="2" x14ac:dyDescent="0.25">
      <c r="A69" s="134"/>
      <c r="B69" s="135"/>
      <c r="C69" s="147" t="s">
        <v>5</v>
      </c>
      <c r="D69" s="141">
        <f>'CI Otros'!D82</f>
        <v>0</v>
      </c>
      <c r="E69" s="141">
        <f>'CI Otros'!E82</f>
        <v>0</v>
      </c>
      <c r="F69" s="141">
        <f>'CI Otros'!F82</f>
        <v>0</v>
      </c>
      <c r="G69" s="141">
        <f>'CI Otros'!G82</f>
        <v>0</v>
      </c>
      <c r="H69" s="141">
        <f>'CI Otros'!H82</f>
        <v>0</v>
      </c>
      <c r="I69" s="141">
        <f>'CI Otros'!I82</f>
        <v>-134659.84</v>
      </c>
      <c r="J69" s="141">
        <f>'CI Otros'!J82</f>
        <v>0</v>
      </c>
      <c r="K69" s="141">
        <f>'CI Otros'!K82</f>
        <v>0</v>
      </c>
      <c r="L69" s="141">
        <f>'CI Otros'!L82</f>
        <v>0</v>
      </c>
      <c r="M69" s="141">
        <f>'CI Otros'!M82</f>
        <v>0</v>
      </c>
      <c r="N69" s="141">
        <f>'CI Otros'!N82</f>
        <v>0</v>
      </c>
      <c r="O69" s="141">
        <f>'CI Otros'!O82</f>
        <v>0</v>
      </c>
      <c r="P69" s="146">
        <f t="shared" si="22"/>
        <v>-134659.84</v>
      </c>
    </row>
    <row r="70" spans="1:241" ht="23.25" hidden="1" customHeight="1" outlineLevel="2" x14ac:dyDescent="0.25">
      <c r="A70" s="134"/>
      <c r="B70" s="135"/>
      <c r="C70" s="147" t="s">
        <v>7</v>
      </c>
      <c r="D70" s="141">
        <f>'CI Otros'!D83</f>
        <v>0</v>
      </c>
      <c r="E70" s="141">
        <f>'CI Otros'!E83</f>
        <v>0</v>
      </c>
      <c r="F70" s="141">
        <f>'CI Otros'!F83</f>
        <v>0</v>
      </c>
      <c r="G70" s="141">
        <f>'CI Otros'!G83</f>
        <v>-176500</v>
      </c>
      <c r="H70" s="141">
        <f>'CI Otros'!H83</f>
        <v>0</v>
      </c>
      <c r="I70" s="141">
        <f>'CI Otros'!I83</f>
        <v>0</v>
      </c>
      <c r="J70" s="141">
        <f>'CI Otros'!J83</f>
        <v>0</v>
      </c>
      <c r="K70" s="141">
        <f>'CI Otros'!K83</f>
        <v>0</v>
      </c>
      <c r="L70" s="141">
        <f>'CI Otros'!L83</f>
        <v>0</v>
      </c>
      <c r="M70" s="141">
        <f>'CI Otros'!M83</f>
        <v>0</v>
      </c>
      <c r="N70" s="141">
        <f>'CI Otros'!N83</f>
        <v>0</v>
      </c>
      <c r="O70" s="141">
        <f>'CI Otros'!O83</f>
        <v>0</v>
      </c>
      <c r="P70" s="146">
        <f t="shared" si="22"/>
        <v>-176500</v>
      </c>
    </row>
    <row r="71" spans="1:241" ht="23.25" hidden="1" customHeight="1" outlineLevel="2" x14ac:dyDescent="0.25">
      <c r="A71" s="134"/>
      <c r="B71" s="135"/>
      <c r="C71" s="1" t="s">
        <v>126</v>
      </c>
      <c r="D71" s="141">
        <f>+'CI Otros'!D85</f>
        <v>-33813.936000000002</v>
      </c>
      <c r="E71" s="141">
        <f>+'CI Otros'!E85</f>
        <v>-157932.68400000001</v>
      </c>
      <c r="F71" s="141">
        <f>+'CI Otros'!F85</f>
        <v>-61696.765000000007</v>
      </c>
      <c r="G71" s="141">
        <f>+'CI Otros'!G85</f>
        <v>0</v>
      </c>
      <c r="H71" s="141">
        <f>+'CI Otros'!H85</f>
        <v>-90409.279999999999</v>
      </c>
      <c r="I71" s="141">
        <f>+'CI Otros'!I85</f>
        <v>-70045.875</v>
      </c>
      <c r="J71" s="141">
        <f>+'CI Otros'!J85</f>
        <v>0</v>
      </c>
      <c r="K71" s="141">
        <f>+'CI Otros'!K85</f>
        <v>-72881.774999999994</v>
      </c>
      <c r="L71" s="141">
        <f>+'CI Otros'!L85</f>
        <v>0</v>
      </c>
      <c r="M71" s="141">
        <f>+'CI Otros'!M85</f>
        <v>0</v>
      </c>
      <c r="N71" s="141">
        <f>+'CI Otros'!N85</f>
        <v>0</v>
      </c>
      <c r="O71" s="141">
        <f>+'CI Otros'!O85</f>
        <v>0</v>
      </c>
      <c r="P71" s="146">
        <f t="shared" si="22"/>
        <v>-486780.31500000006</v>
      </c>
    </row>
    <row r="72" spans="1:241" ht="13.5" customHeight="1" x14ac:dyDescent="0.25">
      <c r="A72" s="134"/>
      <c r="B72" s="135"/>
      <c r="D72" s="141"/>
      <c r="E72" s="141"/>
      <c r="F72" s="141"/>
      <c r="G72" s="141"/>
      <c r="H72" s="141"/>
      <c r="I72" s="141"/>
      <c r="J72" s="141"/>
      <c r="P72" s="128"/>
    </row>
    <row r="73" spans="1:241" ht="36.75" customHeight="1" x14ac:dyDescent="0.25">
      <c r="A73" s="107"/>
      <c r="C73" s="123" t="s">
        <v>82</v>
      </c>
      <c r="D73" s="124">
        <f>D25+D28</f>
        <v>-4358476.25</v>
      </c>
      <c r="E73" s="124">
        <f t="shared" ref="E73:O73" si="23">E25+E28</f>
        <v>20162992.650000013</v>
      </c>
      <c r="F73" s="124">
        <f>F25+F28</f>
        <v>-8593199.8389999941</v>
      </c>
      <c r="G73" s="124">
        <f t="shared" si="23"/>
        <v>11562764.050000004</v>
      </c>
      <c r="H73" s="124">
        <f t="shared" si="23"/>
        <v>-22254725.020000011</v>
      </c>
      <c r="I73" s="124">
        <f t="shared" si="23"/>
        <v>4507858.3399999961</v>
      </c>
      <c r="J73" s="124">
        <f t="shared" si="23"/>
        <v>-21177360.214929998</v>
      </c>
      <c r="K73" s="124">
        <f t="shared" si="23"/>
        <v>19852724.504999999</v>
      </c>
      <c r="L73" s="124">
        <f t="shared" si="23"/>
        <v>-9388591.3000000007</v>
      </c>
      <c r="M73" s="124">
        <f t="shared" si="23"/>
        <v>27335128.169999998</v>
      </c>
      <c r="N73" s="124">
        <f t="shared" si="23"/>
        <v>-4177657</v>
      </c>
      <c r="O73" s="124">
        <f t="shared" si="23"/>
        <v>16033750</v>
      </c>
      <c r="P73" s="125">
        <f>SUM(D73:O73)</f>
        <v>29505208.091070008</v>
      </c>
      <c r="Q73" s="166"/>
    </row>
    <row r="74" spans="1:241" ht="36.75" hidden="1" customHeight="1" x14ac:dyDescent="0.25">
      <c r="A74" s="107"/>
      <c r="C74" s="143" t="s">
        <v>83</v>
      </c>
      <c r="D74" s="144">
        <f t="shared" ref="D74:O74" si="24">+D73/D7</f>
        <v>-0.11542090633697993</v>
      </c>
      <c r="E74" s="144">
        <f t="shared" si="24"/>
        <v>0.26363082227000439</v>
      </c>
      <c r="F74" s="144">
        <f t="shared" si="24"/>
        <v>-0.17139751961093108</v>
      </c>
      <c r="G74" s="144">
        <f t="shared" si="24"/>
        <v>0.1874898269329647</v>
      </c>
      <c r="H74" s="144">
        <f t="shared" si="24"/>
        <v>-0.69955840809810987</v>
      </c>
      <c r="I74" s="144">
        <f t="shared" si="24"/>
        <v>8.4941002121474707E-2</v>
      </c>
      <c r="J74" s="144">
        <f t="shared" si="24"/>
        <v>-0.657872135644335</v>
      </c>
      <c r="K74" s="144">
        <f t="shared" si="24"/>
        <v>0.30223416600756131</v>
      </c>
      <c r="L74" s="144">
        <f t="shared" si="24"/>
        <v>-0.30552479853815528</v>
      </c>
      <c r="M74" s="144">
        <f t="shared" si="24"/>
        <v>0.36247334387041868</v>
      </c>
      <c r="N74" s="144">
        <f t="shared" si="24"/>
        <v>-0.58572866674798563</v>
      </c>
      <c r="O74" s="144">
        <f t="shared" si="24"/>
        <v>0.71940549635445883</v>
      </c>
      <c r="P74" s="151">
        <f>P73/P7</f>
        <v>5.4200315577674331E-2</v>
      </c>
    </row>
    <row r="75" spans="1:241" ht="27.6" customHeight="1" x14ac:dyDescent="0.25">
      <c r="A75" s="107"/>
      <c r="C75" s="115"/>
      <c r="D75" s="141"/>
      <c r="E75" s="141"/>
      <c r="F75" s="141"/>
      <c r="G75" s="141"/>
      <c r="H75" s="141"/>
      <c r="I75" s="141"/>
      <c r="J75" s="141"/>
      <c r="M75" s="152"/>
      <c r="N75" s="244">
        <f>+O75/P2</f>
        <v>5.4200315577674324E-2</v>
      </c>
      <c r="O75" s="243">
        <f>+P73/O2</f>
        <v>25004.413636500005</v>
      </c>
      <c r="P75" s="128"/>
    </row>
    <row r="76" spans="1:241" ht="30.6" customHeight="1" collapsed="1" x14ac:dyDescent="0.25">
      <c r="A76" s="107"/>
      <c r="B76" s="136"/>
      <c r="C76" s="105" t="s">
        <v>84</v>
      </c>
      <c r="D76" s="53">
        <f t="shared" ref="D76:O76" si="25">SUM(D77:D84)</f>
        <v>-2779285.7399999998</v>
      </c>
      <c r="E76" s="53">
        <f t="shared" si="25"/>
        <v>-1777539.95</v>
      </c>
      <c r="F76" s="53">
        <f t="shared" si="25"/>
        <v>-789678.96</v>
      </c>
      <c r="G76" s="53">
        <f t="shared" si="25"/>
        <v>-1212841.56</v>
      </c>
      <c r="H76" s="53">
        <f t="shared" si="25"/>
        <v>-1164520.1800000002</v>
      </c>
      <c r="I76" s="53">
        <f t="shared" si="25"/>
        <v>-1552137.2799999998</v>
      </c>
      <c r="J76" s="53">
        <f t="shared" si="25"/>
        <v>-1469995.77</v>
      </c>
      <c r="K76" s="53">
        <f t="shared" si="25"/>
        <v>-1774795.46</v>
      </c>
      <c r="L76" s="53">
        <f t="shared" si="25"/>
        <v>-1621294.33</v>
      </c>
      <c r="M76" s="53">
        <f t="shared" si="25"/>
        <v>-1796010.17</v>
      </c>
      <c r="N76" s="53">
        <f t="shared" si="25"/>
        <v>0</v>
      </c>
      <c r="O76" s="53">
        <f t="shared" si="25"/>
        <v>0</v>
      </c>
      <c r="P76" s="128">
        <f t="shared" ref="P76:P85" si="26">SUM(D76:O76)</f>
        <v>-15938099.399999999</v>
      </c>
    </row>
    <row r="77" spans="1:241" s="153" customFormat="1" ht="22.5" hidden="1" customHeight="1" outlineLevel="1" x14ac:dyDescent="0.25">
      <c r="A77" s="107"/>
      <c r="C77" s="147" t="s">
        <v>85</v>
      </c>
      <c r="D77" s="141">
        <v>-2163899.38</v>
      </c>
      <c r="E77" s="141">
        <v>-1204866.28</v>
      </c>
      <c r="F77" s="141">
        <v>-330541.48</v>
      </c>
      <c r="G77" s="141">
        <v>-911308.46</v>
      </c>
      <c r="H77" s="141">
        <v>-645808.87</v>
      </c>
      <c r="I77" s="141">
        <v>-1156573.92</v>
      </c>
      <c r="J77" s="141">
        <v>-1060230.21</v>
      </c>
      <c r="K77" s="242">
        <v>-1358652.44</v>
      </c>
      <c r="L77" s="141">
        <v>-997249.18</v>
      </c>
      <c r="M77" s="242">
        <v>-1285589.6599999999</v>
      </c>
      <c r="N77" s="141"/>
      <c r="O77" s="141"/>
      <c r="P77" s="146">
        <f t="shared" si="26"/>
        <v>-11114719.879999999</v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  <c r="CX77" s="103"/>
      <c r="CY77" s="103"/>
      <c r="CZ77" s="103"/>
      <c r="DA77" s="103"/>
      <c r="DB77" s="103"/>
      <c r="DC77" s="103"/>
      <c r="DD77" s="103"/>
      <c r="DE77" s="103"/>
      <c r="DF77" s="103"/>
      <c r="DG77" s="103"/>
      <c r="DH77" s="103"/>
      <c r="DI77" s="103"/>
      <c r="DJ77" s="103"/>
      <c r="DK77" s="103"/>
      <c r="DL77" s="103"/>
      <c r="DM77" s="103"/>
      <c r="DN77" s="103"/>
      <c r="DO77" s="103"/>
      <c r="DP77" s="103"/>
      <c r="DQ77" s="103"/>
      <c r="DR77" s="103"/>
      <c r="DS77" s="103"/>
      <c r="DT77" s="103"/>
      <c r="DU77" s="103"/>
      <c r="DV77" s="103"/>
      <c r="DW77" s="103"/>
      <c r="DX77" s="103"/>
      <c r="DY77" s="103"/>
      <c r="DZ77" s="103"/>
      <c r="EA77" s="103"/>
      <c r="EB77" s="103"/>
      <c r="EC77" s="103"/>
      <c r="ED77" s="103"/>
      <c r="EE77" s="103"/>
      <c r="EF77" s="103"/>
      <c r="EG77" s="103"/>
      <c r="EH77" s="103"/>
      <c r="EI77" s="103"/>
      <c r="EJ77" s="103"/>
      <c r="EK77" s="103"/>
      <c r="EL77" s="103"/>
      <c r="EM77" s="103"/>
      <c r="EN77" s="103"/>
      <c r="EO77" s="103"/>
      <c r="EP77" s="103"/>
      <c r="EQ77" s="103"/>
      <c r="ER77" s="103"/>
      <c r="ES77" s="103"/>
      <c r="ET77" s="103"/>
      <c r="EU77" s="103"/>
      <c r="EV77" s="103"/>
      <c r="EW77" s="103"/>
      <c r="EX77" s="103"/>
      <c r="EY77" s="103"/>
      <c r="EZ77" s="103"/>
      <c r="FA77" s="103"/>
      <c r="FB77" s="103"/>
      <c r="FC77" s="103"/>
      <c r="FD77" s="103"/>
      <c r="FE77" s="103"/>
      <c r="FF77" s="103"/>
      <c r="FG77" s="103"/>
      <c r="FH77" s="103"/>
      <c r="FI77" s="103"/>
      <c r="FJ77" s="103"/>
      <c r="FK77" s="103"/>
      <c r="FL77" s="103"/>
      <c r="FM77" s="103"/>
      <c r="FN77" s="103"/>
      <c r="FO77" s="103"/>
      <c r="FP77" s="103"/>
      <c r="FQ77" s="103"/>
      <c r="FR77" s="103"/>
      <c r="FS77" s="103"/>
      <c r="FT77" s="103"/>
      <c r="FU77" s="103"/>
      <c r="FV77" s="103"/>
      <c r="FW77" s="103"/>
      <c r="FX77" s="103"/>
      <c r="FY77" s="103"/>
      <c r="FZ77" s="103"/>
      <c r="GA77" s="103"/>
      <c r="GB77" s="103"/>
      <c r="GC77" s="103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3"/>
      <c r="GR77" s="103"/>
      <c r="GS77" s="103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03"/>
      <c r="HF77" s="103"/>
      <c r="HG77" s="103"/>
      <c r="HH77" s="103"/>
      <c r="HI77" s="103"/>
      <c r="HJ77" s="103"/>
      <c r="HK77" s="103"/>
      <c r="HL77" s="103"/>
      <c r="HM77" s="103"/>
      <c r="HN77" s="103"/>
      <c r="HO77" s="103"/>
      <c r="HP77" s="103"/>
      <c r="HQ77" s="103"/>
      <c r="HR77" s="103"/>
      <c r="HS77" s="103"/>
      <c r="HT77" s="103"/>
      <c r="HU77" s="103"/>
      <c r="HV77" s="103"/>
      <c r="HW77" s="103"/>
      <c r="HX77" s="103"/>
      <c r="HY77" s="103"/>
      <c r="HZ77" s="103"/>
      <c r="IA77" s="103"/>
      <c r="IB77" s="103"/>
      <c r="IC77" s="103"/>
      <c r="ID77" s="103"/>
      <c r="IE77" s="103"/>
      <c r="IF77" s="103"/>
      <c r="IG77" s="103"/>
    </row>
    <row r="78" spans="1:241" ht="22.5" hidden="1" customHeight="1" outlineLevel="1" x14ac:dyDescent="0.25">
      <c r="A78" s="107"/>
      <c r="C78" s="147" t="s">
        <v>187</v>
      </c>
      <c r="D78" s="141">
        <v>-615386.36</v>
      </c>
      <c r="E78" s="141">
        <v>-572673.66999999993</v>
      </c>
      <c r="F78" s="141">
        <v>-459137.48</v>
      </c>
      <c r="G78" s="141">
        <v>-301533.10000000003</v>
      </c>
      <c r="H78" s="141">
        <v>-516211.31000000006</v>
      </c>
      <c r="I78" s="141">
        <v>-395563.36</v>
      </c>
      <c r="J78" s="141">
        <v>-409765.55999999994</v>
      </c>
      <c r="K78" s="141">
        <v>-416143.02</v>
      </c>
      <c r="L78" s="141">
        <v>-624045.15</v>
      </c>
      <c r="M78" s="141">
        <v>-510420.51000000007</v>
      </c>
      <c r="N78" s="141"/>
      <c r="O78" s="141"/>
      <c r="P78" s="146">
        <f t="shared" si="26"/>
        <v>-4820879.5199999996</v>
      </c>
    </row>
    <row r="79" spans="1:241" ht="24" hidden="1" customHeight="1" outlineLevel="1" x14ac:dyDescent="0.25">
      <c r="A79" s="107"/>
      <c r="C79" s="147" t="s">
        <v>86</v>
      </c>
      <c r="D79" s="141"/>
      <c r="E79" s="141"/>
      <c r="F79" s="141"/>
      <c r="G79" s="141"/>
      <c r="H79" s="141">
        <v>-2500</v>
      </c>
      <c r="I79" s="141"/>
      <c r="J79" s="141"/>
      <c r="K79" s="141"/>
      <c r="L79" s="141"/>
      <c r="M79" s="141"/>
      <c r="N79" s="141"/>
      <c r="O79" s="141"/>
      <c r="P79" s="146">
        <f t="shared" si="26"/>
        <v>-2500</v>
      </c>
      <c r="Q79" s="106"/>
    </row>
    <row r="80" spans="1:241" ht="24" hidden="1" customHeight="1" outlineLevel="1" x14ac:dyDescent="0.25">
      <c r="A80" s="107"/>
      <c r="C80" s="147" t="s">
        <v>128</v>
      </c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6">
        <f t="shared" si="26"/>
        <v>0</v>
      </c>
    </row>
    <row r="81" spans="1:17" ht="24" hidden="1" customHeight="1" outlineLevel="1" x14ac:dyDescent="0.25">
      <c r="A81" s="107"/>
      <c r="C81" s="147" t="s">
        <v>114</v>
      </c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6">
        <f t="shared" si="26"/>
        <v>0</v>
      </c>
    </row>
    <row r="82" spans="1:17" ht="24" hidden="1" customHeight="1" outlineLevel="1" x14ac:dyDescent="0.25">
      <c r="A82" s="107"/>
      <c r="C82" s="147" t="s">
        <v>115</v>
      </c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6">
        <f t="shared" si="26"/>
        <v>0</v>
      </c>
      <c r="Q82" s="103" t="s">
        <v>170</v>
      </c>
    </row>
    <row r="83" spans="1:17" ht="24" hidden="1" customHeight="1" outlineLevel="1" x14ac:dyDescent="0.25">
      <c r="A83" s="107"/>
      <c r="C83" s="147" t="s">
        <v>123</v>
      </c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6">
        <f t="shared" si="26"/>
        <v>0</v>
      </c>
    </row>
    <row r="84" spans="1:17" ht="24" hidden="1" customHeight="1" outlineLevel="1" x14ac:dyDescent="0.25">
      <c r="A84" s="107"/>
      <c r="C84" s="147" t="s">
        <v>168</v>
      </c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6">
        <f t="shared" si="26"/>
        <v>0</v>
      </c>
    </row>
    <row r="85" spans="1:17" ht="12.75" customHeight="1" x14ac:dyDescent="0.25">
      <c r="A85" s="107"/>
      <c r="C85" s="115"/>
      <c r="D85" s="141"/>
      <c r="E85" s="141"/>
      <c r="F85" s="141"/>
      <c r="G85" s="141"/>
      <c r="H85" s="141"/>
      <c r="I85" s="141"/>
      <c r="J85" s="141"/>
      <c r="M85" s="155"/>
      <c r="P85" s="146">
        <f t="shared" si="26"/>
        <v>0</v>
      </c>
    </row>
    <row r="86" spans="1:17" ht="30.75" customHeight="1" collapsed="1" x14ac:dyDescent="0.25">
      <c r="A86" s="107"/>
      <c r="C86" s="105" t="s">
        <v>87</v>
      </c>
      <c r="D86" s="53">
        <f t="shared" ref="D86:O87" si="27">SUM(D87:D89)</f>
        <v>0</v>
      </c>
      <c r="E86" s="141"/>
      <c r="F86" s="53">
        <f t="shared" si="27"/>
        <v>0</v>
      </c>
      <c r="G86" s="53">
        <f t="shared" si="27"/>
        <v>0</v>
      </c>
      <c r="H86" s="53">
        <f t="shared" si="27"/>
        <v>0</v>
      </c>
      <c r="I86" s="53">
        <f t="shared" si="27"/>
        <v>0</v>
      </c>
      <c r="J86" s="53">
        <f t="shared" si="27"/>
        <v>0</v>
      </c>
      <c r="K86" s="53">
        <f t="shared" si="27"/>
        <v>0</v>
      </c>
      <c r="L86" s="53">
        <f t="shared" si="27"/>
        <v>0</v>
      </c>
      <c r="M86" s="53">
        <f t="shared" si="27"/>
        <v>0</v>
      </c>
      <c r="N86" s="53">
        <f t="shared" si="27"/>
        <v>0</v>
      </c>
      <c r="O86" s="53">
        <f t="shared" si="27"/>
        <v>0</v>
      </c>
      <c r="P86" s="128">
        <f>SUM(D86:O86)</f>
        <v>0</v>
      </c>
    </row>
    <row r="87" spans="1:17" ht="22.5" hidden="1" customHeight="1" outlineLevel="1" x14ac:dyDescent="0.25">
      <c r="A87" s="107"/>
      <c r="C87" s="147" t="s">
        <v>88</v>
      </c>
      <c r="D87" s="53"/>
      <c r="E87" s="53">
        <f t="shared" si="27"/>
        <v>0</v>
      </c>
      <c r="F87" s="53"/>
      <c r="G87" s="53"/>
      <c r="H87" s="53"/>
      <c r="I87" s="53"/>
      <c r="J87" s="53"/>
      <c r="M87" s="155"/>
      <c r="P87" s="128">
        <f>SUM(D87:O87)</f>
        <v>0</v>
      </c>
    </row>
    <row r="88" spans="1:17" ht="22.5" hidden="1" customHeight="1" outlineLevel="1" x14ac:dyDescent="0.25">
      <c r="A88" s="107"/>
      <c r="C88" s="147" t="s">
        <v>89</v>
      </c>
      <c r="D88" s="141"/>
      <c r="E88" s="53"/>
      <c r="F88" s="141"/>
      <c r="G88" s="141"/>
      <c r="H88" s="141"/>
      <c r="I88" s="141"/>
      <c r="J88" s="141"/>
      <c r="M88" s="155"/>
      <c r="P88" s="128">
        <f>SUM(D88:O88)</f>
        <v>0</v>
      </c>
    </row>
    <row r="89" spans="1:17" ht="22.5" hidden="1" customHeight="1" outlineLevel="1" x14ac:dyDescent="0.25">
      <c r="A89" s="107"/>
      <c r="C89" s="147" t="s">
        <v>90</v>
      </c>
      <c r="D89" s="141"/>
      <c r="E89" s="141"/>
      <c r="F89" s="141"/>
      <c r="G89" s="141"/>
      <c r="H89" s="141"/>
      <c r="I89" s="141"/>
      <c r="J89" s="141"/>
      <c r="M89" s="155"/>
      <c r="P89" s="128">
        <f>SUM(D89:O89)</f>
        <v>0</v>
      </c>
    </row>
    <row r="90" spans="1:17" ht="10.5" customHeight="1" x14ac:dyDescent="0.25">
      <c r="A90" s="107"/>
      <c r="D90" s="141"/>
      <c r="E90" s="141"/>
      <c r="F90" s="141"/>
      <c r="G90" s="141"/>
      <c r="H90" s="141"/>
      <c r="I90" s="141"/>
      <c r="J90" s="141"/>
      <c r="M90" s="155"/>
      <c r="P90" s="128"/>
    </row>
    <row r="91" spans="1:17" ht="24.75" customHeight="1" collapsed="1" x14ac:dyDescent="0.25">
      <c r="A91" s="107"/>
      <c r="C91" s="105" t="s">
        <v>91</v>
      </c>
      <c r="D91" s="53">
        <f t="shared" ref="D91:O91" si="28">SUM(D92)</f>
        <v>0</v>
      </c>
      <c r="E91" s="141"/>
      <c r="F91" s="53">
        <f t="shared" si="28"/>
        <v>0</v>
      </c>
      <c r="G91" s="53">
        <f t="shared" si="28"/>
        <v>0</v>
      </c>
      <c r="H91" s="53">
        <f t="shared" si="28"/>
        <v>0</v>
      </c>
      <c r="I91" s="53">
        <f t="shared" si="28"/>
        <v>0</v>
      </c>
      <c r="J91" s="53">
        <f t="shared" si="28"/>
        <v>0</v>
      </c>
      <c r="K91" s="53">
        <f t="shared" si="28"/>
        <v>0</v>
      </c>
      <c r="L91" s="53">
        <f t="shared" si="28"/>
        <v>0</v>
      </c>
      <c r="M91" s="53">
        <f t="shared" si="28"/>
        <v>0</v>
      </c>
      <c r="N91" s="53">
        <f t="shared" si="28"/>
        <v>0</v>
      </c>
      <c r="O91" s="53">
        <f t="shared" si="28"/>
        <v>0</v>
      </c>
      <c r="P91" s="128">
        <f>SUM(D91:O91)</f>
        <v>0</v>
      </c>
    </row>
    <row r="92" spans="1:17" ht="25.5" hidden="1" customHeight="1" outlineLevel="1" x14ac:dyDescent="0.25">
      <c r="A92" s="107"/>
      <c r="C92" s="156" t="s">
        <v>92</v>
      </c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28">
        <f>SUM(D92:O92)</f>
        <v>0</v>
      </c>
    </row>
    <row r="93" spans="1:17" ht="12" customHeight="1" x14ac:dyDescent="0.25">
      <c r="A93" s="107"/>
      <c r="D93" s="141"/>
      <c r="E93" s="141"/>
      <c r="F93" s="141"/>
      <c r="G93" s="141"/>
      <c r="H93" s="141"/>
      <c r="I93" s="141"/>
      <c r="J93" s="141"/>
      <c r="M93" s="152"/>
      <c r="P93" s="128"/>
    </row>
    <row r="94" spans="1:17" ht="24.75" customHeight="1" collapsed="1" x14ac:dyDescent="0.25">
      <c r="A94" s="107"/>
      <c r="C94" s="105" t="s">
        <v>93</v>
      </c>
      <c r="D94" s="53">
        <f>SUM(D95:D97)</f>
        <v>0</v>
      </c>
      <c r="E94" s="53">
        <f t="shared" ref="E94:O94" si="29">SUM(E95:E97)</f>
        <v>0</v>
      </c>
      <c r="F94" s="53">
        <f t="shared" si="29"/>
        <v>0</v>
      </c>
      <c r="G94" s="53">
        <f t="shared" si="29"/>
        <v>0</v>
      </c>
      <c r="H94" s="53">
        <f t="shared" si="29"/>
        <v>0</v>
      </c>
      <c r="I94" s="53">
        <f t="shared" si="29"/>
        <v>0</v>
      </c>
      <c r="J94" s="53">
        <f t="shared" si="29"/>
        <v>0</v>
      </c>
      <c r="K94" s="53">
        <f t="shared" si="29"/>
        <v>0</v>
      </c>
      <c r="L94" s="53">
        <f t="shared" si="29"/>
        <v>0</v>
      </c>
      <c r="M94" s="53">
        <f t="shared" si="29"/>
        <v>0</v>
      </c>
      <c r="N94" s="53">
        <f t="shared" si="29"/>
        <v>0</v>
      </c>
      <c r="O94" s="53">
        <f t="shared" si="29"/>
        <v>0</v>
      </c>
      <c r="P94" s="128">
        <f>SUM(D94:O94)</f>
        <v>0</v>
      </c>
    </row>
    <row r="95" spans="1:17" ht="26.25" hidden="1" customHeight="1" outlineLevel="1" x14ac:dyDescent="0.25">
      <c r="A95" s="157"/>
      <c r="B95" s="158"/>
      <c r="C95" s="147" t="s">
        <v>121</v>
      </c>
      <c r="D95" s="154"/>
      <c r="E95" s="53"/>
      <c r="F95" s="154"/>
      <c r="G95" s="141"/>
      <c r="H95" s="141"/>
      <c r="I95" s="141"/>
      <c r="J95" s="141"/>
      <c r="K95" s="141"/>
      <c r="L95" s="141"/>
      <c r="M95" s="141"/>
      <c r="N95" s="141"/>
      <c r="O95" s="141"/>
      <c r="P95" s="128">
        <f>SUM(D95:O95)</f>
        <v>0</v>
      </c>
    </row>
    <row r="96" spans="1:17" ht="26.25" hidden="1" customHeight="1" outlineLevel="1" x14ac:dyDescent="0.25">
      <c r="A96" s="157"/>
      <c r="B96" s="158"/>
      <c r="C96" s="147"/>
      <c r="D96" s="154"/>
      <c r="E96" s="53"/>
      <c r="F96" s="154"/>
      <c r="G96" s="141"/>
      <c r="H96" s="141"/>
      <c r="I96" s="141"/>
      <c r="J96" s="141"/>
      <c r="K96" s="141"/>
      <c r="L96" s="141"/>
      <c r="M96" s="141"/>
      <c r="N96" s="141"/>
      <c r="O96" s="141"/>
      <c r="P96" s="128">
        <f>SUM(D96:O96)</f>
        <v>0</v>
      </c>
    </row>
    <row r="97" spans="1:28" ht="26.25" hidden="1" customHeight="1" outlineLevel="1" x14ac:dyDescent="0.25">
      <c r="A97" s="157"/>
      <c r="B97" s="158"/>
      <c r="C97" s="147"/>
      <c r="D97" s="141"/>
      <c r="E97" s="141"/>
      <c r="F97" s="141"/>
      <c r="G97" s="159"/>
      <c r="H97" s="141"/>
      <c r="I97" s="141"/>
      <c r="J97" s="159"/>
      <c r="K97" s="159"/>
      <c r="L97" s="159"/>
      <c r="M97" s="141"/>
      <c r="N97" s="159"/>
      <c r="O97" s="159"/>
      <c r="P97" s="146">
        <f>SUM(D97:O97)</f>
        <v>0</v>
      </c>
    </row>
    <row r="98" spans="1:28" ht="11.25" customHeight="1" x14ac:dyDescent="0.25">
      <c r="A98" s="157"/>
      <c r="B98" s="158"/>
      <c r="C98" s="140"/>
      <c r="D98" s="141"/>
      <c r="E98" s="141"/>
      <c r="F98" s="141"/>
      <c r="G98" s="141"/>
      <c r="H98" s="141"/>
      <c r="I98" s="141"/>
      <c r="J98" s="141"/>
      <c r="P98" s="146"/>
      <c r="R98" s="3"/>
    </row>
    <row r="99" spans="1:28" ht="33.6" customHeight="1" x14ac:dyDescent="0.25">
      <c r="A99" s="107"/>
      <c r="C99" s="160" t="s">
        <v>94</v>
      </c>
      <c r="D99" s="124">
        <f t="shared" ref="D99:O99" si="30">D73+D76+D86+D91+D94</f>
        <v>-7137761.9900000002</v>
      </c>
      <c r="E99" s="124">
        <f t="shared" si="30"/>
        <v>18385452.700000014</v>
      </c>
      <c r="F99" s="124">
        <f t="shared" si="30"/>
        <v>-9382878.798999995</v>
      </c>
      <c r="G99" s="124">
        <f t="shared" si="30"/>
        <v>10349922.490000004</v>
      </c>
      <c r="H99" s="124">
        <f t="shared" si="30"/>
        <v>-23419245.20000001</v>
      </c>
      <c r="I99" s="124">
        <f t="shared" si="30"/>
        <v>2955721.0599999963</v>
      </c>
      <c r="J99" s="124">
        <f t="shared" si="30"/>
        <v>-22647355.984929997</v>
      </c>
      <c r="K99" s="124">
        <f t="shared" si="30"/>
        <v>18077929.044999998</v>
      </c>
      <c r="L99" s="124">
        <f t="shared" si="30"/>
        <v>-11009885.630000001</v>
      </c>
      <c r="M99" s="124">
        <f t="shared" si="30"/>
        <v>25539118</v>
      </c>
      <c r="N99" s="124">
        <f t="shared" si="30"/>
        <v>-4177657</v>
      </c>
      <c r="O99" s="124">
        <f t="shared" si="30"/>
        <v>16033750</v>
      </c>
      <c r="P99" s="125">
        <f>SUM(D99:O99)</f>
        <v>13567108.691070013</v>
      </c>
    </row>
    <row r="100" spans="1:28" ht="33.6" customHeight="1" x14ac:dyDescent="0.25">
      <c r="A100" s="107"/>
      <c r="D100" s="144">
        <f t="shared" ref="D100:O100" si="31">+D99/D7</f>
        <v>-0.18902178441455211</v>
      </c>
      <c r="E100" s="144">
        <f t="shared" si="31"/>
        <v>0.24038951445569628</v>
      </c>
      <c r="F100" s="144">
        <f t="shared" si="31"/>
        <v>-0.187148231519045</v>
      </c>
      <c r="G100" s="144">
        <f t="shared" si="31"/>
        <v>0.16782364216968512</v>
      </c>
      <c r="H100" s="144">
        <f t="shared" si="31"/>
        <v>-0.73616411239626722</v>
      </c>
      <c r="I100" s="144">
        <f t="shared" si="31"/>
        <v>5.569427650380588E-2</v>
      </c>
      <c r="J100" s="144">
        <f t="shared" si="31"/>
        <v>-0.70353737658008941</v>
      </c>
      <c r="K100" s="144">
        <f t="shared" si="31"/>
        <v>0.27521501175737206</v>
      </c>
      <c r="L100" s="144">
        <f t="shared" si="31"/>
        <v>-0.35828517628985307</v>
      </c>
      <c r="M100" s="161">
        <f t="shared" si="31"/>
        <v>0.33865762192111937</v>
      </c>
      <c r="N100" s="161">
        <f t="shared" si="31"/>
        <v>-0.58572866674798563</v>
      </c>
      <c r="O100" s="161">
        <f t="shared" si="31"/>
        <v>0.71940549635445883</v>
      </c>
      <c r="P100" s="162">
        <f>P99/P7</f>
        <v>2.4922433024804184E-2</v>
      </c>
    </row>
    <row r="101" spans="1:28" ht="4.2" customHeight="1" x14ac:dyDescent="0.25">
      <c r="A101" s="107"/>
      <c r="D101" s="141"/>
      <c r="E101" s="161"/>
      <c r="F101" s="141"/>
      <c r="G101" s="141"/>
      <c r="H101" s="141"/>
      <c r="I101" s="141"/>
      <c r="J101" s="141"/>
      <c r="P101" s="128"/>
    </row>
    <row r="102" spans="1:28" ht="44.25" customHeight="1" x14ac:dyDescent="0.25">
      <c r="D102" s="109">
        <f t="shared" ref="D102:P102" si="32">D4</f>
        <v>45505</v>
      </c>
      <c r="E102" s="109">
        <f t="shared" si="32"/>
        <v>45536</v>
      </c>
      <c r="F102" s="109">
        <f t="shared" si="32"/>
        <v>45566</v>
      </c>
      <c r="G102" s="109">
        <f t="shared" si="32"/>
        <v>45597</v>
      </c>
      <c r="H102" s="109">
        <f t="shared" si="32"/>
        <v>45627</v>
      </c>
      <c r="I102" s="109">
        <f t="shared" si="32"/>
        <v>45658</v>
      </c>
      <c r="J102" s="109">
        <f t="shared" si="32"/>
        <v>45689</v>
      </c>
      <c r="K102" s="109">
        <f t="shared" si="32"/>
        <v>45717</v>
      </c>
      <c r="L102" s="109">
        <f t="shared" si="32"/>
        <v>45748</v>
      </c>
      <c r="M102" s="109">
        <f t="shared" si="32"/>
        <v>45778</v>
      </c>
      <c r="N102" s="109">
        <f t="shared" si="32"/>
        <v>45809</v>
      </c>
      <c r="O102" s="109">
        <f t="shared" si="32"/>
        <v>45839</v>
      </c>
      <c r="P102" s="110" t="str">
        <f t="shared" si="32"/>
        <v>TOTAL Y20</v>
      </c>
    </row>
    <row r="103" spans="1:28" s="158" customFormat="1" ht="18.75" customHeight="1" x14ac:dyDescent="0.25">
      <c r="C103" s="103"/>
      <c r="D103" s="165"/>
      <c r="E103" s="165"/>
    </row>
    <row r="104" spans="1:28" x14ac:dyDescent="0.25">
      <c r="E104" s="158"/>
      <c r="H104" s="136"/>
      <c r="I104" s="158"/>
      <c r="J104" s="158"/>
      <c r="K104" s="158"/>
      <c r="L104" s="158"/>
      <c r="M104" s="158"/>
      <c r="N104" s="158"/>
      <c r="O104" s="158"/>
      <c r="P104" s="116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</row>
    <row r="105" spans="1:28" ht="30.75" customHeight="1" x14ac:dyDescent="0.25">
      <c r="I105" s="165"/>
      <c r="J105" s="158"/>
      <c r="K105" s="158"/>
      <c r="L105" s="158"/>
      <c r="M105" s="158"/>
      <c r="N105" s="158"/>
      <c r="O105" s="158"/>
      <c r="P105" s="116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</row>
    <row r="106" spans="1:28" ht="33" customHeight="1" x14ac:dyDescent="0.25">
      <c r="I106" s="158"/>
      <c r="J106" s="158"/>
      <c r="K106" s="158"/>
      <c r="L106" s="158"/>
      <c r="M106" s="158"/>
      <c r="N106" s="158"/>
      <c r="O106" s="158"/>
      <c r="P106" s="116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</row>
    <row r="107" spans="1:28" ht="25.5" customHeight="1" x14ac:dyDescent="0.25">
      <c r="I107" s="158"/>
      <c r="J107" s="158"/>
      <c r="K107" s="158"/>
      <c r="L107" s="158"/>
      <c r="M107" s="158"/>
      <c r="N107" s="158"/>
      <c r="O107" s="158"/>
      <c r="P107" s="116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</row>
    <row r="108" spans="1:28" ht="34.5" customHeight="1" x14ac:dyDescent="0.25">
      <c r="I108" s="158"/>
      <c r="J108" s="158"/>
      <c r="K108" s="158"/>
      <c r="L108" s="158"/>
      <c r="M108" s="158"/>
      <c r="N108" s="158"/>
      <c r="O108" s="158"/>
      <c r="P108" s="116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</row>
    <row r="109" spans="1:28" ht="39.75" customHeight="1" x14ac:dyDescent="0.25">
      <c r="I109" s="158"/>
      <c r="J109" s="158"/>
      <c r="K109" s="158"/>
      <c r="L109" s="158"/>
      <c r="M109" s="158"/>
      <c r="N109" s="158"/>
      <c r="O109" s="158"/>
      <c r="P109" s="116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</row>
    <row r="110" spans="1:28" x14ac:dyDescent="0.25">
      <c r="I110" s="158"/>
      <c r="J110" s="158"/>
      <c r="K110" s="158"/>
      <c r="L110" s="158"/>
      <c r="M110" s="158"/>
      <c r="N110" s="158"/>
      <c r="O110" s="158"/>
      <c r="P110" s="116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</row>
    <row r="111" spans="1:28" x14ac:dyDescent="0.25">
      <c r="I111" s="158"/>
      <c r="J111" s="158"/>
      <c r="K111" s="158"/>
      <c r="L111" s="158"/>
      <c r="M111" s="158"/>
      <c r="N111" s="158"/>
      <c r="O111" s="158"/>
      <c r="P111" s="116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</row>
    <row r="112" spans="1:28" x14ac:dyDescent="0.25">
      <c r="I112" s="158"/>
      <c r="J112" s="158"/>
      <c r="K112" s="158"/>
      <c r="L112" s="158"/>
      <c r="M112" s="158"/>
      <c r="N112" s="158"/>
      <c r="O112" s="158"/>
      <c r="P112" s="116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</row>
    <row r="113" spans="9:28" x14ac:dyDescent="0.25">
      <c r="I113" s="158"/>
      <c r="J113" s="158"/>
      <c r="K113" s="158"/>
      <c r="L113" s="158"/>
      <c r="M113" s="158"/>
      <c r="N113" s="158"/>
      <c r="O113" s="158"/>
      <c r="P113" s="116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</row>
    <row r="114" spans="9:28" x14ac:dyDescent="0.25">
      <c r="I114" s="158"/>
      <c r="J114" s="158"/>
      <c r="K114" s="158"/>
      <c r="L114" s="158"/>
      <c r="M114" s="158"/>
      <c r="N114" s="158"/>
      <c r="O114" s="158"/>
      <c r="P114" s="116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</row>
    <row r="115" spans="9:28" x14ac:dyDescent="0.25">
      <c r="I115" s="158"/>
      <c r="J115" s="158"/>
      <c r="K115" s="158"/>
      <c r="L115" s="158"/>
      <c r="M115" s="158"/>
      <c r="N115" s="158"/>
      <c r="O115" s="158"/>
      <c r="P115" s="116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</row>
    <row r="116" spans="9:28" x14ac:dyDescent="0.25">
      <c r="I116" s="158"/>
      <c r="J116" s="158"/>
      <c r="K116" s="158"/>
      <c r="L116" s="158"/>
      <c r="M116" s="158"/>
      <c r="N116" s="158"/>
      <c r="O116" s="158"/>
      <c r="P116" s="116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</row>
    <row r="117" spans="9:28" x14ac:dyDescent="0.25">
      <c r="I117" s="158"/>
      <c r="J117" s="158"/>
      <c r="K117" s="158"/>
      <c r="L117" s="158"/>
      <c r="M117" s="158"/>
      <c r="N117" s="158"/>
      <c r="O117" s="158"/>
      <c r="P117" s="116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</row>
    <row r="118" spans="9:28" x14ac:dyDescent="0.25">
      <c r="I118" s="158"/>
      <c r="J118" s="158"/>
      <c r="K118" s="158"/>
      <c r="L118" s="158"/>
      <c r="M118" s="158"/>
      <c r="N118" s="158"/>
      <c r="O118" s="158"/>
      <c r="P118" s="116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</row>
    <row r="119" spans="9:28" x14ac:dyDescent="0.25">
      <c r="I119" s="158"/>
      <c r="J119" s="158"/>
      <c r="K119" s="158"/>
      <c r="L119" s="158"/>
      <c r="M119" s="158"/>
      <c r="N119" s="158"/>
      <c r="O119" s="158"/>
      <c r="P119" s="116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</row>
    <row r="120" spans="9:28" x14ac:dyDescent="0.25">
      <c r="I120" s="158"/>
      <c r="J120" s="158"/>
      <c r="K120" s="158"/>
      <c r="L120" s="158"/>
      <c r="M120" s="158"/>
      <c r="N120" s="158"/>
      <c r="O120" s="158"/>
      <c r="P120" s="116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</row>
    <row r="121" spans="9:28" x14ac:dyDescent="0.25">
      <c r="I121" s="158"/>
      <c r="J121" s="158"/>
      <c r="K121" s="158"/>
      <c r="L121" s="158"/>
      <c r="M121" s="158"/>
      <c r="N121" s="158"/>
      <c r="O121" s="158"/>
      <c r="P121" s="116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</row>
    <row r="122" spans="9:28" x14ac:dyDescent="0.25">
      <c r="I122" s="158"/>
      <c r="J122" s="158"/>
      <c r="K122" s="158"/>
      <c r="L122" s="158"/>
      <c r="M122" s="158"/>
      <c r="N122" s="158"/>
      <c r="O122" s="158"/>
      <c r="P122" s="116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</row>
    <row r="123" spans="9:28" x14ac:dyDescent="0.25">
      <c r="I123" s="158"/>
      <c r="J123" s="158"/>
      <c r="K123" s="158"/>
      <c r="L123" s="158"/>
      <c r="M123" s="158"/>
      <c r="N123" s="158"/>
      <c r="O123" s="158"/>
      <c r="P123" s="116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</row>
    <row r="124" spans="9:28" x14ac:dyDescent="0.25">
      <c r="I124" s="158"/>
      <c r="J124" s="158"/>
      <c r="K124" s="158"/>
      <c r="L124" s="158"/>
      <c r="M124" s="158"/>
      <c r="N124" s="158"/>
      <c r="O124" s="158"/>
      <c r="P124" s="116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</row>
    <row r="125" spans="9:28" x14ac:dyDescent="0.25">
      <c r="I125" s="158"/>
      <c r="J125" s="158"/>
      <c r="K125" s="158"/>
      <c r="L125" s="158"/>
      <c r="M125" s="158"/>
      <c r="N125" s="158"/>
      <c r="O125" s="158"/>
      <c r="P125" s="116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</row>
    <row r="126" spans="9:28" x14ac:dyDescent="0.25"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</row>
    <row r="127" spans="9:28" x14ac:dyDescent="0.25"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</row>
    <row r="128" spans="9:28" x14ac:dyDescent="0.25"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</row>
    <row r="129" spans="9:28" x14ac:dyDescent="0.25"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</row>
    <row r="130" spans="9:28" x14ac:dyDescent="0.25"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</row>
    <row r="131" spans="9:28" x14ac:dyDescent="0.25"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</row>
    <row r="132" spans="9:28" x14ac:dyDescent="0.25"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</row>
    <row r="133" spans="9:28" x14ac:dyDescent="0.25"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</row>
    <row r="134" spans="9:28" x14ac:dyDescent="0.25"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</row>
    <row r="135" spans="9:28" x14ac:dyDescent="0.25"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</row>
    <row r="136" spans="9:28" x14ac:dyDescent="0.25"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</row>
    <row r="137" spans="9:28" x14ac:dyDescent="0.25"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</row>
    <row r="138" spans="9:28" x14ac:dyDescent="0.25"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</row>
    <row r="139" spans="9:28" x14ac:dyDescent="0.25"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</row>
    <row r="140" spans="9:28" x14ac:dyDescent="0.25"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</row>
    <row r="141" spans="9:28" x14ac:dyDescent="0.25"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</row>
    <row r="142" spans="9:28" x14ac:dyDescent="0.25"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</row>
  </sheetData>
  <mergeCells count="1">
    <mergeCell ref="C1:J1"/>
  </mergeCells>
  <printOptions horizontalCentered="1" verticalCentered="1"/>
  <pageMargins left="0.13779527559055119" right="0" top="0" bottom="0" header="0" footer="0"/>
  <pageSetup paperSize="9" scale="53" orientation="landscape" verticalDpi="1200" r:id="rId1"/>
  <headerFooter alignWithMargins="0"/>
  <ignoredErrors>
    <ignoredError sqref="P2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3">
    <outlinePr summaryBelow="0"/>
  </sheetPr>
  <dimension ref="A1:T127"/>
  <sheetViews>
    <sheetView zoomScale="70" zoomScaleNormal="70" workbookViewId="0">
      <pane ySplit="3" topLeftCell="A4" activePane="bottomLeft" state="frozen"/>
      <selection pane="bottomLeft" activeCell="M46" sqref="M46"/>
    </sheetView>
  </sheetViews>
  <sheetFormatPr baseColWidth="10" defaultColWidth="9.109375" defaultRowHeight="13.8" outlineLevelRow="3" outlineLevelCol="1" x14ac:dyDescent="0.25"/>
  <cols>
    <col min="1" max="1" width="0.109375" style="8" customWidth="1"/>
    <col min="2" max="2" width="5.33203125" style="8" customWidth="1"/>
    <col min="3" max="3" width="50.6640625" style="8" customWidth="1"/>
    <col min="4" max="15" width="13.6640625" style="8" customWidth="1" outlineLevel="1"/>
    <col min="16" max="16" width="18" style="8" customWidth="1"/>
    <col min="17" max="17" width="19.6640625" style="8" customWidth="1"/>
    <col min="18" max="18" width="20" style="8" customWidth="1"/>
    <col min="19" max="16384" width="9.109375" style="8"/>
  </cols>
  <sheetData>
    <row r="1" spans="1:20" ht="44.25" customHeight="1" thickBot="1" x14ac:dyDescent="0.35">
      <c r="B1" s="9"/>
      <c r="C1" s="10" t="s">
        <v>43</v>
      </c>
      <c r="D1" s="19"/>
      <c r="I1" s="204"/>
    </row>
    <row r="2" spans="1:20" ht="15" hidden="1" customHeight="1" thickBot="1" x14ac:dyDescent="0.25">
      <c r="A2" s="11"/>
      <c r="C2" s="11"/>
    </row>
    <row r="3" spans="1:20" ht="42" customHeight="1" x14ac:dyDescent="0.25">
      <c r="A3" s="11"/>
      <c r="C3" s="12"/>
      <c r="D3" s="28">
        <f>+'P&amp;L '!D4</f>
        <v>45505</v>
      </c>
      <c r="E3" s="28">
        <f>+'P&amp;L '!E4</f>
        <v>45536</v>
      </c>
      <c r="F3" s="28">
        <f>+'P&amp;L '!F4</f>
        <v>45566</v>
      </c>
      <c r="G3" s="28">
        <f>+'P&amp;L '!G4</f>
        <v>45597</v>
      </c>
      <c r="H3" s="28">
        <f>+'P&amp;L '!H4</f>
        <v>45627</v>
      </c>
      <c r="I3" s="28">
        <f>+'P&amp;L '!I4</f>
        <v>45658</v>
      </c>
      <c r="J3" s="28">
        <f>+'P&amp;L '!J4</f>
        <v>45689</v>
      </c>
      <c r="K3" s="28">
        <f>+'P&amp;L '!K4</f>
        <v>45717</v>
      </c>
      <c r="L3" s="28">
        <f>+'P&amp;L '!L4</f>
        <v>45748</v>
      </c>
      <c r="M3" s="28">
        <f>+'P&amp;L '!M4</f>
        <v>45778</v>
      </c>
      <c r="N3" s="28">
        <f>+'P&amp;L '!N4</f>
        <v>45809</v>
      </c>
      <c r="O3" s="28">
        <f>+'P&amp;L '!O4</f>
        <v>45839</v>
      </c>
      <c r="P3" s="89" t="str">
        <f>+'P&amp;L '!P4</f>
        <v>TOTAL Y20</v>
      </c>
    </row>
    <row r="4" spans="1:20" ht="6" customHeight="1" x14ac:dyDescent="0.25">
      <c r="A4" s="11"/>
      <c r="C4" s="13"/>
      <c r="D4" s="14"/>
    </row>
    <row r="5" spans="1:20" ht="35.25" customHeight="1" collapsed="1" x14ac:dyDescent="0.25">
      <c r="A5" s="11"/>
      <c r="C5" s="22" t="s">
        <v>19</v>
      </c>
      <c r="D5" s="20">
        <f>+D6+D16+SUM(D20:D24)</f>
        <v>-28596050.849999998</v>
      </c>
      <c r="E5" s="20">
        <f t="shared" ref="E5:O5" si="0">+E6+E16+SUM(E20:E24)</f>
        <v>-32216422.550000001</v>
      </c>
      <c r="F5" s="20">
        <f t="shared" si="0"/>
        <v>-33568427.969999999</v>
      </c>
      <c r="G5" s="20">
        <f t="shared" si="0"/>
        <v>-29891614.149999999</v>
      </c>
      <c r="H5" s="20">
        <f t="shared" si="0"/>
        <v>-41716714.050000004</v>
      </c>
      <c r="I5" s="20">
        <f t="shared" si="0"/>
        <v>-31424248.739999998</v>
      </c>
      <c r="J5" s="20">
        <f t="shared" si="0"/>
        <v>-27432467.434929997</v>
      </c>
      <c r="K5" s="20">
        <f t="shared" si="0"/>
        <v>-25505770.719999999</v>
      </c>
      <c r="L5" s="20">
        <f t="shared" si="0"/>
        <v>-23204309.289999999</v>
      </c>
      <c r="M5" s="20">
        <f t="shared" si="0"/>
        <v>-21729503.450000003</v>
      </c>
      <c r="N5" s="20">
        <f t="shared" si="0"/>
        <v>-250000</v>
      </c>
      <c r="O5" s="20">
        <f t="shared" si="0"/>
        <v>0</v>
      </c>
      <c r="P5" s="21">
        <f t="shared" ref="P5:P18" si="1">SUM(D5:O5)</f>
        <v>-295535529.20493001</v>
      </c>
      <c r="Q5" s="15"/>
    </row>
    <row r="6" spans="1:20" ht="39" hidden="1" customHeight="1" outlineLevel="1" collapsed="1" x14ac:dyDescent="0.25">
      <c r="A6" s="11"/>
      <c r="C6" s="44" t="s">
        <v>20</v>
      </c>
      <c r="D6" s="43">
        <f>D7+D10+D13</f>
        <v>-27112514.449999999</v>
      </c>
      <c r="E6" s="43">
        <f t="shared" ref="E6:O6" si="2">E7+E10+E13</f>
        <v>-29985994.82</v>
      </c>
      <c r="F6" s="43">
        <f t="shared" si="2"/>
        <v>-30756608.629999999</v>
      </c>
      <c r="G6" s="43">
        <f t="shared" si="2"/>
        <v>-27098735.449999999</v>
      </c>
      <c r="H6" s="43">
        <f t="shared" si="2"/>
        <v>-37122063.560000002</v>
      </c>
      <c r="I6" s="43">
        <f t="shared" si="2"/>
        <v>-26876957.289999999</v>
      </c>
      <c r="J6" s="43">
        <f t="shared" si="2"/>
        <v>-24270037.284929998</v>
      </c>
      <c r="K6" s="43">
        <f t="shared" si="2"/>
        <v>-21484468.120000001</v>
      </c>
      <c r="L6" s="43">
        <f t="shared" si="2"/>
        <v>-19662562.439999998</v>
      </c>
      <c r="M6" s="43">
        <f t="shared" si="2"/>
        <v>-18187444.600000001</v>
      </c>
      <c r="N6" s="43">
        <f t="shared" si="2"/>
        <v>-250000</v>
      </c>
      <c r="O6" s="43">
        <f t="shared" si="2"/>
        <v>0</v>
      </c>
      <c r="P6" s="56">
        <f t="shared" si="1"/>
        <v>-262807386.64492998</v>
      </c>
      <c r="Q6" s="17"/>
    </row>
    <row r="7" spans="1:20" ht="28.5" hidden="1" customHeight="1" outlineLevel="2" x14ac:dyDescent="0.25">
      <c r="A7" s="11"/>
      <c r="C7" s="33" t="s">
        <v>21</v>
      </c>
      <c r="D7" s="16">
        <f t="shared" ref="D7:O7" si="3">SUM(D8:D9)</f>
        <v>-19709364</v>
      </c>
      <c r="E7" s="16">
        <f t="shared" si="3"/>
        <v>-19838884.450000003</v>
      </c>
      <c r="F7" s="16">
        <f t="shared" si="3"/>
        <v>-22073826.919999998</v>
      </c>
      <c r="G7" s="16">
        <f t="shared" si="3"/>
        <v>-19111509.009999998</v>
      </c>
      <c r="H7" s="16">
        <f t="shared" si="3"/>
        <v>-24382000.609999999</v>
      </c>
      <c r="I7" s="16">
        <f t="shared" si="3"/>
        <v>-14482849.460000001</v>
      </c>
      <c r="J7" s="16">
        <f t="shared" si="3"/>
        <v>-13543132.73</v>
      </c>
      <c r="K7" s="16">
        <f t="shared" si="3"/>
        <v>-9633328.6300000008</v>
      </c>
      <c r="L7" s="16">
        <f t="shared" si="3"/>
        <v>-9650799.1600000001</v>
      </c>
      <c r="M7" s="16">
        <f t="shared" si="3"/>
        <v>-9452594.0800000001</v>
      </c>
      <c r="N7" s="16">
        <f t="shared" si="3"/>
        <v>0</v>
      </c>
      <c r="O7" s="16">
        <f t="shared" si="3"/>
        <v>0</v>
      </c>
      <c r="P7" s="16">
        <f t="shared" si="1"/>
        <v>-161878289.05000001</v>
      </c>
      <c r="Q7" s="17"/>
    </row>
    <row r="8" spans="1:20" ht="27" hidden="1" customHeight="1" outlineLevel="3" x14ac:dyDescent="0.25">
      <c r="A8" s="11"/>
      <c r="C8" s="45" t="s">
        <v>23</v>
      </c>
      <c r="D8" s="18">
        <f t="shared" ref="D8:O8" si="4">D29</f>
        <v>-9636001.6600000001</v>
      </c>
      <c r="E8" s="18">
        <f t="shared" si="4"/>
        <v>-9805493.4499999993</v>
      </c>
      <c r="F8" s="18">
        <f t="shared" si="4"/>
        <v>-10967084.819999998</v>
      </c>
      <c r="G8" s="18">
        <f t="shared" si="4"/>
        <v>-9211895.9699999988</v>
      </c>
      <c r="H8" s="18">
        <f t="shared" si="4"/>
        <v>-11819921.659999998</v>
      </c>
      <c r="I8" s="18">
        <f t="shared" si="4"/>
        <v>-6893576.5800000001</v>
      </c>
      <c r="J8" s="18">
        <f t="shared" si="4"/>
        <v>-6462659.6299999999</v>
      </c>
      <c r="K8" s="18">
        <f t="shared" si="4"/>
        <v>-4134654.21</v>
      </c>
      <c r="L8" s="18">
        <f t="shared" si="4"/>
        <v>-4190852.52</v>
      </c>
      <c r="M8" s="18">
        <f t="shared" si="4"/>
        <v>-4194682.5</v>
      </c>
      <c r="N8" s="18">
        <f t="shared" si="4"/>
        <v>0</v>
      </c>
      <c r="O8" s="18">
        <f t="shared" si="4"/>
        <v>0</v>
      </c>
      <c r="P8" s="16">
        <f t="shared" si="1"/>
        <v>-77316822.999999985</v>
      </c>
      <c r="Q8" s="17"/>
    </row>
    <row r="9" spans="1:20" ht="27" hidden="1" customHeight="1" outlineLevel="3" x14ac:dyDescent="0.25">
      <c r="A9" s="11"/>
      <c r="C9" s="45" t="s">
        <v>22</v>
      </c>
      <c r="D9" s="18">
        <f t="shared" ref="D9:O9" si="5">D40</f>
        <v>-10073362.34</v>
      </c>
      <c r="E9" s="18">
        <f t="shared" si="5"/>
        <v>-10033391.000000002</v>
      </c>
      <c r="F9" s="18">
        <f t="shared" si="5"/>
        <v>-11106742.1</v>
      </c>
      <c r="G9" s="18">
        <f t="shared" si="5"/>
        <v>-9899613.040000001</v>
      </c>
      <c r="H9" s="18">
        <f t="shared" si="5"/>
        <v>-12562078.950000001</v>
      </c>
      <c r="I9" s="18">
        <f t="shared" si="5"/>
        <v>-7589272.8799999999</v>
      </c>
      <c r="J9" s="18">
        <f t="shared" si="5"/>
        <v>-7080473.1000000006</v>
      </c>
      <c r="K9" s="18">
        <f t="shared" si="5"/>
        <v>-5498674.4200000009</v>
      </c>
      <c r="L9" s="18">
        <f t="shared" si="5"/>
        <v>-5459946.6399999997</v>
      </c>
      <c r="M9" s="18">
        <f t="shared" si="5"/>
        <v>-5257911.58</v>
      </c>
      <c r="N9" s="18">
        <f t="shared" si="5"/>
        <v>0</v>
      </c>
      <c r="O9" s="18">
        <f t="shared" si="5"/>
        <v>0</v>
      </c>
      <c r="P9" s="16">
        <f t="shared" si="1"/>
        <v>-84561466.050000012</v>
      </c>
      <c r="Q9" s="17"/>
    </row>
    <row r="10" spans="1:20" ht="27" hidden="1" customHeight="1" outlineLevel="2" x14ac:dyDescent="0.25">
      <c r="A10" s="11"/>
      <c r="C10" s="33" t="s">
        <v>24</v>
      </c>
      <c r="D10" s="16">
        <f>SUM(D11:D12)</f>
        <v>-4356309.95</v>
      </c>
      <c r="E10" s="16">
        <f t="shared" ref="E10:O10" si="6">SUM(E11:E12)</f>
        <v>-5233861.29</v>
      </c>
      <c r="F10" s="16">
        <f t="shared" si="6"/>
        <v>-4800962.08</v>
      </c>
      <c r="G10" s="16">
        <f t="shared" si="6"/>
        <v>-4490317.0999999996</v>
      </c>
      <c r="H10" s="16">
        <f t="shared" si="6"/>
        <v>-6964338.7199999997</v>
      </c>
      <c r="I10" s="16">
        <f t="shared" si="6"/>
        <v>-6826568</v>
      </c>
      <c r="J10" s="16">
        <f t="shared" si="6"/>
        <v>-6109201.8724649996</v>
      </c>
      <c r="K10" s="16">
        <f t="shared" si="6"/>
        <v>-6141402.1299999999</v>
      </c>
      <c r="L10" s="16">
        <f t="shared" si="6"/>
        <v>-5326105.7199999988</v>
      </c>
      <c r="M10" s="16">
        <f t="shared" si="6"/>
        <v>-4546454.08</v>
      </c>
      <c r="N10" s="16">
        <f t="shared" si="6"/>
        <v>-250000</v>
      </c>
      <c r="O10" s="16">
        <f t="shared" si="6"/>
        <v>0</v>
      </c>
      <c r="P10" s="16">
        <f t="shared" si="1"/>
        <v>-55045520.942465</v>
      </c>
      <c r="Q10" s="17"/>
    </row>
    <row r="11" spans="1:20" ht="24.75" hidden="1" customHeight="1" outlineLevel="3" x14ac:dyDescent="0.25">
      <c r="A11" s="11"/>
      <c r="C11" s="45" t="str">
        <f>+C54</f>
        <v>Cecilia Castro - SAP Sales &amp; Directora</v>
      </c>
      <c r="D11" s="18">
        <f>+D54</f>
        <v>-2966107.38</v>
      </c>
      <c r="E11" s="18">
        <f t="shared" ref="E11:O11" si="7">+E54</f>
        <v>-2911385.84</v>
      </c>
      <c r="F11" s="18">
        <f t="shared" si="7"/>
        <v>-2995405.52</v>
      </c>
      <c r="G11" s="18">
        <f t="shared" si="7"/>
        <v>-2869139.79</v>
      </c>
      <c r="H11" s="18">
        <f t="shared" si="7"/>
        <v>-4237620.3899999997</v>
      </c>
      <c r="I11" s="18">
        <f t="shared" si="7"/>
        <v>-4455899.37</v>
      </c>
      <c r="J11" s="18">
        <f t="shared" si="7"/>
        <v>-4062822.68</v>
      </c>
      <c r="K11" s="18">
        <f t="shared" si="7"/>
        <v>-3533856.05</v>
      </c>
      <c r="L11" s="18">
        <f t="shared" si="7"/>
        <v>-3090746.0799999996</v>
      </c>
      <c r="M11" s="18">
        <f t="shared" si="7"/>
        <v>-2581094.44</v>
      </c>
      <c r="N11" s="18">
        <f t="shared" si="7"/>
        <v>-250000</v>
      </c>
      <c r="O11" s="18">
        <f t="shared" si="7"/>
        <v>0</v>
      </c>
      <c r="P11" s="16">
        <f t="shared" si="1"/>
        <v>-33954077.539999999</v>
      </c>
      <c r="Q11" s="17"/>
    </row>
    <row r="12" spans="1:20" ht="24.75" hidden="1" customHeight="1" outlineLevel="3" x14ac:dyDescent="0.25">
      <c r="A12" s="11"/>
      <c r="C12" s="45" t="str">
        <f>+C69</f>
        <v xml:space="preserve">Diego Ianiero - SAP Sales </v>
      </c>
      <c r="D12" s="18">
        <f>+D69</f>
        <v>-1390202.57</v>
      </c>
      <c r="E12" s="18">
        <f t="shared" ref="E12:O12" si="8">+E69</f>
        <v>-2322475.4500000002</v>
      </c>
      <c r="F12" s="18">
        <f t="shared" si="8"/>
        <v>-1805556.56</v>
      </c>
      <c r="G12" s="18">
        <f t="shared" si="8"/>
        <v>-1621177.31</v>
      </c>
      <c r="H12" s="18">
        <f t="shared" si="8"/>
        <v>-2726718.33</v>
      </c>
      <c r="I12" s="18">
        <f t="shared" si="8"/>
        <v>-2370668.63</v>
      </c>
      <c r="J12" s="18">
        <f t="shared" si="8"/>
        <v>-2046379.1924649999</v>
      </c>
      <c r="K12" s="18">
        <f t="shared" si="8"/>
        <v>-2607546.08</v>
      </c>
      <c r="L12" s="18">
        <f t="shared" si="8"/>
        <v>-2235359.6399999997</v>
      </c>
      <c r="M12" s="18">
        <f t="shared" si="8"/>
        <v>-1965359.64</v>
      </c>
      <c r="N12" s="18">
        <f t="shared" si="8"/>
        <v>0</v>
      </c>
      <c r="O12" s="18">
        <f t="shared" si="8"/>
        <v>0</v>
      </c>
      <c r="P12" s="16">
        <f t="shared" si="1"/>
        <v>-21091443.402465001</v>
      </c>
      <c r="Q12" s="17"/>
    </row>
    <row r="13" spans="1:20" ht="29.25" hidden="1" customHeight="1" outlineLevel="2" x14ac:dyDescent="0.25">
      <c r="A13" s="11"/>
      <c r="C13" s="33" t="s">
        <v>25</v>
      </c>
      <c r="D13" s="16">
        <f>SUM(D14:D15)</f>
        <v>-3046840.5</v>
      </c>
      <c r="E13" s="16">
        <f t="shared" ref="E13:O13" si="9">SUM(E14:E15)</f>
        <v>-4913249.08</v>
      </c>
      <c r="F13" s="16">
        <f t="shared" si="9"/>
        <v>-3881819.63</v>
      </c>
      <c r="G13" s="16">
        <f t="shared" si="9"/>
        <v>-3496909.34</v>
      </c>
      <c r="H13" s="16">
        <f t="shared" si="9"/>
        <v>-5775724.2300000004</v>
      </c>
      <c r="I13" s="16">
        <f t="shared" si="9"/>
        <v>-5567539.8300000001</v>
      </c>
      <c r="J13" s="16">
        <f t="shared" si="9"/>
        <v>-4617702.6824650001</v>
      </c>
      <c r="K13" s="16">
        <f t="shared" si="9"/>
        <v>-5709737.3600000003</v>
      </c>
      <c r="L13" s="16">
        <f t="shared" si="9"/>
        <v>-4685657.5599999996</v>
      </c>
      <c r="M13" s="16">
        <f t="shared" si="9"/>
        <v>-4188396.44</v>
      </c>
      <c r="N13" s="16">
        <f t="shared" si="9"/>
        <v>0</v>
      </c>
      <c r="O13" s="16">
        <f t="shared" si="9"/>
        <v>0</v>
      </c>
      <c r="P13" s="16">
        <f t="shared" si="1"/>
        <v>-45883576.652465001</v>
      </c>
      <c r="Q13" s="18"/>
      <c r="R13" s="18"/>
      <c r="S13" s="18"/>
      <c r="T13" s="19"/>
    </row>
    <row r="14" spans="1:20" ht="27" hidden="1" customHeight="1" outlineLevel="3" x14ac:dyDescent="0.25">
      <c r="A14" s="11"/>
      <c r="C14" s="45" t="s">
        <v>199</v>
      </c>
      <c r="D14" s="18">
        <f>+D90</f>
        <v>-1603639.87</v>
      </c>
      <c r="E14" s="18">
        <f t="shared" ref="E14:O14" si="10">+E90</f>
        <v>-2536642.5699999998</v>
      </c>
      <c r="F14" s="18">
        <f t="shared" si="10"/>
        <v>-2022059.38</v>
      </c>
      <c r="G14" s="18">
        <f t="shared" si="10"/>
        <v>-1822636.46</v>
      </c>
      <c r="H14" s="18">
        <f t="shared" si="10"/>
        <v>-2987809.2199999997</v>
      </c>
      <c r="I14" s="18">
        <f t="shared" si="10"/>
        <v>-2884553.4699999997</v>
      </c>
      <c r="J14" s="18">
        <f t="shared" si="10"/>
        <v>-2522341.2900000005</v>
      </c>
      <c r="K14" s="18">
        <f t="shared" si="10"/>
        <v>-2851636.58</v>
      </c>
      <c r="L14" s="18">
        <f t="shared" si="10"/>
        <v>-2443576.7199999997</v>
      </c>
      <c r="M14" s="18">
        <f t="shared" si="10"/>
        <v>-2142926.54</v>
      </c>
      <c r="N14" s="18">
        <f t="shared" si="10"/>
        <v>0</v>
      </c>
      <c r="O14" s="18">
        <f t="shared" si="10"/>
        <v>0</v>
      </c>
      <c r="P14" s="16">
        <f t="shared" si="1"/>
        <v>-23817822.099999998</v>
      </c>
      <c r="Q14" s="18"/>
      <c r="R14" s="18"/>
      <c r="S14" s="18"/>
      <c r="T14" s="19"/>
    </row>
    <row r="15" spans="1:20" ht="27" hidden="1" customHeight="1" outlineLevel="3" x14ac:dyDescent="0.25">
      <c r="A15" s="11"/>
      <c r="C15" s="45" t="s">
        <v>200</v>
      </c>
      <c r="D15" s="18">
        <f>+D103</f>
        <v>-1443200.6300000001</v>
      </c>
      <c r="E15" s="18">
        <f t="shared" ref="E15:O15" si="11">+E103</f>
        <v>-2376606.5099999998</v>
      </c>
      <c r="F15" s="18">
        <f t="shared" si="11"/>
        <v>-1859760.25</v>
      </c>
      <c r="G15" s="18">
        <f t="shared" si="11"/>
        <v>-1674272.8800000001</v>
      </c>
      <c r="H15" s="18">
        <f t="shared" si="11"/>
        <v>-2787915.0100000002</v>
      </c>
      <c r="I15" s="18">
        <f t="shared" si="11"/>
        <v>-2682986.36</v>
      </c>
      <c r="J15" s="18">
        <f t="shared" si="11"/>
        <v>-2095361.3924649998</v>
      </c>
      <c r="K15" s="18">
        <f t="shared" si="11"/>
        <v>-2858100.7800000003</v>
      </c>
      <c r="L15" s="18">
        <f t="shared" si="11"/>
        <v>-2242080.84</v>
      </c>
      <c r="M15" s="18">
        <f t="shared" si="11"/>
        <v>-2045469.9</v>
      </c>
      <c r="N15" s="18">
        <f t="shared" si="11"/>
        <v>0</v>
      </c>
      <c r="O15" s="18">
        <f t="shared" si="11"/>
        <v>0</v>
      </c>
      <c r="P15" s="16">
        <f t="shared" si="1"/>
        <v>-22065754.552464996</v>
      </c>
      <c r="Q15" s="18"/>
      <c r="R15" s="18"/>
      <c r="S15" s="18"/>
      <c r="T15" s="19"/>
    </row>
    <row r="16" spans="1:20" ht="31.5" hidden="1" customHeight="1" outlineLevel="1" collapsed="1" x14ac:dyDescent="0.25">
      <c r="A16" s="11"/>
      <c r="C16" s="44" t="s">
        <v>26</v>
      </c>
      <c r="D16" s="43">
        <f t="shared" ref="D16:O16" si="12">SUM(D17:D18)</f>
        <v>0</v>
      </c>
      <c r="E16" s="43">
        <f t="shared" si="12"/>
        <v>0</v>
      </c>
      <c r="F16" s="43">
        <f t="shared" si="12"/>
        <v>0</v>
      </c>
      <c r="G16" s="43">
        <f t="shared" si="12"/>
        <v>0</v>
      </c>
      <c r="H16" s="43">
        <f t="shared" si="12"/>
        <v>0</v>
      </c>
      <c r="I16" s="43">
        <f t="shared" si="12"/>
        <v>0</v>
      </c>
      <c r="J16" s="43">
        <f t="shared" si="12"/>
        <v>0</v>
      </c>
      <c r="K16" s="43">
        <f t="shared" si="12"/>
        <v>-400000</v>
      </c>
      <c r="L16" s="43">
        <f t="shared" si="12"/>
        <v>0</v>
      </c>
      <c r="M16" s="43">
        <f t="shared" si="12"/>
        <v>0</v>
      </c>
      <c r="N16" s="43">
        <f t="shared" si="12"/>
        <v>0</v>
      </c>
      <c r="O16" s="43">
        <f t="shared" si="12"/>
        <v>0</v>
      </c>
      <c r="P16" s="56">
        <f t="shared" si="1"/>
        <v>-400000</v>
      </c>
      <c r="Q16" s="17"/>
    </row>
    <row r="17" spans="1:18" ht="16.2" hidden="1" customHeight="1" outlineLevel="2" x14ac:dyDescent="0.25">
      <c r="A17" s="11"/>
      <c r="C17" s="45" t="s">
        <v>210</v>
      </c>
      <c r="D17" s="18">
        <f>+D124</f>
        <v>0</v>
      </c>
      <c r="E17" s="18">
        <f t="shared" ref="E17:O17" si="13">+E124</f>
        <v>0</v>
      </c>
      <c r="F17" s="18">
        <f t="shared" si="13"/>
        <v>0</v>
      </c>
      <c r="G17" s="18">
        <f t="shared" si="13"/>
        <v>0</v>
      </c>
      <c r="H17" s="18">
        <f t="shared" si="13"/>
        <v>0</v>
      </c>
      <c r="I17" s="18">
        <f t="shared" si="13"/>
        <v>0</v>
      </c>
      <c r="J17" s="18">
        <f t="shared" si="13"/>
        <v>0</v>
      </c>
      <c r="K17" s="18">
        <f t="shared" si="13"/>
        <v>0</v>
      </c>
      <c r="L17" s="18">
        <f t="shared" si="13"/>
        <v>0</v>
      </c>
      <c r="M17" s="18">
        <f t="shared" si="13"/>
        <v>0</v>
      </c>
      <c r="N17" s="18">
        <f t="shared" si="13"/>
        <v>0</v>
      </c>
      <c r="O17" s="18">
        <f t="shared" si="13"/>
        <v>0</v>
      </c>
      <c r="P17" s="16">
        <f t="shared" si="1"/>
        <v>0</v>
      </c>
      <c r="Q17" s="17"/>
    </row>
    <row r="18" spans="1:18" ht="17.25" hidden="1" customHeight="1" outlineLevel="2" x14ac:dyDescent="0.25">
      <c r="A18" s="11"/>
      <c r="C18" s="45" t="s">
        <v>95</v>
      </c>
      <c r="D18" s="18">
        <f>+D118</f>
        <v>0</v>
      </c>
      <c r="E18" s="18">
        <f t="shared" ref="E18:O18" si="14">+E118</f>
        <v>0</v>
      </c>
      <c r="F18" s="18">
        <f t="shared" si="14"/>
        <v>0</v>
      </c>
      <c r="G18" s="18">
        <f t="shared" si="14"/>
        <v>0</v>
      </c>
      <c r="H18" s="18">
        <f t="shared" si="14"/>
        <v>0</v>
      </c>
      <c r="I18" s="18">
        <f t="shared" si="14"/>
        <v>0</v>
      </c>
      <c r="J18" s="18">
        <f t="shared" si="14"/>
        <v>0</v>
      </c>
      <c r="K18" s="18">
        <f t="shared" si="14"/>
        <v>-400000</v>
      </c>
      <c r="L18" s="18">
        <f t="shared" si="14"/>
        <v>0</v>
      </c>
      <c r="M18" s="18">
        <f t="shared" si="14"/>
        <v>0</v>
      </c>
      <c r="N18" s="18">
        <f t="shared" si="14"/>
        <v>0</v>
      </c>
      <c r="O18" s="18">
        <f t="shared" si="14"/>
        <v>0</v>
      </c>
      <c r="P18" s="16">
        <f t="shared" si="1"/>
        <v>-400000</v>
      </c>
      <c r="Q18" s="17"/>
    </row>
    <row r="19" spans="1:18" ht="12" hidden="1" customHeight="1" outlineLevel="1" x14ac:dyDescent="0.25">
      <c r="A19" s="11"/>
      <c r="C19" s="45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7"/>
    </row>
    <row r="20" spans="1:18" ht="27" hidden="1" customHeight="1" outlineLevel="1" x14ac:dyDescent="0.25">
      <c r="A20" s="11"/>
      <c r="C20" s="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6">
        <f t="shared" ref="P20:P25" si="15">SUM(D20:O20)</f>
        <v>0</v>
      </c>
      <c r="Q20" s="17"/>
    </row>
    <row r="21" spans="1:18" ht="27" hidden="1" customHeight="1" outlineLevel="1" x14ac:dyDescent="0.25">
      <c r="A21" s="57">
        <v>0.26</v>
      </c>
      <c r="C21" s="2" t="s">
        <v>8</v>
      </c>
      <c r="D21" s="18">
        <f>-(1062905.43+288176.46+131399.17+1055.34)</f>
        <v>-1483536.4</v>
      </c>
      <c r="E21" s="18">
        <f>-1168741.4-316735.38-143895.61-1055.34</f>
        <v>-1630427.7299999997</v>
      </c>
      <c r="F21" s="18">
        <f>-(1609341.97+435967.76+165454.27+1055.34)</f>
        <v>-2211819.34</v>
      </c>
      <c r="G21" s="18">
        <f>-1595313.68-432182.36-164329.32-1053.34</f>
        <v>-2192878.6999999997</v>
      </c>
      <c r="H21" s="18">
        <f>-2690969.43-728685.95-273939.77-1055.34</f>
        <v>-3694650.4899999998</v>
      </c>
      <c r="I21" s="18">
        <f>-2074536.29-561496.4-210203.42-1055.34</f>
        <v>-2847291.4499999997</v>
      </c>
      <c r="J21" s="18">
        <f>-(2299494.01+622199.28+239681.43+1055.43)</f>
        <v>-3162430.1500000004</v>
      </c>
      <c r="K21" s="18">
        <f>-(2644075.38+715181.55+260037.59+2008.08)</f>
        <v>-3621302.5999999996</v>
      </c>
      <c r="L21" s="18">
        <f>-2579104.86-697649.82-262984.09-2008.08</f>
        <v>-3541746.8499999996</v>
      </c>
      <c r="M21" s="18">
        <f>-2579104.86-697649.82-263296.09-2008.08</f>
        <v>-3542058.8499999996</v>
      </c>
      <c r="N21" s="18"/>
      <c r="O21" s="18"/>
      <c r="P21" s="16">
        <f t="shared" si="15"/>
        <v>-27928142.560000002</v>
      </c>
      <c r="Q21" s="17"/>
    </row>
    <row r="22" spans="1:18" ht="27" hidden="1" customHeight="1" outlineLevel="1" x14ac:dyDescent="0.25">
      <c r="A22" s="11"/>
      <c r="C22" s="2" t="s">
        <v>302</v>
      </c>
      <c r="D22" s="18"/>
      <c r="E22" s="18">
        <v>-600000</v>
      </c>
      <c r="F22" s="231">
        <v>-600000</v>
      </c>
      <c r="G22" s="231">
        <v>-600000</v>
      </c>
      <c r="H22" s="18">
        <v>-900000</v>
      </c>
      <c r="I22" s="18">
        <v>-900000</v>
      </c>
      <c r="J22" s="93"/>
      <c r="K22" s="93"/>
      <c r="L22" s="18"/>
      <c r="M22" s="18"/>
      <c r="N22" s="18"/>
      <c r="O22" s="18"/>
      <c r="P22" s="16">
        <f t="shared" si="15"/>
        <v>-3600000</v>
      </c>
      <c r="Q22" s="18"/>
      <c r="R22" s="188"/>
    </row>
    <row r="23" spans="1:18" ht="26.25" hidden="1" customHeight="1" outlineLevel="1" x14ac:dyDescent="0.25">
      <c r="C23" s="2" t="s">
        <v>303</v>
      </c>
      <c r="D23" s="18"/>
      <c r="E23" s="18"/>
      <c r="F23" s="18"/>
      <c r="G23" s="18"/>
      <c r="H23" s="18"/>
      <c r="I23" s="18">
        <v>-800000</v>
      </c>
      <c r="J23" s="18"/>
      <c r="K23" s="18"/>
      <c r="L23" s="18"/>
      <c r="M23" s="18"/>
      <c r="N23" s="18"/>
      <c r="O23" s="18"/>
      <c r="P23" s="16">
        <f t="shared" si="15"/>
        <v>-800000</v>
      </c>
      <c r="Q23" s="8" t="s">
        <v>171</v>
      </c>
    </row>
    <row r="24" spans="1:18" ht="26.25" hidden="1" customHeight="1" outlineLevel="1" x14ac:dyDescent="0.25">
      <c r="C24" s="2" t="s">
        <v>197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6">
        <f t="shared" si="15"/>
        <v>0</v>
      </c>
    </row>
    <row r="25" spans="1:18" ht="10.5" customHeight="1" x14ac:dyDescent="0.25">
      <c r="C25" s="30"/>
      <c r="P25" s="16">
        <f t="shared" si="15"/>
        <v>0</v>
      </c>
    </row>
    <row r="26" spans="1:18" ht="21.75" customHeight="1" x14ac:dyDescent="0.25">
      <c r="C26" s="46"/>
      <c r="D26" s="19"/>
      <c r="K26" s="19"/>
    </row>
    <row r="27" spans="1:18" ht="29.25" customHeight="1" x14ac:dyDescent="0.25">
      <c r="C27" s="100" t="s">
        <v>21</v>
      </c>
      <c r="D27" s="218" t="s">
        <v>261</v>
      </c>
      <c r="N27" s="172"/>
    </row>
    <row r="28" spans="1:18" ht="34.5" customHeight="1" x14ac:dyDescent="0.25">
      <c r="C28" s="36" t="s">
        <v>205</v>
      </c>
      <c r="D28" s="28">
        <f>+D3</f>
        <v>45505</v>
      </c>
      <c r="E28" s="28">
        <f t="shared" ref="E28:O28" si="16">+E3</f>
        <v>45536</v>
      </c>
      <c r="F28" s="28">
        <f t="shared" si="16"/>
        <v>45566</v>
      </c>
      <c r="G28" s="28">
        <f t="shared" si="16"/>
        <v>45597</v>
      </c>
      <c r="H28" s="28">
        <f t="shared" si="16"/>
        <v>45627</v>
      </c>
      <c r="I28" s="28">
        <f t="shared" si="16"/>
        <v>45658</v>
      </c>
      <c r="J28" s="28">
        <f t="shared" si="16"/>
        <v>45689</v>
      </c>
      <c r="K28" s="28">
        <f t="shared" si="16"/>
        <v>45717</v>
      </c>
      <c r="L28" s="28">
        <f t="shared" si="16"/>
        <v>45748</v>
      </c>
      <c r="M28" s="28">
        <f t="shared" si="16"/>
        <v>45778</v>
      </c>
      <c r="N28" s="28">
        <f t="shared" si="16"/>
        <v>45809</v>
      </c>
      <c r="O28" s="28">
        <f t="shared" si="16"/>
        <v>45839</v>
      </c>
      <c r="P28" s="89" t="str">
        <f>+P3</f>
        <v>TOTAL Y20</v>
      </c>
    </row>
    <row r="29" spans="1:18" ht="30" customHeight="1" collapsed="1" thickBot="1" x14ac:dyDescent="0.3">
      <c r="C29" s="77" t="s">
        <v>23</v>
      </c>
      <c r="D29" s="74">
        <f t="shared" ref="D29:O29" si="17">SUM(D30:D35)</f>
        <v>-9636001.6600000001</v>
      </c>
      <c r="E29" s="74">
        <f t="shared" si="17"/>
        <v>-9805493.4499999993</v>
      </c>
      <c r="F29" s="74">
        <f t="shared" si="17"/>
        <v>-10967084.819999998</v>
      </c>
      <c r="G29" s="74">
        <f t="shared" si="17"/>
        <v>-9211895.9699999988</v>
      </c>
      <c r="H29" s="74">
        <f t="shared" si="17"/>
        <v>-11819921.659999998</v>
      </c>
      <c r="I29" s="74">
        <f t="shared" si="17"/>
        <v>-6893576.5800000001</v>
      </c>
      <c r="J29" s="74">
        <f t="shared" si="17"/>
        <v>-6462659.6299999999</v>
      </c>
      <c r="K29" s="74">
        <f t="shared" si="17"/>
        <v>-4134654.21</v>
      </c>
      <c r="L29" s="74">
        <f t="shared" si="17"/>
        <v>-4190852.52</v>
      </c>
      <c r="M29" s="74">
        <f t="shared" si="17"/>
        <v>-4194682.5</v>
      </c>
      <c r="N29" s="74">
        <f t="shared" si="17"/>
        <v>0</v>
      </c>
      <c r="O29" s="74">
        <f t="shared" si="17"/>
        <v>0</v>
      </c>
      <c r="P29" s="74">
        <f t="shared" ref="P29:P37" si="18">SUM(D29:O29)</f>
        <v>-77316822.999999985</v>
      </c>
    </row>
    <row r="30" spans="1:18" ht="24.75" hidden="1" customHeight="1" outlineLevel="1" thickTop="1" x14ac:dyDescent="0.25">
      <c r="B30" s="239" t="s">
        <v>261</v>
      </c>
      <c r="C30" s="47" t="s">
        <v>188</v>
      </c>
      <c r="D30" s="211">
        <f>-1979749.21-15327.09</f>
        <v>-1995076.3</v>
      </c>
      <c r="E30" s="211">
        <v>-2177724.13</v>
      </c>
      <c r="F30" s="211">
        <f>-2504382.75-38777.54</f>
        <v>-2543160.29</v>
      </c>
      <c r="G30" s="221">
        <f>-2504382.75-16695.88</f>
        <v>-2521078.63</v>
      </c>
      <c r="H30" s="225">
        <f>-2829952.51-43818.62-176346.25</f>
        <v>-3050117.38</v>
      </c>
      <c r="I30" s="225">
        <f>-3112947.76-24100.24</f>
        <v>-3137048</v>
      </c>
      <c r="J30" s="236">
        <f>-3361983.58-(3765421.61-3137851.34)</f>
        <v>-3989553.85</v>
      </c>
      <c r="K30" s="225">
        <v>-4034380.3</v>
      </c>
      <c r="L30" s="221">
        <f>-4034380.3-53791.74</f>
        <v>-4088172.04</v>
      </c>
      <c r="M30" s="221">
        <f>-4034380.3-53791.74</f>
        <v>-4088172.04</v>
      </c>
      <c r="N30" s="221"/>
      <c r="O30" s="221"/>
      <c r="P30" s="73">
        <f t="shared" si="18"/>
        <v>-31624482.960000001</v>
      </c>
    </row>
    <row r="31" spans="1:18" ht="24.75" hidden="1" customHeight="1" outlineLevel="1" x14ac:dyDescent="0.25">
      <c r="C31" s="47" t="s">
        <v>124</v>
      </c>
      <c r="D31" s="73">
        <f t="shared" ref="D31:I31" si="19">-D36*D37</f>
        <v>-7416800</v>
      </c>
      <c r="E31" s="73">
        <f t="shared" si="19"/>
        <v>-7110000</v>
      </c>
      <c r="F31" s="73">
        <f t="shared" si="19"/>
        <v>-7800000</v>
      </c>
      <c r="G31" s="73">
        <f t="shared" si="19"/>
        <v>-6600000</v>
      </c>
      <c r="H31" s="73">
        <f t="shared" si="19"/>
        <v>-7320000</v>
      </c>
      <c r="I31" s="73">
        <f t="shared" si="19"/>
        <v>-3600000</v>
      </c>
      <c r="J31" s="73">
        <f>-J36*J37</f>
        <v>-2375000</v>
      </c>
      <c r="K31" s="73"/>
      <c r="L31" s="73"/>
      <c r="M31" s="73"/>
      <c r="N31" s="73"/>
      <c r="O31" s="73"/>
      <c r="P31" s="73">
        <f t="shared" si="18"/>
        <v>-42221800</v>
      </c>
    </row>
    <row r="32" spans="1:18" ht="24.75" hidden="1" customHeight="1" outlineLevel="1" x14ac:dyDescent="0.25">
      <c r="C32" s="47" t="s">
        <v>29</v>
      </c>
      <c r="D32" s="73"/>
      <c r="E32" s="73"/>
      <c r="F32" s="73"/>
      <c r="G32" s="73"/>
      <c r="H32" s="73">
        <v>-1260540</v>
      </c>
      <c r="I32" s="73"/>
      <c r="J32" s="73"/>
      <c r="K32" s="73"/>
      <c r="L32" s="73"/>
      <c r="M32" s="73"/>
      <c r="N32" s="73"/>
      <c r="O32" s="73"/>
      <c r="P32" s="73">
        <f t="shared" si="18"/>
        <v>-1260540</v>
      </c>
    </row>
    <row r="33" spans="2:17" ht="24.75" hidden="1" customHeight="1" outlineLevel="1" x14ac:dyDescent="0.25">
      <c r="C33" s="47" t="s">
        <v>27</v>
      </c>
      <c r="D33" s="203">
        <v>-80994.039999999994</v>
      </c>
      <c r="E33" s="73">
        <v>-84258</v>
      </c>
      <c r="F33" s="73">
        <v>-87771.66</v>
      </c>
      <c r="G33" s="73">
        <v>-90817.34</v>
      </c>
      <c r="H33" s="203">
        <v>-93260.33</v>
      </c>
      <c r="I33" s="203">
        <v>-95526.55</v>
      </c>
      <c r="J33" s="203">
        <v>-98105.78</v>
      </c>
      <c r="K33" s="203">
        <v>-100273.91</v>
      </c>
      <c r="L33" s="203">
        <v>-102680.48</v>
      </c>
      <c r="M33" s="203">
        <v>-106510.46</v>
      </c>
      <c r="N33" s="203"/>
      <c r="O33" s="203"/>
      <c r="P33" s="73">
        <f t="shared" si="18"/>
        <v>-940198.55</v>
      </c>
    </row>
    <row r="34" spans="2:17" ht="24.75" hidden="1" customHeight="1" outlineLevel="1" x14ac:dyDescent="0.25">
      <c r="C34" s="47" t="s">
        <v>51</v>
      </c>
      <c r="D34" s="73">
        <f>-55349.66-80312.99-7468.67</f>
        <v>-143131.32000000004</v>
      </c>
      <c r="E34" s="73">
        <f>-51019.01-79800.92-6747.39-52010.02-28001.97-91725.99-31205.99-40000-53000.03</f>
        <v>-433511.31999999995</v>
      </c>
      <c r="F34" s="73">
        <f>-52604.96-86206.01-67003-60500-51350-35001.05-52002.57-90037.04-34438-7010.24</f>
        <v>-536152.86999999988</v>
      </c>
      <c r="G34" s="73"/>
      <c r="H34" s="73">
        <v>-96003.95</v>
      </c>
      <c r="I34" s="73">
        <v>-61002.03</v>
      </c>
      <c r="J34" s="73"/>
      <c r="K34" s="73"/>
      <c r="L34" s="73"/>
      <c r="M34" s="73"/>
      <c r="N34" s="73"/>
      <c r="O34" s="73"/>
      <c r="P34" s="73">
        <f t="shared" si="18"/>
        <v>-1269801.4899999998</v>
      </c>
    </row>
    <row r="35" spans="2:17" ht="24.75" hidden="1" customHeight="1" outlineLevel="1" x14ac:dyDescent="0.25">
      <c r="C35" s="47" t="s">
        <v>190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>
        <f t="shared" si="18"/>
        <v>0</v>
      </c>
    </row>
    <row r="36" spans="2:17" ht="24" customHeight="1" thickTop="1" x14ac:dyDescent="0.25">
      <c r="C36" s="30" t="s">
        <v>228</v>
      </c>
      <c r="D36" s="73">
        <v>5840</v>
      </c>
      <c r="E36" s="73">
        <v>6000</v>
      </c>
      <c r="F36" s="73">
        <v>6500</v>
      </c>
      <c r="G36" s="73">
        <v>5500</v>
      </c>
      <c r="H36" s="73">
        <v>6000</v>
      </c>
      <c r="I36" s="73">
        <v>3000</v>
      </c>
      <c r="J36" s="73">
        <v>1900</v>
      </c>
      <c r="K36" s="73"/>
      <c r="L36" s="73"/>
      <c r="M36" s="73"/>
      <c r="N36" s="73"/>
      <c r="O36" s="73"/>
      <c r="P36" s="73">
        <f t="shared" si="18"/>
        <v>34740</v>
      </c>
    </row>
    <row r="37" spans="2:17" ht="15" customHeight="1" x14ac:dyDescent="0.25">
      <c r="C37" s="49" t="s">
        <v>249</v>
      </c>
      <c r="D37" s="233">
        <v>1270</v>
      </c>
      <c r="E37" s="41">
        <v>1185</v>
      </c>
      <c r="F37" s="41">
        <v>1200</v>
      </c>
      <c r="G37" s="39">
        <v>1200</v>
      </c>
      <c r="H37" s="39">
        <v>1220</v>
      </c>
      <c r="I37" s="39">
        <v>1200</v>
      </c>
      <c r="J37" s="39">
        <v>1250</v>
      </c>
      <c r="K37" s="41"/>
      <c r="L37" s="41"/>
      <c r="M37" s="39"/>
      <c r="N37" s="39"/>
      <c r="O37" s="39"/>
      <c r="P37" s="39">
        <f t="shared" si="18"/>
        <v>8525</v>
      </c>
    </row>
    <row r="38" spans="2:17" ht="5.25" customHeight="1" x14ac:dyDescent="0.25">
      <c r="C38" s="34"/>
      <c r="F38" s="23"/>
      <c r="K38" s="23"/>
      <c r="L38" s="23"/>
    </row>
    <row r="39" spans="2:17" ht="37.5" customHeight="1" x14ac:dyDescent="0.25">
      <c r="C39" s="36" t="s">
        <v>206</v>
      </c>
      <c r="D39" s="28">
        <f t="shared" ref="D39:P39" si="20">+D3</f>
        <v>45505</v>
      </c>
      <c r="E39" s="28">
        <f t="shared" si="20"/>
        <v>45536</v>
      </c>
      <c r="F39" s="28">
        <f t="shared" si="20"/>
        <v>45566</v>
      </c>
      <c r="G39" s="28">
        <f t="shared" si="20"/>
        <v>45597</v>
      </c>
      <c r="H39" s="28">
        <f t="shared" si="20"/>
        <v>45627</v>
      </c>
      <c r="I39" s="28">
        <f t="shared" si="20"/>
        <v>45658</v>
      </c>
      <c r="J39" s="28">
        <f t="shared" si="20"/>
        <v>45689</v>
      </c>
      <c r="K39" s="28">
        <f t="shared" si="20"/>
        <v>45717</v>
      </c>
      <c r="L39" s="28">
        <f t="shared" si="20"/>
        <v>45748</v>
      </c>
      <c r="M39" s="28">
        <f t="shared" si="20"/>
        <v>45778</v>
      </c>
      <c r="N39" s="28">
        <f t="shared" si="20"/>
        <v>45809</v>
      </c>
      <c r="O39" s="28">
        <f t="shared" si="20"/>
        <v>45839</v>
      </c>
      <c r="P39" s="89" t="str">
        <f t="shared" si="20"/>
        <v>TOTAL Y20</v>
      </c>
    </row>
    <row r="40" spans="2:17" ht="27" customHeight="1" collapsed="1" thickBot="1" x14ac:dyDescent="0.3">
      <c r="C40" s="77" t="s">
        <v>22</v>
      </c>
      <c r="D40" s="74">
        <f t="shared" ref="D40:O40" si="21">SUM(D41:D46)</f>
        <v>-10073362.34</v>
      </c>
      <c r="E40" s="74">
        <f t="shared" si="21"/>
        <v>-10033391.000000002</v>
      </c>
      <c r="F40" s="74">
        <f t="shared" si="21"/>
        <v>-11106742.1</v>
      </c>
      <c r="G40" s="74">
        <f t="shared" si="21"/>
        <v>-9899613.040000001</v>
      </c>
      <c r="H40" s="74">
        <f t="shared" si="21"/>
        <v>-12562078.950000001</v>
      </c>
      <c r="I40" s="74">
        <f t="shared" si="21"/>
        <v>-7589272.8799999999</v>
      </c>
      <c r="J40" s="74">
        <f t="shared" si="21"/>
        <v>-7080473.1000000006</v>
      </c>
      <c r="K40" s="74">
        <f t="shared" si="21"/>
        <v>-5498674.4200000009</v>
      </c>
      <c r="L40" s="74">
        <f t="shared" si="21"/>
        <v>-5459946.6399999997</v>
      </c>
      <c r="M40" s="74">
        <f t="shared" si="21"/>
        <v>-5257911.58</v>
      </c>
      <c r="N40" s="74">
        <f t="shared" si="21"/>
        <v>0</v>
      </c>
      <c r="O40" s="74">
        <f t="shared" si="21"/>
        <v>0</v>
      </c>
      <c r="P40" s="74">
        <f t="shared" ref="P40:P48" si="22">SUM(D40:O40)</f>
        <v>-84561466.050000012</v>
      </c>
    </row>
    <row r="41" spans="2:17" ht="24" hidden="1" customHeight="1" outlineLevel="1" thickTop="1" x14ac:dyDescent="0.25">
      <c r="B41" s="239" t="s">
        <v>261</v>
      </c>
      <c r="C41" s="47" t="s">
        <v>188</v>
      </c>
      <c r="D41" s="211">
        <f>-2376475.82-18398.52</f>
        <v>-2394874.34</v>
      </c>
      <c r="E41" s="211">
        <v>-2614123.4</v>
      </c>
      <c r="F41" s="211">
        <f>-2953959.44-45738.73</f>
        <v>-2999698.17</v>
      </c>
      <c r="G41" s="220">
        <f>-2953959.44-19693.06</f>
        <v>-2973652.5</v>
      </c>
      <c r="H41" s="225">
        <f>-3337974.17-51684.76-208003.21</f>
        <v>-3597662.1399999997</v>
      </c>
      <c r="I41" s="225">
        <f>-3671771.59-28426.62</f>
        <v>-3700198.21</v>
      </c>
      <c r="J41" s="236">
        <f>-3965513.32-(4441374.92-3701145.76)</f>
        <v>-4705742.4800000004</v>
      </c>
      <c r="K41" s="225">
        <f>-5155167.32-119732.92</f>
        <v>-5274900.24</v>
      </c>
      <c r="L41" s="221">
        <f>-5155167.32-68735.56</f>
        <v>-5223902.88</v>
      </c>
      <c r="M41" s="221">
        <f>-5155167.32-68735.56</f>
        <v>-5223902.88</v>
      </c>
      <c r="N41" s="221"/>
      <c r="O41" s="221"/>
      <c r="P41" s="73">
        <f>SUM(D41:O41)</f>
        <v>-38708657.240000002</v>
      </c>
    </row>
    <row r="42" spans="2:17" ht="24" hidden="1" customHeight="1" outlineLevel="1" x14ac:dyDescent="0.25">
      <c r="C42" s="47" t="s">
        <v>124</v>
      </c>
      <c r="D42" s="73">
        <f t="shared" ref="D42:I42" si="23">-D48*D49</f>
        <v>-7416800</v>
      </c>
      <c r="E42" s="73">
        <f t="shared" si="23"/>
        <v>-7110000</v>
      </c>
      <c r="F42" s="73">
        <f t="shared" si="23"/>
        <v>-7800000</v>
      </c>
      <c r="G42" s="73">
        <f t="shared" si="23"/>
        <v>-6600000</v>
      </c>
      <c r="H42" s="73">
        <f t="shared" si="23"/>
        <v>-7320000</v>
      </c>
      <c r="I42" s="73">
        <f t="shared" si="23"/>
        <v>-3600000</v>
      </c>
      <c r="J42" s="73">
        <f>-J48*J49</f>
        <v>-2125000</v>
      </c>
      <c r="K42" s="73"/>
      <c r="L42" s="73"/>
      <c r="M42" s="73"/>
      <c r="N42" s="73"/>
      <c r="O42" s="73"/>
      <c r="P42" s="73">
        <f t="shared" si="22"/>
        <v>-41971800</v>
      </c>
    </row>
    <row r="43" spans="2:17" ht="23.4" hidden="1" customHeight="1" outlineLevel="1" x14ac:dyDescent="0.25">
      <c r="C43" s="47" t="s">
        <v>29</v>
      </c>
      <c r="D43" s="73"/>
      <c r="E43" s="73"/>
      <c r="F43" s="73"/>
      <c r="G43" s="73"/>
      <c r="H43" s="73">
        <v>-1486826.25</v>
      </c>
      <c r="I43" s="73"/>
      <c r="J43" s="73"/>
      <c r="K43" s="73"/>
      <c r="L43" s="73"/>
      <c r="M43" s="73"/>
      <c r="N43" s="73"/>
      <c r="O43" s="73"/>
      <c r="P43" s="73">
        <f t="shared" si="22"/>
        <v>-1486826.25</v>
      </c>
    </row>
    <row r="44" spans="2:17" ht="24" hidden="1" customHeight="1" outlineLevel="1" x14ac:dyDescent="0.25">
      <c r="C44" s="47" t="s">
        <v>63</v>
      </c>
      <c r="D44" s="203">
        <v>-223186.03</v>
      </c>
      <c r="E44" s="203">
        <v>-227857.71</v>
      </c>
      <c r="F44" s="73">
        <v>-223438.19</v>
      </c>
      <c r="G44" s="203">
        <v>-248360.66</v>
      </c>
      <c r="H44" s="203">
        <v>-120081.72</v>
      </c>
      <c r="I44" s="203">
        <v>-246074.74</v>
      </c>
      <c r="J44" s="203">
        <v>-196726.89</v>
      </c>
      <c r="K44" s="203">
        <v>-175761.23</v>
      </c>
      <c r="L44" s="203">
        <v>-189036.83</v>
      </c>
      <c r="M44" s="203"/>
      <c r="N44" s="73"/>
      <c r="O44" s="73"/>
      <c r="P44" s="73">
        <f t="shared" si="22"/>
        <v>-1850524</v>
      </c>
    </row>
    <row r="45" spans="2:17" ht="23.4" hidden="1" customHeight="1" outlineLevel="1" x14ac:dyDescent="0.25">
      <c r="C45" s="47" t="s">
        <v>51</v>
      </c>
      <c r="D45" s="73">
        <v>-38501.97</v>
      </c>
      <c r="E45" s="73">
        <f>-43010.9-38398.99</f>
        <v>-81409.89</v>
      </c>
      <c r="F45" s="73">
        <f>-38597.78-45007.96</f>
        <v>-83605.739999999991</v>
      </c>
      <c r="G45" s="73">
        <f>-39380.98-38218.9</f>
        <v>-77599.88</v>
      </c>
      <c r="H45" s="203">
        <v>-37508.839999999997</v>
      </c>
      <c r="I45" s="73">
        <f>-42999.93</f>
        <v>-42999.93</v>
      </c>
      <c r="J45" s="73">
        <f>-53003.73</f>
        <v>-53003.73</v>
      </c>
      <c r="K45" s="73">
        <v>-48012.95</v>
      </c>
      <c r="L45" s="73">
        <v>-47006.93</v>
      </c>
      <c r="M45" s="73">
        <v>-34008.699999999997</v>
      </c>
      <c r="N45" s="73"/>
      <c r="O45" s="73"/>
      <c r="P45" s="73">
        <f t="shared" si="22"/>
        <v>-543658.55999999994</v>
      </c>
      <c r="Q45" s="178"/>
    </row>
    <row r="46" spans="2:17" ht="23.4" hidden="1" customHeight="1" outlineLevel="1" x14ac:dyDescent="0.25">
      <c r="C46" s="47" t="s">
        <v>190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>
        <f t="shared" si="22"/>
        <v>0</v>
      </c>
    </row>
    <row r="47" spans="2:17" ht="23.4" hidden="1" customHeight="1" outlineLevel="1" x14ac:dyDescent="0.25">
      <c r="C47" s="47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2:17" ht="24" customHeight="1" thickTop="1" x14ac:dyDescent="0.25">
      <c r="C48" s="30" t="s">
        <v>228</v>
      </c>
      <c r="D48" s="73">
        <v>5840</v>
      </c>
      <c r="E48" s="73">
        <v>6000</v>
      </c>
      <c r="F48" s="73">
        <v>6500</v>
      </c>
      <c r="G48" s="73">
        <v>5500</v>
      </c>
      <c r="H48" s="73">
        <v>6000</v>
      </c>
      <c r="I48" s="73">
        <v>3000</v>
      </c>
      <c r="J48" s="73">
        <v>1700</v>
      </c>
      <c r="K48" s="73"/>
      <c r="L48" s="73"/>
      <c r="M48" s="73"/>
      <c r="N48" s="73"/>
      <c r="O48" s="94"/>
      <c r="P48" s="73">
        <f t="shared" si="22"/>
        <v>34540</v>
      </c>
    </row>
    <row r="49" spans="2:17" ht="18" customHeight="1" x14ac:dyDescent="0.25">
      <c r="C49" s="49" t="s">
        <v>249</v>
      </c>
      <c r="D49" s="70">
        <f>+D37</f>
        <v>1270</v>
      </c>
      <c r="E49" s="41">
        <f>+E37</f>
        <v>1185</v>
      </c>
      <c r="F49" s="41">
        <v>1200</v>
      </c>
      <c r="G49" s="39">
        <f>+G37</f>
        <v>1200</v>
      </c>
      <c r="H49" s="39">
        <f>+H37</f>
        <v>1220</v>
      </c>
      <c r="I49" s="39">
        <v>1200</v>
      </c>
      <c r="J49" s="39">
        <v>1250</v>
      </c>
      <c r="K49" s="39"/>
      <c r="L49" s="39"/>
      <c r="M49" s="41"/>
      <c r="N49" s="41"/>
      <c r="O49" s="41"/>
      <c r="P49" s="39"/>
    </row>
    <row r="50" spans="2:17" ht="18" customHeight="1" x14ac:dyDescent="0.25">
      <c r="C50" s="34"/>
      <c r="D50" s="26"/>
    </row>
    <row r="51" spans="2:17" ht="20.25" customHeight="1" x14ac:dyDescent="0.25">
      <c r="C51" s="55" t="s">
        <v>24</v>
      </c>
      <c r="D51" s="26"/>
      <c r="E51" s="24"/>
      <c r="F51" s="24"/>
      <c r="G51" s="24"/>
      <c r="H51" s="25"/>
    </row>
    <row r="52" spans="2:17" ht="20.25" customHeight="1" x14ac:dyDescent="0.25">
      <c r="D52" s="26"/>
      <c r="E52" s="24"/>
      <c r="F52" s="24"/>
      <c r="G52" s="195"/>
      <c r="H52" s="25"/>
      <c r="N52" s="172" t="e">
        <f>+N55/O55</f>
        <v>#DIV/0!</v>
      </c>
    </row>
    <row r="53" spans="2:17" ht="36" customHeight="1" x14ac:dyDescent="0.25">
      <c r="C53" s="194" t="s">
        <v>207</v>
      </c>
      <c r="D53" s="28">
        <f t="shared" ref="D53:P53" si="24">+D3</f>
        <v>45505</v>
      </c>
      <c r="E53" s="28">
        <f t="shared" si="24"/>
        <v>45536</v>
      </c>
      <c r="F53" s="28">
        <f t="shared" si="24"/>
        <v>45566</v>
      </c>
      <c r="G53" s="28">
        <f t="shared" si="24"/>
        <v>45597</v>
      </c>
      <c r="H53" s="28">
        <f t="shared" si="24"/>
        <v>45627</v>
      </c>
      <c r="I53" s="28">
        <f t="shared" si="24"/>
        <v>45658</v>
      </c>
      <c r="J53" s="28">
        <f t="shared" si="24"/>
        <v>45689</v>
      </c>
      <c r="K53" s="28">
        <f t="shared" si="24"/>
        <v>45717</v>
      </c>
      <c r="L53" s="28">
        <f t="shared" si="24"/>
        <v>45748</v>
      </c>
      <c r="M53" s="28">
        <f t="shared" si="24"/>
        <v>45778</v>
      </c>
      <c r="N53" s="28">
        <f t="shared" si="24"/>
        <v>45809</v>
      </c>
      <c r="O53" s="28">
        <f t="shared" si="24"/>
        <v>45839</v>
      </c>
      <c r="P53" s="89" t="str">
        <f t="shared" si="24"/>
        <v>TOTAL Y20</v>
      </c>
    </row>
    <row r="54" spans="2:17" ht="27.75" customHeight="1" collapsed="1" thickBot="1" x14ac:dyDescent="0.3">
      <c r="C54" s="54" t="s">
        <v>104</v>
      </c>
      <c r="D54" s="74">
        <f t="shared" ref="D54:O54" si="25">SUM(D55:D63)</f>
        <v>-2966107.38</v>
      </c>
      <c r="E54" s="74">
        <f t="shared" si="25"/>
        <v>-2911385.84</v>
      </c>
      <c r="F54" s="74">
        <f t="shared" si="25"/>
        <v>-2995405.52</v>
      </c>
      <c r="G54" s="74">
        <f t="shared" si="25"/>
        <v>-2869139.79</v>
      </c>
      <c r="H54" s="74">
        <f t="shared" si="25"/>
        <v>-4237620.3899999997</v>
      </c>
      <c r="I54" s="74">
        <f t="shared" si="25"/>
        <v>-4455899.37</v>
      </c>
      <c r="J54" s="74">
        <f t="shared" si="25"/>
        <v>-4062822.68</v>
      </c>
      <c r="K54" s="74">
        <f t="shared" si="25"/>
        <v>-3533856.05</v>
      </c>
      <c r="L54" s="74">
        <f t="shared" si="25"/>
        <v>-3090746.0799999996</v>
      </c>
      <c r="M54" s="74">
        <f t="shared" si="25"/>
        <v>-2581094.44</v>
      </c>
      <c r="N54" s="74">
        <f t="shared" si="25"/>
        <v>-250000</v>
      </c>
      <c r="O54" s="74">
        <f t="shared" si="25"/>
        <v>0</v>
      </c>
      <c r="P54" s="74">
        <f>SUM(D54:O54)</f>
        <v>-33954077.539999999</v>
      </c>
      <c r="Q54" s="184"/>
    </row>
    <row r="55" spans="2:17" ht="27.75" hidden="1" customHeight="1" outlineLevel="1" thickTop="1" x14ac:dyDescent="0.25">
      <c r="B55" s="239" t="s">
        <v>261</v>
      </c>
      <c r="C55" s="47" t="s">
        <v>188</v>
      </c>
      <c r="D55" s="211">
        <f>-1106806.06-8568.82</f>
        <v>-1115374.8800000001</v>
      </c>
      <c r="E55" s="211">
        <v>-1217486.67</v>
      </c>
      <c r="F55" s="240">
        <f>-1580000-24464.52</f>
        <v>-1604464.52</v>
      </c>
      <c r="G55" s="221">
        <f>-1580000-10533.33</f>
        <v>-1590533.33</v>
      </c>
      <c r="H55" s="225">
        <f>-1769600-27400.26-103233.46</f>
        <v>-1900233.72</v>
      </c>
      <c r="I55" s="236">
        <f>-1981952-15344.14-(1664839.68-1342612.65)</f>
        <v>-2319523.17</v>
      </c>
      <c r="J55" s="225">
        <v>-2180147.2000000002</v>
      </c>
      <c r="K55" s="225">
        <f>-2507169.28-58231.03</f>
        <v>-2565400.3099999996</v>
      </c>
      <c r="L55" s="221">
        <f>-2507169.28-33428.92</f>
        <v>-2540598.1999999997</v>
      </c>
      <c r="M55" s="221">
        <f>-2507169.28-33428.92</f>
        <v>-2540598.1999999997</v>
      </c>
      <c r="N55" s="221"/>
      <c r="O55" s="221"/>
      <c r="P55" s="73">
        <f>SUM(D55:O55)</f>
        <v>-19574360.199999996</v>
      </c>
    </row>
    <row r="56" spans="2:17" ht="27.75" hidden="1" customHeight="1" outlineLevel="1" x14ac:dyDescent="0.25">
      <c r="C56" s="47" t="s">
        <v>14</v>
      </c>
      <c r="D56" s="73">
        <v>-278000</v>
      </c>
      <c r="E56" s="73">
        <v>-520000</v>
      </c>
      <c r="F56" s="73">
        <v>-480000</v>
      </c>
      <c r="G56" s="73">
        <v>-285000</v>
      </c>
      <c r="H56" s="73">
        <v>-74200</v>
      </c>
      <c r="I56" s="73">
        <v>-525700</v>
      </c>
      <c r="J56" s="73">
        <v>-322000</v>
      </c>
      <c r="K56" s="73">
        <v>-614200</v>
      </c>
      <c r="L56" s="73">
        <v>-220000</v>
      </c>
      <c r="M56" s="73"/>
      <c r="N56" s="73"/>
      <c r="O56" s="73"/>
      <c r="P56" s="73">
        <f t="shared" ref="P56:P61" si="26">SUM(D56:O56)</f>
        <v>-3319100</v>
      </c>
    </row>
    <row r="57" spans="2:17" ht="27.75" hidden="1" customHeight="1" outlineLevel="1" x14ac:dyDescent="0.25">
      <c r="C57" s="47" t="s">
        <v>172</v>
      </c>
      <c r="D57" s="73">
        <f t="shared" ref="D57:J57" si="27">-D64*D65</f>
        <v>-1275000</v>
      </c>
      <c r="E57" s="73">
        <f t="shared" si="27"/>
        <v>-862500</v>
      </c>
      <c r="F57" s="73">
        <f t="shared" si="27"/>
        <v>-862500</v>
      </c>
      <c r="G57" s="73">
        <f t="shared" si="27"/>
        <v>-915000</v>
      </c>
      <c r="H57" s="73">
        <f t="shared" si="27"/>
        <v>-915000</v>
      </c>
      <c r="I57" s="73">
        <f t="shared" si="27"/>
        <v>-1518750</v>
      </c>
      <c r="J57" s="73">
        <f t="shared" si="27"/>
        <v>-1518750</v>
      </c>
      <c r="K57" s="73">
        <f>-K64*K65</f>
        <v>-297500</v>
      </c>
      <c r="L57" s="73">
        <f>-L64*L65</f>
        <v>-297500</v>
      </c>
      <c r="M57" s="73"/>
      <c r="N57" s="73"/>
      <c r="O57" s="73"/>
      <c r="P57" s="73">
        <f t="shared" si="26"/>
        <v>-8462500</v>
      </c>
    </row>
    <row r="58" spans="2:17" ht="27.75" hidden="1" customHeight="1" outlineLevel="1" x14ac:dyDescent="0.25">
      <c r="C58" s="47" t="s">
        <v>29</v>
      </c>
      <c r="D58" s="73"/>
      <c r="E58" s="73"/>
      <c r="F58" s="73"/>
      <c r="G58" s="73"/>
      <c r="H58" s="73">
        <v>-795266.67</v>
      </c>
      <c r="I58" s="73"/>
      <c r="J58" s="73"/>
      <c r="K58" s="73"/>
      <c r="L58" s="73"/>
      <c r="M58" s="73"/>
      <c r="N58" s="73"/>
      <c r="O58" s="73"/>
      <c r="P58" s="73">
        <f t="shared" si="26"/>
        <v>-795266.67</v>
      </c>
    </row>
    <row r="59" spans="2:17" ht="27.75" hidden="1" customHeight="1" outlineLevel="1" x14ac:dyDescent="0.25">
      <c r="C59" s="47" t="s">
        <v>189</v>
      </c>
      <c r="D59" s="73"/>
      <c r="E59" s="73"/>
      <c r="F59" s="73"/>
      <c r="G59" s="73"/>
      <c r="H59" s="73">
        <v>-386000</v>
      </c>
      <c r="I59" s="73"/>
      <c r="J59" s="73"/>
      <c r="K59" s="73"/>
      <c r="L59" s="73"/>
      <c r="M59" s="73"/>
      <c r="N59" s="73"/>
      <c r="O59" s="73"/>
      <c r="P59" s="73">
        <f t="shared" si="26"/>
        <v>-386000</v>
      </c>
    </row>
    <row r="60" spans="2:17" ht="27.75" hidden="1" customHeight="1" outlineLevel="1" x14ac:dyDescent="0.25">
      <c r="C60" s="47" t="s">
        <v>27</v>
      </c>
      <c r="D60" s="224">
        <v>-80994.039999999994</v>
      </c>
      <c r="E60" s="73">
        <v>-84258</v>
      </c>
      <c r="F60" s="234"/>
      <c r="G60" s="234"/>
      <c r="H60" s="234"/>
      <c r="I60" s="234"/>
      <c r="J60" s="234"/>
      <c r="K60" s="234"/>
      <c r="L60" s="234"/>
      <c r="M60" s="235"/>
      <c r="N60" s="235"/>
      <c r="O60" s="235"/>
      <c r="P60" s="73">
        <f t="shared" si="26"/>
        <v>-165252.03999999998</v>
      </c>
    </row>
    <row r="61" spans="2:17" ht="27.75" hidden="1" customHeight="1" outlineLevel="1" x14ac:dyDescent="0.25">
      <c r="C61" s="47" t="s">
        <v>245</v>
      </c>
      <c r="D61" s="203">
        <v>-216738.46</v>
      </c>
      <c r="E61" s="203">
        <v>-227141.17</v>
      </c>
      <c r="F61" s="73">
        <v>-48441</v>
      </c>
      <c r="G61" s="203">
        <v>-78606.460000000006</v>
      </c>
      <c r="H61" s="203">
        <v>-86920</v>
      </c>
      <c r="I61" s="203">
        <v>-91926.2</v>
      </c>
      <c r="J61" s="203">
        <v>-41925.480000000003</v>
      </c>
      <c r="K61" s="203">
        <v>-56755.74</v>
      </c>
      <c r="L61" s="203">
        <v>-32647.88</v>
      </c>
      <c r="M61" s="73">
        <v>-40496.239999999998</v>
      </c>
      <c r="N61" s="203"/>
      <c r="O61" s="203"/>
      <c r="P61" s="73">
        <f t="shared" si="26"/>
        <v>-921598.62999999989</v>
      </c>
      <c r="Q61" s="19"/>
    </row>
    <row r="62" spans="2:17" ht="27.75" hidden="1" customHeight="1" outlineLevel="1" x14ac:dyDescent="0.25">
      <c r="C62" s="47" t="s">
        <v>9</v>
      </c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>
        <f>SUM(D62:O62)</f>
        <v>0</v>
      </c>
    </row>
    <row r="63" spans="2:17" ht="27.75" hidden="1" customHeight="1" outlineLevel="1" x14ac:dyDescent="0.25">
      <c r="C63" s="47" t="s">
        <v>190</v>
      </c>
      <c r="D63" s="73"/>
      <c r="E63" s="73"/>
      <c r="F63" s="73"/>
      <c r="G63" s="73"/>
      <c r="H63" s="203">
        <v>-80000</v>
      </c>
      <c r="I63" s="73"/>
      <c r="J63" s="73"/>
      <c r="K63" s="73"/>
      <c r="L63" s="73"/>
      <c r="M63" s="73"/>
      <c r="N63" s="73">
        <v>-250000</v>
      </c>
      <c r="O63" s="73"/>
      <c r="P63" s="73">
        <f>SUM(D63:O63)</f>
        <v>-330000</v>
      </c>
    </row>
    <row r="64" spans="2:17" ht="27.75" hidden="1" customHeight="1" outlineLevel="1" x14ac:dyDescent="0.25">
      <c r="C64" s="30" t="s">
        <v>228</v>
      </c>
      <c r="D64" s="73">
        <f>2000/2</f>
        <v>1000</v>
      </c>
      <c r="E64" s="73">
        <f>1500/2</f>
        <v>750</v>
      </c>
      <c r="F64" s="73">
        <f>1500/2</f>
        <v>750</v>
      </c>
      <c r="G64" s="73">
        <f>1500/2</f>
        <v>750</v>
      </c>
      <c r="H64" s="73">
        <f>1500/2</f>
        <v>750</v>
      </c>
      <c r="I64" s="73">
        <v>1215</v>
      </c>
      <c r="J64" s="73">
        <v>1215</v>
      </c>
      <c r="K64" s="94">
        <v>250</v>
      </c>
      <c r="L64" s="94">
        <v>250</v>
      </c>
      <c r="M64" s="73"/>
      <c r="N64" s="73"/>
      <c r="O64" s="73"/>
      <c r="P64" s="73"/>
    </row>
    <row r="65" spans="2:16" ht="18" customHeight="1" thickTop="1" x14ac:dyDescent="0.25">
      <c r="C65" s="49" t="s">
        <v>249</v>
      </c>
      <c r="D65" s="73">
        <v>1275</v>
      </c>
      <c r="E65" s="73">
        <v>1150</v>
      </c>
      <c r="F65" s="73">
        <v>1150</v>
      </c>
      <c r="G65" s="73">
        <v>1220</v>
      </c>
      <c r="H65" s="73">
        <v>1220</v>
      </c>
      <c r="I65" s="73">
        <f>2500/2</f>
        <v>1250</v>
      </c>
      <c r="J65" s="73">
        <f>2500/2</f>
        <v>1250</v>
      </c>
      <c r="K65" s="73">
        <v>1190</v>
      </c>
      <c r="L65" s="73">
        <v>1190</v>
      </c>
      <c r="M65" s="73"/>
      <c r="N65" s="94"/>
      <c r="O65" s="94"/>
      <c r="P65" s="73">
        <f>SUM(D65:O65)</f>
        <v>10895</v>
      </c>
    </row>
    <row r="66" spans="2:16" ht="18" customHeight="1" x14ac:dyDescent="0.25">
      <c r="C66" s="47"/>
      <c r="D66" s="73"/>
      <c r="E66" s="73"/>
      <c r="F66" s="73"/>
      <c r="G66" s="73"/>
      <c r="H66" s="203"/>
      <c r="I66" s="73"/>
      <c r="J66" s="73"/>
      <c r="K66" s="73"/>
      <c r="L66" s="73"/>
      <c r="M66" s="73"/>
      <c r="N66" s="94"/>
      <c r="O66" s="94"/>
      <c r="P66" s="73"/>
    </row>
    <row r="67" spans="2:16" ht="18" customHeight="1" x14ac:dyDescent="0.25">
      <c r="C67" s="47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199"/>
      <c r="O67" s="94"/>
      <c r="P67" s="73"/>
    </row>
    <row r="68" spans="2:16" ht="28.5" customHeight="1" x14ac:dyDescent="0.25">
      <c r="C68" s="194" t="s">
        <v>201</v>
      </c>
      <c r="D68" s="28">
        <f t="shared" ref="D68:O68" si="28">+D53</f>
        <v>45505</v>
      </c>
      <c r="E68" s="28">
        <f t="shared" si="28"/>
        <v>45536</v>
      </c>
      <c r="F68" s="28">
        <f t="shared" si="28"/>
        <v>45566</v>
      </c>
      <c r="G68" s="28">
        <f t="shared" si="28"/>
        <v>45597</v>
      </c>
      <c r="H68" s="28">
        <f t="shared" si="28"/>
        <v>45627</v>
      </c>
      <c r="I68" s="28">
        <f t="shared" si="28"/>
        <v>45658</v>
      </c>
      <c r="J68" s="28">
        <f t="shared" si="28"/>
        <v>45689</v>
      </c>
      <c r="K68" s="28">
        <f t="shared" si="28"/>
        <v>45717</v>
      </c>
      <c r="L68" s="28">
        <f t="shared" si="28"/>
        <v>45748</v>
      </c>
      <c r="M68" s="28">
        <f t="shared" si="28"/>
        <v>45778</v>
      </c>
      <c r="N68" s="28">
        <f t="shared" si="28"/>
        <v>45809</v>
      </c>
      <c r="O68" s="28">
        <f t="shared" si="28"/>
        <v>45839</v>
      </c>
      <c r="P68" s="89" t="str">
        <f>+P3</f>
        <v>TOTAL Y20</v>
      </c>
    </row>
    <row r="69" spans="2:16" ht="36" customHeight="1" collapsed="1" thickBot="1" x14ac:dyDescent="0.3">
      <c r="C69" s="77" t="s">
        <v>202</v>
      </c>
      <c r="D69" s="74">
        <f t="shared" ref="D69:O69" si="29">SUM(D70:D77)</f>
        <v>-1390202.57</v>
      </c>
      <c r="E69" s="74">
        <f t="shared" si="29"/>
        <v>-2322475.4500000002</v>
      </c>
      <c r="F69" s="74">
        <f t="shared" si="29"/>
        <v>-1805556.56</v>
      </c>
      <c r="G69" s="74">
        <f t="shared" si="29"/>
        <v>-1621177.31</v>
      </c>
      <c r="H69" s="74">
        <f t="shared" si="29"/>
        <v>-2726718.33</v>
      </c>
      <c r="I69" s="74">
        <f t="shared" si="29"/>
        <v>-2370668.63</v>
      </c>
      <c r="J69" s="74">
        <f t="shared" si="29"/>
        <v>-2046379.1924649999</v>
      </c>
      <c r="K69" s="74">
        <f t="shared" si="29"/>
        <v>-2607546.08</v>
      </c>
      <c r="L69" s="74">
        <f t="shared" si="29"/>
        <v>-2235359.6399999997</v>
      </c>
      <c r="M69" s="74">
        <f t="shared" si="29"/>
        <v>-1965359.64</v>
      </c>
      <c r="N69" s="74">
        <f t="shared" si="29"/>
        <v>0</v>
      </c>
      <c r="O69" s="74">
        <f t="shared" si="29"/>
        <v>0</v>
      </c>
      <c r="P69" s="74">
        <f t="shared" ref="P69:P78" si="30">SUM(D69:O69)</f>
        <v>-21091443.402465001</v>
      </c>
    </row>
    <row r="70" spans="2:16" ht="25.5" hidden="1" customHeight="1" outlineLevel="1" thickTop="1" x14ac:dyDescent="0.25">
      <c r="B70" s="239" t="s">
        <v>261</v>
      </c>
      <c r="C70" s="47" t="s">
        <v>188</v>
      </c>
      <c r="D70" s="211">
        <f>-1066942.37-8260.2</f>
        <v>-1075202.57</v>
      </c>
      <c r="E70" s="211">
        <v>-1194975.45</v>
      </c>
      <c r="F70" s="211">
        <f>-1290573.49-19983.07</f>
        <v>-1310556.56</v>
      </c>
      <c r="G70" s="221">
        <f>-1290573.49-8603.82</f>
        <v>-1299177.31</v>
      </c>
      <c r="H70" s="225">
        <f>-1419630.84-21981.38-71217.46</f>
        <v>-1512829.68</v>
      </c>
      <c r="I70" s="236">
        <f>-1561593.92-12089.76-(1311738.9-1057853.95)</f>
        <v>-1827568.63</v>
      </c>
      <c r="J70" s="225">
        <v>-1686521.4</v>
      </c>
      <c r="K70" s="225">
        <f>-1939499.64-45046.44</f>
        <v>-1984546.0799999998</v>
      </c>
      <c r="L70" s="221">
        <f>-1939499.64-25860</f>
        <v>-1965359.64</v>
      </c>
      <c r="M70" s="221">
        <f>-1939499.64-25860</f>
        <v>-1965359.64</v>
      </c>
      <c r="N70" s="221"/>
      <c r="O70" s="221"/>
      <c r="P70" s="73">
        <f t="shared" si="30"/>
        <v>-15822096.960000001</v>
      </c>
    </row>
    <row r="71" spans="2:16" ht="25.5" hidden="1" customHeight="1" outlineLevel="1" x14ac:dyDescent="0.25">
      <c r="C71" s="47" t="s">
        <v>14</v>
      </c>
      <c r="D71" s="73">
        <v>-250000</v>
      </c>
      <c r="E71" s="73">
        <v>-470000</v>
      </c>
      <c r="F71" s="73">
        <v>-430000</v>
      </c>
      <c r="G71" s="73">
        <v>-257000</v>
      </c>
      <c r="H71" s="73">
        <v>-66800</v>
      </c>
      <c r="I71" s="73">
        <v>-473100</v>
      </c>
      <c r="J71" s="73">
        <v>-289857.79246500001</v>
      </c>
      <c r="K71" s="73">
        <v>-553000</v>
      </c>
      <c r="L71" s="73">
        <v>-200000</v>
      </c>
      <c r="M71" s="73"/>
      <c r="N71" s="73"/>
      <c r="O71" s="73"/>
      <c r="P71" s="73">
        <f t="shared" si="30"/>
        <v>-2989757.7924649999</v>
      </c>
    </row>
    <row r="72" spans="2:16" ht="25.5" hidden="1" customHeight="1" outlineLevel="1" x14ac:dyDescent="0.25">
      <c r="C72" s="47" t="s">
        <v>172</v>
      </c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</row>
    <row r="73" spans="2:16" ht="25.5" hidden="1" customHeight="1" outlineLevel="1" x14ac:dyDescent="0.25">
      <c r="C73" s="47" t="s">
        <v>29</v>
      </c>
      <c r="D73" s="73"/>
      <c r="E73" s="73"/>
      <c r="F73" s="73"/>
      <c r="G73" s="73"/>
      <c r="H73" s="73">
        <v>-649588.65</v>
      </c>
      <c r="I73" s="73"/>
      <c r="J73" s="73"/>
      <c r="K73" s="73"/>
      <c r="L73" s="73"/>
      <c r="M73" s="73"/>
      <c r="N73" s="73"/>
      <c r="O73" s="73"/>
      <c r="P73" s="73">
        <f t="shared" si="30"/>
        <v>-649588.65</v>
      </c>
    </row>
    <row r="74" spans="2:16" ht="25.5" hidden="1" customHeight="1" outlineLevel="1" x14ac:dyDescent="0.25">
      <c r="C74" s="47" t="s">
        <v>189</v>
      </c>
      <c r="D74" s="73"/>
      <c r="E74" s="73"/>
      <c r="F74" s="73"/>
      <c r="G74" s="73"/>
      <c r="H74" s="73">
        <v>-347500</v>
      </c>
      <c r="I74" s="73"/>
      <c r="J74" s="73"/>
      <c r="K74" s="73"/>
      <c r="L74" s="73"/>
      <c r="M74" s="73"/>
      <c r="N74" s="73"/>
      <c r="O74" s="73"/>
      <c r="P74" s="73">
        <f t="shared" si="30"/>
        <v>-347500</v>
      </c>
    </row>
    <row r="75" spans="2:16" ht="25.5" hidden="1" customHeight="1" outlineLevel="1" x14ac:dyDescent="0.25">
      <c r="C75" s="47" t="s">
        <v>112</v>
      </c>
      <c r="D75" s="73">
        <v>-50000</v>
      </c>
      <c r="E75" s="73">
        <v>-50000</v>
      </c>
      <c r="F75" s="73">
        <v>-50000</v>
      </c>
      <c r="G75" s="73">
        <v>-50000</v>
      </c>
      <c r="H75" s="73">
        <v>-50000</v>
      </c>
      <c r="I75" s="73">
        <v>-50000</v>
      </c>
      <c r="J75" s="73">
        <v>-50000</v>
      </c>
      <c r="K75" s="73">
        <v>-50000</v>
      </c>
      <c r="L75" s="73">
        <v>-50000</v>
      </c>
      <c r="M75" s="73"/>
      <c r="N75" s="73"/>
      <c r="O75" s="73"/>
      <c r="P75" s="73">
        <f t="shared" si="30"/>
        <v>-450000</v>
      </c>
    </row>
    <row r="76" spans="2:16" ht="25.5" hidden="1" customHeight="1" outlineLevel="1" x14ac:dyDescent="0.25">
      <c r="C76" s="47" t="s">
        <v>9</v>
      </c>
      <c r="D76" s="73">
        <v>-15000</v>
      </c>
      <c r="E76" s="73">
        <v>-15000</v>
      </c>
      <c r="F76" s="73">
        <v>-15000</v>
      </c>
      <c r="G76" s="73">
        <v>-15000</v>
      </c>
      <c r="H76" s="73">
        <v>-20000</v>
      </c>
      <c r="I76" s="73">
        <v>-20000</v>
      </c>
      <c r="J76" s="73">
        <v>-20000</v>
      </c>
      <c r="K76" s="73">
        <v>-20000</v>
      </c>
      <c r="L76" s="73">
        <v>-20000</v>
      </c>
      <c r="M76" s="73"/>
      <c r="N76" s="73"/>
      <c r="O76" s="73"/>
      <c r="P76" s="73">
        <f t="shared" si="30"/>
        <v>-160000</v>
      </c>
    </row>
    <row r="77" spans="2:16" ht="25.5" hidden="1" customHeight="1" outlineLevel="1" x14ac:dyDescent="0.25">
      <c r="C77" s="47" t="s">
        <v>190</v>
      </c>
      <c r="D77" s="73"/>
      <c r="E77" s="227">
        <f>-E80*E81</f>
        <v>-592500</v>
      </c>
      <c r="F77" s="73"/>
      <c r="G77" s="73"/>
      <c r="H77" s="73">
        <v>-80000</v>
      </c>
      <c r="I77" s="73"/>
      <c r="J77" s="73"/>
      <c r="K77" s="73"/>
      <c r="L77" s="73"/>
      <c r="M77" s="73"/>
      <c r="N77" s="73"/>
      <c r="O77" s="73"/>
      <c r="P77" s="73">
        <f t="shared" si="30"/>
        <v>-672500</v>
      </c>
    </row>
    <row r="78" spans="2:16" ht="14.4" customHeight="1" thickTop="1" x14ac:dyDescent="0.25">
      <c r="C78" s="47"/>
      <c r="D78" s="94"/>
      <c r="E78" s="73"/>
      <c r="F78" s="73"/>
      <c r="G78" s="73"/>
      <c r="H78" s="73"/>
      <c r="I78" s="94"/>
      <c r="J78" s="94"/>
      <c r="K78" s="94"/>
      <c r="L78" s="94"/>
      <c r="M78" s="94"/>
      <c r="N78" s="94"/>
      <c r="O78" s="94"/>
      <c r="P78" s="73">
        <f t="shared" si="30"/>
        <v>0</v>
      </c>
    </row>
    <row r="79" spans="2:16" ht="18" hidden="1" customHeight="1" x14ac:dyDescent="0.25">
      <c r="C79" s="47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</row>
    <row r="80" spans="2:16" ht="22.5" customHeight="1" x14ac:dyDescent="0.25">
      <c r="C80" s="30" t="s">
        <v>228</v>
      </c>
      <c r="D80" s="73"/>
      <c r="E80" s="228">
        <v>500</v>
      </c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>
        <f>SUM(D80:O80)</f>
        <v>500</v>
      </c>
    </row>
    <row r="81" spans="2:16" ht="16.8" customHeight="1" x14ac:dyDescent="0.25">
      <c r="C81" s="49" t="s">
        <v>249</v>
      </c>
      <c r="D81" s="39"/>
      <c r="E81" s="41">
        <v>1185</v>
      </c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</row>
    <row r="82" spans="2:16" ht="27.75" customHeight="1" x14ac:dyDescent="0.25"/>
    <row r="83" spans="2:16" ht="17.25" customHeight="1" x14ac:dyDescent="0.25"/>
    <row r="84" spans="2:16" ht="13.5" customHeight="1" x14ac:dyDescent="0.25">
      <c r="C84" s="50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</row>
    <row r="85" spans="2:16" ht="20.25" customHeight="1" x14ac:dyDescent="0.25"/>
    <row r="86" spans="2:16" ht="22.5" customHeight="1" x14ac:dyDescent="0.25">
      <c r="C86" s="55" t="s">
        <v>25</v>
      </c>
      <c r="N86" s="172"/>
    </row>
    <row r="87" spans="2:16" ht="17.25" customHeight="1" x14ac:dyDescent="0.25"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</row>
    <row r="88" spans="2:16" ht="18" customHeight="1" x14ac:dyDescent="0.25">
      <c r="E88" s="19"/>
    </row>
    <row r="89" spans="2:16" ht="35.25" customHeight="1" x14ac:dyDescent="0.25">
      <c r="C89" s="36" t="s">
        <v>203</v>
      </c>
      <c r="D89" s="28">
        <f>+D3</f>
        <v>45505</v>
      </c>
      <c r="E89" s="28">
        <v>44075</v>
      </c>
      <c r="F89" s="28">
        <v>44105</v>
      </c>
      <c r="G89" s="28">
        <v>44136</v>
      </c>
      <c r="H89" s="28">
        <v>44166</v>
      </c>
      <c r="I89" s="28">
        <v>44197</v>
      </c>
      <c r="J89" s="28">
        <v>44228</v>
      </c>
      <c r="K89" s="28">
        <v>44256</v>
      </c>
      <c r="L89" s="28">
        <v>44287</v>
      </c>
      <c r="M89" s="28">
        <v>44317</v>
      </c>
      <c r="N89" s="28">
        <v>44348</v>
      </c>
      <c r="O89" s="28">
        <v>44378</v>
      </c>
      <c r="P89" s="89" t="str">
        <f>+P3</f>
        <v>TOTAL Y20</v>
      </c>
    </row>
    <row r="90" spans="2:16" ht="22.5" customHeight="1" collapsed="1" thickBot="1" x14ac:dyDescent="0.3">
      <c r="C90" s="54" t="s">
        <v>111</v>
      </c>
      <c r="D90" s="74">
        <f>SUM(D91:D98)</f>
        <v>-1603639.87</v>
      </c>
      <c r="E90" s="74">
        <f t="shared" ref="E90:O90" si="31">SUM(E91:E98)</f>
        <v>-2536642.5699999998</v>
      </c>
      <c r="F90" s="74">
        <f t="shared" si="31"/>
        <v>-2022059.38</v>
      </c>
      <c r="G90" s="74">
        <f t="shared" si="31"/>
        <v>-1822636.46</v>
      </c>
      <c r="H90" s="74">
        <f t="shared" si="31"/>
        <v>-2987809.2199999997</v>
      </c>
      <c r="I90" s="74">
        <f t="shared" si="31"/>
        <v>-2884553.4699999997</v>
      </c>
      <c r="J90" s="74">
        <f t="shared" si="31"/>
        <v>-2522341.2900000005</v>
      </c>
      <c r="K90" s="74">
        <f t="shared" si="31"/>
        <v>-2851636.58</v>
      </c>
      <c r="L90" s="74">
        <f t="shared" si="31"/>
        <v>-2443576.7199999997</v>
      </c>
      <c r="M90" s="74">
        <f t="shared" si="31"/>
        <v>-2142926.54</v>
      </c>
      <c r="N90" s="74">
        <f t="shared" si="31"/>
        <v>0</v>
      </c>
      <c r="O90" s="74">
        <f t="shared" si="31"/>
        <v>0</v>
      </c>
      <c r="P90" s="74">
        <f>SUM(P91:P98)</f>
        <v>-23817822.100000001</v>
      </c>
    </row>
    <row r="91" spans="2:16" ht="22.5" hidden="1" customHeight="1" outlineLevel="1" thickTop="1" x14ac:dyDescent="0.25">
      <c r="B91" s="239" t="s">
        <v>261</v>
      </c>
      <c r="C91" s="47" t="s">
        <v>188</v>
      </c>
      <c r="D91" s="211">
        <f>-1096748.54-8490.96</f>
        <v>-1105239.5</v>
      </c>
      <c r="E91" s="211">
        <v>-1206423.3899999999</v>
      </c>
      <c r="F91" s="211">
        <f>-1302937.26-20174.51</f>
        <v>-1323111.77</v>
      </c>
      <c r="G91" s="221">
        <f>-1302937.26-8686.25</f>
        <v>-1311623.51</v>
      </c>
      <c r="H91" s="225">
        <f>-1433230.99-22191.96-71899.72</f>
        <v>-1527322.67</v>
      </c>
      <c r="I91" s="225">
        <f>-1576554.09-12205.58</f>
        <v>-1588759.6700000002</v>
      </c>
      <c r="J91" s="236">
        <f>-(1702678.42)-(1430249.87-1191874.89)</f>
        <v>-1941053.4000000001</v>
      </c>
      <c r="K91" s="225">
        <f>-1958080.18-45477.99</f>
        <v>-2003558.17</v>
      </c>
      <c r="L91" s="221">
        <f>-1958080.18-26107.74</f>
        <v>-1984187.92</v>
      </c>
      <c r="M91" s="221">
        <f>-1958080.18-26107.74</f>
        <v>-1984187.92</v>
      </c>
      <c r="N91" s="221"/>
      <c r="O91" s="221"/>
      <c r="P91" s="73">
        <f>SUM(D91:O91)</f>
        <v>-15975467.92</v>
      </c>
    </row>
    <row r="92" spans="2:16" ht="22.5" hidden="1" customHeight="1" outlineLevel="1" x14ac:dyDescent="0.25">
      <c r="C92" s="47" t="s">
        <v>14</v>
      </c>
      <c r="D92" s="203">
        <v>-274000</v>
      </c>
      <c r="E92" s="73">
        <v>-513000</v>
      </c>
      <c r="F92" s="73">
        <v>-470000</v>
      </c>
      <c r="G92" s="73">
        <v>-281000</v>
      </c>
      <c r="H92" s="73">
        <v>-73200</v>
      </c>
      <c r="I92" s="73">
        <v>-518700</v>
      </c>
      <c r="J92" s="73">
        <v>-317770</v>
      </c>
      <c r="K92" s="73">
        <v>-606000</v>
      </c>
      <c r="L92" s="73">
        <v>-215000</v>
      </c>
      <c r="M92" s="73"/>
      <c r="N92" s="73"/>
      <c r="O92" s="73"/>
      <c r="P92" s="73">
        <f t="shared" ref="P92:P98" si="32">SUM(D92:O92)</f>
        <v>-3268670</v>
      </c>
    </row>
    <row r="93" spans="2:16" ht="22.5" hidden="1" customHeight="1" outlineLevel="1" x14ac:dyDescent="0.25">
      <c r="C93" s="47" t="s">
        <v>265</v>
      </c>
      <c r="D93" s="73">
        <v>-50000</v>
      </c>
      <c r="E93" s="73">
        <v>-50000</v>
      </c>
      <c r="F93" s="73">
        <v>-50000</v>
      </c>
      <c r="G93" s="73">
        <v>-50000</v>
      </c>
      <c r="H93" s="73">
        <v>-75000</v>
      </c>
      <c r="I93" s="73">
        <v>-75000</v>
      </c>
      <c r="J93" s="73">
        <v>-75000</v>
      </c>
      <c r="K93" s="73">
        <v>-75000</v>
      </c>
      <c r="L93" s="73">
        <v>-75000</v>
      </c>
      <c r="M93" s="73"/>
      <c r="N93" s="73"/>
      <c r="O93" s="73"/>
      <c r="P93" s="73">
        <f t="shared" si="32"/>
        <v>-575000</v>
      </c>
    </row>
    <row r="94" spans="2:16" ht="22.5" hidden="1" customHeight="1" outlineLevel="1" x14ac:dyDescent="0.25">
      <c r="C94" s="47" t="s">
        <v>29</v>
      </c>
      <c r="D94" s="73"/>
      <c r="E94" s="73"/>
      <c r="F94" s="73"/>
      <c r="G94" s="73"/>
      <c r="H94" s="73">
        <v>-655811.75</v>
      </c>
      <c r="I94" s="73"/>
      <c r="J94" s="73"/>
      <c r="K94" s="73"/>
      <c r="L94" s="73"/>
      <c r="M94" s="73"/>
      <c r="N94" s="73"/>
      <c r="O94" s="73"/>
      <c r="P94" s="73">
        <f t="shared" si="32"/>
        <v>-655811.75</v>
      </c>
    </row>
    <row r="95" spans="2:16" ht="22.5" hidden="1" customHeight="1" outlineLevel="1" x14ac:dyDescent="0.25">
      <c r="C95" s="47" t="s">
        <v>189</v>
      </c>
      <c r="D95" s="73"/>
      <c r="E95" s="73"/>
      <c r="F95" s="73"/>
      <c r="G95" s="73"/>
      <c r="H95" s="73">
        <v>-381000</v>
      </c>
      <c r="I95" s="73"/>
      <c r="J95" s="73"/>
      <c r="K95" s="73"/>
      <c r="L95" s="73"/>
      <c r="M95" s="73"/>
      <c r="N95" s="73"/>
      <c r="O95" s="73"/>
      <c r="P95" s="73">
        <f t="shared" si="32"/>
        <v>-381000</v>
      </c>
    </row>
    <row r="96" spans="2:16" ht="22.5" hidden="1" customHeight="1" outlineLevel="1" x14ac:dyDescent="0.25">
      <c r="C96" s="47" t="s">
        <v>245</v>
      </c>
      <c r="D96" s="203">
        <v>-159400.37</v>
      </c>
      <c r="E96" s="203">
        <v>-159719.18</v>
      </c>
      <c r="F96" s="203">
        <v>-163947.60999999999</v>
      </c>
      <c r="G96" s="203">
        <v>-165012.95000000001</v>
      </c>
      <c r="H96" s="203">
        <v>-175474.8</v>
      </c>
      <c r="I96" s="203">
        <v>-182093.8</v>
      </c>
      <c r="J96" s="203">
        <v>-168517.89</v>
      </c>
      <c r="K96" s="203">
        <v>-147078.41</v>
      </c>
      <c r="L96" s="203">
        <v>-149388.79999999999</v>
      </c>
      <c r="M96" s="203">
        <v>-158738.62</v>
      </c>
      <c r="N96" s="203"/>
      <c r="O96" s="203"/>
      <c r="P96" s="73">
        <f t="shared" si="32"/>
        <v>-1629372.4300000002</v>
      </c>
    </row>
    <row r="97" spans="2:17" ht="22.5" hidden="1" customHeight="1" outlineLevel="1" x14ac:dyDescent="0.25">
      <c r="C97" s="47" t="s">
        <v>9</v>
      </c>
      <c r="D97" s="73">
        <v>-15000</v>
      </c>
      <c r="E97" s="73">
        <v>-15000</v>
      </c>
      <c r="F97" s="73">
        <v>-15000</v>
      </c>
      <c r="G97" s="73">
        <v>-15000</v>
      </c>
      <c r="H97" s="73">
        <v>-20000</v>
      </c>
      <c r="I97" s="73">
        <v>-20000</v>
      </c>
      <c r="J97" s="73">
        <v>-20000</v>
      </c>
      <c r="K97" s="73">
        <v>-20000</v>
      </c>
      <c r="L97" s="73">
        <v>-20000</v>
      </c>
      <c r="M97" s="73"/>
      <c r="N97" s="73"/>
      <c r="O97" s="73"/>
      <c r="P97" s="73">
        <f t="shared" si="32"/>
        <v>-160000</v>
      </c>
    </row>
    <row r="98" spans="2:17" ht="22.5" hidden="1" customHeight="1" outlineLevel="1" x14ac:dyDescent="0.25">
      <c r="C98" s="47" t="s">
        <v>190</v>
      </c>
      <c r="D98" s="73"/>
      <c r="E98" s="227">
        <f>-E99*E100</f>
        <v>-592500</v>
      </c>
      <c r="F98" s="73"/>
      <c r="G98" s="73"/>
      <c r="H98" s="73">
        <v>-80000</v>
      </c>
      <c r="I98" s="73">
        <v>-500000</v>
      </c>
      <c r="J98" s="73"/>
      <c r="K98" s="73"/>
      <c r="L98" s="73"/>
      <c r="M98" s="73"/>
      <c r="N98" s="73"/>
      <c r="O98" s="73"/>
      <c r="P98" s="73">
        <f t="shared" si="32"/>
        <v>-1172500</v>
      </c>
      <c r="Q98" s="209"/>
    </row>
    <row r="99" spans="2:17" ht="22.5" customHeight="1" thickTop="1" x14ac:dyDescent="0.25">
      <c r="C99" s="30" t="s">
        <v>228</v>
      </c>
      <c r="D99" s="73"/>
      <c r="E99" s="73">
        <v>500</v>
      </c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</row>
    <row r="100" spans="2:17" ht="22.5" customHeight="1" x14ac:dyDescent="0.25">
      <c r="C100" s="49" t="s">
        <v>249</v>
      </c>
      <c r="D100" s="73"/>
      <c r="E100" s="73">
        <v>1185</v>
      </c>
      <c r="F100" s="73"/>
      <c r="G100" s="73"/>
      <c r="H100" s="73"/>
      <c r="I100" s="73"/>
      <c r="J100" s="73"/>
      <c r="K100" s="73"/>
      <c r="L100" s="73"/>
      <c r="M100" s="39"/>
      <c r="O100" s="172"/>
      <c r="P100" s="73"/>
    </row>
    <row r="101" spans="2:17" ht="22.5" customHeight="1" x14ac:dyDescent="0.25">
      <c r="C101" s="47"/>
      <c r="D101" s="73"/>
      <c r="E101" s="73"/>
      <c r="F101" s="73"/>
      <c r="G101" s="73"/>
      <c r="H101" s="73"/>
      <c r="I101" s="73"/>
      <c r="J101" s="73"/>
      <c r="K101" s="73"/>
      <c r="L101" s="73"/>
      <c r="O101" s="172"/>
      <c r="P101" s="73"/>
    </row>
    <row r="102" spans="2:17" ht="22.5" customHeight="1" x14ac:dyDescent="0.25">
      <c r="C102" s="36" t="s">
        <v>204</v>
      </c>
      <c r="D102" s="28">
        <f t="shared" ref="D102:P102" si="33">D3</f>
        <v>45505</v>
      </c>
      <c r="E102" s="28">
        <f t="shared" si="33"/>
        <v>45536</v>
      </c>
      <c r="F102" s="28">
        <f t="shared" si="33"/>
        <v>45566</v>
      </c>
      <c r="G102" s="28">
        <f t="shared" si="33"/>
        <v>45597</v>
      </c>
      <c r="H102" s="28">
        <f t="shared" si="33"/>
        <v>45627</v>
      </c>
      <c r="I102" s="28">
        <f t="shared" si="33"/>
        <v>45658</v>
      </c>
      <c r="J102" s="28">
        <f t="shared" si="33"/>
        <v>45689</v>
      </c>
      <c r="K102" s="28">
        <f t="shared" si="33"/>
        <v>45717</v>
      </c>
      <c r="L102" s="28">
        <f t="shared" si="33"/>
        <v>45748</v>
      </c>
      <c r="M102" s="28">
        <f t="shared" si="33"/>
        <v>45778</v>
      </c>
      <c r="N102" s="28">
        <f t="shared" si="33"/>
        <v>45809</v>
      </c>
      <c r="O102" s="28">
        <f t="shared" si="33"/>
        <v>45839</v>
      </c>
      <c r="P102" s="89" t="str">
        <f t="shared" si="33"/>
        <v>TOTAL Y20</v>
      </c>
    </row>
    <row r="103" spans="2:17" ht="22.5" customHeight="1" collapsed="1" thickBot="1" x14ac:dyDescent="0.3">
      <c r="C103" s="54" t="s">
        <v>198</v>
      </c>
      <c r="D103" s="74">
        <f t="shared" ref="D103:P103" si="34">SUM(D104:D111)</f>
        <v>-1443200.6300000001</v>
      </c>
      <c r="E103" s="74">
        <f t="shared" si="34"/>
        <v>-2376606.5099999998</v>
      </c>
      <c r="F103" s="74">
        <f t="shared" si="34"/>
        <v>-1859760.25</v>
      </c>
      <c r="G103" s="74">
        <f t="shared" si="34"/>
        <v>-1674272.8800000001</v>
      </c>
      <c r="H103" s="74">
        <f t="shared" si="34"/>
        <v>-2787915.0100000002</v>
      </c>
      <c r="I103" s="74">
        <f t="shared" si="34"/>
        <v>-2682986.36</v>
      </c>
      <c r="J103" s="74">
        <f t="shared" si="34"/>
        <v>-2095361.3924649998</v>
      </c>
      <c r="K103" s="74">
        <f t="shared" si="34"/>
        <v>-2858100.7800000003</v>
      </c>
      <c r="L103" s="74">
        <f t="shared" si="34"/>
        <v>-2242080.84</v>
      </c>
      <c r="M103" s="74">
        <f t="shared" si="34"/>
        <v>-2045469.9</v>
      </c>
      <c r="N103" s="74">
        <f t="shared" si="34"/>
        <v>0</v>
      </c>
      <c r="O103" s="74">
        <f t="shared" si="34"/>
        <v>0</v>
      </c>
      <c r="P103" s="74">
        <f t="shared" si="34"/>
        <v>-22065754.552465003</v>
      </c>
    </row>
    <row r="104" spans="2:17" ht="18.600000000000001" hidden="1" customHeight="1" outlineLevel="1" thickTop="1" x14ac:dyDescent="0.25">
      <c r="B104" s="239" t="s">
        <v>261</v>
      </c>
      <c r="C104" s="47" t="s">
        <v>188</v>
      </c>
      <c r="D104" s="225">
        <f>-1066942.37-8260.2</f>
        <v>-1075202.57</v>
      </c>
      <c r="E104" s="225">
        <v>-1194975.45</v>
      </c>
      <c r="F104" s="225">
        <f>-1290573.49-19983.07</f>
        <v>-1310556.56</v>
      </c>
      <c r="G104" s="221">
        <f>-1290573.49-8603.82</f>
        <v>-1299177.31</v>
      </c>
      <c r="H104" s="225">
        <f>-1419630.84-21981.38-71217.46</f>
        <v>-1512829.68</v>
      </c>
      <c r="I104" s="225">
        <f>-1561593.92-12089.76</f>
        <v>-1573683.68</v>
      </c>
      <c r="J104" s="225">
        <v>-1686521.4</v>
      </c>
      <c r="K104" s="236">
        <f>-1939499.64-45046.44-(1086119.8-875903.07)</f>
        <v>-2194762.81</v>
      </c>
      <c r="L104" s="221">
        <f>-1939499.64-25860</f>
        <v>-1965359.64</v>
      </c>
      <c r="M104" s="221">
        <f>-1939499.64-25860</f>
        <v>-1965359.64</v>
      </c>
      <c r="N104" s="221"/>
      <c r="O104" s="221"/>
      <c r="P104" s="73">
        <f>SUM(D104:O104)</f>
        <v>-15778428.740000002</v>
      </c>
    </row>
    <row r="105" spans="2:17" ht="18.600000000000001" hidden="1" customHeight="1" outlineLevel="1" x14ac:dyDescent="0.25">
      <c r="C105" s="47" t="s">
        <v>14</v>
      </c>
      <c r="D105" s="203">
        <v>-250000</v>
      </c>
      <c r="E105" s="73">
        <v>-470000</v>
      </c>
      <c r="F105" s="73">
        <v>-430000</v>
      </c>
      <c r="G105" s="73">
        <v>-257000</v>
      </c>
      <c r="H105" s="73">
        <v>-66800</v>
      </c>
      <c r="I105" s="73">
        <v>-473100</v>
      </c>
      <c r="J105" s="73">
        <v>-289857.79246500001</v>
      </c>
      <c r="K105" s="73">
        <v>-553000</v>
      </c>
      <c r="L105" s="73">
        <v>-200000</v>
      </c>
      <c r="M105" s="73"/>
      <c r="N105" s="73"/>
      <c r="O105" s="73"/>
      <c r="P105" s="73">
        <f t="shared" ref="P105:P111" si="35">SUM(D105:O105)</f>
        <v>-2989757.7924649999</v>
      </c>
    </row>
    <row r="106" spans="2:17" ht="18.600000000000001" hidden="1" customHeight="1" outlineLevel="1" x14ac:dyDescent="0.25">
      <c r="C106" s="47" t="s">
        <v>29</v>
      </c>
      <c r="D106" s="73"/>
      <c r="E106" s="73"/>
      <c r="F106" s="73"/>
      <c r="G106" s="73"/>
      <c r="H106" s="73">
        <v>-649588.65</v>
      </c>
      <c r="I106" s="73"/>
      <c r="J106" s="73"/>
      <c r="K106" s="73"/>
      <c r="L106" s="73"/>
      <c r="M106" s="73"/>
      <c r="N106" s="203"/>
      <c r="O106" s="73"/>
      <c r="P106" s="73">
        <f t="shared" si="35"/>
        <v>-649588.65</v>
      </c>
    </row>
    <row r="107" spans="2:17" ht="18.600000000000001" hidden="1" customHeight="1" outlineLevel="1" x14ac:dyDescent="0.25">
      <c r="C107" s="47" t="s">
        <v>189</v>
      </c>
      <c r="D107" s="73"/>
      <c r="E107" s="73"/>
      <c r="F107" s="73"/>
      <c r="G107" s="73"/>
      <c r="H107" s="73">
        <v>-347500</v>
      </c>
      <c r="I107" s="73"/>
      <c r="J107" s="73"/>
      <c r="K107" s="73"/>
      <c r="L107" s="73"/>
      <c r="M107" s="73"/>
      <c r="N107" s="73"/>
      <c r="O107" s="73"/>
      <c r="P107" s="73">
        <f t="shared" si="35"/>
        <v>-347500</v>
      </c>
    </row>
    <row r="108" spans="2:17" ht="18.600000000000001" hidden="1" customHeight="1" outlineLevel="1" x14ac:dyDescent="0.25">
      <c r="C108" s="47" t="s">
        <v>245</v>
      </c>
      <c r="D108" s="203">
        <v>-102998.06</v>
      </c>
      <c r="E108" s="203">
        <v>-104131.06</v>
      </c>
      <c r="F108" s="203">
        <v>-104203.69</v>
      </c>
      <c r="G108" s="73">
        <v>-103095.57</v>
      </c>
      <c r="H108" s="73">
        <v>-111196.68</v>
      </c>
      <c r="I108" s="203">
        <v>-116202.68</v>
      </c>
      <c r="J108" s="203">
        <v>-98982.2</v>
      </c>
      <c r="K108" s="203">
        <v>-90337.97</v>
      </c>
      <c r="L108" s="203">
        <v>-56721.2</v>
      </c>
      <c r="M108" s="203">
        <v>-80110.259999999995</v>
      </c>
      <c r="N108" s="203"/>
      <c r="O108" s="203"/>
      <c r="P108" s="73">
        <f t="shared" si="35"/>
        <v>-967979.36999999988</v>
      </c>
    </row>
    <row r="109" spans="2:17" ht="18.600000000000001" hidden="1" customHeight="1" outlineLevel="1" x14ac:dyDescent="0.25">
      <c r="C109" s="47" t="s">
        <v>263</v>
      </c>
      <c r="D109" s="73"/>
      <c r="E109" s="73"/>
      <c r="F109" s="73"/>
      <c r="G109" s="73"/>
      <c r="H109" s="73"/>
      <c r="I109" s="203"/>
      <c r="J109" s="203"/>
      <c r="K109" s="73"/>
      <c r="L109" s="73"/>
      <c r="M109" s="73"/>
      <c r="N109" s="73"/>
      <c r="O109" s="73"/>
      <c r="P109" s="73">
        <f t="shared" si="35"/>
        <v>0</v>
      </c>
    </row>
    <row r="110" spans="2:17" ht="18.600000000000001" hidden="1" customHeight="1" outlineLevel="1" x14ac:dyDescent="0.25">
      <c r="C110" s="47" t="s">
        <v>9</v>
      </c>
      <c r="D110" s="73">
        <v>-15000</v>
      </c>
      <c r="E110" s="73">
        <v>-15000</v>
      </c>
      <c r="F110" s="73">
        <v>-15000</v>
      </c>
      <c r="G110" s="73">
        <v>-15000</v>
      </c>
      <c r="H110" s="73">
        <v>-20000</v>
      </c>
      <c r="I110" s="73">
        <v>-20000</v>
      </c>
      <c r="J110" s="73">
        <v>-20000</v>
      </c>
      <c r="K110" s="73">
        <v>-20000</v>
      </c>
      <c r="L110" s="73">
        <v>-20000</v>
      </c>
      <c r="M110" s="73"/>
      <c r="N110" s="73"/>
      <c r="O110" s="73"/>
      <c r="P110" s="73">
        <f t="shared" si="35"/>
        <v>-160000</v>
      </c>
    </row>
    <row r="111" spans="2:17" ht="18.600000000000001" hidden="1" customHeight="1" outlineLevel="1" x14ac:dyDescent="0.25">
      <c r="C111" s="47" t="s">
        <v>190</v>
      </c>
      <c r="D111" s="73"/>
      <c r="E111" s="227">
        <f>-E112*E113</f>
        <v>-592500</v>
      </c>
      <c r="F111" s="73"/>
      <c r="G111" s="73"/>
      <c r="H111" s="73">
        <v>-80000</v>
      </c>
      <c r="I111" s="73">
        <v>-500000</v>
      </c>
      <c r="J111" s="73"/>
      <c r="K111" s="73"/>
      <c r="L111" s="73"/>
      <c r="M111" s="73"/>
      <c r="N111" s="73"/>
      <c r="O111" s="73"/>
      <c r="P111" s="73">
        <f t="shared" si="35"/>
        <v>-1172500</v>
      </c>
      <c r="Q111" s="209"/>
    </row>
    <row r="112" spans="2:17" ht="27.75" customHeight="1" thickTop="1" x14ac:dyDescent="0.25">
      <c r="C112" s="30" t="s">
        <v>228</v>
      </c>
      <c r="D112" s="73"/>
      <c r="E112" s="73">
        <v>500</v>
      </c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</row>
    <row r="113" spans="2:16" ht="18.75" customHeight="1" x14ac:dyDescent="0.25">
      <c r="B113" s="39"/>
      <c r="C113" s="49" t="s">
        <v>249</v>
      </c>
      <c r="D113" s="39"/>
      <c r="E113" s="39">
        <v>1185</v>
      </c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</row>
    <row r="114" spans="2:16" ht="32.25" customHeight="1" x14ac:dyDescent="0.25">
      <c r="C114" s="44" t="s">
        <v>26</v>
      </c>
    </row>
    <row r="115" spans="2:16" ht="39" customHeight="1" x14ac:dyDescent="0.25">
      <c r="C115" s="77" t="s">
        <v>314</v>
      </c>
      <c r="D115" s="28">
        <f t="shared" ref="D115:P115" si="36">+D3</f>
        <v>45505</v>
      </c>
      <c r="E115" s="28">
        <f t="shared" si="36"/>
        <v>45536</v>
      </c>
      <c r="F115" s="28">
        <f t="shared" si="36"/>
        <v>45566</v>
      </c>
      <c r="G115" s="28">
        <f t="shared" si="36"/>
        <v>45597</v>
      </c>
      <c r="H115" s="28">
        <f t="shared" si="36"/>
        <v>45627</v>
      </c>
      <c r="I115" s="28">
        <f t="shared" si="36"/>
        <v>45658</v>
      </c>
      <c r="J115" s="28">
        <f t="shared" si="36"/>
        <v>45689</v>
      </c>
      <c r="K115" s="28">
        <f t="shared" si="36"/>
        <v>45717</v>
      </c>
      <c r="L115" s="28">
        <f t="shared" si="36"/>
        <v>45748</v>
      </c>
      <c r="M115" s="28">
        <f t="shared" si="36"/>
        <v>45778</v>
      </c>
      <c r="N115" s="28">
        <f t="shared" si="36"/>
        <v>45809</v>
      </c>
      <c r="O115" s="28">
        <f t="shared" si="36"/>
        <v>45839</v>
      </c>
      <c r="P115" s="89" t="str">
        <f t="shared" si="36"/>
        <v>TOTAL Y20</v>
      </c>
    </row>
    <row r="118" spans="2:16" ht="22.5" customHeight="1" collapsed="1" thickBot="1" x14ac:dyDescent="0.3">
      <c r="C118" s="54" t="s">
        <v>314</v>
      </c>
      <c r="D118" s="74">
        <f t="shared" ref="D118:O118" si="37">SUM(D119:D121)</f>
        <v>0</v>
      </c>
      <c r="E118" s="74">
        <f t="shared" si="37"/>
        <v>0</v>
      </c>
      <c r="F118" s="74">
        <f t="shared" si="37"/>
        <v>0</v>
      </c>
      <c r="G118" s="74">
        <f t="shared" si="37"/>
        <v>0</v>
      </c>
      <c r="H118" s="74">
        <f t="shared" si="37"/>
        <v>0</v>
      </c>
      <c r="I118" s="74">
        <f t="shared" si="37"/>
        <v>0</v>
      </c>
      <c r="J118" s="74">
        <f t="shared" si="37"/>
        <v>0</v>
      </c>
      <c r="K118" s="74">
        <f t="shared" si="37"/>
        <v>-400000</v>
      </c>
      <c r="L118" s="74">
        <f t="shared" si="37"/>
        <v>0</v>
      </c>
      <c r="M118" s="74">
        <f t="shared" si="37"/>
        <v>0</v>
      </c>
      <c r="N118" s="74">
        <f t="shared" si="37"/>
        <v>0</v>
      </c>
      <c r="O118" s="74">
        <f t="shared" si="37"/>
        <v>0</v>
      </c>
      <c r="P118" s="74">
        <f>SUM(D118:O118)</f>
        <v>-400000</v>
      </c>
    </row>
    <row r="119" spans="2:16" ht="22.5" hidden="1" customHeight="1" outlineLevel="1" thickTop="1" x14ac:dyDescent="0.25">
      <c r="C119" s="47" t="s">
        <v>316</v>
      </c>
      <c r="D119" s="73"/>
      <c r="E119" s="73"/>
      <c r="F119" s="73"/>
      <c r="G119" s="73"/>
      <c r="H119" s="73"/>
      <c r="I119" s="73"/>
      <c r="J119" s="73"/>
      <c r="K119" s="94">
        <v>-200000</v>
      </c>
      <c r="L119" s="73"/>
      <c r="M119" s="73"/>
      <c r="N119" s="73"/>
      <c r="O119" s="73"/>
      <c r="P119" s="73">
        <f>SUM(D119:O119)</f>
        <v>-200000</v>
      </c>
    </row>
    <row r="120" spans="2:16" ht="22.5" hidden="1" customHeight="1" outlineLevel="1" x14ac:dyDescent="0.25">
      <c r="C120" s="47" t="s">
        <v>315</v>
      </c>
      <c r="D120" s="73"/>
      <c r="E120" s="73"/>
      <c r="F120" s="73"/>
      <c r="G120" s="73"/>
      <c r="H120" s="73"/>
      <c r="I120" s="73"/>
      <c r="J120" s="73"/>
      <c r="K120" s="94">
        <v>-200000</v>
      </c>
      <c r="L120" s="73"/>
      <c r="M120" s="73"/>
      <c r="N120" s="73"/>
      <c r="O120" s="73"/>
      <c r="P120" s="73">
        <f>SUM(D120:O120)</f>
        <v>-200000</v>
      </c>
    </row>
    <row r="121" spans="2:16" ht="22.5" hidden="1" customHeight="1" outlineLevel="1" x14ac:dyDescent="0.25">
      <c r="C121" s="47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>
        <f>SUM(D121:O121)</f>
        <v>0</v>
      </c>
    </row>
    <row r="122" spans="2:16" ht="22.2" customHeight="1" thickTop="1" x14ac:dyDescent="0.25">
      <c r="C122" s="77" t="s">
        <v>30</v>
      </c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</row>
    <row r="123" spans="2:16" ht="10.199999999999999" customHeight="1" x14ac:dyDescent="0.25">
      <c r="C123" s="77"/>
      <c r="D123" s="101"/>
    </row>
    <row r="124" spans="2:16" ht="15" collapsed="1" thickBot="1" x14ac:dyDescent="0.3">
      <c r="C124" s="54"/>
      <c r="D124" s="74">
        <f>SUM(D125:D126)</f>
        <v>0</v>
      </c>
      <c r="E124" s="74">
        <f t="shared" ref="E124:O124" si="38">SUM(E125:E126)</f>
        <v>0</v>
      </c>
      <c r="F124" s="74">
        <f t="shared" si="38"/>
        <v>0</v>
      </c>
      <c r="G124" s="74">
        <f t="shared" si="38"/>
        <v>0</v>
      </c>
      <c r="H124" s="74">
        <f t="shared" si="38"/>
        <v>0</v>
      </c>
      <c r="I124" s="74">
        <f t="shared" si="38"/>
        <v>0</v>
      </c>
      <c r="J124" s="74">
        <f t="shared" si="38"/>
        <v>0</v>
      </c>
      <c r="K124" s="74">
        <f t="shared" si="38"/>
        <v>0</v>
      </c>
      <c r="L124" s="74">
        <f t="shared" si="38"/>
        <v>0</v>
      </c>
      <c r="M124" s="74">
        <f t="shared" si="38"/>
        <v>0</v>
      </c>
      <c r="N124" s="74">
        <f t="shared" si="38"/>
        <v>0</v>
      </c>
      <c r="O124" s="74">
        <f t="shared" si="38"/>
        <v>0</v>
      </c>
      <c r="P124" s="74">
        <f>SUM(D124:O124)</f>
        <v>0</v>
      </c>
    </row>
    <row r="125" spans="2:16" ht="18" hidden="1" customHeight="1" outlineLevel="1" thickTop="1" x14ac:dyDescent="0.25">
      <c r="C125" s="47"/>
      <c r="P125" s="73">
        <f>SUM(D125:O125)</f>
        <v>0</v>
      </c>
    </row>
    <row r="126" spans="2:16" ht="18" hidden="1" customHeight="1" outlineLevel="1" x14ac:dyDescent="0.25">
      <c r="C126" s="47"/>
      <c r="P126" s="73">
        <f>SUM(D126:O126)</f>
        <v>0</v>
      </c>
    </row>
    <row r="127" spans="2:16" ht="15" thickTop="1" x14ac:dyDescent="0.25">
      <c r="C127" s="77"/>
      <c r="P127" s="19"/>
    </row>
  </sheetData>
  <printOptions horizontalCentered="1" verticalCentered="1"/>
  <pageMargins left="0" right="0" top="0" bottom="0" header="0" footer="0"/>
  <pageSetup paperSize="9" scale="50" orientation="landscape" horizontalDpi="1200" verticalDpi="1200" r:id="rId1"/>
  <headerFooter alignWithMargins="0"/>
  <ignoredErrors>
    <ignoredError sqref="D11:O11" formula="1"/>
    <ignoredError sqref="D29:E29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4">
    <outlinePr summaryBelow="0"/>
  </sheetPr>
  <dimension ref="A1:AA92"/>
  <sheetViews>
    <sheetView zoomScale="70" zoomScaleNormal="70" workbookViewId="0">
      <pane ySplit="1" topLeftCell="A2" activePane="bottomLeft" state="frozen"/>
      <selection activeCell="M25" sqref="M25"/>
      <selection pane="bottomLeft" activeCell="N38" sqref="N38"/>
    </sheetView>
  </sheetViews>
  <sheetFormatPr baseColWidth="10" defaultColWidth="9.109375" defaultRowHeight="13.8" outlineLevelRow="3" x14ac:dyDescent="0.25"/>
  <cols>
    <col min="1" max="1" width="6.6640625" style="3" customWidth="1"/>
    <col min="2" max="2" width="37.109375" style="3" customWidth="1"/>
    <col min="3" max="3" width="25.109375" style="3" customWidth="1"/>
    <col min="4" max="15" width="13.109375" style="3" customWidth="1"/>
    <col min="16" max="16" width="17.44140625" style="3" customWidth="1"/>
    <col min="17" max="17" width="11.44140625" style="3" customWidth="1"/>
    <col min="18" max="18" width="11.5546875" style="3" bestFit="1" customWidth="1"/>
    <col min="19" max="19" width="36.44140625" style="3" customWidth="1"/>
    <col min="20" max="16384" width="9.109375" style="3"/>
  </cols>
  <sheetData>
    <row r="1" spans="2:27" ht="32.25" customHeight="1" x14ac:dyDescent="0.25">
      <c r="B1" s="10" t="s">
        <v>44</v>
      </c>
      <c r="N1" s="197"/>
    </row>
    <row r="2" spans="2:27" ht="35.25" customHeight="1" x14ac:dyDescent="0.25">
      <c r="B2" s="190" t="s">
        <v>193</v>
      </c>
      <c r="D2" s="28">
        <f>+'P&amp;L '!D4</f>
        <v>45505</v>
      </c>
      <c r="E2" s="28">
        <f>+'P&amp;L '!E4</f>
        <v>45536</v>
      </c>
      <c r="F2" s="28">
        <f>+'P&amp;L '!F4</f>
        <v>45566</v>
      </c>
      <c r="G2" s="28">
        <f>+'P&amp;L '!G4</f>
        <v>45597</v>
      </c>
      <c r="H2" s="28">
        <f>+'P&amp;L '!H4</f>
        <v>45627</v>
      </c>
      <c r="I2" s="28">
        <f>+'P&amp;L '!I4</f>
        <v>45658</v>
      </c>
      <c r="J2" s="28">
        <f>+'P&amp;L '!J4</f>
        <v>45689</v>
      </c>
      <c r="K2" s="28">
        <f>+'P&amp;L '!K4</f>
        <v>45717</v>
      </c>
      <c r="L2" s="28">
        <f>+'P&amp;L '!L4</f>
        <v>45748</v>
      </c>
      <c r="M2" s="28">
        <f>+'P&amp;L '!M4</f>
        <v>45778</v>
      </c>
      <c r="N2" s="28">
        <f>+'P&amp;L '!N4</f>
        <v>45809</v>
      </c>
      <c r="O2" s="28">
        <f>+'P&amp;L '!O4</f>
        <v>45839</v>
      </c>
      <c r="P2" s="89" t="str">
        <f>+'P&amp;L '!P4</f>
        <v>TOTAL Y20</v>
      </c>
      <c r="Q2" s="28">
        <v>45139</v>
      </c>
    </row>
    <row r="3" spans="2:27" ht="30.75" customHeight="1" collapsed="1" thickBot="1" x14ac:dyDescent="0.3">
      <c r="B3" s="249" t="s">
        <v>173</v>
      </c>
      <c r="C3" s="249" t="s">
        <v>60</v>
      </c>
      <c r="D3" s="74">
        <f t="shared" ref="D3:O3" si="0">SUM(D4:D5)</f>
        <v>-300</v>
      </c>
      <c r="E3" s="74">
        <f t="shared" si="0"/>
        <v>-78060</v>
      </c>
      <c r="F3" s="74">
        <f t="shared" si="0"/>
        <v>-79500</v>
      </c>
      <c r="G3" s="74">
        <f t="shared" si="0"/>
        <v>-80920</v>
      </c>
      <c r="H3" s="74">
        <f t="shared" si="0"/>
        <v>-82780</v>
      </c>
      <c r="I3" s="74">
        <f t="shared" si="0"/>
        <v>-84200</v>
      </c>
      <c r="J3" s="74">
        <f t="shared" si="0"/>
        <v>-86180</v>
      </c>
      <c r="K3" s="74">
        <f t="shared" si="0"/>
        <v>-92461.25</v>
      </c>
      <c r="L3" s="74">
        <f t="shared" si="0"/>
        <v>-93247.5</v>
      </c>
      <c r="M3" s="74">
        <f t="shared" si="0"/>
        <v>-101150</v>
      </c>
      <c r="N3" s="74">
        <f t="shared" si="0"/>
        <v>-102000</v>
      </c>
      <c r="O3" s="74">
        <f t="shared" si="0"/>
        <v>0</v>
      </c>
      <c r="P3" s="74">
        <f>SUM(D3:O3)</f>
        <v>-880798.75</v>
      </c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2:27" ht="30.75" hidden="1" customHeight="1" outlineLevel="1" thickTop="1" x14ac:dyDescent="0.25">
      <c r="B4" s="1" t="s">
        <v>174</v>
      </c>
      <c r="C4" s="1"/>
      <c r="D4" s="18"/>
      <c r="E4" s="215">
        <f>-80*972</f>
        <v>-77760</v>
      </c>
      <c r="F4" s="18">
        <f>-80*990</f>
        <v>-79200</v>
      </c>
      <c r="G4" s="18">
        <f>-80*1011.5</f>
        <v>-80920</v>
      </c>
      <c r="H4" s="18">
        <f>-80*1031</f>
        <v>-82480</v>
      </c>
      <c r="I4" s="18">
        <f>-80*1052.5</f>
        <v>-84200</v>
      </c>
      <c r="J4" s="18">
        <f>-80*1073.5</f>
        <v>-85880</v>
      </c>
      <c r="K4" s="18">
        <f>-85*1084.25</f>
        <v>-92161.25</v>
      </c>
      <c r="L4" s="18">
        <f>-85*1093.5</f>
        <v>-92947.5</v>
      </c>
      <c r="M4" s="18">
        <f>-1190*85</f>
        <v>-101150</v>
      </c>
      <c r="N4" s="18">
        <f>-85*1200</f>
        <v>-102000</v>
      </c>
      <c r="O4" s="214"/>
      <c r="P4" s="18">
        <f>SUM(D4:O4)</f>
        <v>-878698.75</v>
      </c>
      <c r="Q4" s="93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2:27" ht="30.75" hidden="1" customHeight="1" outlineLevel="1" x14ac:dyDescent="0.25">
      <c r="B5" s="1" t="s">
        <v>175</v>
      </c>
      <c r="C5" s="1"/>
      <c r="D5" s="18">
        <v>-300</v>
      </c>
      <c r="E5" s="18">
        <v>-300</v>
      </c>
      <c r="F5" s="18">
        <v>-300</v>
      </c>
      <c r="G5" s="18">
        <v>0</v>
      </c>
      <c r="H5" s="18">
        <v>-300</v>
      </c>
      <c r="I5" s="18">
        <v>0</v>
      </c>
      <c r="J5" s="18">
        <v>-300</v>
      </c>
      <c r="K5" s="18">
        <v>-300</v>
      </c>
      <c r="L5" s="18">
        <v>-300</v>
      </c>
      <c r="M5" s="18"/>
      <c r="N5" s="18"/>
      <c r="O5" s="18"/>
      <c r="P5" s="18">
        <f>SUM(D5:O5)</f>
        <v>-2100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2:27" ht="4.95" customHeight="1" thickTop="1" x14ac:dyDescent="0.25">
      <c r="B6" s="78"/>
      <c r="C6" s="78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2:27" ht="30.75" customHeight="1" collapsed="1" thickBot="1" x14ac:dyDescent="0.3">
      <c r="B7" s="249" t="s">
        <v>0</v>
      </c>
      <c r="C7" s="249"/>
      <c r="D7" s="74">
        <f>D8+D17+D18+D32+D36+D37+D38</f>
        <v>-2061927.3640000001</v>
      </c>
      <c r="E7" s="74">
        <f t="shared" ref="E7:O7" si="1">E8+E17+E18+E32+E36+E37+E38</f>
        <v>-1897302.8559999999</v>
      </c>
      <c r="F7" s="74">
        <f t="shared" si="1"/>
        <v>-2025795.9439999999</v>
      </c>
      <c r="G7" s="74">
        <f t="shared" si="1"/>
        <v>-1849457.4000000001</v>
      </c>
      <c r="H7" s="74">
        <f t="shared" ref="H7:M7" si="2">H8+H17+H18+H32+H36+H37+I38</f>
        <v>-1984081.6549999998</v>
      </c>
      <c r="I7" s="74" t="e">
        <f>I8+I17+I18+I32+I36+#REF!+J38</f>
        <v>#REF!</v>
      </c>
      <c r="J7" s="74">
        <f>J8+J17+J18+J32+J36+I37+K38</f>
        <v>-2905475.12</v>
      </c>
      <c r="K7" s="74">
        <f t="shared" si="2"/>
        <v>-2431302.9350000001</v>
      </c>
      <c r="L7" s="74">
        <f t="shared" si="2"/>
        <v>-2443847.62</v>
      </c>
      <c r="M7" s="74">
        <f t="shared" si="2"/>
        <v>-1248494.52</v>
      </c>
      <c r="N7" s="74">
        <f t="shared" si="1"/>
        <v>-1113019</v>
      </c>
      <c r="O7" s="74">
        <f t="shared" si="1"/>
        <v>-283750</v>
      </c>
      <c r="P7" s="74" t="e">
        <f t="shared" ref="P7:P38" si="3">SUM(D7:O7)</f>
        <v>#REF!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2:27" ht="25.5" hidden="1" customHeight="1" outlineLevel="1" thickTop="1" x14ac:dyDescent="0.25">
      <c r="B8" s="1" t="s">
        <v>52</v>
      </c>
      <c r="C8" s="58"/>
      <c r="D8" s="42">
        <f t="shared" ref="D8:K8" si="4">+D9+D14+D15</f>
        <v>-89332.800000000003</v>
      </c>
      <c r="E8" s="42">
        <f t="shared" si="4"/>
        <v>-20772.8</v>
      </c>
      <c r="F8" s="42">
        <f t="shared" si="4"/>
        <v>-21087.8</v>
      </c>
      <c r="G8" s="42">
        <f t="shared" si="4"/>
        <v>-13437.8</v>
      </c>
      <c r="H8" s="42">
        <f t="shared" si="4"/>
        <v>-5104.12</v>
      </c>
      <c r="I8" s="42">
        <f t="shared" si="4"/>
        <v>-44226.12</v>
      </c>
      <c r="J8" s="42">
        <f t="shared" si="4"/>
        <v>-4475.12</v>
      </c>
      <c r="K8" s="42">
        <f t="shared" si="4"/>
        <v>-107270.12</v>
      </c>
      <c r="L8" s="42">
        <f>+L9+M14+L15</f>
        <v>-49025.120000000003</v>
      </c>
      <c r="M8" s="42">
        <f>+M9+N14+M15</f>
        <v>-48644.52</v>
      </c>
      <c r="N8" s="42">
        <f>+N9+O14+N15</f>
        <v>-1269</v>
      </c>
      <c r="O8" s="42">
        <f>+O9+P14+O15</f>
        <v>0</v>
      </c>
      <c r="P8" s="18">
        <f>+P9+Q14+P15</f>
        <v>-404645.31999999995</v>
      </c>
    </row>
    <row r="9" spans="2:27" ht="25.5" hidden="1" customHeight="1" outlineLevel="2" x14ac:dyDescent="0.25">
      <c r="B9" s="78" t="s">
        <v>186</v>
      </c>
      <c r="C9" s="58"/>
      <c r="D9" s="37">
        <f>SUM(D10:D13)</f>
        <v>-89332.800000000003</v>
      </c>
      <c r="E9" s="37">
        <f t="shared" ref="E9:O9" si="5">SUM(E10:E13)</f>
        <v>-20772.8</v>
      </c>
      <c r="F9" s="37">
        <f t="shared" si="5"/>
        <v>-21087.8</v>
      </c>
      <c r="G9" s="37">
        <f t="shared" si="5"/>
        <v>-13437.8</v>
      </c>
      <c r="H9" s="37">
        <f t="shared" si="5"/>
        <v>-5104.12</v>
      </c>
      <c r="I9" s="37">
        <f t="shared" si="5"/>
        <v>-44226.12</v>
      </c>
      <c r="J9" s="37">
        <f t="shared" si="5"/>
        <v>-4475.12</v>
      </c>
      <c r="K9" s="37">
        <f t="shared" si="5"/>
        <v>-107270.12</v>
      </c>
      <c r="L9" s="37">
        <f t="shared" si="5"/>
        <v>-49025.120000000003</v>
      </c>
      <c r="M9" s="37">
        <f t="shared" si="5"/>
        <v>-48644.52</v>
      </c>
      <c r="N9" s="37">
        <f t="shared" si="5"/>
        <v>-1269</v>
      </c>
      <c r="O9" s="37">
        <f t="shared" si="5"/>
        <v>0</v>
      </c>
      <c r="P9" s="37">
        <f t="shared" si="3"/>
        <v>-404645.31999999995</v>
      </c>
    </row>
    <row r="10" spans="2:27" ht="25.5" hidden="1" customHeight="1" outlineLevel="3" x14ac:dyDescent="0.25">
      <c r="B10" s="79" t="s">
        <v>31</v>
      </c>
      <c r="C10" s="58"/>
      <c r="D10" s="245"/>
      <c r="E10" s="245"/>
      <c r="F10" s="245"/>
      <c r="G10" s="245"/>
      <c r="H10" s="245"/>
      <c r="I10" s="245"/>
      <c r="J10" s="245"/>
      <c r="K10" s="18">
        <v>-44400</v>
      </c>
      <c r="L10" s="18">
        <v>-44400</v>
      </c>
      <c r="M10" s="18">
        <v>-44400</v>
      </c>
      <c r="N10" s="18"/>
      <c r="O10" s="18"/>
      <c r="P10" s="18">
        <f t="shared" ref="P10:P16" si="6">SUM(D10:O10)</f>
        <v>-133200</v>
      </c>
    </row>
    <row r="11" spans="2:27" ht="25.5" hidden="1" customHeight="1" outlineLevel="3" x14ac:dyDescent="0.25">
      <c r="B11" s="79" t="s">
        <v>32</v>
      </c>
      <c r="C11" s="58"/>
      <c r="D11" s="18">
        <v>-86560</v>
      </c>
      <c r="E11" s="18">
        <v>-18000</v>
      </c>
      <c r="F11" s="18">
        <v>-18315</v>
      </c>
      <c r="G11" s="18">
        <v>-10665</v>
      </c>
      <c r="H11" s="18">
        <v>-490</v>
      </c>
      <c r="I11" s="18">
        <v>-7150</v>
      </c>
      <c r="J11" s="18">
        <v>-490</v>
      </c>
      <c r="K11" s="18">
        <v>-58885</v>
      </c>
      <c r="L11" s="18">
        <v>-640</v>
      </c>
      <c r="M11" s="18">
        <v>-3615.52</v>
      </c>
      <c r="N11" s="18">
        <v>-640</v>
      </c>
      <c r="O11" s="18"/>
      <c r="P11" s="18">
        <f t="shared" si="6"/>
        <v>-205450.52</v>
      </c>
    </row>
    <row r="12" spans="2:27" ht="33" hidden="1" customHeight="1" outlineLevel="3" x14ac:dyDescent="0.25">
      <c r="B12" s="79" t="s">
        <v>33</v>
      </c>
      <c r="C12" s="58"/>
      <c r="D12" s="18">
        <v>-2143.8000000000002</v>
      </c>
      <c r="E12" s="18">
        <v>-2143.8000000000002</v>
      </c>
      <c r="F12" s="18">
        <v>-2143.8000000000002</v>
      </c>
      <c r="G12" s="18">
        <v>-2143.8000000000002</v>
      </c>
      <c r="H12" s="18">
        <v>-3985.12</v>
      </c>
      <c r="I12" s="18">
        <f>-16231*2-3985.12</f>
        <v>-36447.120000000003</v>
      </c>
      <c r="J12" s="164">
        <v>-3985.12</v>
      </c>
      <c r="K12" s="164">
        <v>-3985.12</v>
      </c>
      <c r="L12" s="164">
        <v>-3985.12</v>
      </c>
      <c r="M12" s="164">
        <v>-629</v>
      </c>
      <c r="N12" s="164">
        <v>-629</v>
      </c>
      <c r="O12" s="164"/>
      <c r="P12" s="18">
        <f t="shared" si="6"/>
        <v>-62220.80000000001</v>
      </c>
    </row>
    <row r="13" spans="2:27" ht="25.5" hidden="1" customHeight="1" outlineLevel="3" x14ac:dyDescent="0.25">
      <c r="B13" s="79" t="s">
        <v>127</v>
      </c>
      <c r="C13" s="58"/>
      <c r="D13" s="18">
        <f t="shared" ref="D13:I13" si="7">-761.09/1.21</f>
        <v>-629</v>
      </c>
      <c r="E13" s="18">
        <f t="shared" si="7"/>
        <v>-629</v>
      </c>
      <c r="F13" s="18">
        <f t="shared" si="7"/>
        <v>-629</v>
      </c>
      <c r="G13" s="18">
        <f t="shared" si="7"/>
        <v>-629</v>
      </c>
      <c r="H13" s="18">
        <f t="shared" si="7"/>
        <v>-629</v>
      </c>
      <c r="I13" s="18">
        <f t="shared" si="7"/>
        <v>-629</v>
      </c>
      <c r="J13" s="18"/>
      <c r="K13" s="18"/>
      <c r="L13" s="18"/>
      <c r="M13" s="18"/>
      <c r="N13" s="18"/>
      <c r="O13" s="18"/>
      <c r="P13" s="18">
        <f t="shared" si="6"/>
        <v>-3774</v>
      </c>
    </row>
    <row r="14" spans="2:27" ht="25.5" hidden="1" customHeight="1" outlineLevel="2" x14ac:dyDescent="0.25">
      <c r="B14" s="79" t="s">
        <v>176</v>
      </c>
      <c r="C14" s="58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37">
        <f t="shared" si="6"/>
        <v>0</v>
      </c>
    </row>
    <row r="15" spans="2:27" ht="25.5" hidden="1" customHeight="1" outlineLevel="2" x14ac:dyDescent="0.25">
      <c r="B15" s="78" t="s">
        <v>53</v>
      </c>
      <c r="C15" s="58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>
        <f t="shared" si="6"/>
        <v>0</v>
      </c>
    </row>
    <row r="16" spans="2:27" ht="25.5" hidden="1" customHeight="1" outlineLevel="3" x14ac:dyDescent="0.25">
      <c r="B16" s="79" t="s">
        <v>270</v>
      </c>
      <c r="C16" s="58"/>
      <c r="D16" s="222">
        <f>-49200*2</f>
        <v>-98400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>
        <f t="shared" si="6"/>
        <v>-98400</v>
      </c>
    </row>
    <row r="17" spans="1:17" ht="25.2" hidden="1" customHeight="1" outlineLevel="1" x14ac:dyDescent="0.25">
      <c r="B17" s="1" t="s">
        <v>177</v>
      </c>
      <c r="C17" s="58"/>
      <c r="D17" s="18">
        <v>-323200</v>
      </c>
      <c r="E17" s="226">
        <v>-365220</v>
      </c>
      <c r="F17" s="18">
        <v>-365220</v>
      </c>
      <c r="G17" s="18">
        <v>-365220</v>
      </c>
      <c r="H17" s="226">
        <v>-400000</v>
      </c>
      <c r="I17" s="18">
        <v>-400000</v>
      </c>
      <c r="J17" s="18">
        <v>-400000</v>
      </c>
      <c r="K17" s="226">
        <v>-430000</v>
      </c>
      <c r="L17" s="18">
        <v>-430000</v>
      </c>
      <c r="M17" s="18"/>
      <c r="N17" s="18"/>
      <c r="O17" s="18"/>
      <c r="P17" s="18">
        <f t="shared" si="3"/>
        <v>-3478860</v>
      </c>
      <c r="Q17" s="82"/>
    </row>
    <row r="18" spans="1:17" ht="25.5" hidden="1" customHeight="1" outlineLevel="1" x14ac:dyDescent="0.25">
      <c r="B18" s="1" t="s">
        <v>97</v>
      </c>
      <c r="C18" s="58"/>
      <c r="D18" s="80">
        <f>SUM(D19:D31)</f>
        <v>-1316394.564</v>
      </c>
      <c r="E18" s="80">
        <f t="shared" ref="E18:P18" si="8">SUM(E19:E31)</f>
        <v>-1114310.0559999999</v>
      </c>
      <c r="F18" s="80">
        <f t="shared" si="8"/>
        <v>-1278988.1439999999</v>
      </c>
      <c r="G18" s="80">
        <f t="shared" si="8"/>
        <v>-1072799.6000000001</v>
      </c>
      <c r="H18" s="80">
        <f t="shared" si="8"/>
        <v>-956977.53499999992</v>
      </c>
      <c r="I18" s="80">
        <f t="shared" si="8"/>
        <v>-1063320.5150000001</v>
      </c>
      <c r="J18" s="80">
        <f t="shared" si="8"/>
        <v>-1471000</v>
      </c>
      <c r="K18" s="80">
        <f t="shared" si="8"/>
        <v>-1437032.8149999999</v>
      </c>
      <c r="L18" s="80">
        <f t="shared" si="8"/>
        <v>-1477322.5</v>
      </c>
      <c r="M18" s="80">
        <f t="shared" si="8"/>
        <v>-807350</v>
      </c>
      <c r="N18" s="80">
        <f t="shared" si="8"/>
        <v>-811750</v>
      </c>
      <c r="O18" s="80">
        <f t="shared" si="8"/>
        <v>-283750</v>
      </c>
      <c r="P18" s="80">
        <f t="shared" si="8"/>
        <v>-13090995.729</v>
      </c>
    </row>
    <row r="19" spans="1:17" ht="25.5" hidden="1" customHeight="1" outlineLevel="2" x14ac:dyDescent="0.25">
      <c r="B19" s="78" t="s">
        <v>122</v>
      </c>
      <c r="C19" s="5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93"/>
      <c r="P19" s="18">
        <f t="shared" si="3"/>
        <v>0</v>
      </c>
    </row>
    <row r="20" spans="1:17" ht="25.5" hidden="1" customHeight="1" outlineLevel="2" x14ac:dyDescent="0.25">
      <c r="B20" s="78" t="s">
        <v>125</v>
      </c>
      <c r="C20" s="5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>
        <f t="shared" si="3"/>
        <v>0</v>
      </c>
    </row>
    <row r="21" spans="1:17" ht="25.5" hidden="1" customHeight="1" outlineLevel="2" x14ac:dyDescent="0.25">
      <c r="B21" s="78" t="s">
        <v>248</v>
      </c>
      <c r="C21" s="58"/>
      <c r="D21" s="18">
        <f>-1.99*972*1.3</f>
        <v>-2514.5639999999999</v>
      </c>
      <c r="E21" s="18">
        <f>-1.99*994*1.3</f>
        <v>-2571.4780000000001</v>
      </c>
      <c r="F21" s="18">
        <f>-1.99*1013*1.3</f>
        <v>-2620.6309999999999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>
        <f t="shared" si="3"/>
        <v>-7706.6729999999989</v>
      </c>
    </row>
    <row r="22" spans="1:17" ht="25.5" hidden="1" customHeight="1" outlineLevel="2" x14ac:dyDescent="0.25">
      <c r="B22" s="78" t="s">
        <v>253</v>
      </c>
      <c r="C22" s="5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93"/>
      <c r="P22" s="18">
        <f t="shared" si="3"/>
        <v>0</v>
      </c>
    </row>
    <row r="23" spans="1:17" ht="25.5" hidden="1" customHeight="1" outlineLevel="2" x14ac:dyDescent="0.25">
      <c r="B23" s="78" t="s">
        <v>129</v>
      </c>
      <c r="C23" s="58"/>
      <c r="D23" s="18">
        <f>-440*952-150000</f>
        <v>-568880</v>
      </c>
      <c r="E23" s="18">
        <f>-440*974</f>
        <v>-428560</v>
      </c>
      <c r="F23" s="18">
        <f>-440*990</f>
        <v>-435600</v>
      </c>
      <c r="G23" s="18">
        <f>-440*1014.09</f>
        <v>-446199.60000000003</v>
      </c>
      <c r="H23" s="18">
        <f>-440*1032-50000</f>
        <v>-504080</v>
      </c>
      <c r="I23" s="18">
        <f>-440*1057</f>
        <v>-465080</v>
      </c>
      <c r="J23" s="18">
        <f>-1075*440</f>
        <v>-473000</v>
      </c>
      <c r="K23" s="18">
        <f>-440*1087</f>
        <v>-478280</v>
      </c>
      <c r="L23" s="18">
        <f>-440*1094</f>
        <v>-481360</v>
      </c>
      <c r="M23" s="18">
        <f>-1190*440</f>
        <v>-523600</v>
      </c>
      <c r="N23" s="18">
        <f>-1200*440</f>
        <v>-528000</v>
      </c>
      <c r="O23" s="18"/>
      <c r="P23" s="18">
        <f t="shared" si="3"/>
        <v>-5332639.5999999996</v>
      </c>
      <c r="Q23" s="187"/>
    </row>
    <row r="24" spans="1:17" ht="25.5" hidden="1" customHeight="1" outlineLevel="2" x14ac:dyDescent="0.25">
      <c r="B24" s="78" t="s">
        <v>98</v>
      </c>
      <c r="C24" s="58"/>
      <c r="D24" s="18"/>
      <c r="E24" s="18">
        <f>-7.49*994*1.3</f>
        <v>-9678.5780000000013</v>
      </c>
      <c r="F24" s="18">
        <f>-7.49*1013*1.3</f>
        <v>-9863.5810000000001</v>
      </c>
      <c r="G24" s="18"/>
      <c r="H24" s="18">
        <f>-7.49*1055*1.3</f>
        <v>-10272.535</v>
      </c>
      <c r="I24" s="18">
        <f>-7.49*1073.5</f>
        <v>-8040.5150000000003</v>
      </c>
      <c r="J24" s="18"/>
      <c r="K24" s="18">
        <f>-7.49*1093.5</f>
        <v>-8190.3150000000005</v>
      </c>
      <c r="L24" s="18"/>
      <c r="M24" s="18"/>
      <c r="N24" s="18"/>
      <c r="O24" s="18"/>
      <c r="P24" s="18">
        <f t="shared" si="3"/>
        <v>-46045.524000000005</v>
      </c>
    </row>
    <row r="25" spans="1:17" ht="25.5" hidden="1" customHeight="1" outlineLevel="2" x14ac:dyDescent="0.25">
      <c r="B25" s="78" t="s">
        <v>99</v>
      </c>
      <c r="C25" s="5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93"/>
      <c r="P25" s="18">
        <f t="shared" si="3"/>
        <v>0</v>
      </c>
    </row>
    <row r="26" spans="1:17" ht="25.2" hidden="1" customHeight="1" outlineLevel="2" x14ac:dyDescent="0.25">
      <c r="B26" s="78" t="s">
        <v>293</v>
      </c>
      <c r="C26" s="58"/>
      <c r="D26" s="18"/>
      <c r="E26" s="18"/>
      <c r="F26" s="18">
        <f>-8.28*1013*1.3</f>
        <v>-10903.931999999999</v>
      </c>
      <c r="G26" s="18"/>
      <c r="H26" s="18"/>
      <c r="I26" s="18"/>
      <c r="J26" s="18"/>
      <c r="K26" s="18"/>
      <c r="L26" s="18"/>
      <c r="M26" s="18"/>
      <c r="N26" s="18"/>
      <c r="O26" s="18"/>
      <c r="P26" s="18">
        <f t="shared" si="3"/>
        <v>-10903.931999999999</v>
      </c>
    </row>
    <row r="27" spans="1:17" ht="25.2" hidden="1" customHeight="1" outlineLevel="2" x14ac:dyDescent="0.25">
      <c r="B27" s="78" t="s">
        <v>107</v>
      </c>
      <c r="C27" s="5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>
        <f t="shared" si="3"/>
        <v>0</v>
      </c>
    </row>
    <row r="28" spans="1:17" ht="25.2" hidden="1" customHeight="1" outlineLevel="2" x14ac:dyDescent="0.25">
      <c r="A28" s="187">
        <v>185</v>
      </c>
      <c r="B28" s="78" t="s">
        <v>208</v>
      </c>
      <c r="C28" s="5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>
        <f t="shared" si="3"/>
        <v>0</v>
      </c>
    </row>
    <row r="29" spans="1:17" ht="25.2" hidden="1" customHeight="1" outlineLevel="2" x14ac:dyDescent="0.25">
      <c r="A29" s="187"/>
      <c r="B29" s="78" t="s">
        <v>229</v>
      </c>
      <c r="C29" s="5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>
        <f t="shared" si="3"/>
        <v>0</v>
      </c>
    </row>
    <row r="30" spans="1:17" ht="25.5" hidden="1" customHeight="1" outlineLevel="2" x14ac:dyDescent="0.25">
      <c r="B30" s="78" t="s">
        <v>209</v>
      </c>
      <c r="C30" s="58"/>
      <c r="D30" s="18">
        <v>-490000</v>
      </c>
      <c r="E30" s="18">
        <v>-432500</v>
      </c>
      <c r="F30" s="18">
        <v>-590000</v>
      </c>
      <c r="G30" s="18">
        <v>-408600</v>
      </c>
      <c r="H30" s="18">
        <v>-198625</v>
      </c>
      <c r="I30" s="18">
        <v>-590200</v>
      </c>
      <c r="J30" s="18">
        <v>-998000</v>
      </c>
      <c r="K30" s="18">
        <v>-666812.5</v>
      </c>
      <c r="L30" s="18">
        <v>-712212.5</v>
      </c>
      <c r="M30" s="18"/>
      <c r="N30" s="18"/>
      <c r="O30" s="18"/>
      <c r="P30" s="18">
        <f t="shared" si="3"/>
        <v>-5086950</v>
      </c>
    </row>
    <row r="31" spans="1:17" ht="25.5" hidden="1" customHeight="1" outlineLevel="2" x14ac:dyDescent="0.25">
      <c r="B31" s="78" t="s">
        <v>274</v>
      </c>
      <c r="C31" s="58"/>
      <c r="D31" s="18">
        <v>-255000</v>
      </c>
      <c r="E31" s="18">
        <f>-10*20*1205</f>
        <v>-241000</v>
      </c>
      <c r="F31" s="18">
        <f>-20*10*1150</f>
        <v>-230000</v>
      </c>
      <c r="G31" s="18">
        <f>-20*10*1090</f>
        <v>-218000</v>
      </c>
      <c r="H31" s="18">
        <f>-20*10*1220</f>
        <v>-244000</v>
      </c>
      <c r="I31" s="18">
        <v>0</v>
      </c>
      <c r="J31" s="18"/>
      <c r="K31" s="238">
        <f>-10*28375</f>
        <v>-283750</v>
      </c>
      <c r="L31" s="93">
        <f>-10*28375</f>
        <v>-283750</v>
      </c>
      <c r="M31" s="93">
        <f>-10*28375</f>
        <v>-283750</v>
      </c>
      <c r="N31" s="93">
        <f>-10*28375</f>
        <v>-283750</v>
      </c>
      <c r="O31" s="93">
        <f>-10*28375</f>
        <v>-283750</v>
      </c>
      <c r="P31" s="18">
        <f>SUM(D31:O31)</f>
        <v>-2606750</v>
      </c>
    </row>
    <row r="32" spans="1:17" ht="25.5" hidden="1" customHeight="1" outlineLevel="1" x14ac:dyDescent="0.25">
      <c r="B32" s="1" t="s">
        <v>64</v>
      </c>
      <c r="C32" s="5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>
        <f t="shared" si="3"/>
        <v>0</v>
      </c>
    </row>
    <row r="33" spans="2:19" ht="24" hidden="1" customHeight="1" outlineLevel="2" x14ac:dyDescent="0.25">
      <c r="B33" s="78" t="s">
        <v>1</v>
      </c>
      <c r="C33" s="58"/>
      <c r="D33" s="18">
        <v>-112054</v>
      </c>
      <c r="E33" s="18">
        <f>-116538-35992.07</f>
        <v>-152530.07</v>
      </c>
      <c r="F33" s="18">
        <v>-121195</v>
      </c>
      <c r="G33" s="18">
        <v>-121195</v>
      </c>
      <c r="H33" s="18">
        <f>-130276.5-2981.04</f>
        <v>-133257.54</v>
      </c>
      <c r="I33" s="18">
        <f>-130276.5-65535.03</f>
        <v>-195811.53</v>
      </c>
      <c r="J33" s="18"/>
      <c r="K33" s="18"/>
      <c r="L33" s="18"/>
      <c r="M33" s="18"/>
      <c r="N33" s="18"/>
      <c r="O33" s="18"/>
      <c r="P33" s="18">
        <f t="shared" si="3"/>
        <v>-836043.14</v>
      </c>
    </row>
    <row r="34" spans="2:19" ht="24" hidden="1" customHeight="1" outlineLevel="2" x14ac:dyDescent="0.25">
      <c r="B34" s="78" t="s">
        <v>113</v>
      </c>
      <c r="C34" s="5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>
        <f t="shared" si="3"/>
        <v>0</v>
      </c>
    </row>
    <row r="35" spans="2:19" ht="25.5" hidden="1" customHeight="1" outlineLevel="2" x14ac:dyDescent="0.25">
      <c r="B35" s="78" t="s">
        <v>2</v>
      </c>
      <c r="C35" s="5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93"/>
      <c r="P35" s="18">
        <f t="shared" si="3"/>
        <v>0</v>
      </c>
    </row>
    <row r="36" spans="2:19" ht="31.5" hidden="1" customHeight="1" outlineLevel="1" x14ac:dyDescent="0.25">
      <c r="B36" s="1" t="s">
        <v>59</v>
      </c>
      <c r="C36" s="52"/>
      <c r="D36" s="18">
        <v>-58000</v>
      </c>
      <c r="E36" s="18">
        <v>-92000</v>
      </c>
      <c r="F36" s="18">
        <v>-85500</v>
      </c>
      <c r="G36" s="18">
        <v>-73000</v>
      </c>
      <c r="H36" s="18">
        <v>-177000</v>
      </c>
      <c r="I36" s="18">
        <v>-136000</v>
      </c>
      <c r="J36" s="18">
        <v>-185000</v>
      </c>
      <c r="K36" s="18">
        <v>-137000</v>
      </c>
      <c r="L36" s="18">
        <f>-185000/2</f>
        <v>-92500</v>
      </c>
      <c r="M36" s="18">
        <f>-185000/2</f>
        <v>-92500</v>
      </c>
      <c r="N36" s="18"/>
      <c r="O36" s="18"/>
      <c r="P36" s="18">
        <f t="shared" si="3"/>
        <v>-1128500</v>
      </c>
    </row>
    <row r="37" spans="2:19" ht="31.5" hidden="1" customHeight="1" outlineLevel="1" x14ac:dyDescent="0.25">
      <c r="B37" s="1" t="s">
        <v>105</v>
      </c>
      <c r="C37" s="52"/>
      <c r="D37" s="18">
        <v>0</v>
      </c>
      <c r="E37" s="18">
        <v>-30000</v>
      </c>
      <c r="F37" s="18"/>
      <c r="G37" s="18">
        <v>-50000</v>
      </c>
      <c r="H37" s="18">
        <v>-170000</v>
      </c>
      <c r="I37" s="18">
        <v>-570000</v>
      </c>
      <c r="J37" s="18">
        <v>-100000</v>
      </c>
      <c r="K37" s="18">
        <v>-45000</v>
      </c>
      <c r="L37" s="18">
        <v>-120000</v>
      </c>
      <c r="M37" s="18">
        <v>0</v>
      </c>
      <c r="N37" s="18"/>
      <c r="O37" s="18"/>
      <c r="P37" s="18">
        <f t="shared" si="3"/>
        <v>-1085000</v>
      </c>
    </row>
    <row r="38" spans="2:19" ht="24" hidden="1" customHeight="1" outlineLevel="1" x14ac:dyDescent="0.25">
      <c r="B38" s="1" t="s">
        <v>196</v>
      </c>
      <c r="C38" s="52"/>
      <c r="D38" s="215">
        <v>-275000</v>
      </c>
      <c r="E38" s="18">
        <v>-275000</v>
      </c>
      <c r="F38" s="18">
        <v>-275000</v>
      </c>
      <c r="G38" s="18">
        <v>-275000</v>
      </c>
      <c r="H38" s="18">
        <v>-275000</v>
      </c>
      <c r="I38" s="18">
        <v>-275000</v>
      </c>
      <c r="J38" s="18">
        <v>-275000</v>
      </c>
      <c r="K38" s="18">
        <v>-275000</v>
      </c>
      <c r="L38" s="18">
        <v>-275000</v>
      </c>
      <c r="M38" s="18">
        <v>-275000</v>
      </c>
      <c r="N38" s="18">
        <v>-300000</v>
      </c>
      <c r="O38" s="18"/>
      <c r="P38" s="18">
        <f t="shared" si="3"/>
        <v>-3050000</v>
      </c>
    </row>
    <row r="39" spans="2:19" s="173" customFormat="1" ht="21" customHeight="1" thickTop="1" x14ac:dyDescent="0.25">
      <c r="B39" s="105"/>
      <c r="D39" s="31"/>
      <c r="E39" s="31"/>
      <c r="F39" s="31"/>
      <c r="G39" s="31"/>
      <c r="H39" s="31"/>
      <c r="I39" s="31"/>
      <c r="J39" s="31"/>
      <c r="K39" s="26"/>
      <c r="L39" s="31"/>
      <c r="M39" s="31"/>
      <c r="N39" s="31"/>
      <c r="O39" s="31"/>
      <c r="P39" s="53"/>
    </row>
    <row r="40" spans="2:19" ht="33.75" customHeight="1" x14ac:dyDescent="0.25">
      <c r="D40" s="28">
        <f t="shared" ref="D40:P40" si="9">D2</f>
        <v>45505</v>
      </c>
      <c r="E40" s="28">
        <f t="shared" si="9"/>
        <v>45536</v>
      </c>
      <c r="F40" s="28">
        <f t="shared" si="9"/>
        <v>45566</v>
      </c>
      <c r="G40" s="28">
        <f t="shared" si="9"/>
        <v>45597</v>
      </c>
      <c r="H40" s="28">
        <f t="shared" si="9"/>
        <v>45627</v>
      </c>
      <c r="I40" s="28">
        <f t="shared" si="9"/>
        <v>45658</v>
      </c>
      <c r="J40" s="28">
        <f t="shared" si="9"/>
        <v>45689</v>
      </c>
      <c r="K40" s="28">
        <f t="shared" si="9"/>
        <v>45717</v>
      </c>
      <c r="L40" s="28">
        <f t="shared" si="9"/>
        <v>45748</v>
      </c>
      <c r="M40" s="28">
        <f t="shared" si="9"/>
        <v>45778</v>
      </c>
      <c r="N40" s="28">
        <f t="shared" si="9"/>
        <v>45809</v>
      </c>
      <c r="O40" s="28">
        <f t="shared" si="9"/>
        <v>45839</v>
      </c>
      <c r="P40" s="89" t="str">
        <f t="shared" si="9"/>
        <v>TOTAL Y20</v>
      </c>
    </row>
    <row r="41" spans="2:19" ht="31.5" customHeight="1" collapsed="1" thickBot="1" x14ac:dyDescent="0.3">
      <c r="B41" s="250" t="s">
        <v>11</v>
      </c>
      <c r="C41" s="250"/>
      <c r="D41" s="74">
        <f t="shared" ref="D41:O41" si="10">+D42+D46+D60+D66+D71</f>
        <v>-2001009.9999999998</v>
      </c>
      <c r="E41" s="74">
        <f t="shared" si="10"/>
        <v>-2672562.48</v>
      </c>
      <c r="F41" s="74">
        <f t="shared" si="10"/>
        <v>-2033465.75</v>
      </c>
      <c r="G41" s="74">
        <f t="shared" si="10"/>
        <v>-1582722.4</v>
      </c>
      <c r="H41" s="74">
        <f t="shared" si="10"/>
        <v>-2091523.645</v>
      </c>
      <c r="I41" s="74">
        <f t="shared" si="10"/>
        <v>-2130924.62</v>
      </c>
      <c r="J41" s="74">
        <f t="shared" si="10"/>
        <v>-2441588.86</v>
      </c>
      <c r="K41" s="74">
        <f t="shared" si="10"/>
        <v>-2079321.35</v>
      </c>
      <c r="L41" s="74">
        <f t="shared" si="10"/>
        <v>-2337136.09</v>
      </c>
      <c r="M41" s="74">
        <f t="shared" si="10"/>
        <v>-1458000</v>
      </c>
      <c r="N41" s="74">
        <f t="shared" si="10"/>
        <v>-238000</v>
      </c>
      <c r="O41" s="74">
        <f t="shared" si="10"/>
        <v>0</v>
      </c>
      <c r="P41" s="74">
        <f t="shared" ref="P41:P60" si="11">SUM(D41:O41)</f>
        <v>-21066255.195</v>
      </c>
    </row>
    <row r="42" spans="2:19" s="5" customFormat="1" ht="28.5" hidden="1" customHeight="1" outlineLevel="1" thickTop="1" x14ac:dyDescent="0.25">
      <c r="B42" s="1" t="s">
        <v>18</v>
      </c>
      <c r="D42" s="81">
        <f t="shared" ref="D42:O42" si="12">SUM(D43:D45)</f>
        <v>0</v>
      </c>
      <c r="E42" s="81">
        <f t="shared" si="12"/>
        <v>0</v>
      </c>
      <c r="F42" s="81">
        <f t="shared" si="12"/>
        <v>-176500</v>
      </c>
      <c r="G42" s="81">
        <f t="shared" si="12"/>
        <v>0</v>
      </c>
      <c r="H42" s="81">
        <f t="shared" si="12"/>
        <v>0</v>
      </c>
      <c r="I42" s="81">
        <f t="shared" si="12"/>
        <v>0</v>
      </c>
      <c r="J42" s="81">
        <f t="shared" si="12"/>
        <v>0</v>
      </c>
      <c r="K42" s="81">
        <f t="shared" si="12"/>
        <v>0</v>
      </c>
      <c r="L42" s="81">
        <f t="shared" si="12"/>
        <v>-147190.09</v>
      </c>
      <c r="M42" s="81">
        <f t="shared" si="12"/>
        <v>0</v>
      </c>
      <c r="N42" s="81">
        <f t="shared" si="12"/>
        <v>0</v>
      </c>
      <c r="O42" s="81">
        <f t="shared" si="12"/>
        <v>0</v>
      </c>
      <c r="P42" s="81">
        <f t="shared" si="11"/>
        <v>-323690.08999999997</v>
      </c>
      <c r="S42" s="6"/>
    </row>
    <row r="43" spans="2:19" s="5" customFormat="1" ht="28.5" hidden="1" customHeight="1" outlineLevel="2" x14ac:dyDescent="0.25">
      <c r="B43" s="78" t="s">
        <v>178</v>
      </c>
      <c r="D43" s="18"/>
      <c r="E43" s="18"/>
      <c r="F43" s="90"/>
      <c r="G43" s="18"/>
      <c r="H43" s="90"/>
      <c r="I43" s="90"/>
      <c r="J43" s="18"/>
      <c r="K43" s="18"/>
      <c r="L43" s="18"/>
      <c r="M43" s="90"/>
      <c r="N43" s="90"/>
      <c r="O43" s="18"/>
      <c r="P43" s="18">
        <f t="shared" si="11"/>
        <v>0</v>
      </c>
      <c r="S43" s="6"/>
    </row>
    <row r="44" spans="2:19" s="5" customFormat="1" ht="28.5" hidden="1" customHeight="1" outlineLevel="2" x14ac:dyDescent="0.25">
      <c r="B44" s="78" t="s">
        <v>34</v>
      </c>
      <c r="D44" s="18"/>
      <c r="E44" s="18"/>
      <c r="F44" s="18">
        <v>-176500</v>
      </c>
      <c r="G44" s="18"/>
      <c r="H44" s="18"/>
      <c r="I44" s="18"/>
      <c r="J44" s="18"/>
      <c r="K44" s="18"/>
      <c r="L44" s="164">
        <v>-147190.09</v>
      </c>
      <c r="M44" s="18"/>
      <c r="N44" s="18"/>
      <c r="O44" s="90"/>
      <c r="P44" s="18">
        <f t="shared" si="11"/>
        <v>-323690.08999999997</v>
      </c>
      <c r="S44" s="6"/>
    </row>
    <row r="45" spans="2:19" s="5" customFormat="1" ht="28.5" hidden="1" customHeight="1" outlineLevel="2" x14ac:dyDescent="0.25">
      <c r="B45" s="78" t="s">
        <v>252</v>
      </c>
      <c r="D45" s="90"/>
      <c r="E45" s="18"/>
      <c r="F45" s="18"/>
      <c r="G45" s="18"/>
      <c r="H45" s="18"/>
      <c r="I45" s="18"/>
      <c r="J45" s="90"/>
      <c r="K45" s="90"/>
      <c r="L45" s="18"/>
      <c r="M45" s="18"/>
      <c r="N45" s="18"/>
      <c r="O45" s="90"/>
      <c r="P45" s="18">
        <f t="shared" si="11"/>
        <v>0</v>
      </c>
      <c r="S45" s="6"/>
    </row>
    <row r="46" spans="2:19" ht="28.5" hidden="1" customHeight="1" outlineLevel="1" x14ac:dyDescent="0.25">
      <c r="B46" s="1" t="s">
        <v>311</v>
      </c>
      <c r="C46" s="4"/>
      <c r="D46" s="37">
        <f>SUM(D47:D59)</f>
        <v>-1676009.9999999998</v>
      </c>
      <c r="E46" s="37">
        <f t="shared" ref="E46:O46" si="13">SUM(E47:E59)</f>
        <v>-1982148.0799999998</v>
      </c>
      <c r="F46" s="37">
        <f t="shared" si="13"/>
        <v>-1378565.75</v>
      </c>
      <c r="G46" s="37">
        <f t="shared" si="13"/>
        <v>-1432722.4</v>
      </c>
      <c r="H46" s="37">
        <f t="shared" si="13"/>
        <v>-2040948.51</v>
      </c>
      <c r="I46" s="37">
        <f t="shared" si="13"/>
        <v>-2130924.62</v>
      </c>
      <c r="J46" s="37">
        <f t="shared" si="13"/>
        <v>-2324921.86</v>
      </c>
      <c r="K46" s="37">
        <f t="shared" si="13"/>
        <v>-1962654.35</v>
      </c>
      <c r="L46" s="37">
        <f t="shared" si="13"/>
        <v>-2073280</v>
      </c>
      <c r="M46" s="37">
        <f t="shared" si="13"/>
        <v>-1458000</v>
      </c>
      <c r="N46" s="37">
        <f t="shared" si="13"/>
        <v>-238000</v>
      </c>
      <c r="O46" s="37">
        <f t="shared" si="13"/>
        <v>0</v>
      </c>
      <c r="P46" s="37">
        <f t="shared" si="11"/>
        <v>-18698175.57</v>
      </c>
    </row>
    <row r="47" spans="2:19" ht="28.5" hidden="1" customHeight="1" outlineLevel="2" x14ac:dyDescent="0.25">
      <c r="B47" s="78" t="s">
        <v>101</v>
      </c>
      <c r="C47" s="4"/>
      <c r="D47" s="164">
        <f>-653451.01+92.17</f>
        <v>-653358.84</v>
      </c>
      <c r="E47" s="18">
        <f>-654423.74+948.55</f>
        <v>-653475.18999999994</v>
      </c>
      <c r="F47" s="18"/>
      <c r="G47" s="18"/>
      <c r="H47" s="18">
        <v>-657816.71</v>
      </c>
      <c r="I47" s="18">
        <f>-616882.47+19.05</f>
        <v>-616863.41999999993</v>
      </c>
      <c r="J47" s="164">
        <f>-615061.92+602.09</f>
        <v>-614459.83000000007</v>
      </c>
      <c r="K47" s="18"/>
      <c r="L47" s="18"/>
      <c r="M47" s="18"/>
      <c r="N47" s="18"/>
      <c r="O47" s="18"/>
      <c r="P47" s="18">
        <f t="shared" si="11"/>
        <v>-3195973.9899999998</v>
      </c>
    </row>
    <row r="48" spans="2:19" ht="28.5" hidden="1" customHeight="1" outlineLevel="2" x14ac:dyDescent="0.25">
      <c r="B48" s="78" t="s">
        <v>182</v>
      </c>
      <c r="C48" s="4"/>
      <c r="D48" s="18"/>
      <c r="E48" s="18">
        <f>-100*1185-100*1230</f>
        <v>-241500</v>
      </c>
      <c r="F48" s="18">
        <f>-100*1175-100*1230</f>
        <v>-240500</v>
      </c>
      <c r="G48" s="18">
        <f>-100*1135-119000</f>
        <v>-232500</v>
      </c>
      <c r="H48" s="18">
        <f>-100*1110-100*1250</f>
        <v>-236000</v>
      </c>
      <c r="I48" s="18">
        <f>-100*1210-100*1230</f>
        <v>-244000</v>
      </c>
      <c r="J48" s="18">
        <f>-100*1230-100*1220</f>
        <v>-245000</v>
      </c>
      <c r="K48" s="18">
        <f>-100*1230-100*1230</f>
        <v>-246000</v>
      </c>
      <c r="L48" s="18">
        <f>-100*1320-100*1315</f>
        <v>-263500</v>
      </c>
      <c r="M48" s="18">
        <f>-100*1190-100*1190</f>
        <v>-238000</v>
      </c>
      <c r="N48" s="18">
        <f>-100*1180-100*1200</f>
        <v>-238000</v>
      </c>
      <c r="O48" s="18"/>
      <c r="P48" s="18">
        <f t="shared" si="11"/>
        <v>-2425000</v>
      </c>
      <c r="Q48" s="187"/>
    </row>
    <row r="49" spans="2:17" ht="28.2" hidden="1" customHeight="1" outlineLevel="2" x14ac:dyDescent="0.25">
      <c r="B49" s="78" t="s">
        <v>230</v>
      </c>
      <c r="C49" s="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>
        <f t="shared" si="11"/>
        <v>0</v>
      </c>
    </row>
    <row r="50" spans="2:17" ht="28.2" hidden="1" customHeight="1" outlineLevel="2" x14ac:dyDescent="0.25">
      <c r="B50" s="78" t="s">
        <v>244</v>
      </c>
      <c r="C50" s="4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>
        <f t="shared" si="11"/>
        <v>0</v>
      </c>
    </row>
    <row r="51" spans="2:17" ht="28.2" hidden="1" customHeight="1" outlineLevel="2" x14ac:dyDescent="0.25">
      <c r="B51" s="78" t="s">
        <v>236</v>
      </c>
      <c r="C51" s="4"/>
      <c r="D51" s="18">
        <v>-730000</v>
      </c>
      <c r="E51" s="18">
        <v>-800000</v>
      </c>
      <c r="F51" s="18">
        <v>-800000</v>
      </c>
      <c r="G51" s="18">
        <v>-880000</v>
      </c>
      <c r="H51" s="18">
        <v>-880000</v>
      </c>
      <c r="I51" s="18">
        <v>-950000</v>
      </c>
      <c r="J51" s="18">
        <f>-950000-198000</f>
        <v>-1148000</v>
      </c>
      <c r="K51" s="18">
        <v>-990000</v>
      </c>
      <c r="L51" s="18">
        <v>-990000</v>
      </c>
      <c r="M51" s="18">
        <v>-990000</v>
      </c>
      <c r="N51" s="18"/>
      <c r="O51" s="18"/>
      <c r="P51" s="18">
        <f t="shared" si="11"/>
        <v>-9158000</v>
      </c>
    </row>
    <row r="52" spans="2:17" ht="28.2" hidden="1" customHeight="1" outlineLevel="2" x14ac:dyDescent="0.25">
      <c r="B52" s="78" t="s">
        <v>256</v>
      </c>
      <c r="C52" s="4"/>
      <c r="D52" s="18">
        <v>-230000</v>
      </c>
      <c r="E52" s="18">
        <v>-230000</v>
      </c>
      <c r="F52" s="18">
        <v>-230000</v>
      </c>
      <c r="G52" s="18">
        <v>-230000</v>
      </c>
      <c r="H52" s="18">
        <v>-230000</v>
      </c>
      <c r="I52" s="18">
        <v>-230000</v>
      </c>
      <c r="J52" s="18">
        <v>-230000</v>
      </c>
      <c r="K52" s="18">
        <v>-230000</v>
      </c>
      <c r="L52" s="18">
        <v>-230000</v>
      </c>
      <c r="M52" s="18">
        <v>-230000</v>
      </c>
      <c r="N52" s="18"/>
      <c r="O52" s="18"/>
      <c r="P52" s="18">
        <f t="shared" si="11"/>
        <v>-2300000</v>
      </c>
    </row>
    <row r="53" spans="2:17" ht="28.5" hidden="1" customHeight="1" outlineLevel="2" x14ac:dyDescent="0.25">
      <c r="B53" s="78" t="s">
        <v>242</v>
      </c>
      <c r="D53" s="18">
        <f>-(13.73+2.61+32.34)*990*1.3</f>
        <v>-62651.160000000011</v>
      </c>
      <c r="E53" s="18">
        <f>-9.53*1010*1.3</f>
        <v>-12512.89</v>
      </c>
      <c r="F53" s="18">
        <f>-81.1*1025*1.3</f>
        <v>-108065.75</v>
      </c>
      <c r="G53" s="18">
        <f>-33.7*1040*1.3</f>
        <v>-45562.400000000001</v>
      </c>
      <c r="H53" s="18">
        <f>-35.03*1060</f>
        <v>-37131.800000000003</v>
      </c>
      <c r="I53" s="18">
        <f>-83.39*1080</f>
        <v>-90061.2</v>
      </c>
      <c r="J53" s="18">
        <f>-(76.65*1095)</f>
        <v>-83931.75</v>
      </c>
      <c r="K53" s="18">
        <f>-87.47*1105</f>
        <v>-96654.35</v>
      </c>
      <c r="L53" s="93">
        <f>-158.15*1200</f>
        <v>-189780</v>
      </c>
      <c r="M53" s="18"/>
      <c r="N53" s="18"/>
      <c r="O53" s="18"/>
      <c r="P53" s="18">
        <f>SUM(D53:O53)</f>
        <v>-726351.3</v>
      </c>
    </row>
    <row r="54" spans="2:17" ht="28.5" hidden="1" customHeight="1" outlineLevel="2" x14ac:dyDescent="0.25">
      <c r="B54" s="78" t="s">
        <v>226</v>
      </c>
      <c r="C54" s="4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>
        <f t="shared" si="11"/>
        <v>0</v>
      </c>
    </row>
    <row r="55" spans="2:17" ht="28.5" hidden="1" customHeight="1" outlineLevel="2" x14ac:dyDescent="0.25">
      <c r="B55" s="78" t="s">
        <v>238</v>
      </c>
      <c r="C55" s="4"/>
      <c r="D55" s="18"/>
      <c r="E55" s="18">
        <v>-44660</v>
      </c>
      <c r="F55" s="18"/>
      <c r="G55" s="18">
        <v>-44660</v>
      </c>
      <c r="H55" s="18"/>
      <c r="I55" s="18"/>
      <c r="J55" s="18"/>
      <c r="K55" s="18"/>
      <c r="L55" s="18"/>
      <c r="M55" s="18"/>
      <c r="N55" s="18"/>
      <c r="O55" s="18"/>
      <c r="P55" s="18">
        <f t="shared" si="11"/>
        <v>-89320</v>
      </c>
    </row>
    <row r="56" spans="2:17" ht="28.5" hidden="1" customHeight="1" outlineLevel="2" x14ac:dyDescent="0.25">
      <c r="B56" s="78" t="s">
        <v>225</v>
      </c>
      <c r="C56" s="4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>
        <f t="shared" si="11"/>
        <v>0</v>
      </c>
    </row>
    <row r="57" spans="2:17" ht="28.5" hidden="1" customHeight="1" outlineLevel="2" x14ac:dyDescent="0.25">
      <c r="B57" s="78" t="s">
        <v>257</v>
      </c>
      <c r="D57" s="18"/>
      <c r="E57" s="18"/>
      <c r="F57" s="18"/>
      <c r="H57" s="18"/>
      <c r="I57" s="18"/>
      <c r="J57" s="18"/>
      <c r="K57" s="93"/>
      <c r="L57" s="18"/>
      <c r="M57" s="93"/>
      <c r="N57" s="93"/>
      <c r="O57" s="18"/>
      <c r="P57" s="18">
        <f t="shared" si="11"/>
        <v>0</v>
      </c>
    </row>
    <row r="58" spans="2:17" ht="28.5" hidden="1" customHeight="1" outlineLevel="2" x14ac:dyDescent="0.25">
      <c r="B58" s="78" t="s">
        <v>312</v>
      </c>
      <c r="C58" s="4"/>
      <c r="D58" s="18"/>
      <c r="E58" s="18"/>
      <c r="F58" s="18"/>
      <c r="G58" s="18"/>
      <c r="H58" s="18"/>
      <c r="I58" s="18"/>
      <c r="J58" s="18"/>
      <c r="K58" s="18">
        <v>-400000</v>
      </c>
      <c r="L58" s="93">
        <v>-400000</v>
      </c>
      <c r="M58" s="18"/>
      <c r="N58" s="18"/>
      <c r="O58" s="18"/>
      <c r="P58" s="18">
        <f t="shared" si="11"/>
        <v>-800000</v>
      </c>
    </row>
    <row r="59" spans="2:17" ht="28.5" hidden="1" customHeight="1" outlineLevel="2" x14ac:dyDescent="0.25">
      <c r="B59" s="78" t="s">
        <v>313</v>
      </c>
      <c r="C59" s="4"/>
      <c r="D59" s="18"/>
      <c r="E59" s="18"/>
      <c r="F59" s="18"/>
      <c r="G59" s="18"/>
      <c r="H59" s="18"/>
      <c r="I59" s="18"/>
      <c r="J59" s="18">
        <f>-2.48*1095*1.3</f>
        <v>-3530.28</v>
      </c>
      <c r="K59" s="18"/>
      <c r="L59" s="18"/>
      <c r="M59" s="18"/>
      <c r="N59" s="18"/>
      <c r="O59" s="18"/>
      <c r="P59" s="18">
        <f t="shared" si="11"/>
        <v>-3530.28</v>
      </c>
    </row>
    <row r="60" spans="2:17" ht="28.5" hidden="1" customHeight="1" outlineLevel="1" x14ac:dyDescent="0.25">
      <c r="B60" s="1" t="s">
        <v>279</v>
      </c>
      <c r="D60" s="37">
        <f>SUM(D61:D65)</f>
        <v>-325000</v>
      </c>
      <c r="E60" s="37">
        <f t="shared" ref="E60:O60" si="14">SUM(E61:E65)</f>
        <v>-690414.4</v>
      </c>
      <c r="F60" s="37">
        <f t="shared" si="14"/>
        <v>-478400</v>
      </c>
      <c r="G60" s="37">
        <f t="shared" si="14"/>
        <v>-150000</v>
      </c>
      <c r="H60" s="37">
        <f t="shared" si="14"/>
        <v>0</v>
      </c>
      <c r="I60" s="37">
        <f t="shared" si="14"/>
        <v>0</v>
      </c>
      <c r="J60" s="37">
        <f t="shared" si="14"/>
        <v>-116667</v>
      </c>
      <c r="K60" s="37">
        <f t="shared" si="14"/>
        <v>-116667</v>
      </c>
      <c r="L60" s="37">
        <f t="shared" si="14"/>
        <v>-116666</v>
      </c>
      <c r="M60" s="37">
        <f t="shared" si="14"/>
        <v>0</v>
      </c>
      <c r="N60" s="37">
        <f t="shared" si="14"/>
        <v>0</v>
      </c>
      <c r="O60" s="37">
        <f t="shared" si="14"/>
        <v>0</v>
      </c>
      <c r="P60" s="37">
        <f t="shared" si="11"/>
        <v>-1993814.4</v>
      </c>
    </row>
    <row r="61" spans="2:17" ht="28.5" hidden="1" customHeight="1" outlineLevel="2" x14ac:dyDescent="0.25">
      <c r="B61" s="78" t="s">
        <v>185</v>
      </c>
      <c r="D61" s="18"/>
      <c r="G61" s="18"/>
      <c r="H61" s="18"/>
      <c r="J61" s="18">
        <v>-116667</v>
      </c>
      <c r="K61" s="18">
        <v>-116667</v>
      </c>
      <c r="L61" s="93">
        <v>-116666</v>
      </c>
      <c r="N61" s="18"/>
      <c r="P61" s="18">
        <f t="shared" ref="P61:P66" si="15">SUM(D61:O61)</f>
        <v>-350000</v>
      </c>
      <c r="Q61" s="187"/>
    </row>
    <row r="62" spans="2:17" ht="28.5" hidden="1" customHeight="1" outlineLevel="2" x14ac:dyDescent="0.25">
      <c r="B62" s="78" t="s">
        <v>184</v>
      </c>
      <c r="D62" s="223"/>
      <c r="E62" s="18">
        <f>-130*1300</f>
        <v>-169000</v>
      </c>
      <c r="F62" s="18">
        <f>-130*1180</f>
        <v>-153400</v>
      </c>
      <c r="G62" s="164"/>
      <c r="H62" s="18"/>
      <c r="I62" s="18"/>
      <c r="J62" s="18"/>
      <c r="K62" s="18"/>
      <c r="M62" s="18"/>
      <c r="N62" s="18"/>
      <c r="O62" s="18"/>
      <c r="P62" s="18">
        <f t="shared" si="15"/>
        <v>-322400</v>
      </c>
      <c r="Q62" s="187"/>
    </row>
    <row r="63" spans="2:17" ht="28.5" hidden="1" customHeight="1" outlineLevel="2" x14ac:dyDescent="0.25">
      <c r="B63" s="78" t="s">
        <v>280</v>
      </c>
      <c r="D63" s="18">
        <v>-325000</v>
      </c>
      <c r="E63" s="18">
        <v>-325000</v>
      </c>
      <c r="F63" s="18">
        <v>-325000</v>
      </c>
      <c r="G63" s="18">
        <v>-150000</v>
      </c>
      <c r="H63" s="18"/>
      <c r="I63" s="18"/>
      <c r="J63" s="18"/>
      <c r="K63" s="18"/>
      <c r="M63" s="18"/>
      <c r="N63" s="18"/>
      <c r="O63" s="18"/>
      <c r="P63" s="18">
        <f t="shared" si="15"/>
        <v>-1125000</v>
      </c>
      <c r="Q63" s="187"/>
    </row>
    <row r="64" spans="2:17" ht="28.5" hidden="1" customHeight="1" outlineLevel="2" x14ac:dyDescent="0.25">
      <c r="B64" s="78" t="s">
        <v>281</v>
      </c>
      <c r="D64" s="18"/>
      <c r="E64" s="18">
        <f>-152*994*1.3</f>
        <v>-196414.4</v>
      </c>
      <c r="F64" s="18"/>
      <c r="G64" s="164"/>
      <c r="H64" s="18"/>
      <c r="I64" s="18"/>
      <c r="J64" s="18"/>
      <c r="K64" s="18"/>
      <c r="M64" s="18"/>
      <c r="N64" s="18"/>
      <c r="O64" s="18"/>
      <c r="P64" s="18">
        <f t="shared" si="15"/>
        <v>-196414.4</v>
      </c>
      <c r="Q64" s="187"/>
    </row>
    <row r="65" spans="1:16" ht="28.5" hidden="1" customHeight="1" outlineLevel="2" x14ac:dyDescent="0.25">
      <c r="B65" s="78" t="s">
        <v>233</v>
      </c>
      <c r="C65" s="4"/>
      <c r="F65" s="18"/>
      <c r="I65" s="18"/>
      <c r="J65" s="18"/>
      <c r="P65" s="18">
        <f t="shared" si="15"/>
        <v>0</v>
      </c>
    </row>
    <row r="66" spans="1:16" ht="28.5" hidden="1" customHeight="1" outlineLevel="1" x14ac:dyDescent="0.25">
      <c r="B66" s="1" t="s">
        <v>103</v>
      </c>
      <c r="C66" s="4"/>
      <c r="D66" s="37">
        <f t="shared" ref="D66:O66" si="16">SUM(D67:D70)</f>
        <v>0</v>
      </c>
      <c r="E66" s="37">
        <f t="shared" si="16"/>
        <v>0</v>
      </c>
      <c r="F66" s="37">
        <f t="shared" si="16"/>
        <v>0</v>
      </c>
      <c r="G66" s="37">
        <f t="shared" si="16"/>
        <v>0</v>
      </c>
      <c r="H66" s="37">
        <f t="shared" si="16"/>
        <v>-50575.135000000002</v>
      </c>
      <c r="I66" s="37">
        <f t="shared" si="16"/>
        <v>0</v>
      </c>
      <c r="J66" s="37">
        <f t="shared" si="16"/>
        <v>0</v>
      </c>
      <c r="K66" s="37">
        <f t="shared" si="16"/>
        <v>0</v>
      </c>
      <c r="L66" s="37">
        <f t="shared" si="16"/>
        <v>0</v>
      </c>
      <c r="M66" s="37">
        <f t="shared" si="16"/>
        <v>0</v>
      </c>
      <c r="N66" s="37">
        <f t="shared" si="16"/>
        <v>0</v>
      </c>
      <c r="O66" s="37">
        <f t="shared" si="16"/>
        <v>0</v>
      </c>
      <c r="P66" s="18">
        <f t="shared" si="15"/>
        <v>-50575.135000000002</v>
      </c>
    </row>
    <row r="67" spans="1:16" ht="28.5" hidden="1" customHeight="1" outlineLevel="2" x14ac:dyDescent="0.25">
      <c r="B67" s="78" t="s">
        <v>262</v>
      </c>
      <c r="C67" s="4"/>
      <c r="D67" s="18"/>
      <c r="E67" s="18"/>
      <c r="F67" s="18"/>
      <c r="G67" s="18"/>
      <c r="H67" s="223">
        <f>-21.99*1050*1.3</f>
        <v>-30016.350000000002</v>
      </c>
      <c r="I67" s="18"/>
      <c r="J67" s="93"/>
      <c r="K67" s="18"/>
      <c r="L67" s="18"/>
      <c r="M67" s="93"/>
      <c r="N67" s="18"/>
      <c r="O67" s="18"/>
      <c r="P67" s="18">
        <f t="shared" ref="P67:P75" si="17">SUM(D67:O67)</f>
        <v>-30016.350000000002</v>
      </c>
    </row>
    <row r="68" spans="1:16" ht="28.5" hidden="1" customHeight="1" outlineLevel="2" x14ac:dyDescent="0.25">
      <c r="B68" s="78" t="s">
        <v>301</v>
      </c>
      <c r="C68" s="78"/>
      <c r="D68" s="18"/>
      <c r="E68" s="93"/>
      <c r="F68" s="93"/>
      <c r="G68" s="18"/>
      <c r="H68" s="18">
        <f>-14.99*1055*1.3</f>
        <v>-20558.785</v>
      </c>
      <c r="I68" s="18"/>
      <c r="J68" s="93"/>
      <c r="K68" s="18"/>
      <c r="L68" s="93"/>
      <c r="M68" s="93"/>
      <c r="N68" s="18"/>
      <c r="O68" s="18"/>
      <c r="P68" s="18">
        <f t="shared" si="17"/>
        <v>-20558.785</v>
      </c>
    </row>
    <row r="69" spans="1:16" ht="28.5" hidden="1" customHeight="1" outlineLevel="2" x14ac:dyDescent="0.25">
      <c r="A69" s="187"/>
      <c r="B69" s="78" t="s">
        <v>179</v>
      </c>
      <c r="C69" s="78"/>
      <c r="D69" s="18"/>
      <c r="E69" s="93"/>
      <c r="F69" s="93"/>
      <c r="G69" s="18"/>
      <c r="H69" s="18"/>
      <c r="I69" s="18"/>
      <c r="J69" s="93"/>
      <c r="K69" s="18"/>
      <c r="L69" s="93"/>
      <c r="M69" s="93"/>
      <c r="N69" s="18"/>
      <c r="O69" s="18"/>
      <c r="P69" s="18">
        <f t="shared" si="17"/>
        <v>0</v>
      </c>
    </row>
    <row r="70" spans="1:16" ht="28.5" hidden="1" customHeight="1" outlineLevel="2" x14ac:dyDescent="0.25">
      <c r="B70" s="78" t="s">
        <v>180</v>
      </c>
      <c r="D70" s="18"/>
      <c r="E70" s="18"/>
      <c r="F70" s="93"/>
      <c r="G70" s="18"/>
      <c r="H70" s="18"/>
      <c r="I70" s="18"/>
      <c r="J70" s="93"/>
      <c r="K70" s="18"/>
      <c r="L70" s="93"/>
      <c r="M70" s="93"/>
      <c r="N70" s="18"/>
      <c r="O70" s="18"/>
      <c r="P70" s="18">
        <f t="shared" si="17"/>
        <v>0</v>
      </c>
    </row>
    <row r="71" spans="1:16" ht="28.5" hidden="1" customHeight="1" outlineLevel="1" x14ac:dyDescent="0.25">
      <c r="B71" s="1" t="s">
        <v>58</v>
      </c>
      <c r="C71" s="4"/>
      <c r="D71" s="37">
        <f>+D72</f>
        <v>0</v>
      </c>
      <c r="E71" s="37">
        <f>+E72</f>
        <v>0</v>
      </c>
      <c r="F71" s="37">
        <f t="shared" ref="F71:O71" si="18">+F72</f>
        <v>0</v>
      </c>
      <c r="G71" s="37">
        <f t="shared" si="18"/>
        <v>0</v>
      </c>
      <c r="H71" s="37">
        <f t="shared" si="18"/>
        <v>0</v>
      </c>
      <c r="I71" s="37">
        <f t="shared" si="18"/>
        <v>0</v>
      </c>
      <c r="J71" s="37">
        <f t="shared" si="18"/>
        <v>0</v>
      </c>
      <c r="K71" s="37">
        <f t="shared" si="18"/>
        <v>0</v>
      </c>
      <c r="L71" s="37">
        <f t="shared" si="18"/>
        <v>0</v>
      </c>
      <c r="M71" s="37">
        <f t="shared" si="18"/>
        <v>0</v>
      </c>
      <c r="N71" s="37">
        <f t="shared" si="18"/>
        <v>0</v>
      </c>
      <c r="O71" s="37">
        <f t="shared" si="18"/>
        <v>0</v>
      </c>
      <c r="P71" s="18">
        <f t="shared" si="17"/>
        <v>0</v>
      </c>
    </row>
    <row r="72" spans="1:16" ht="28.5" hidden="1" customHeight="1" outlineLevel="2" x14ac:dyDescent="0.25">
      <c r="B72" s="1" t="s">
        <v>181</v>
      </c>
      <c r="C72" s="4"/>
      <c r="D72" s="18">
        <f>SUM(D73:D75)</f>
        <v>0</v>
      </c>
      <c r="E72" s="18">
        <f t="shared" ref="E72:O72" si="19">SUM(E73:E75)</f>
        <v>0</v>
      </c>
      <c r="F72" s="18">
        <f t="shared" si="19"/>
        <v>0</v>
      </c>
      <c r="G72" s="18">
        <f t="shared" si="19"/>
        <v>0</v>
      </c>
      <c r="H72" s="18">
        <f t="shared" si="19"/>
        <v>0</v>
      </c>
      <c r="I72" s="18">
        <f t="shared" si="19"/>
        <v>0</v>
      </c>
      <c r="J72" s="18">
        <f t="shared" si="19"/>
        <v>0</v>
      </c>
      <c r="K72" s="18">
        <f t="shared" si="19"/>
        <v>0</v>
      </c>
      <c r="L72" s="18">
        <f t="shared" si="19"/>
        <v>0</v>
      </c>
      <c r="M72" s="18">
        <f t="shared" si="19"/>
        <v>0</v>
      </c>
      <c r="N72" s="18">
        <f t="shared" si="19"/>
        <v>0</v>
      </c>
      <c r="O72" s="18">
        <f t="shared" si="19"/>
        <v>0</v>
      </c>
      <c r="P72" s="18">
        <f t="shared" si="17"/>
        <v>0</v>
      </c>
    </row>
    <row r="73" spans="1:16" ht="28.5" hidden="1" customHeight="1" outlineLevel="3" x14ac:dyDescent="0.25">
      <c r="B73" s="92" t="s">
        <v>96</v>
      </c>
      <c r="C73" s="4"/>
      <c r="D73" s="90"/>
      <c r="E73" s="18"/>
      <c r="F73" s="90"/>
      <c r="G73" s="90"/>
      <c r="H73" s="18"/>
      <c r="I73" s="18"/>
      <c r="J73" s="90"/>
      <c r="K73" s="18"/>
      <c r="L73" s="90"/>
      <c r="M73" s="90"/>
      <c r="N73" s="90"/>
      <c r="O73" s="90"/>
      <c r="P73" s="18">
        <f t="shared" si="17"/>
        <v>0</v>
      </c>
    </row>
    <row r="74" spans="1:16" ht="14.4" hidden="1" customHeight="1" outlineLevel="3" x14ac:dyDescent="0.25">
      <c r="B74" s="92"/>
      <c r="C74" s="4"/>
      <c r="D74" s="90"/>
      <c r="E74" s="18"/>
      <c r="F74" s="90"/>
      <c r="G74" s="90"/>
      <c r="H74" s="18"/>
      <c r="I74" s="18"/>
      <c r="J74" s="90"/>
      <c r="K74" s="18"/>
      <c r="L74" s="90"/>
      <c r="M74" s="90"/>
      <c r="N74" s="90"/>
      <c r="O74" s="90"/>
      <c r="P74" s="18">
        <f t="shared" si="17"/>
        <v>0</v>
      </c>
    </row>
    <row r="75" spans="1:16" ht="28.2" hidden="1" customHeight="1" outlineLevel="3" x14ac:dyDescent="0.25">
      <c r="B75" s="92"/>
      <c r="C75" s="4"/>
      <c r="D75" s="90"/>
      <c r="E75" s="18"/>
      <c r="F75" s="90"/>
      <c r="G75" s="90"/>
      <c r="H75" s="18"/>
      <c r="I75" s="18"/>
      <c r="J75" s="90"/>
      <c r="K75" s="18"/>
      <c r="L75" s="90"/>
      <c r="M75" s="90"/>
      <c r="N75" s="90"/>
      <c r="O75" s="90"/>
      <c r="P75" s="18">
        <f t="shared" si="17"/>
        <v>0</v>
      </c>
    </row>
    <row r="76" spans="1:16" s="173" customFormat="1" ht="9" customHeight="1" thickTop="1" x14ac:dyDescent="0.25">
      <c r="B76" s="10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4"/>
    </row>
    <row r="77" spans="1:16" ht="28.2" customHeight="1" x14ac:dyDescent="0.25">
      <c r="D77" s="28">
        <f t="shared" ref="D77:P77" si="20">D2</f>
        <v>45505</v>
      </c>
      <c r="E77" s="28">
        <f t="shared" si="20"/>
        <v>45536</v>
      </c>
      <c r="F77" s="28">
        <f t="shared" si="20"/>
        <v>45566</v>
      </c>
      <c r="G77" s="28">
        <f t="shared" si="20"/>
        <v>45597</v>
      </c>
      <c r="H77" s="28">
        <f t="shared" si="20"/>
        <v>45627</v>
      </c>
      <c r="I77" s="28">
        <f t="shared" si="20"/>
        <v>45658</v>
      </c>
      <c r="J77" s="28">
        <f t="shared" si="20"/>
        <v>45689</v>
      </c>
      <c r="K77" s="28">
        <f t="shared" si="20"/>
        <v>45717</v>
      </c>
      <c r="L77" s="28">
        <f t="shared" si="20"/>
        <v>45748</v>
      </c>
      <c r="M77" s="28">
        <f t="shared" si="20"/>
        <v>45778</v>
      </c>
      <c r="N77" s="28">
        <f t="shared" si="20"/>
        <v>45809</v>
      </c>
      <c r="O77" s="28">
        <f t="shared" si="20"/>
        <v>45839</v>
      </c>
      <c r="P77" s="89" t="str">
        <f t="shared" si="20"/>
        <v>TOTAL Y20</v>
      </c>
    </row>
    <row r="78" spans="1:16" ht="30" customHeight="1" collapsed="1" thickBot="1" x14ac:dyDescent="0.3">
      <c r="B78" s="250" t="s">
        <v>3</v>
      </c>
      <c r="C78" s="250"/>
      <c r="D78" s="74">
        <f>SUM(D79:D85)</f>
        <v>-38163.936000000002</v>
      </c>
      <c r="E78" s="74">
        <f t="shared" ref="E78:O78" si="21">SUM(E79:E85)</f>
        <v>-162282.68400000001</v>
      </c>
      <c r="F78" s="74">
        <f t="shared" si="21"/>
        <v>-68896.765000000014</v>
      </c>
      <c r="G78" s="74">
        <f t="shared" si="21"/>
        <v>-181200</v>
      </c>
      <c r="H78" s="74">
        <f t="shared" si="21"/>
        <v>-95359.28</v>
      </c>
      <c r="I78" s="74">
        <f t="shared" si="21"/>
        <v>-209655.715</v>
      </c>
      <c r="J78" s="74">
        <f t="shared" si="21"/>
        <v>-19400</v>
      </c>
      <c r="K78" s="74">
        <f t="shared" si="21"/>
        <v>-78181.774999999994</v>
      </c>
      <c r="L78" s="74">
        <f t="shared" si="21"/>
        <v>0</v>
      </c>
      <c r="M78" s="74">
        <f t="shared" si="21"/>
        <v>-12000</v>
      </c>
      <c r="N78" s="74">
        <f t="shared" si="21"/>
        <v>0</v>
      </c>
      <c r="O78" s="74">
        <f t="shared" si="21"/>
        <v>0</v>
      </c>
      <c r="P78" s="74">
        <f>SUM(D78:O78)</f>
        <v>-865140.15500000003</v>
      </c>
    </row>
    <row r="79" spans="1:16" ht="23.25" hidden="1" customHeight="1" outlineLevel="1" thickTop="1" x14ac:dyDescent="0.25">
      <c r="B79" s="1" t="s">
        <v>6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>
        <f t="shared" ref="P79:P85" si="22">SUM(D79:O79)</f>
        <v>0</v>
      </c>
    </row>
    <row r="80" spans="1:16" ht="23.25" hidden="1" customHeight="1" outlineLevel="1" x14ac:dyDescent="0.25">
      <c r="B80" s="1" t="s">
        <v>264</v>
      </c>
      <c r="D80" s="18"/>
      <c r="E80" s="18"/>
      <c r="F80" s="18">
        <v>-2500</v>
      </c>
      <c r="G80" s="18"/>
      <c r="H80" s="18"/>
      <c r="I80" s="18"/>
      <c r="J80" s="18">
        <v>-14100</v>
      </c>
      <c r="K80" s="18"/>
      <c r="L80" s="18"/>
      <c r="M80" s="164">
        <v>-12000</v>
      </c>
      <c r="N80" s="18"/>
      <c r="O80" s="18"/>
      <c r="P80" s="18">
        <f t="shared" si="22"/>
        <v>-28600</v>
      </c>
    </row>
    <row r="81" spans="2:16" ht="23.25" hidden="1" customHeight="1" outlineLevel="1" x14ac:dyDescent="0.25">
      <c r="B81" s="1" t="s">
        <v>61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>
        <f t="shared" si="22"/>
        <v>0</v>
      </c>
    </row>
    <row r="82" spans="2:16" ht="23.25" hidden="1" customHeight="1" outlineLevel="1" x14ac:dyDescent="0.25">
      <c r="B82" s="1" t="s">
        <v>5</v>
      </c>
      <c r="D82" s="18"/>
      <c r="E82" s="18"/>
      <c r="F82" s="18"/>
      <c r="G82" s="18"/>
      <c r="H82" s="18"/>
      <c r="I82" s="18">
        <f>-125.44*1073.5</f>
        <v>-134659.84</v>
      </c>
      <c r="J82" s="18"/>
      <c r="K82" s="18"/>
      <c r="L82" s="18"/>
      <c r="M82" s="18"/>
      <c r="N82" s="18"/>
      <c r="O82" s="18"/>
      <c r="P82" s="18">
        <f t="shared" si="22"/>
        <v>-134659.84</v>
      </c>
    </row>
    <row r="83" spans="2:16" ht="23.25" hidden="1" customHeight="1" outlineLevel="1" x14ac:dyDescent="0.25">
      <c r="B83" s="1" t="s">
        <v>106</v>
      </c>
      <c r="D83" s="18"/>
      <c r="E83" s="18"/>
      <c r="F83" s="18"/>
      <c r="G83" s="18">
        <v>-176500</v>
      </c>
      <c r="H83" s="18"/>
      <c r="I83" s="18"/>
      <c r="J83" s="18"/>
      <c r="K83" s="18"/>
      <c r="L83" s="18"/>
      <c r="N83" s="93"/>
      <c r="O83" s="18"/>
      <c r="P83" s="18">
        <f t="shared" si="22"/>
        <v>-176500</v>
      </c>
    </row>
    <row r="84" spans="2:16" ht="23.25" hidden="1" customHeight="1" outlineLevel="1" x14ac:dyDescent="0.25">
      <c r="B84" s="1" t="s">
        <v>258</v>
      </c>
      <c r="D84" s="18">
        <v>-4350</v>
      </c>
      <c r="E84" s="18">
        <v>-4350</v>
      </c>
      <c r="F84" s="18">
        <v>-4700</v>
      </c>
      <c r="G84" s="18">
        <v>-4700</v>
      </c>
      <c r="H84" s="18">
        <v>-4950</v>
      </c>
      <c r="I84" s="18">
        <v>-4950</v>
      </c>
      <c r="J84" s="18">
        <v>-5300</v>
      </c>
      <c r="K84" s="18">
        <v>-5300</v>
      </c>
      <c r="L84" s="18"/>
      <c r="M84" s="18"/>
      <c r="N84" s="18"/>
      <c r="O84" s="18"/>
      <c r="P84" s="18">
        <f t="shared" si="22"/>
        <v>-38600</v>
      </c>
    </row>
    <row r="85" spans="2:16" ht="23.25" hidden="1" customHeight="1" outlineLevel="1" x14ac:dyDescent="0.25">
      <c r="B85" s="1" t="s">
        <v>259</v>
      </c>
      <c r="D85" s="18">
        <f>-26.76*972*1.3</f>
        <v>-33813.936000000002</v>
      </c>
      <c r="E85" s="18">
        <f>-(75.13+27.09+20)*994*1.3</f>
        <v>-157932.68400000001</v>
      </c>
      <c r="F85" s="18">
        <f>-26.85*1013*1.3-20*1013*1.3</f>
        <v>-61696.765000000007</v>
      </c>
      <c r="G85" s="18"/>
      <c r="H85" s="18">
        <f>-19.99*1055*1.3-25.93*1055*1.3-20*1055*1.3</f>
        <v>-90409.279999999999</v>
      </c>
      <c r="I85" s="18">
        <f>-(25.26+20+19.99)*1073.5</f>
        <v>-70045.875</v>
      </c>
      <c r="J85" s="18"/>
      <c r="K85" s="18">
        <f>-(26.66+20+19.99)*1093.5</f>
        <v>-72881.774999999994</v>
      </c>
      <c r="L85" s="18"/>
      <c r="M85" s="18"/>
      <c r="N85" s="18"/>
      <c r="O85" s="18"/>
      <c r="P85" s="18">
        <f t="shared" si="22"/>
        <v>-486780.31500000006</v>
      </c>
    </row>
    <row r="86" spans="2:16" ht="14.4" thickTop="1" x14ac:dyDescent="0.25"/>
    <row r="92" spans="2:16" x14ac:dyDescent="0.25">
      <c r="L92"/>
      <c r="M92"/>
    </row>
  </sheetData>
  <mergeCells count="4">
    <mergeCell ref="B7:C7"/>
    <mergeCell ref="B41:C41"/>
    <mergeCell ref="B78:C78"/>
    <mergeCell ref="B3:C3"/>
  </mergeCells>
  <printOptions horizontalCentered="1" verticalCentered="1"/>
  <pageMargins left="0.39370078740157483" right="0.39370078740157483" top="0.39370078740157483" bottom="0.39370078740157483" header="0" footer="0"/>
  <pageSetup paperSize="9" scale="55" orientation="landscape" r:id="rId1"/>
  <headerFooter alignWithMargins="0"/>
  <ignoredErrors>
    <ignoredError sqref="M9:O9 D72" formulaRange="1"/>
    <ignoredError sqref="P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outlinePr summaryBelow="0"/>
  </sheetPr>
  <dimension ref="A1:P246"/>
  <sheetViews>
    <sheetView zoomScale="80" zoomScaleNormal="80" workbookViewId="0">
      <pane ySplit="3" topLeftCell="A135" activePane="bottomLeft" state="frozen"/>
      <selection activeCell="C18" sqref="C18"/>
      <selection pane="bottomLeft"/>
    </sheetView>
  </sheetViews>
  <sheetFormatPr baseColWidth="10" defaultColWidth="9.109375" defaultRowHeight="13.8" outlineLevelRow="2" outlineLevelCol="1" x14ac:dyDescent="0.25"/>
  <cols>
    <col min="1" max="1" width="7.5546875" style="25" customWidth="1"/>
    <col min="2" max="2" width="45.6640625" style="8" customWidth="1"/>
    <col min="3" max="14" width="14.109375" style="8" customWidth="1" outlineLevel="1"/>
    <col min="15" max="15" width="19" style="8" customWidth="1"/>
    <col min="16" max="16" width="10" style="8" customWidth="1"/>
    <col min="17" max="16384" width="9.109375" style="8"/>
  </cols>
  <sheetData>
    <row r="1" spans="1:16" ht="42.6" customHeight="1" x14ac:dyDescent="0.25">
      <c r="B1" s="10" t="s">
        <v>117</v>
      </c>
    </row>
    <row r="2" spans="1:16" ht="15" hidden="1" customHeight="1" thickBot="1" x14ac:dyDescent="0.3">
      <c r="A2" s="193"/>
      <c r="B2" s="11"/>
    </row>
    <row r="3" spans="1:16" ht="80.400000000000006" customHeight="1" x14ac:dyDescent="0.25">
      <c r="A3" s="193"/>
      <c r="B3" s="19"/>
      <c r="C3" s="28">
        <f>'P&amp;L '!D4</f>
        <v>45505</v>
      </c>
      <c r="D3" s="28">
        <f>'P&amp;L '!E4</f>
        <v>45536</v>
      </c>
      <c r="E3" s="28">
        <f>'P&amp;L '!F4</f>
        <v>45566</v>
      </c>
      <c r="F3" s="28">
        <f>'P&amp;L '!G4</f>
        <v>45597</v>
      </c>
      <c r="G3" s="28">
        <f>'P&amp;L '!H4</f>
        <v>45627</v>
      </c>
      <c r="H3" s="28">
        <f>'P&amp;L '!I4</f>
        <v>45658</v>
      </c>
      <c r="I3" s="28">
        <f>'P&amp;L '!J4</f>
        <v>45689</v>
      </c>
      <c r="J3" s="28">
        <f>'P&amp;L '!K4</f>
        <v>45717</v>
      </c>
      <c r="K3" s="28">
        <f>'P&amp;L '!L4</f>
        <v>45748</v>
      </c>
      <c r="L3" s="28">
        <f>'P&amp;L '!M4</f>
        <v>45778</v>
      </c>
      <c r="M3" s="28">
        <f>'P&amp;L '!N4</f>
        <v>45809</v>
      </c>
      <c r="N3" s="28">
        <f>'P&amp;L '!O4</f>
        <v>45839</v>
      </c>
      <c r="O3" s="163" t="str">
        <f>'P&amp;L '!P4</f>
        <v>TOTAL Y20</v>
      </c>
    </row>
    <row r="4" spans="1:16" ht="6" customHeight="1" x14ac:dyDescent="0.25">
      <c r="A4" s="193"/>
      <c r="B4" s="13"/>
      <c r="C4" s="14"/>
    </row>
    <row r="5" spans="1:16" ht="45" customHeight="1" x14ac:dyDescent="0.25">
      <c r="A5" s="193"/>
      <c r="B5" s="48" t="s">
        <v>12</v>
      </c>
      <c r="C5" s="60">
        <f t="shared" ref="C5:N5" si="0">+C6+C9+C12+C15</f>
        <v>32021584</v>
      </c>
      <c r="D5" s="60">
        <f t="shared" si="0"/>
        <v>45695674.520000003</v>
      </c>
      <c r="E5" s="60">
        <f t="shared" si="0"/>
        <v>41169780.490000002</v>
      </c>
      <c r="F5" s="60">
        <f t="shared" si="0"/>
        <v>36389421</v>
      </c>
      <c r="G5" s="60">
        <f t="shared" si="0"/>
        <v>23062533.109999999</v>
      </c>
      <c r="H5" s="60">
        <f t="shared" si="0"/>
        <v>53070463.350000001</v>
      </c>
      <c r="I5" s="60">
        <f t="shared" si="0"/>
        <v>14843700</v>
      </c>
      <c r="J5" s="60">
        <f t="shared" si="0"/>
        <v>65686566.039999999</v>
      </c>
      <c r="K5" s="60">
        <f t="shared" si="0"/>
        <v>30729392</v>
      </c>
      <c r="L5" s="60">
        <f t="shared" si="0"/>
        <v>75412795.540000007</v>
      </c>
      <c r="M5" s="60">
        <f t="shared" si="0"/>
        <v>7132410</v>
      </c>
      <c r="N5" s="60">
        <f t="shared" si="0"/>
        <v>22287500</v>
      </c>
      <c r="O5" s="61">
        <f t="shared" ref="O5:O16" si="1">SUM(C5:N5)</f>
        <v>447501820.05000001</v>
      </c>
      <c r="P5" s="15"/>
    </row>
    <row r="6" spans="1:16" ht="27.75" customHeight="1" outlineLevel="1" x14ac:dyDescent="0.25">
      <c r="A6" s="193"/>
      <c r="B6" s="44" t="s">
        <v>133</v>
      </c>
      <c r="C6" s="56">
        <f t="shared" ref="C6:N6" si="2">SUM(C7:C8)</f>
        <v>12839200</v>
      </c>
      <c r="D6" s="56">
        <f t="shared" si="2"/>
        <v>41777585.840000004</v>
      </c>
      <c r="E6" s="56">
        <f t="shared" si="2"/>
        <v>21352556.490000002</v>
      </c>
      <c r="F6" s="56">
        <f t="shared" si="2"/>
        <v>9974250</v>
      </c>
      <c r="G6" s="56">
        <f t="shared" si="2"/>
        <v>5851246.1099999994</v>
      </c>
      <c r="H6" s="56">
        <f t="shared" si="2"/>
        <v>32496063.350000001</v>
      </c>
      <c r="I6" s="56">
        <f t="shared" si="2"/>
        <v>813600</v>
      </c>
      <c r="J6" s="56">
        <f t="shared" si="2"/>
        <v>36570426.039999999</v>
      </c>
      <c r="K6" s="56">
        <f t="shared" si="2"/>
        <v>5894850</v>
      </c>
      <c r="L6" s="56">
        <f t="shared" si="2"/>
        <v>68070253.540000007</v>
      </c>
      <c r="M6" s="56">
        <f t="shared" si="2"/>
        <v>0</v>
      </c>
      <c r="N6" s="56">
        <f t="shared" si="2"/>
        <v>0</v>
      </c>
      <c r="O6" s="56">
        <f t="shared" si="1"/>
        <v>235640031.37</v>
      </c>
      <c r="P6" s="17"/>
    </row>
    <row r="7" spans="1:16" ht="24.75" customHeight="1" outlineLevel="2" x14ac:dyDescent="0.25">
      <c r="A7" s="193"/>
      <c r="B7" s="45" t="s">
        <v>132</v>
      </c>
      <c r="C7" s="16">
        <f t="shared" ref="C7:N7" si="3">+C19</f>
        <v>12839200</v>
      </c>
      <c r="D7" s="16">
        <f t="shared" si="3"/>
        <v>41777585.840000004</v>
      </c>
      <c r="E7" s="16">
        <f t="shared" si="3"/>
        <v>20811999.990000002</v>
      </c>
      <c r="F7" s="16">
        <f t="shared" si="3"/>
        <v>9974250</v>
      </c>
      <c r="G7" s="16">
        <f t="shared" si="3"/>
        <v>5387266.1099999994</v>
      </c>
      <c r="H7" s="16">
        <f t="shared" si="3"/>
        <v>32496063.350000001</v>
      </c>
      <c r="I7" s="16">
        <f t="shared" si="3"/>
        <v>180000</v>
      </c>
      <c r="J7" s="16">
        <f t="shared" si="3"/>
        <v>35429848.039999999</v>
      </c>
      <c r="K7" s="16">
        <f t="shared" si="3"/>
        <v>5894850</v>
      </c>
      <c r="L7" s="16">
        <f t="shared" si="3"/>
        <v>68070253.540000007</v>
      </c>
      <c r="M7" s="16">
        <f t="shared" si="3"/>
        <v>0</v>
      </c>
      <c r="N7" s="16">
        <f t="shared" si="3"/>
        <v>0</v>
      </c>
      <c r="O7" s="16">
        <f t="shared" si="1"/>
        <v>232861316.87</v>
      </c>
      <c r="P7" s="17"/>
    </row>
    <row r="8" spans="1:16" ht="24.75" customHeight="1" outlineLevel="2" x14ac:dyDescent="0.25">
      <c r="A8" s="193"/>
      <c r="B8" s="45" t="s">
        <v>195</v>
      </c>
      <c r="C8" s="16">
        <f t="shared" ref="C8:N8" si="4">+C156</f>
        <v>0</v>
      </c>
      <c r="D8" s="16">
        <f t="shared" si="4"/>
        <v>0</v>
      </c>
      <c r="E8" s="16">
        <f t="shared" si="4"/>
        <v>540556.5</v>
      </c>
      <c r="F8" s="16">
        <f t="shared" si="4"/>
        <v>0</v>
      </c>
      <c r="G8" s="16">
        <f t="shared" si="4"/>
        <v>463980</v>
      </c>
      <c r="H8" s="16">
        <f t="shared" si="4"/>
        <v>0</v>
      </c>
      <c r="I8" s="16">
        <f t="shared" si="4"/>
        <v>633600</v>
      </c>
      <c r="J8" s="16">
        <f t="shared" si="4"/>
        <v>1140578</v>
      </c>
      <c r="K8" s="16">
        <f t="shared" si="4"/>
        <v>0</v>
      </c>
      <c r="L8" s="16">
        <f t="shared" si="4"/>
        <v>0</v>
      </c>
      <c r="M8" s="16">
        <f t="shared" si="4"/>
        <v>0</v>
      </c>
      <c r="N8" s="16">
        <f t="shared" si="4"/>
        <v>0</v>
      </c>
      <c r="O8" s="16">
        <f t="shared" si="1"/>
        <v>2778714.5</v>
      </c>
      <c r="P8" s="17"/>
    </row>
    <row r="9" spans="1:16" ht="31.5" customHeight="1" outlineLevel="1" x14ac:dyDescent="0.25">
      <c r="A9" s="193"/>
      <c r="B9" s="44" t="s">
        <v>139</v>
      </c>
      <c r="C9" s="56">
        <f t="shared" ref="C9:N9" si="5">SUM(C10:C11)</f>
        <v>2595096</v>
      </c>
      <c r="D9" s="56">
        <f t="shared" si="5"/>
        <v>1087900</v>
      </c>
      <c r="E9" s="56">
        <f t="shared" si="5"/>
        <v>927724</v>
      </c>
      <c r="F9" s="56">
        <f t="shared" si="5"/>
        <v>0</v>
      </c>
      <c r="G9" s="56">
        <f t="shared" si="5"/>
        <v>1424016</v>
      </c>
      <c r="H9" s="56">
        <f t="shared" si="5"/>
        <v>0</v>
      </c>
      <c r="I9" s="56">
        <f t="shared" si="5"/>
        <v>3742900</v>
      </c>
      <c r="J9" s="56">
        <f t="shared" si="5"/>
        <v>1340700</v>
      </c>
      <c r="K9" s="56">
        <f t="shared" si="5"/>
        <v>1417000</v>
      </c>
      <c r="L9" s="56">
        <f t="shared" si="5"/>
        <v>0</v>
      </c>
      <c r="M9" s="56">
        <f t="shared" si="5"/>
        <v>1325500</v>
      </c>
      <c r="N9" s="56">
        <f t="shared" si="5"/>
        <v>0</v>
      </c>
      <c r="O9" s="56">
        <f t="shared" si="1"/>
        <v>13860836</v>
      </c>
      <c r="P9" s="19"/>
    </row>
    <row r="10" spans="1:16" ht="24.75" customHeight="1" outlineLevel="2" x14ac:dyDescent="0.25">
      <c r="A10" s="193"/>
      <c r="B10" s="45" t="s">
        <v>130</v>
      </c>
      <c r="C10" s="16">
        <f t="shared" ref="C10:N10" si="6">+C52</f>
        <v>2595096</v>
      </c>
      <c r="D10" s="16">
        <f t="shared" si="6"/>
        <v>0</v>
      </c>
      <c r="E10" s="16">
        <f t="shared" si="6"/>
        <v>0</v>
      </c>
      <c r="F10" s="16">
        <f t="shared" si="6"/>
        <v>0</v>
      </c>
      <c r="G10" s="16">
        <f t="shared" si="6"/>
        <v>1424016</v>
      </c>
      <c r="H10" s="16">
        <f t="shared" si="6"/>
        <v>0</v>
      </c>
      <c r="I10" s="16">
        <f t="shared" si="6"/>
        <v>3742900</v>
      </c>
      <c r="J10" s="16">
        <f t="shared" si="6"/>
        <v>1340700</v>
      </c>
      <c r="K10" s="16">
        <f t="shared" si="6"/>
        <v>1417000</v>
      </c>
      <c r="L10" s="16">
        <f t="shared" si="6"/>
        <v>0</v>
      </c>
      <c r="M10" s="16">
        <f t="shared" si="6"/>
        <v>1325500</v>
      </c>
      <c r="N10" s="16">
        <f t="shared" si="6"/>
        <v>0</v>
      </c>
      <c r="O10" s="16">
        <f t="shared" si="1"/>
        <v>11845212</v>
      </c>
      <c r="P10" s="17"/>
    </row>
    <row r="11" spans="1:16" ht="24.75" customHeight="1" outlineLevel="2" x14ac:dyDescent="0.25">
      <c r="A11" s="193"/>
      <c r="B11" s="45" t="s">
        <v>131</v>
      </c>
      <c r="C11" s="16">
        <f t="shared" ref="C11:N11" si="7">+C70</f>
        <v>0</v>
      </c>
      <c r="D11" s="16">
        <f t="shared" si="7"/>
        <v>1087900</v>
      </c>
      <c r="E11" s="16">
        <f t="shared" si="7"/>
        <v>927724</v>
      </c>
      <c r="F11" s="16">
        <f t="shared" si="7"/>
        <v>0</v>
      </c>
      <c r="G11" s="16">
        <f t="shared" si="7"/>
        <v>0</v>
      </c>
      <c r="H11" s="16">
        <f t="shared" si="7"/>
        <v>0</v>
      </c>
      <c r="I11" s="16">
        <f t="shared" si="7"/>
        <v>0</v>
      </c>
      <c r="J11" s="16">
        <f t="shared" si="7"/>
        <v>0</v>
      </c>
      <c r="K11" s="16">
        <f t="shared" si="7"/>
        <v>0</v>
      </c>
      <c r="L11" s="16">
        <f t="shared" si="7"/>
        <v>0</v>
      </c>
      <c r="M11" s="16">
        <f t="shared" si="7"/>
        <v>0</v>
      </c>
      <c r="N11" s="16">
        <f t="shared" si="7"/>
        <v>0</v>
      </c>
      <c r="O11" s="16">
        <f t="shared" si="1"/>
        <v>2015624</v>
      </c>
      <c r="P11" s="17"/>
    </row>
    <row r="12" spans="1:16" ht="28.5" customHeight="1" outlineLevel="1" x14ac:dyDescent="0.25">
      <c r="A12" s="193"/>
      <c r="B12" s="44" t="s">
        <v>119</v>
      </c>
      <c r="C12" s="56">
        <f t="shared" ref="C12:N12" si="8">SUM(C13:C14)</f>
        <v>16587288</v>
      </c>
      <c r="D12" s="56">
        <f t="shared" si="8"/>
        <v>2830188.6799999997</v>
      </c>
      <c r="E12" s="56">
        <f t="shared" si="8"/>
        <v>0</v>
      </c>
      <c r="F12" s="56">
        <f t="shared" si="8"/>
        <v>7670171</v>
      </c>
      <c r="G12" s="56">
        <f t="shared" si="8"/>
        <v>2779271</v>
      </c>
      <c r="H12" s="56">
        <f t="shared" si="8"/>
        <v>20574400</v>
      </c>
      <c r="I12" s="56">
        <f t="shared" si="8"/>
        <v>10287200</v>
      </c>
      <c r="J12" s="56">
        <f t="shared" si="8"/>
        <v>27775440</v>
      </c>
      <c r="K12" s="56">
        <f t="shared" si="8"/>
        <v>10042542</v>
      </c>
      <c r="L12" s="56">
        <f t="shared" si="8"/>
        <v>7342542</v>
      </c>
      <c r="M12" s="56">
        <f t="shared" si="8"/>
        <v>5806910</v>
      </c>
      <c r="N12" s="56">
        <f t="shared" si="8"/>
        <v>0</v>
      </c>
      <c r="O12" s="56">
        <f t="shared" si="1"/>
        <v>111695952.68000001</v>
      </c>
      <c r="P12" s="17"/>
    </row>
    <row r="13" spans="1:16" ht="24.75" customHeight="1" outlineLevel="2" x14ac:dyDescent="0.25">
      <c r="A13" s="193"/>
      <c r="B13" s="45" t="s">
        <v>194</v>
      </c>
      <c r="C13" s="16">
        <f t="shared" ref="C13:N13" si="9">+C87</f>
        <v>16587288</v>
      </c>
      <c r="D13" s="16">
        <f t="shared" si="9"/>
        <v>2830188.6799999997</v>
      </c>
      <c r="E13" s="16">
        <f t="shared" si="9"/>
        <v>0</v>
      </c>
      <c r="F13" s="16">
        <f t="shared" si="9"/>
        <v>7670171</v>
      </c>
      <c r="G13" s="16">
        <f t="shared" si="9"/>
        <v>2779271</v>
      </c>
      <c r="H13" s="16">
        <f t="shared" si="9"/>
        <v>20574400</v>
      </c>
      <c r="I13" s="16">
        <f t="shared" si="9"/>
        <v>10287200</v>
      </c>
      <c r="J13" s="16">
        <f t="shared" si="9"/>
        <v>27775440</v>
      </c>
      <c r="K13" s="16">
        <f t="shared" si="9"/>
        <v>10042542</v>
      </c>
      <c r="L13" s="16">
        <f t="shared" si="9"/>
        <v>7342542</v>
      </c>
      <c r="M13" s="16">
        <f t="shared" si="9"/>
        <v>5806910</v>
      </c>
      <c r="N13" s="16">
        <f t="shared" si="9"/>
        <v>0</v>
      </c>
      <c r="O13" s="16">
        <f t="shared" si="1"/>
        <v>111695952.68000001</v>
      </c>
      <c r="P13" s="17"/>
    </row>
    <row r="14" spans="1:16" ht="25.5" customHeight="1" outlineLevel="2" x14ac:dyDescent="0.25">
      <c r="A14" s="193"/>
      <c r="B14" s="45" t="s">
        <v>28</v>
      </c>
      <c r="C14" s="16">
        <f t="shared" ref="C14:N14" si="10">+C114</f>
        <v>0</v>
      </c>
      <c r="D14" s="16">
        <f t="shared" si="10"/>
        <v>0</v>
      </c>
      <c r="E14" s="16">
        <f t="shared" si="10"/>
        <v>0</v>
      </c>
      <c r="F14" s="16">
        <f t="shared" si="10"/>
        <v>0</v>
      </c>
      <c r="G14" s="16">
        <f t="shared" si="10"/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  <c r="N14" s="16">
        <f t="shared" si="10"/>
        <v>0</v>
      </c>
      <c r="O14" s="16">
        <f t="shared" si="1"/>
        <v>0</v>
      </c>
      <c r="P14" s="17"/>
    </row>
    <row r="15" spans="1:16" ht="25.5" customHeight="1" outlineLevel="1" x14ac:dyDescent="0.25">
      <c r="B15" s="44" t="s">
        <v>137</v>
      </c>
      <c r="C15" s="56">
        <f t="shared" ref="C15:N15" si="11">+C16</f>
        <v>0</v>
      </c>
      <c r="D15" s="56">
        <f t="shared" si="11"/>
        <v>0</v>
      </c>
      <c r="E15" s="56">
        <f t="shared" si="11"/>
        <v>18889500</v>
      </c>
      <c r="F15" s="56">
        <f t="shared" si="11"/>
        <v>18745000</v>
      </c>
      <c r="G15" s="56">
        <f t="shared" si="11"/>
        <v>13008000</v>
      </c>
      <c r="H15" s="56">
        <f t="shared" si="11"/>
        <v>0</v>
      </c>
      <c r="I15" s="56">
        <f t="shared" si="11"/>
        <v>0</v>
      </c>
      <c r="J15" s="56">
        <f t="shared" si="11"/>
        <v>0</v>
      </c>
      <c r="K15" s="56">
        <f t="shared" si="11"/>
        <v>13375000</v>
      </c>
      <c r="L15" s="56">
        <f t="shared" si="11"/>
        <v>0</v>
      </c>
      <c r="M15" s="56">
        <f t="shared" si="11"/>
        <v>0</v>
      </c>
      <c r="N15" s="56">
        <f t="shared" si="11"/>
        <v>22287500</v>
      </c>
      <c r="O15" s="56">
        <f t="shared" si="1"/>
        <v>86305000</v>
      </c>
      <c r="P15" s="17"/>
    </row>
    <row r="16" spans="1:16" ht="25.5" customHeight="1" outlineLevel="2" x14ac:dyDescent="0.25">
      <c r="B16" s="45" t="s">
        <v>13</v>
      </c>
      <c r="C16" s="16">
        <f t="shared" ref="C16:N16" si="12">+C138</f>
        <v>0</v>
      </c>
      <c r="D16" s="16">
        <f t="shared" si="12"/>
        <v>0</v>
      </c>
      <c r="E16" s="16">
        <f t="shared" si="12"/>
        <v>18889500</v>
      </c>
      <c r="F16" s="16">
        <f t="shared" si="12"/>
        <v>18745000</v>
      </c>
      <c r="G16" s="16">
        <f t="shared" si="12"/>
        <v>13008000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13375000</v>
      </c>
      <c r="L16" s="16">
        <f t="shared" si="12"/>
        <v>0</v>
      </c>
      <c r="M16" s="16">
        <f t="shared" si="12"/>
        <v>0</v>
      </c>
      <c r="N16" s="16">
        <f t="shared" si="12"/>
        <v>22287500</v>
      </c>
      <c r="O16" s="16">
        <f t="shared" si="1"/>
        <v>86305000</v>
      </c>
      <c r="P16" s="17"/>
    </row>
    <row r="17" spans="2:16" ht="17.25" customHeight="1" x14ac:dyDescent="0.25"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</row>
    <row r="18" spans="2:16" ht="32.25" customHeight="1" x14ac:dyDescent="0.25">
      <c r="B18" s="97" t="s">
        <v>133</v>
      </c>
      <c r="C18" s="28">
        <f t="shared" ref="C18:O18" si="13">+C3</f>
        <v>45505</v>
      </c>
      <c r="D18" s="28">
        <f t="shared" si="13"/>
        <v>45536</v>
      </c>
      <c r="E18" s="28">
        <f t="shared" si="13"/>
        <v>45566</v>
      </c>
      <c r="F18" s="28">
        <f t="shared" si="13"/>
        <v>45597</v>
      </c>
      <c r="G18" s="28">
        <f t="shared" si="13"/>
        <v>45627</v>
      </c>
      <c r="H18" s="28">
        <f t="shared" si="13"/>
        <v>45658</v>
      </c>
      <c r="I18" s="28">
        <f t="shared" si="13"/>
        <v>45689</v>
      </c>
      <c r="J18" s="28">
        <f t="shared" si="13"/>
        <v>45717</v>
      </c>
      <c r="K18" s="28">
        <f t="shared" si="13"/>
        <v>45748</v>
      </c>
      <c r="L18" s="28">
        <f t="shared" si="13"/>
        <v>45778</v>
      </c>
      <c r="M18" s="28">
        <f t="shared" si="13"/>
        <v>45809</v>
      </c>
      <c r="N18" s="28">
        <f t="shared" si="13"/>
        <v>45839</v>
      </c>
      <c r="O18" s="163" t="str">
        <f t="shared" si="13"/>
        <v>TOTAL Y20</v>
      </c>
    </row>
    <row r="19" spans="2:16" ht="27" customHeight="1" thickBot="1" x14ac:dyDescent="0.3">
      <c r="B19" s="36" t="s">
        <v>141</v>
      </c>
      <c r="C19" s="95">
        <f t="shared" ref="C19:N19" si="14">SUM(C20:C47)</f>
        <v>12839200</v>
      </c>
      <c r="D19" s="95">
        <f t="shared" si="14"/>
        <v>41777585.840000004</v>
      </c>
      <c r="E19" s="95">
        <f t="shared" si="14"/>
        <v>20811999.990000002</v>
      </c>
      <c r="F19" s="95">
        <f t="shared" si="14"/>
        <v>9974250</v>
      </c>
      <c r="G19" s="95">
        <f t="shared" si="14"/>
        <v>5387266.1099999994</v>
      </c>
      <c r="H19" s="95">
        <f t="shared" si="14"/>
        <v>32496063.350000001</v>
      </c>
      <c r="I19" s="95">
        <f t="shared" si="14"/>
        <v>180000</v>
      </c>
      <c r="J19" s="95">
        <f t="shared" si="14"/>
        <v>35429848.039999999</v>
      </c>
      <c r="K19" s="95">
        <f t="shared" si="14"/>
        <v>5894850</v>
      </c>
      <c r="L19" s="95">
        <f t="shared" si="14"/>
        <v>68070253.540000007</v>
      </c>
      <c r="M19" s="95">
        <f t="shared" si="14"/>
        <v>0</v>
      </c>
      <c r="N19" s="95">
        <f t="shared" si="14"/>
        <v>0</v>
      </c>
      <c r="O19" s="96">
        <f t="shared" ref="O19:O47" si="15">SUM(C19:N19)</f>
        <v>232861316.87</v>
      </c>
    </row>
    <row r="20" spans="2:16" ht="24.75" customHeight="1" outlineLevel="1" x14ac:dyDescent="0.25">
      <c r="B20" s="167" t="s">
        <v>240</v>
      </c>
      <c r="C20" s="16">
        <v>2057300</v>
      </c>
      <c r="D20" s="16">
        <v>1918295</v>
      </c>
      <c r="E20" s="16">
        <v>535399.99</v>
      </c>
      <c r="F20" s="16"/>
      <c r="G20" s="16">
        <v>675766.11</v>
      </c>
      <c r="H20" s="16"/>
      <c r="I20" s="16"/>
      <c r="J20" s="16">
        <v>1581626.86</v>
      </c>
      <c r="K20" s="16">
        <v>1046350</v>
      </c>
      <c r="L20" s="16"/>
      <c r="M20" s="16"/>
      <c r="N20" s="16"/>
      <c r="O20" s="16">
        <f t="shared" si="15"/>
        <v>7814737.9600000009</v>
      </c>
    </row>
    <row r="21" spans="2:16" ht="24.75" customHeight="1" outlineLevel="1" x14ac:dyDescent="0.25">
      <c r="B21" s="167" t="s">
        <v>215</v>
      </c>
      <c r="C21" s="16"/>
      <c r="D21" s="16">
        <v>10134850</v>
      </c>
      <c r="E21" s="16">
        <v>2933600</v>
      </c>
      <c r="F21" s="16"/>
      <c r="G21" s="16"/>
      <c r="H21" s="16">
        <v>8558149.5099999998</v>
      </c>
      <c r="I21" s="16"/>
      <c r="J21" s="16">
        <v>12157860</v>
      </c>
      <c r="K21" s="16"/>
      <c r="L21" s="16">
        <v>9744884.5</v>
      </c>
      <c r="M21" s="16"/>
      <c r="N21" s="16"/>
      <c r="O21" s="16">
        <f t="shared" si="15"/>
        <v>43529344.009999998</v>
      </c>
    </row>
    <row r="22" spans="2:16" ht="22.95" customHeight="1" outlineLevel="1" x14ac:dyDescent="0.25">
      <c r="B22" s="167" t="s">
        <v>216</v>
      </c>
      <c r="C22" s="16"/>
      <c r="D22" s="16">
        <v>14569748.77</v>
      </c>
      <c r="E22" s="16">
        <v>10254700</v>
      </c>
      <c r="F22" s="16">
        <v>7299100</v>
      </c>
      <c r="G22" s="16"/>
      <c r="H22" s="16">
        <v>9185779.3399999999</v>
      </c>
      <c r="I22" s="16"/>
      <c r="J22" s="16">
        <v>10936749</v>
      </c>
      <c r="K22" s="16"/>
      <c r="L22" s="16">
        <v>10198591.74</v>
      </c>
      <c r="M22" s="16"/>
      <c r="N22" s="16"/>
      <c r="O22" s="16">
        <f t="shared" si="15"/>
        <v>62444668.850000001</v>
      </c>
    </row>
    <row r="23" spans="2:16" ht="24.75" customHeight="1" outlineLevel="1" x14ac:dyDescent="0.25">
      <c r="B23" s="167" t="s">
        <v>217</v>
      </c>
      <c r="C23" s="16"/>
      <c r="D23" s="16">
        <v>9259002.0700000003</v>
      </c>
      <c r="E23" s="16"/>
      <c r="F23" s="16">
        <v>2675150</v>
      </c>
      <c r="G23" s="16"/>
      <c r="H23" s="16">
        <v>8861500</v>
      </c>
      <c r="I23" s="16"/>
      <c r="J23" s="16">
        <v>10753612.18</v>
      </c>
      <c r="K23" s="16"/>
      <c r="L23" s="16">
        <v>8758157.4900000002</v>
      </c>
      <c r="M23" s="16"/>
      <c r="N23" s="16"/>
      <c r="O23" s="16">
        <f t="shared" si="15"/>
        <v>40307421.740000002</v>
      </c>
    </row>
    <row r="24" spans="2:16" ht="24.75" customHeight="1" outlineLevel="1" x14ac:dyDescent="0.25">
      <c r="B24" s="167" t="s">
        <v>211</v>
      </c>
      <c r="C24" s="16"/>
      <c r="D24" s="16"/>
      <c r="E24" s="16">
        <v>3313300</v>
      </c>
      <c r="F24" s="16"/>
      <c r="G24" s="16"/>
      <c r="H24" s="16"/>
      <c r="I24" s="16"/>
      <c r="J24" s="16"/>
      <c r="K24" s="16"/>
      <c r="L24" s="16"/>
      <c r="M24" s="16"/>
      <c r="N24" s="16"/>
      <c r="O24" s="16">
        <f t="shared" si="15"/>
        <v>3313300</v>
      </c>
      <c r="P24" s="19"/>
    </row>
    <row r="25" spans="2:16" ht="24.75" customHeight="1" outlineLevel="1" x14ac:dyDescent="0.25">
      <c r="B25" s="167" t="s">
        <v>260</v>
      </c>
      <c r="C25" s="16"/>
      <c r="D25" s="16"/>
      <c r="E25" s="16"/>
      <c r="F25" s="16"/>
      <c r="G25" s="16"/>
      <c r="H25" s="16"/>
      <c r="I25" s="16"/>
      <c r="J25" s="16"/>
      <c r="K25" s="16"/>
      <c r="L25" s="16">
        <v>4365015.4000000004</v>
      </c>
      <c r="M25" s="16"/>
      <c r="N25" s="16"/>
      <c r="O25" s="16">
        <f t="shared" si="15"/>
        <v>4365015.4000000004</v>
      </c>
    </row>
    <row r="26" spans="2:16" ht="24.75" customHeight="1" outlineLevel="1" x14ac:dyDescent="0.25">
      <c r="B26" s="167" t="s">
        <v>212</v>
      </c>
      <c r="C26" s="16">
        <v>10781900</v>
      </c>
      <c r="D26" s="16"/>
      <c r="E26" s="16"/>
      <c r="F26" s="16"/>
      <c r="G26" s="16"/>
      <c r="H26" s="16"/>
      <c r="I26" s="16"/>
      <c r="J26" s="16"/>
      <c r="K26" s="16"/>
      <c r="L26" s="16">
        <v>4695361.41</v>
      </c>
      <c r="M26" s="16"/>
      <c r="N26" s="16"/>
      <c r="O26" s="16">
        <f t="shared" si="15"/>
        <v>15477261.41</v>
      </c>
    </row>
    <row r="27" spans="2:16" ht="24.75" customHeight="1" outlineLevel="1" x14ac:dyDescent="0.25">
      <c r="B27" s="167" t="s">
        <v>213</v>
      </c>
      <c r="C27" s="16"/>
      <c r="D27" s="16"/>
      <c r="E27" s="16">
        <v>1951900</v>
      </c>
      <c r="F27" s="16"/>
      <c r="G27" s="16"/>
      <c r="H27" s="16"/>
      <c r="I27" s="16"/>
      <c r="J27" s="16"/>
      <c r="K27" s="16"/>
      <c r="L27" s="16">
        <v>3002375</v>
      </c>
      <c r="M27" s="16"/>
      <c r="N27" s="16"/>
      <c r="O27" s="16">
        <f t="shared" si="15"/>
        <v>4954275</v>
      </c>
    </row>
    <row r="28" spans="2:16" ht="24.75" customHeight="1" outlineLevel="1" x14ac:dyDescent="0.25">
      <c r="B28" s="167" t="s">
        <v>220</v>
      </c>
      <c r="C28" s="16"/>
      <c r="D28" s="16"/>
      <c r="E28" s="16"/>
      <c r="F28" s="16"/>
      <c r="G28" s="16"/>
      <c r="H28" s="16">
        <v>2973000</v>
      </c>
      <c r="I28" s="16"/>
      <c r="J28" s="16"/>
      <c r="K28" s="16"/>
      <c r="L28" s="16"/>
      <c r="M28" s="16"/>
      <c r="N28" s="16"/>
      <c r="O28" s="16">
        <f t="shared" si="15"/>
        <v>2973000</v>
      </c>
    </row>
    <row r="29" spans="2:16" ht="24.75" customHeight="1" outlineLevel="1" x14ac:dyDescent="0.25">
      <c r="B29" s="167" t="s">
        <v>214</v>
      </c>
      <c r="C29" s="16"/>
      <c r="D29" s="16"/>
      <c r="E29" s="16"/>
      <c r="F29" s="16"/>
      <c r="G29" s="16">
        <v>1400750</v>
      </c>
      <c r="H29" s="16"/>
      <c r="I29" s="16"/>
      <c r="J29" s="16"/>
      <c r="K29" s="16">
        <v>2951000</v>
      </c>
      <c r="L29" s="16"/>
      <c r="M29" s="16"/>
      <c r="N29" s="16"/>
      <c r="O29" s="16">
        <f t="shared" si="15"/>
        <v>4351750</v>
      </c>
    </row>
    <row r="30" spans="2:16" ht="24.75" customHeight="1" outlineLevel="1" x14ac:dyDescent="0.25">
      <c r="B30" s="167" t="s">
        <v>218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>
        <f t="shared" si="15"/>
        <v>0</v>
      </c>
    </row>
    <row r="31" spans="2:16" ht="24.75" customHeight="1" outlineLevel="1" x14ac:dyDescent="0.25">
      <c r="B31" s="167" t="s">
        <v>219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>
        <f t="shared" si="15"/>
        <v>0</v>
      </c>
    </row>
    <row r="32" spans="2:16" ht="24.75" customHeight="1" outlineLevel="1" x14ac:dyDescent="0.25">
      <c r="B32" s="200" t="s">
        <v>221</v>
      </c>
      <c r="C32" s="16"/>
      <c r="D32" s="16"/>
      <c r="E32" s="16"/>
      <c r="F32" s="16"/>
      <c r="G32" s="16"/>
      <c r="H32" s="16"/>
      <c r="I32" s="16">
        <f>180000</f>
        <v>180000</v>
      </c>
      <c r="J32" s="16"/>
      <c r="K32" s="16"/>
      <c r="L32" s="16"/>
      <c r="M32" s="16"/>
      <c r="N32" s="16"/>
      <c r="O32" s="16">
        <f t="shared" si="15"/>
        <v>180000</v>
      </c>
    </row>
    <row r="33" spans="2:16" ht="24.75" customHeight="1" outlineLevel="1" x14ac:dyDescent="0.25">
      <c r="B33" s="200" t="s">
        <v>222</v>
      </c>
      <c r="C33" s="16"/>
      <c r="D33" s="16"/>
      <c r="E33" s="16"/>
      <c r="F33" s="16"/>
      <c r="G33" s="16"/>
      <c r="H33" s="16">
        <v>2917634.5</v>
      </c>
      <c r="I33" s="16"/>
      <c r="J33" s="16"/>
      <c r="K33" s="16"/>
      <c r="L33" s="16"/>
      <c r="M33" s="16"/>
      <c r="N33" s="16"/>
      <c r="O33" s="16">
        <f t="shared" si="15"/>
        <v>2917634.5</v>
      </c>
    </row>
    <row r="34" spans="2:16" ht="24.75" customHeight="1" outlineLevel="1" x14ac:dyDescent="0.25">
      <c r="B34" s="200" t="s">
        <v>223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>
        <f t="shared" si="15"/>
        <v>0</v>
      </c>
    </row>
    <row r="35" spans="2:16" ht="24.75" customHeight="1" outlineLevel="1" x14ac:dyDescent="0.25">
      <c r="B35" s="75" t="s">
        <v>224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>
        <f t="shared" si="15"/>
        <v>0</v>
      </c>
    </row>
    <row r="36" spans="2:16" ht="24.75" customHeight="1" outlineLevel="1" x14ac:dyDescent="0.25">
      <c r="B36" s="75" t="s">
        <v>234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>
        <f t="shared" si="15"/>
        <v>0</v>
      </c>
    </row>
    <row r="37" spans="2:16" ht="24.75" customHeight="1" outlineLevel="1" x14ac:dyDescent="0.25">
      <c r="B37" s="75" t="s">
        <v>235</v>
      </c>
      <c r="C37" s="16"/>
      <c r="D37" s="16">
        <v>4410670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>
        <f t="shared" si="15"/>
        <v>4410670</v>
      </c>
    </row>
    <row r="38" spans="2:16" ht="24.75" customHeight="1" outlineLevel="1" x14ac:dyDescent="0.25">
      <c r="B38" s="75" t="s">
        <v>239</v>
      </c>
      <c r="C38" s="16"/>
      <c r="D38" s="16">
        <v>1485020</v>
      </c>
      <c r="E38" s="16"/>
      <c r="F38" s="16"/>
      <c r="G38" s="16"/>
      <c r="H38" s="16"/>
      <c r="I38" s="16"/>
      <c r="J38" s="16"/>
      <c r="K38" s="16">
        <v>1897500</v>
      </c>
      <c r="L38" s="16"/>
      <c r="M38" s="16"/>
      <c r="N38" s="16"/>
      <c r="O38" s="16">
        <f t="shared" si="15"/>
        <v>3382520</v>
      </c>
    </row>
    <row r="39" spans="2:16" ht="24.75" customHeight="1" outlineLevel="1" x14ac:dyDescent="0.25">
      <c r="B39" s="75" t="s">
        <v>241</v>
      </c>
      <c r="C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>
        <f t="shared" si="15"/>
        <v>0</v>
      </c>
    </row>
    <row r="40" spans="2:16" ht="24.75" customHeight="1" outlineLevel="1" x14ac:dyDescent="0.25">
      <c r="B40" s="75" t="s">
        <v>250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>
        <f t="shared" si="15"/>
        <v>0</v>
      </c>
    </row>
    <row r="41" spans="2:16" ht="24.75" customHeight="1" outlineLevel="1" x14ac:dyDescent="0.25">
      <c r="B41" s="75" t="s">
        <v>266</v>
      </c>
      <c r="C41" s="16"/>
      <c r="D41" s="16"/>
      <c r="E41" s="16">
        <v>1823100</v>
      </c>
      <c r="F41" s="16"/>
      <c r="G41" s="16"/>
      <c r="H41" s="16"/>
      <c r="I41" s="16"/>
      <c r="J41" s="16"/>
      <c r="K41" s="16"/>
      <c r="L41" s="16"/>
      <c r="M41" s="16"/>
      <c r="N41" s="16"/>
      <c r="O41" s="16">
        <f t="shared" si="15"/>
        <v>1823100</v>
      </c>
    </row>
    <row r="42" spans="2:16" ht="24.75" customHeight="1" outlineLevel="1" x14ac:dyDescent="0.25">
      <c r="B42" s="75" t="s">
        <v>297</v>
      </c>
      <c r="C42" s="16"/>
      <c r="D42" s="16"/>
      <c r="E42" s="16"/>
      <c r="F42" s="16"/>
      <c r="G42" s="16">
        <v>3310750</v>
      </c>
      <c r="H42" s="16"/>
      <c r="J42" s="16"/>
      <c r="K42" s="16"/>
      <c r="L42" s="16">
        <v>27305868</v>
      </c>
      <c r="M42" s="16"/>
      <c r="N42" s="16"/>
      <c r="O42" s="16">
        <f t="shared" si="15"/>
        <v>30616618</v>
      </c>
      <c r="P42" s="210"/>
    </row>
    <row r="43" spans="2:16" ht="24.75" customHeight="1" outlineLevel="1" x14ac:dyDescent="0.25">
      <c r="B43" s="7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>
        <f t="shared" si="15"/>
        <v>0</v>
      </c>
    </row>
    <row r="44" spans="2:16" ht="24.75" customHeight="1" outlineLevel="1" x14ac:dyDescent="0.25">
      <c r="B44" s="7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>
        <f t="shared" si="15"/>
        <v>0</v>
      </c>
    </row>
    <row r="45" spans="2:16" ht="24.75" customHeight="1" outlineLevel="1" x14ac:dyDescent="0.25">
      <c r="B45" s="7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>
        <f t="shared" si="15"/>
        <v>0</v>
      </c>
    </row>
    <row r="46" spans="2:16" ht="24.75" customHeight="1" outlineLevel="1" x14ac:dyDescent="0.25">
      <c r="B46" s="7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>
        <f t="shared" si="15"/>
        <v>0</v>
      </c>
    </row>
    <row r="47" spans="2:16" ht="24.75" customHeight="1" outlineLevel="1" x14ac:dyDescent="0.25">
      <c r="B47" s="7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>
        <f t="shared" si="15"/>
        <v>0</v>
      </c>
    </row>
    <row r="48" spans="2:16" ht="13.95" customHeight="1" x14ac:dyDescent="0.25">
      <c r="B48" s="75"/>
    </row>
    <row r="49" spans="1:15" ht="24.75" customHeight="1" x14ac:dyDescent="0.25">
      <c r="B49" s="75"/>
      <c r="C49" s="28">
        <f t="shared" ref="C49:O49" si="16">C3</f>
        <v>45505</v>
      </c>
      <c r="D49" s="28">
        <f t="shared" si="16"/>
        <v>45536</v>
      </c>
      <c r="E49" s="28">
        <f t="shared" si="16"/>
        <v>45566</v>
      </c>
      <c r="F49" s="28">
        <f t="shared" si="16"/>
        <v>45597</v>
      </c>
      <c r="G49" s="28">
        <f t="shared" si="16"/>
        <v>45627</v>
      </c>
      <c r="H49" s="28">
        <f t="shared" si="16"/>
        <v>45658</v>
      </c>
      <c r="I49" s="28">
        <f t="shared" si="16"/>
        <v>45689</v>
      </c>
      <c r="J49" s="28">
        <f t="shared" si="16"/>
        <v>45717</v>
      </c>
      <c r="K49" s="28">
        <f t="shared" si="16"/>
        <v>45748</v>
      </c>
      <c r="L49" s="28">
        <f t="shared" si="16"/>
        <v>45778</v>
      </c>
      <c r="M49" s="28">
        <f t="shared" si="16"/>
        <v>45809</v>
      </c>
      <c r="N49" s="28">
        <f t="shared" si="16"/>
        <v>45839</v>
      </c>
      <c r="O49" s="89" t="str">
        <f t="shared" si="16"/>
        <v>TOTAL Y20</v>
      </c>
    </row>
    <row r="50" spans="1:15" ht="15" customHeight="1" x14ac:dyDescent="0.25">
      <c r="B50" s="64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ht="30.75" customHeight="1" x14ac:dyDescent="0.25">
      <c r="B51" s="97" t="s">
        <v>138</v>
      </c>
      <c r="C51" s="28">
        <f t="shared" ref="C51:O51" si="17">C3</f>
        <v>45505</v>
      </c>
      <c r="D51" s="28">
        <f t="shared" si="17"/>
        <v>45536</v>
      </c>
      <c r="E51" s="28">
        <f t="shared" si="17"/>
        <v>45566</v>
      </c>
      <c r="F51" s="28">
        <f t="shared" si="17"/>
        <v>45597</v>
      </c>
      <c r="G51" s="28">
        <f t="shared" si="17"/>
        <v>45627</v>
      </c>
      <c r="H51" s="28">
        <f t="shared" si="17"/>
        <v>45658</v>
      </c>
      <c r="I51" s="28">
        <f t="shared" si="17"/>
        <v>45689</v>
      </c>
      <c r="J51" s="28">
        <f t="shared" si="17"/>
        <v>45717</v>
      </c>
      <c r="K51" s="28">
        <f t="shared" si="17"/>
        <v>45748</v>
      </c>
      <c r="L51" s="28">
        <f t="shared" si="17"/>
        <v>45778</v>
      </c>
      <c r="M51" s="28">
        <f t="shared" si="17"/>
        <v>45809</v>
      </c>
      <c r="N51" s="28">
        <f t="shared" si="17"/>
        <v>45839</v>
      </c>
      <c r="O51" s="89" t="str">
        <f t="shared" si="17"/>
        <v>TOTAL Y20</v>
      </c>
    </row>
    <row r="52" spans="1:15" ht="36" customHeight="1" thickBot="1" x14ac:dyDescent="0.3">
      <c r="B52" s="36" t="s">
        <v>191</v>
      </c>
      <c r="C52" s="95">
        <f t="shared" ref="C52:N52" si="18">SUM(C53:C61)</f>
        <v>2595096</v>
      </c>
      <c r="D52" s="95">
        <f t="shared" si="18"/>
        <v>0</v>
      </c>
      <c r="E52" s="95">
        <f t="shared" si="18"/>
        <v>0</v>
      </c>
      <c r="F52" s="95">
        <f t="shared" si="18"/>
        <v>0</v>
      </c>
      <c r="G52" s="95">
        <f t="shared" si="18"/>
        <v>1424016</v>
      </c>
      <c r="H52" s="95">
        <f t="shared" si="18"/>
        <v>0</v>
      </c>
      <c r="I52" s="95">
        <f t="shared" si="18"/>
        <v>3742900</v>
      </c>
      <c r="J52" s="95">
        <f t="shared" si="18"/>
        <v>1340700</v>
      </c>
      <c r="K52" s="95">
        <f t="shared" si="18"/>
        <v>1417000</v>
      </c>
      <c r="L52" s="95">
        <f t="shared" si="18"/>
        <v>0</v>
      </c>
      <c r="M52" s="95">
        <f t="shared" si="18"/>
        <v>1325500</v>
      </c>
      <c r="N52" s="95">
        <f t="shared" si="18"/>
        <v>0</v>
      </c>
      <c r="O52" s="96">
        <f t="shared" ref="O52:O67" si="19">SUM(C52:N52)</f>
        <v>11845212</v>
      </c>
    </row>
    <row r="53" spans="1:15" ht="27.75" customHeight="1" outlineLevel="1" x14ac:dyDescent="0.25">
      <c r="A53" s="25">
        <v>948.5</v>
      </c>
      <c r="B53" s="75" t="s">
        <v>273</v>
      </c>
      <c r="C53" s="16">
        <f>1368*2*A53</f>
        <v>2595096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>
        <f t="shared" si="19"/>
        <v>2595096</v>
      </c>
    </row>
    <row r="54" spans="1:15" ht="27.75" customHeight="1" outlineLevel="1" x14ac:dyDescent="0.25">
      <c r="A54" s="181">
        <v>1023</v>
      </c>
      <c r="B54" s="75" t="s">
        <v>300</v>
      </c>
      <c r="C54" s="179"/>
      <c r="D54" s="179"/>
      <c r="E54" s="16"/>
      <c r="F54" s="16"/>
      <c r="G54" s="16">
        <f>1392*A54</f>
        <v>1424016</v>
      </c>
      <c r="H54" s="16"/>
      <c r="I54" s="16"/>
      <c r="J54" s="16"/>
      <c r="K54" s="16"/>
      <c r="L54" s="16"/>
      <c r="M54" s="16"/>
      <c r="N54" s="16"/>
      <c r="O54" s="16">
        <f t="shared" si="19"/>
        <v>1424016</v>
      </c>
    </row>
    <row r="55" spans="1:15" ht="27.75" customHeight="1" outlineLevel="1" x14ac:dyDescent="0.25">
      <c r="A55" s="25">
        <v>1225</v>
      </c>
      <c r="B55" s="75" t="s">
        <v>306</v>
      </c>
      <c r="C55" s="16"/>
      <c r="D55" s="16"/>
      <c r="E55" s="16"/>
      <c r="F55" s="16"/>
      <c r="H55" s="16"/>
      <c r="I55" s="16">
        <f>1000*A55</f>
        <v>1225000</v>
      </c>
      <c r="J55" s="16"/>
      <c r="K55" s="16"/>
      <c r="L55" s="16"/>
      <c r="M55" s="16"/>
      <c r="N55" s="16"/>
      <c r="O55" s="16">
        <f t="shared" si="19"/>
        <v>1225000</v>
      </c>
    </row>
    <row r="56" spans="1:15" ht="27.75" customHeight="1" outlineLevel="1" x14ac:dyDescent="0.25">
      <c r="A56" s="237">
        <v>1225</v>
      </c>
      <c r="B56" s="75" t="s">
        <v>308</v>
      </c>
      <c r="C56" s="16"/>
      <c r="D56" s="16"/>
      <c r="E56" s="16"/>
      <c r="F56" s="16"/>
      <c r="G56" s="16"/>
      <c r="H56" s="16"/>
      <c r="I56" s="16">
        <f>1090*A56</f>
        <v>1335250</v>
      </c>
      <c r="J56" s="16"/>
      <c r="K56" s="16"/>
      <c r="L56" s="16"/>
      <c r="M56" s="16"/>
      <c r="N56" s="16"/>
      <c r="O56" s="16">
        <f t="shared" si="19"/>
        <v>1335250</v>
      </c>
    </row>
    <row r="57" spans="1:15" ht="27.75" customHeight="1" outlineLevel="1" x14ac:dyDescent="0.25">
      <c r="A57" s="25">
        <v>1085</v>
      </c>
      <c r="B57" s="75" t="s">
        <v>309</v>
      </c>
      <c r="C57" s="16"/>
      <c r="D57" s="16"/>
      <c r="E57" s="16"/>
      <c r="F57" s="16"/>
      <c r="G57" s="16"/>
      <c r="H57" s="16"/>
      <c r="I57" s="16">
        <f>1090*A57</f>
        <v>1182650</v>
      </c>
      <c r="J57" s="16"/>
      <c r="K57" s="16"/>
      <c r="L57" s="16"/>
      <c r="M57" s="16"/>
      <c r="N57" s="16"/>
      <c r="O57" s="16">
        <f t="shared" si="19"/>
        <v>1182650</v>
      </c>
    </row>
    <row r="58" spans="1:15" ht="27.75" customHeight="1" outlineLevel="1" x14ac:dyDescent="0.25">
      <c r="A58" s="25">
        <v>1230</v>
      </c>
      <c r="B58" s="75" t="s">
        <v>318</v>
      </c>
      <c r="C58" s="16"/>
      <c r="D58" s="16"/>
      <c r="E58" s="16"/>
      <c r="F58" s="16"/>
      <c r="G58" s="16"/>
      <c r="H58" s="16"/>
      <c r="I58" s="16"/>
      <c r="J58" s="16">
        <f>1090*A58</f>
        <v>1340700</v>
      </c>
      <c r="K58" s="16"/>
      <c r="L58" s="16"/>
      <c r="M58" s="16"/>
      <c r="N58" s="16"/>
      <c r="O58" s="16">
        <f t="shared" si="19"/>
        <v>1340700</v>
      </c>
    </row>
    <row r="59" spans="1:15" ht="27.75" customHeight="1" outlineLevel="1" x14ac:dyDescent="0.25">
      <c r="A59" s="25">
        <v>1300</v>
      </c>
      <c r="B59" s="75" t="s">
        <v>320</v>
      </c>
      <c r="C59" s="16"/>
      <c r="D59" s="16"/>
      <c r="E59" s="16"/>
      <c r="F59" s="16"/>
      <c r="G59" s="16"/>
      <c r="H59" s="16"/>
      <c r="I59" s="16"/>
      <c r="J59" s="16"/>
      <c r="K59" s="16">
        <f>1090*A59</f>
        <v>1417000</v>
      </c>
      <c r="L59" s="16"/>
      <c r="M59" s="16"/>
      <c r="N59" s="16"/>
      <c r="O59" s="16">
        <f t="shared" si="19"/>
        <v>1417000</v>
      </c>
    </row>
    <row r="60" spans="1:15" ht="27.75" customHeight="1" outlineLevel="1" x14ac:dyDescent="0.25">
      <c r="A60" s="25">
        <v>1205</v>
      </c>
      <c r="B60" s="75" t="s">
        <v>326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>
        <f>1100*A60</f>
        <v>1325500</v>
      </c>
      <c r="N60" s="16"/>
      <c r="O60" s="16">
        <f t="shared" si="19"/>
        <v>1325500</v>
      </c>
    </row>
    <row r="61" spans="1:15" ht="27.75" customHeight="1" outlineLevel="1" x14ac:dyDescent="0.25">
      <c r="B61" s="7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>
        <f t="shared" si="19"/>
        <v>0</v>
      </c>
    </row>
    <row r="62" spans="1:15" ht="27.75" customHeight="1" outlineLevel="1" x14ac:dyDescent="0.25">
      <c r="B62" s="7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>
        <f t="shared" si="19"/>
        <v>0</v>
      </c>
    </row>
    <row r="63" spans="1:15" ht="27.75" customHeight="1" outlineLevel="1" x14ac:dyDescent="0.25">
      <c r="B63" s="7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>
        <f t="shared" si="19"/>
        <v>0</v>
      </c>
    </row>
    <row r="64" spans="1:15" ht="27.75" customHeight="1" outlineLevel="1" x14ac:dyDescent="0.25">
      <c r="B64" s="7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>
        <f t="shared" si="19"/>
        <v>0</v>
      </c>
    </row>
    <row r="65" spans="1:15" ht="27.75" customHeight="1" outlineLevel="1" x14ac:dyDescent="0.25">
      <c r="B65" s="7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>
        <f t="shared" si="19"/>
        <v>0</v>
      </c>
    </row>
    <row r="66" spans="1:15" ht="27.75" customHeight="1" outlineLevel="1" x14ac:dyDescent="0.25">
      <c r="A66" s="186"/>
      <c r="B66" s="7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>
        <f t="shared" si="19"/>
        <v>0</v>
      </c>
    </row>
    <row r="67" spans="1:15" ht="27.75" customHeight="1" outlineLevel="1" x14ac:dyDescent="0.25">
      <c r="B67" s="75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>
        <f t="shared" si="19"/>
        <v>0</v>
      </c>
    </row>
    <row r="68" spans="1:15" ht="17.25" customHeight="1" x14ac:dyDescent="0.25">
      <c r="B68" s="64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 ht="24" customHeight="1" x14ac:dyDescent="0.25">
      <c r="B69" s="36"/>
      <c r="C69" s="28">
        <f t="shared" ref="C69:N69" si="20">+C3</f>
        <v>45505</v>
      </c>
      <c r="D69" s="28">
        <f t="shared" si="20"/>
        <v>45536</v>
      </c>
      <c r="E69" s="28">
        <f t="shared" si="20"/>
        <v>45566</v>
      </c>
      <c r="F69" s="28">
        <f t="shared" si="20"/>
        <v>45597</v>
      </c>
      <c r="G69" s="28">
        <f t="shared" si="20"/>
        <v>45627</v>
      </c>
      <c r="H69" s="28">
        <f t="shared" si="20"/>
        <v>45658</v>
      </c>
      <c r="I69" s="28">
        <f t="shared" si="20"/>
        <v>45689</v>
      </c>
      <c r="J69" s="28">
        <f t="shared" si="20"/>
        <v>45717</v>
      </c>
      <c r="K69" s="28">
        <f t="shared" si="20"/>
        <v>45748</v>
      </c>
      <c r="L69" s="28">
        <f t="shared" si="20"/>
        <v>45778</v>
      </c>
      <c r="M69" s="28">
        <f t="shared" si="20"/>
        <v>45809</v>
      </c>
      <c r="N69" s="28">
        <f t="shared" si="20"/>
        <v>45839</v>
      </c>
      <c r="O69" s="89" t="str">
        <f>O3</f>
        <v>TOTAL Y20</v>
      </c>
    </row>
    <row r="70" spans="1:15" ht="24" customHeight="1" thickBot="1" x14ac:dyDescent="0.3">
      <c r="B70" s="36" t="s">
        <v>192</v>
      </c>
      <c r="C70" s="95">
        <f t="shared" ref="C70:N70" si="21">SUM(C71:C81)</f>
        <v>0</v>
      </c>
      <c r="D70" s="95">
        <f t="shared" si="21"/>
        <v>1087900</v>
      </c>
      <c r="E70" s="95">
        <f t="shared" si="21"/>
        <v>927724</v>
      </c>
      <c r="F70" s="95">
        <f t="shared" si="21"/>
        <v>0</v>
      </c>
      <c r="G70" s="95">
        <f t="shared" si="21"/>
        <v>0</v>
      </c>
      <c r="H70" s="95">
        <f t="shared" si="21"/>
        <v>0</v>
      </c>
      <c r="I70" s="95">
        <f t="shared" si="21"/>
        <v>0</v>
      </c>
      <c r="J70" s="95">
        <f t="shared" si="21"/>
        <v>0</v>
      </c>
      <c r="K70" s="95">
        <f t="shared" si="21"/>
        <v>0</v>
      </c>
      <c r="L70" s="95">
        <f t="shared" si="21"/>
        <v>0</v>
      </c>
      <c r="M70" s="95">
        <f t="shared" si="21"/>
        <v>0</v>
      </c>
      <c r="N70" s="95">
        <f t="shared" si="21"/>
        <v>0</v>
      </c>
      <c r="O70" s="96">
        <f t="shared" ref="O70:O78" si="22">SUM(C70:N70)</f>
        <v>2015624</v>
      </c>
    </row>
    <row r="71" spans="1:15" ht="24" customHeight="1" outlineLevel="1" x14ac:dyDescent="0.25">
      <c r="A71" s="25">
        <v>1265</v>
      </c>
      <c r="B71" s="75" t="s">
        <v>277</v>
      </c>
      <c r="C71" s="16"/>
      <c r="D71" s="16">
        <f>860*A71</f>
        <v>1087900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>
        <f t="shared" si="22"/>
        <v>1087900</v>
      </c>
    </row>
    <row r="72" spans="1:15" ht="24" customHeight="1" outlineLevel="1" x14ac:dyDescent="0.25">
      <c r="A72" s="25">
        <v>974.5</v>
      </c>
      <c r="B72" s="75" t="s">
        <v>290</v>
      </c>
      <c r="C72" s="16"/>
      <c r="D72" s="16"/>
      <c r="E72" s="16">
        <f>952*A72</f>
        <v>927724</v>
      </c>
      <c r="F72" s="16"/>
      <c r="G72" s="16"/>
      <c r="H72" s="16"/>
      <c r="I72" s="16"/>
      <c r="J72" s="16"/>
      <c r="K72" s="16"/>
      <c r="L72" s="16"/>
      <c r="M72" s="16"/>
      <c r="N72" s="16"/>
      <c r="O72" s="16">
        <f t="shared" si="22"/>
        <v>927724</v>
      </c>
    </row>
    <row r="73" spans="1:15" ht="24" customHeight="1" outlineLevel="1" x14ac:dyDescent="0.25">
      <c r="B73" s="75"/>
      <c r="C73" s="16"/>
      <c r="D73" s="179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>
        <f t="shared" si="22"/>
        <v>0</v>
      </c>
    </row>
    <row r="74" spans="1:15" ht="24" customHeight="1" outlineLevel="1" x14ac:dyDescent="0.25">
      <c r="A74" s="180"/>
      <c r="B74" s="75"/>
      <c r="C74" s="16"/>
      <c r="D74" s="16"/>
      <c r="E74" s="16"/>
      <c r="F74" s="16"/>
      <c r="G74" s="177"/>
      <c r="H74" s="16"/>
      <c r="I74" s="16"/>
      <c r="J74" s="16"/>
      <c r="K74" s="16"/>
      <c r="L74" s="16"/>
      <c r="M74" s="16"/>
      <c r="N74" s="16"/>
      <c r="O74" s="16">
        <f t="shared" si="22"/>
        <v>0</v>
      </c>
    </row>
    <row r="75" spans="1:15" ht="24" customHeight="1" outlineLevel="1" x14ac:dyDescent="0.25">
      <c r="B75" s="75"/>
      <c r="C75" s="16"/>
      <c r="D75" s="16"/>
      <c r="E75" s="16"/>
      <c r="F75" s="16"/>
      <c r="G75" s="179"/>
      <c r="H75" s="16"/>
      <c r="I75" s="16"/>
      <c r="J75" s="16"/>
      <c r="K75" s="16"/>
      <c r="L75" s="16"/>
      <c r="M75" s="179"/>
      <c r="N75" s="16"/>
      <c r="O75" s="16">
        <f t="shared" si="22"/>
        <v>0</v>
      </c>
    </row>
    <row r="76" spans="1:15" ht="24" customHeight="1" outlineLevel="1" x14ac:dyDescent="0.25">
      <c r="B76" s="75"/>
      <c r="C76" s="16"/>
      <c r="D76" s="16"/>
      <c r="E76" s="16"/>
      <c r="F76" s="16"/>
      <c r="G76" s="179"/>
      <c r="H76" s="16"/>
      <c r="I76" s="16"/>
      <c r="J76" s="16"/>
      <c r="K76" s="16"/>
      <c r="L76" s="16"/>
      <c r="M76" s="179"/>
      <c r="N76" s="16"/>
      <c r="O76" s="16">
        <f t="shared" si="22"/>
        <v>0</v>
      </c>
    </row>
    <row r="77" spans="1:15" ht="24" customHeight="1" outlineLevel="1" x14ac:dyDescent="0.25">
      <c r="B77" s="7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79"/>
      <c r="N77" s="16"/>
      <c r="O77" s="16">
        <f t="shared" si="22"/>
        <v>0</v>
      </c>
    </row>
    <row r="78" spans="1:15" ht="24" customHeight="1" outlineLevel="1" x14ac:dyDescent="0.25">
      <c r="B78" s="7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79"/>
      <c r="N78" s="16"/>
      <c r="O78" s="16">
        <f t="shared" si="22"/>
        <v>0</v>
      </c>
    </row>
    <row r="79" spans="1:15" ht="24" customHeight="1" outlineLevel="1" x14ac:dyDescent="0.25">
      <c r="B79" s="7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79"/>
      <c r="N79" s="16"/>
      <c r="O79" s="16"/>
    </row>
    <row r="80" spans="1:15" ht="24" customHeight="1" outlineLevel="1" x14ac:dyDescent="0.25">
      <c r="B80" s="7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79"/>
      <c r="N80" s="16"/>
      <c r="O80" s="16"/>
    </row>
    <row r="81" spans="1:15" ht="24" customHeight="1" outlineLevel="1" x14ac:dyDescent="0.25">
      <c r="B81" s="75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79"/>
      <c r="N81" s="16"/>
      <c r="O81" s="16"/>
    </row>
    <row r="82" spans="1:15" ht="24" customHeight="1" x14ac:dyDescent="0.25">
      <c r="B82" s="36"/>
      <c r="C82" s="26"/>
      <c r="D82" s="24"/>
      <c r="E82" s="24"/>
      <c r="F82" s="24"/>
      <c r="O82" s="19"/>
    </row>
    <row r="83" spans="1:15" ht="10.5" customHeight="1" x14ac:dyDescent="0.25">
      <c r="B83" s="36"/>
      <c r="C83" s="26"/>
    </row>
    <row r="84" spans="1:15" ht="2.25" customHeight="1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</row>
    <row r="85" spans="1:15" ht="17.25" customHeight="1" x14ac:dyDescent="0.25"/>
    <row r="86" spans="1:15" ht="31.5" customHeight="1" x14ac:dyDescent="0.25">
      <c r="B86" s="97" t="s">
        <v>116</v>
      </c>
      <c r="C86" s="28">
        <f t="shared" ref="C86:O86" si="23">C3</f>
        <v>45505</v>
      </c>
      <c r="D86" s="28">
        <f t="shared" si="23"/>
        <v>45536</v>
      </c>
      <c r="E86" s="28">
        <f t="shared" si="23"/>
        <v>45566</v>
      </c>
      <c r="F86" s="28">
        <f t="shared" si="23"/>
        <v>45597</v>
      </c>
      <c r="G86" s="28">
        <f t="shared" si="23"/>
        <v>45627</v>
      </c>
      <c r="H86" s="28">
        <f t="shared" si="23"/>
        <v>45658</v>
      </c>
      <c r="I86" s="28">
        <f t="shared" si="23"/>
        <v>45689</v>
      </c>
      <c r="J86" s="28">
        <f t="shared" si="23"/>
        <v>45717</v>
      </c>
      <c r="K86" s="28">
        <f t="shared" si="23"/>
        <v>45748</v>
      </c>
      <c r="L86" s="28">
        <f t="shared" si="23"/>
        <v>45778</v>
      </c>
      <c r="M86" s="28">
        <f t="shared" si="23"/>
        <v>45809</v>
      </c>
      <c r="N86" s="28">
        <f t="shared" si="23"/>
        <v>45839</v>
      </c>
      <c r="O86" s="89" t="str">
        <f t="shared" si="23"/>
        <v>TOTAL Y20</v>
      </c>
    </row>
    <row r="87" spans="1:15" ht="31.5" customHeight="1" thickBot="1" x14ac:dyDescent="0.3">
      <c r="B87" s="36" t="s">
        <v>194</v>
      </c>
      <c r="C87" s="96">
        <f t="shared" ref="C87:N87" si="24">SUM(C88:C110)</f>
        <v>16587288</v>
      </c>
      <c r="D87" s="96">
        <f t="shared" si="24"/>
        <v>2830188.6799999997</v>
      </c>
      <c r="E87" s="96">
        <f t="shared" si="24"/>
        <v>0</v>
      </c>
      <c r="F87" s="96">
        <f t="shared" si="24"/>
        <v>7670171</v>
      </c>
      <c r="G87" s="96">
        <f t="shared" si="24"/>
        <v>2779271</v>
      </c>
      <c r="H87" s="96">
        <f t="shared" si="24"/>
        <v>20574400</v>
      </c>
      <c r="I87" s="96">
        <f t="shared" si="24"/>
        <v>10287200</v>
      </c>
      <c r="J87" s="96">
        <f t="shared" si="24"/>
        <v>27775440</v>
      </c>
      <c r="K87" s="96">
        <f t="shared" si="24"/>
        <v>10042542</v>
      </c>
      <c r="L87" s="96">
        <f t="shared" si="24"/>
        <v>7342542</v>
      </c>
      <c r="M87" s="96">
        <f t="shared" si="24"/>
        <v>5806910</v>
      </c>
      <c r="N87" s="96">
        <f t="shared" si="24"/>
        <v>0</v>
      </c>
      <c r="O87" s="96">
        <f t="shared" ref="O87:O111" si="25">SUM(C87:N87)</f>
        <v>111695952.68000001</v>
      </c>
    </row>
    <row r="88" spans="1:15" ht="20.25" customHeight="1" outlineLevel="1" x14ac:dyDescent="0.25">
      <c r="A88" s="25">
        <v>936.5</v>
      </c>
      <c r="B88" s="75" t="s">
        <v>267</v>
      </c>
      <c r="C88" s="16">
        <f>17712*A88</f>
        <v>16587288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>
        <f t="shared" si="25"/>
        <v>16587288</v>
      </c>
    </row>
    <row r="89" spans="1:15" ht="20.25" customHeight="1" outlineLevel="1" x14ac:dyDescent="0.25">
      <c r="B89" s="75" t="s">
        <v>275</v>
      </c>
      <c r="C89" s="16"/>
      <c r="D89" s="179">
        <f>566037.74</f>
        <v>566037.74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>
        <f t="shared" si="25"/>
        <v>566037.74</v>
      </c>
    </row>
    <row r="90" spans="1:15" ht="22.2" customHeight="1" outlineLevel="1" x14ac:dyDescent="0.25">
      <c r="B90" s="75" t="s">
        <v>276</v>
      </c>
      <c r="C90" s="16"/>
      <c r="D90" s="179">
        <f>2264150.94</f>
        <v>2264150.94</v>
      </c>
      <c r="E90" s="212"/>
      <c r="F90" s="16"/>
      <c r="G90" s="16"/>
      <c r="H90" s="16"/>
      <c r="I90" s="16"/>
      <c r="J90" s="16"/>
      <c r="K90" s="16"/>
      <c r="L90" s="16"/>
      <c r="M90" s="16"/>
      <c r="N90" s="16"/>
      <c r="O90" s="16">
        <f t="shared" si="25"/>
        <v>2264150.94</v>
      </c>
    </row>
    <row r="91" spans="1:15" ht="20.25" customHeight="1" outlineLevel="1" x14ac:dyDescent="0.25">
      <c r="A91" s="181"/>
      <c r="B91" s="167" t="s">
        <v>294</v>
      </c>
      <c r="C91" s="16"/>
      <c r="D91" s="16"/>
      <c r="E91" s="16"/>
      <c r="F91" s="16">
        <f>5558542*0.5</f>
        <v>2779271</v>
      </c>
      <c r="G91" s="177">
        <f>5558542*0.5</f>
        <v>2779271</v>
      </c>
      <c r="H91" s="16"/>
      <c r="I91" s="16"/>
      <c r="J91" s="16"/>
      <c r="K91" s="16"/>
      <c r="L91" s="16"/>
      <c r="M91" s="16"/>
      <c r="N91" s="16"/>
      <c r="O91" s="16">
        <f t="shared" si="25"/>
        <v>5558542</v>
      </c>
    </row>
    <row r="92" spans="1:15" ht="20.25" customHeight="1" outlineLevel="1" x14ac:dyDescent="0.25">
      <c r="B92" s="167" t="s">
        <v>298</v>
      </c>
      <c r="C92" s="16"/>
      <c r="D92" s="16"/>
      <c r="E92" s="212"/>
      <c r="F92" s="16">
        <f>4760*1027.5</f>
        <v>4890900</v>
      </c>
      <c r="G92" s="16"/>
      <c r="H92" s="16"/>
      <c r="I92" s="16"/>
      <c r="J92" s="16"/>
      <c r="K92" s="16"/>
      <c r="L92" s="16"/>
      <c r="M92" s="16"/>
      <c r="N92" s="16"/>
      <c r="O92" s="16">
        <f t="shared" si="25"/>
        <v>4890900</v>
      </c>
    </row>
    <row r="93" spans="1:15" ht="20.25" customHeight="1" outlineLevel="1" x14ac:dyDescent="0.25">
      <c r="B93" s="167" t="s">
        <v>304</v>
      </c>
      <c r="C93" s="16"/>
      <c r="D93" s="16"/>
      <c r="E93" s="16"/>
      <c r="F93" s="16"/>
      <c r="G93" s="16"/>
      <c r="H93" s="16">
        <v>20574400</v>
      </c>
      <c r="I93" s="16"/>
      <c r="J93" s="16"/>
      <c r="K93" s="16"/>
      <c r="L93" s="16"/>
      <c r="M93" s="16"/>
      <c r="N93" s="16"/>
      <c r="O93" s="16">
        <f t="shared" si="25"/>
        <v>20574400</v>
      </c>
    </row>
    <row r="94" spans="1:15" ht="20.25" customHeight="1" outlineLevel="1" x14ac:dyDescent="0.25">
      <c r="B94" s="167" t="s">
        <v>307</v>
      </c>
      <c r="C94" s="16"/>
      <c r="D94" s="16"/>
      <c r="F94" s="16"/>
      <c r="G94" s="16"/>
      <c r="H94" s="16"/>
      <c r="I94" s="16">
        <v>10287200</v>
      </c>
      <c r="J94" s="16"/>
      <c r="K94" s="16"/>
      <c r="L94" s="16"/>
      <c r="M94" s="16"/>
      <c r="N94" s="16"/>
      <c r="O94" s="16">
        <f t="shared" si="25"/>
        <v>10287200</v>
      </c>
    </row>
    <row r="95" spans="1:15" ht="20.25" customHeight="1" outlineLevel="1" x14ac:dyDescent="0.25">
      <c r="B95" s="167" t="s">
        <v>317</v>
      </c>
      <c r="C95" s="16"/>
      <c r="D95" s="16"/>
      <c r="F95" s="16"/>
      <c r="G95" s="16"/>
      <c r="H95" s="16"/>
      <c r="I95" s="16"/>
      <c r="J95" s="16">
        <f>(10287200*0.9)*3</f>
        <v>27775440</v>
      </c>
      <c r="K95" s="16"/>
      <c r="L95" s="16"/>
      <c r="M95" s="16"/>
      <c r="N95" s="16"/>
      <c r="O95" s="16">
        <f t="shared" si="25"/>
        <v>27775440</v>
      </c>
    </row>
    <row r="96" spans="1:15" ht="20.25" customHeight="1" outlineLevel="1" x14ac:dyDescent="0.25">
      <c r="B96" s="167" t="s">
        <v>319</v>
      </c>
      <c r="C96" s="16"/>
      <c r="D96" s="16"/>
      <c r="E96" s="16"/>
      <c r="F96" s="16"/>
      <c r="G96" s="16"/>
      <c r="H96" s="16"/>
      <c r="I96" s="16"/>
      <c r="J96" s="16"/>
      <c r="K96" s="16">
        <v>2400000</v>
      </c>
      <c r="L96" s="16">
        <v>1200000</v>
      </c>
      <c r="M96" s="16">
        <v>1200000</v>
      </c>
      <c r="N96" s="177"/>
      <c r="O96" s="16">
        <f t="shared" si="25"/>
        <v>4800000</v>
      </c>
    </row>
    <row r="97" spans="2:15" ht="20.25" customHeight="1" outlineLevel="1" x14ac:dyDescent="0.25">
      <c r="B97" s="167" t="s">
        <v>321</v>
      </c>
      <c r="C97" s="16"/>
      <c r="D97" s="16"/>
      <c r="E97" s="16"/>
      <c r="F97" s="16"/>
      <c r="G97" s="16"/>
      <c r="H97" s="16"/>
      <c r="I97" s="16"/>
      <c r="J97" s="16"/>
      <c r="K97" s="16">
        <v>1500000</v>
      </c>
      <c r="L97" s="16"/>
      <c r="M97" s="16"/>
      <c r="N97" s="16"/>
      <c r="O97" s="16">
        <f t="shared" si="25"/>
        <v>1500000</v>
      </c>
    </row>
    <row r="98" spans="2:15" ht="20.25" customHeight="1" outlineLevel="1" x14ac:dyDescent="0.25">
      <c r="B98" s="167" t="s">
        <v>322</v>
      </c>
      <c r="C98" s="16"/>
      <c r="D98" s="16"/>
      <c r="E98" s="16"/>
      <c r="F98" s="16"/>
      <c r="G98" s="16"/>
      <c r="H98" s="16"/>
      <c r="I98" s="16"/>
      <c r="J98" s="16"/>
      <c r="K98" s="16">
        <v>6142542</v>
      </c>
      <c r="L98" s="16">
        <v>6142542</v>
      </c>
      <c r="M98" s="16"/>
      <c r="N98" s="16"/>
      <c r="O98" s="16">
        <f t="shared" si="25"/>
        <v>12285084</v>
      </c>
    </row>
    <row r="99" spans="2:15" ht="20.25" customHeight="1" outlineLevel="1" x14ac:dyDescent="0.25">
      <c r="B99" s="167" t="s">
        <v>327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246">
        <v>4606910</v>
      </c>
      <c r="N99" s="16"/>
      <c r="O99" s="16">
        <f t="shared" si="25"/>
        <v>4606910</v>
      </c>
    </row>
    <row r="100" spans="2:15" ht="20.25" customHeight="1" outlineLevel="1" x14ac:dyDescent="0.25">
      <c r="B100" s="167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>
        <f t="shared" si="25"/>
        <v>0</v>
      </c>
    </row>
    <row r="101" spans="2:15" ht="20.25" customHeight="1" outlineLevel="1" x14ac:dyDescent="0.25">
      <c r="B101" s="167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>
        <f t="shared" si="25"/>
        <v>0</v>
      </c>
    </row>
    <row r="102" spans="2:15" ht="20.25" customHeight="1" outlineLevel="1" x14ac:dyDescent="0.25">
      <c r="B102" s="167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>
        <f t="shared" si="25"/>
        <v>0</v>
      </c>
    </row>
    <row r="103" spans="2:15" ht="20.25" customHeight="1" outlineLevel="1" x14ac:dyDescent="0.25">
      <c r="B103" s="167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>
        <f t="shared" si="25"/>
        <v>0</v>
      </c>
    </row>
    <row r="104" spans="2:15" ht="20.25" customHeight="1" outlineLevel="1" x14ac:dyDescent="0.25">
      <c r="B104" s="7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>
        <f t="shared" si="25"/>
        <v>0</v>
      </c>
    </row>
    <row r="105" spans="2:15" ht="20.25" customHeight="1" outlineLevel="1" x14ac:dyDescent="0.25">
      <c r="B105" s="75"/>
      <c r="C105" s="16"/>
      <c r="D105" s="16"/>
      <c r="E105" s="16"/>
      <c r="F105" s="16"/>
      <c r="G105" s="16"/>
      <c r="H105" s="16"/>
      <c r="I105" s="16"/>
      <c r="J105" s="16"/>
      <c r="L105" s="16"/>
      <c r="M105" s="16"/>
      <c r="N105" s="16"/>
      <c r="O105" s="16">
        <f t="shared" si="25"/>
        <v>0</v>
      </c>
    </row>
    <row r="106" spans="2:15" ht="20.25" customHeight="1" outlineLevel="1" x14ac:dyDescent="0.25">
      <c r="B106" s="7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>
        <f t="shared" si="25"/>
        <v>0</v>
      </c>
    </row>
    <row r="107" spans="2:15" ht="19.2" customHeight="1" outlineLevel="1" x14ac:dyDescent="0.25">
      <c r="B107" s="7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>
        <f t="shared" si="25"/>
        <v>0</v>
      </c>
    </row>
    <row r="108" spans="2:15" ht="19.2" customHeight="1" outlineLevel="1" x14ac:dyDescent="0.25">
      <c r="B108" s="7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>
        <f t="shared" si="25"/>
        <v>0</v>
      </c>
    </row>
    <row r="109" spans="2:15" ht="19.2" customHeight="1" outlineLevel="1" x14ac:dyDescent="0.25">
      <c r="B109" s="7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>
        <f t="shared" si="25"/>
        <v>0</v>
      </c>
    </row>
    <row r="110" spans="2:15" ht="20.25" customHeight="1" outlineLevel="1" x14ac:dyDescent="0.25">
      <c r="B110" s="7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N110" s="16"/>
      <c r="O110" s="16">
        <f t="shared" si="25"/>
        <v>0</v>
      </c>
    </row>
    <row r="111" spans="2:15" ht="12.75" customHeight="1" x14ac:dyDescent="0.25">
      <c r="B111" s="98"/>
      <c r="C111" s="99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16">
        <f t="shared" si="25"/>
        <v>0</v>
      </c>
    </row>
    <row r="112" spans="2:15" ht="23.25" customHeight="1" x14ac:dyDescent="0.25">
      <c r="C112" s="99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8"/>
    </row>
    <row r="113" spans="2:15" ht="27" customHeight="1" x14ac:dyDescent="0.25">
      <c r="C113" s="28">
        <f t="shared" ref="C113:O113" si="26">C3</f>
        <v>45505</v>
      </c>
      <c r="D113" s="28">
        <f t="shared" si="26"/>
        <v>45536</v>
      </c>
      <c r="E113" s="28">
        <f t="shared" si="26"/>
        <v>45566</v>
      </c>
      <c r="F113" s="28">
        <f t="shared" si="26"/>
        <v>45597</v>
      </c>
      <c r="G113" s="28">
        <f t="shared" si="26"/>
        <v>45627</v>
      </c>
      <c r="H113" s="28">
        <f t="shared" si="26"/>
        <v>45658</v>
      </c>
      <c r="I113" s="28">
        <f t="shared" si="26"/>
        <v>45689</v>
      </c>
      <c r="J113" s="28">
        <f t="shared" si="26"/>
        <v>45717</v>
      </c>
      <c r="K113" s="28">
        <f t="shared" si="26"/>
        <v>45748</v>
      </c>
      <c r="L113" s="28">
        <f t="shared" si="26"/>
        <v>45778</v>
      </c>
      <c r="M113" s="28">
        <f t="shared" si="26"/>
        <v>45809</v>
      </c>
      <c r="N113" s="28">
        <f t="shared" si="26"/>
        <v>45839</v>
      </c>
      <c r="O113" s="89" t="str">
        <f t="shared" si="26"/>
        <v>TOTAL Y20</v>
      </c>
    </row>
    <row r="114" spans="2:15" ht="30.75" customHeight="1" thickBot="1" x14ac:dyDescent="0.3">
      <c r="B114" s="36" t="s">
        <v>28</v>
      </c>
      <c r="C114" s="96">
        <f t="shared" ref="C114:N114" si="27">SUM(C115:C134)</f>
        <v>0</v>
      </c>
      <c r="D114" s="96">
        <f t="shared" si="27"/>
        <v>0</v>
      </c>
      <c r="E114" s="96">
        <f t="shared" si="27"/>
        <v>0</v>
      </c>
      <c r="F114" s="96">
        <f t="shared" si="27"/>
        <v>0</v>
      </c>
      <c r="G114" s="96">
        <f t="shared" si="27"/>
        <v>0</v>
      </c>
      <c r="H114" s="96">
        <f t="shared" si="27"/>
        <v>0</v>
      </c>
      <c r="I114" s="96">
        <f t="shared" si="27"/>
        <v>0</v>
      </c>
      <c r="J114" s="96">
        <f t="shared" si="27"/>
        <v>0</v>
      </c>
      <c r="K114" s="96">
        <f t="shared" si="27"/>
        <v>0</v>
      </c>
      <c r="L114" s="96">
        <f t="shared" si="27"/>
        <v>0</v>
      </c>
      <c r="M114" s="96">
        <f t="shared" si="27"/>
        <v>0</v>
      </c>
      <c r="N114" s="96">
        <f t="shared" si="27"/>
        <v>0</v>
      </c>
      <c r="O114" s="96">
        <f>SUM(C114:N114)</f>
        <v>0</v>
      </c>
    </row>
    <row r="115" spans="2:15" ht="22.5" customHeight="1" outlineLevel="2" x14ac:dyDescent="0.25">
      <c r="B115" s="7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2:15" ht="22.5" customHeight="1" outlineLevel="2" x14ac:dyDescent="0.25">
      <c r="B116" s="7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2:15" ht="22.5" customHeight="1" outlineLevel="2" x14ac:dyDescent="0.25">
      <c r="B117" s="7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2:15" ht="22.5" customHeight="1" outlineLevel="2" x14ac:dyDescent="0.25">
      <c r="B118" s="7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2:15" ht="26.25" customHeight="1" outlineLevel="2" x14ac:dyDescent="0.25">
      <c r="B119" s="7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2:15" ht="26.25" customHeight="1" outlineLevel="2" x14ac:dyDescent="0.25">
      <c r="B120" s="7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2:15" ht="26.25" customHeight="1" outlineLevel="2" x14ac:dyDescent="0.25">
      <c r="B121" s="7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2:15" ht="26.25" customHeight="1" outlineLevel="2" x14ac:dyDescent="0.25">
      <c r="B122" s="7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2:15" ht="26.25" customHeight="1" outlineLevel="2" x14ac:dyDescent="0.25">
      <c r="B123" s="7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2:15" ht="22.5" customHeight="1" outlineLevel="2" x14ac:dyDescent="0.25">
      <c r="B124" s="7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2:15" ht="22.5" customHeight="1" outlineLevel="2" x14ac:dyDescent="0.25">
      <c r="B125" s="7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2:15" ht="23.25" customHeight="1" outlineLevel="2" x14ac:dyDescent="0.25">
      <c r="B126" s="7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2:15" ht="23.25" customHeight="1" outlineLevel="2" x14ac:dyDescent="0.25">
      <c r="B127" s="7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2:15" ht="24.75" customHeight="1" outlineLevel="2" x14ac:dyDescent="0.25">
      <c r="B128" s="7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1:16" ht="24.75" customHeight="1" outlineLevel="2" x14ac:dyDescent="0.25">
      <c r="B129" s="7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1:16" ht="24.75" customHeight="1" outlineLevel="2" x14ac:dyDescent="0.25">
      <c r="B130" s="7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spans="1:16" ht="24.75" customHeight="1" outlineLevel="2" x14ac:dyDescent="0.25">
      <c r="B131" s="7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1:16" ht="24.75" customHeight="1" outlineLevel="2" x14ac:dyDescent="0.25">
      <c r="B132" s="7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1:16" ht="24.75" customHeight="1" outlineLevel="2" x14ac:dyDescent="0.25">
      <c r="B133" s="7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1:16" ht="24.75" customHeight="1" outlineLevel="2" x14ac:dyDescent="0.25">
      <c r="B134" s="7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1:16" ht="24.75" customHeight="1" x14ac:dyDescent="0.25">
      <c r="B135" s="176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70"/>
    </row>
    <row r="136" spans="1:16" ht="24.75" customHeight="1" x14ac:dyDescent="0.25">
      <c r="B136" s="75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19"/>
    </row>
    <row r="137" spans="1:16" ht="24.75" customHeight="1" x14ac:dyDescent="0.25">
      <c r="B137" s="97" t="s">
        <v>134</v>
      </c>
      <c r="C137" s="28">
        <f t="shared" ref="C137:O137" si="28">C3</f>
        <v>45505</v>
      </c>
      <c r="D137" s="28">
        <f t="shared" si="28"/>
        <v>45536</v>
      </c>
      <c r="E137" s="28">
        <f t="shared" si="28"/>
        <v>45566</v>
      </c>
      <c r="F137" s="28">
        <f t="shared" si="28"/>
        <v>45597</v>
      </c>
      <c r="G137" s="28">
        <f t="shared" si="28"/>
        <v>45627</v>
      </c>
      <c r="H137" s="28">
        <f t="shared" si="28"/>
        <v>45658</v>
      </c>
      <c r="I137" s="28">
        <f t="shared" si="28"/>
        <v>45689</v>
      </c>
      <c r="J137" s="28">
        <f t="shared" si="28"/>
        <v>45717</v>
      </c>
      <c r="K137" s="28">
        <f t="shared" si="28"/>
        <v>45748</v>
      </c>
      <c r="L137" s="28">
        <f t="shared" si="28"/>
        <v>45778</v>
      </c>
      <c r="M137" s="28">
        <f t="shared" si="28"/>
        <v>45809</v>
      </c>
      <c r="N137" s="28">
        <f t="shared" si="28"/>
        <v>45839</v>
      </c>
      <c r="O137" s="89" t="str">
        <f t="shared" si="28"/>
        <v>TOTAL Y20</v>
      </c>
    </row>
    <row r="138" spans="1:16" ht="22.5" customHeight="1" thickBot="1" x14ac:dyDescent="0.3">
      <c r="B138" s="36" t="s">
        <v>13</v>
      </c>
      <c r="C138" s="96">
        <f>SUM(C139:C150)</f>
        <v>0</v>
      </c>
      <c r="D138" s="96">
        <f t="shared" ref="D138:N138" si="29">SUM(D139:D150)</f>
        <v>0</v>
      </c>
      <c r="E138" s="96">
        <f t="shared" si="29"/>
        <v>18889500</v>
      </c>
      <c r="F138" s="96">
        <f t="shared" si="29"/>
        <v>18745000</v>
      </c>
      <c r="G138" s="96">
        <f t="shared" si="29"/>
        <v>13008000</v>
      </c>
      <c r="H138" s="96">
        <f t="shared" si="29"/>
        <v>0</v>
      </c>
      <c r="I138" s="96">
        <f t="shared" si="29"/>
        <v>0</v>
      </c>
      <c r="J138" s="96">
        <f t="shared" si="29"/>
        <v>0</v>
      </c>
      <c r="K138" s="96">
        <f t="shared" si="29"/>
        <v>13375000</v>
      </c>
      <c r="L138" s="96">
        <f t="shared" si="29"/>
        <v>0</v>
      </c>
      <c r="M138" s="96">
        <f t="shared" si="29"/>
        <v>0</v>
      </c>
      <c r="N138" s="96">
        <f t="shared" si="29"/>
        <v>22287500</v>
      </c>
      <c r="O138" s="96">
        <f t="shared" ref="O138:O150" si="30">SUM(C138:N138)</f>
        <v>86305000</v>
      </c>
    </row>
    <row r="139" spans="1:16" ht="25.5" customHeight="1" outlineLevel="1" x14ac:dyDescent="0.25">
      <c r="A139" s="25">
        <v>1205</v>
      </c>
      <c r="B139" s="167" t="s">
        <v>286</v>
      </c>
      <c r="C139" s="168"/>
      <c r="D139" s="168"/>
      <c r="E139" s="168">
        <f>6400*A139</f>
        <v>7712000</v>
      </c>
      <c r="F139" s="168"/>
      <c r="G139" s="168"/>
      <c r="H139" s="168"/>
      <c r="I139" s="168"/>
      <c r="J139" s="168"/>
      <c r="K139" s="168"/>
      <c r="L139" s="168"/>
      <c r="M139" s="168"/>
      <c r="N139" s="168"/>
      <c r="O139" s="19">
        <f t="shared" si="30"/>
        <v>7712000</v>
      </c>
    </row>
    <row r="140" spans="1:16" ht="25.5" customHeight="1" outlineLevel="1" x14ac:dyDescent="0.25">
      <c r="A140" s="25">
        <v>1150</v>
      </c>
      <c r="B140" s="167" t="s">
        <v>288</v>
      </c>
      <c r="C140" s="168"/>
      <c r="D140" s="168"/>
      <c r="E140" s="232"/>
      <c r="F140" s="168">
        <f>19500*0.5*A140</f>
        <v>11212500</v>
      </c>
      <c r="G140" s="232">
        <f>19500*0.5*1200</f>
        <v>11700000</v>
      </c>
      <c r="H140" s="168"/>
      <c r="I140" s="168"/>
      <c r="J140" s="168"/>
      <c r="K140" s="168"/>
      <c r="L140" s="168"/>
      <c r="M140" s="168"/>
      <c r="N140" s="168"/>
      <c r="O140" s="19">
        <f t="shared" si="30"/>
        <v>22912500</v>
      </c>
    </row>
    <row r="141" spans="1:16" ht="25.5" customHeight="1" outlineLevel="1" x14ac:dyDescent="0.25">
      <c r="A141" s="25">
        <v>1215</v>
      </c>
      <c r="B141" s="75" t="s">
        <v>289</v>
      </c>
      <c r="C141" s="168"/>
      <c r="D141" s="168"/>
      <c r="E141" s="168">
        <f>3000*A141</f>
        <v>3645000</v>
      </c>
      <c r="F141" s="168"/>
      <c r="G141" s="168"/>
      <c r="H141" s="168"/>
      <c r="I141" s="168"/>
      <c r="J141" s="168"/>
      <c r="K141" s="168"/>
      <c r="L141" s="168"/>
      <c r="M141" s="168"/>
      <c r="N141" s="168"/>
      <c r="O141" s="19">
        <f t="shared" si="30"/>
        <v>3645000</v>
      </c>
    </row>
    <row r="142" spans="1:16" ht="25.5" customHeight="1" outlineLevel="1" x14ac:dyDescent="0.25">
      <c r="A142" s="25">
        <v>1150</v>
      </c>
      <c r="B142" s="75" t="s">
        <v>291</v>
      </c>
      <c r="C142" s="168"/>
      <c r="D142" s="168"/>
      <c r="E142" s="168">
        <f>6550*1150</f>
        <v>7532500</v>
      </c>
      <c r="F142" s="232">
        <f>6550*A142</f>
        <v>7532500</v>
      </c>
      <c r="G142" s="168"/>
      <c r="H142" s="168"/>
      <c r="I142" s="168"/>
      <c r="J142" s="168"/>
      <c r="K142" s="168"/>
      <c r="L142" s="168"/>
      <c r="M142" s="168"/>
      <c r="N142" s="168"/>
      <c r="O142" s="19">
        <f t="shared" si="30"/>
        <v>15065000</v>
      </c>
    </row>
    <row r="143" spans="1:16" ht="25.5" customHeight="1" outlineLevel="1" x14ac:dyDescent="0.25">
      <c r="A143" s="25">
        <v>1090</v>
      </c>
      <c r="B143" s="167" t="s">
        <v>299</v>
      </c>
      <c r="C143" s="168"/>
      <c r="D143" s="168"/>
      <c r="E143" s="168"/>
      <c r="F143" s="168"/>
      <c r="G143" s="168">
        <f>1200*A143</f>
        <v>1308000</v>
      </c>
      <c r="H143" s="168"/>
      <c r="I143" s="168"/>
      <c r="J143" s="168"/>
      <c r="K143" s="168"/>
      <c r="L143" s="168"/>
      <c r="M143" s="168"/>
      <c r="N143" s="168"/>
      <c r="O143" s="19">
        <f t="shared" si="30"/>
        <v>1308000</v>
      </c>
    </row>
    <row r="144" spans="1:16" ht="25.5" customHeight="1" outlineLevel="1" x14ac:dyDescent="0.25">
      <c r="A144" s="25">
        <v>1250</v>
      </c>
      <c r="B144" s="167" t="s">
        <v>323</v>
      </c>
      <c r="C144" s="168"/>
      <c r="D144" s="168"/>
      <c r="E144" s="168"/>
      <c r="F144" s="168"/>
      <c r="G144" s="168"/>
      <c r="H144" s="168"/>
      <c r="I144" s="168"/>
      <c r="J144" s="168"/>
      <c r="K144" s="168">
        <f>300*5*A144</f>
        <v>1875000</v>
      </c>
      <c r="L144" s="168"/>
      <c r="M144" s="168"/>
      <c r="N144" s="168"/>
      <c r="O144" s="19">
        <f t="shared" si="30"/>
        <v>1875000</v>
      </c>
      <c r="P144" s="177"/>
    </row>
    <row r="145" spans="1:15" ht="25.5" customHeight="1" outlineLevel="1" x14ac:dyDescent="0.25">
      <c r="A145" s="25">
        <v>1150</v>
      </c>
      <c r="B145" s="167" t="s">
        <v>324</v>
      </c>
      <c r="C145" s="171"/>
      <c r="D145" s="171"/>
      <c r="E145" s="168"/>
      <c r="F145" s="171"/>
      <c r="G145" s="171"/>
      <c r="H145" s="171"/>
      <c r="I145" s="171"/>
      <c r="J145" s="171"/>
      <c r="K145" s="168">
        <f>10000*A145</f>
        <v>11500000</v>
      </c>
      <c r="L145" s="18"/>
      <c r="M145" s="168"/>
      <c r="N145" s="171"/>
      <c r="O145" s="19">
        <f t="shared" si="30"/>
        <v>11500000</v>
      </c>
    </row>
    <row r="146" spans="1:15" ht="25.5" customHeight="1" outlineLevel="1" x14ac:dyDescent="0.25">
      <c r="A146" s="25">
        <v>1150</v>
      </c>
      <c r="B146" s="167" t="s">
        <v>325</v>
      </c>
      <c r="C146" s="171"/>
      <c r="D146" s="171"/>
      <c r="E146" s="171"/>
      <c r="F146" s="171"/>
      <c r="G146" s="168"/>
      <c r="H146" s="171"/>
      <c r="I146" s="171"/>
      <c r="J146" s="171"/>
      <c r="K146" s="171"/>
      <c r="L146" s="168"/>
      <c r="M146" s="171"/>
      <c r="N146" s="168">
        <f>14250*A146</f>
        <v>16387500</v>
      </c>
      <c r="O146" s="19">
        <f t="shared" si="30"/>
        <v>16387500</v>
      </c>
    </row>
    <row r="147" spans="1:15" ht="25.5" customHeight="1" outlineLevel="1" x14ac:dyDescent="0.25">
      <c r="A147" s="25">
        <v>1180</v>
      </c>
      <c r="B147" s="167" t="s">
        <v>329</v>
      </c>
      <c r="C147" s="171"/>
      <c r="D147" s="171"/>
      <c r="E147" s="171"/>
      <c r="F147" s="171"/>
      <c r="G147" s="168"/>
      <c r="H147" s="171"/>
      <c r="I147" s="171"/>
      <c r="J147" s="168"/>
      <c r="K147" s="171"/>
      <c r="L147" s="168"/>
      <c r="M147" s="171"/>
      <c r="N147" s="247">
        <f>+A147*5000</f>
        <v>5900000</v>
      </c>
      <c r="O147" s="19">
        <f t="shared" si="30"/>
        <v>5900000</v>
      </c>
    </row>
    <row r="148" spans="1:15" ht="25.5" customHeight="1" outlineLevel="1" x14ac:dyDescent="0.25">
      <c r="B148" s="167"/>
      <c r="C148" s="171"/>
      <c r="D148" s="171"/>
      <c r="E148" s="171"/>
      <c r="F148" s="171"/>
      <c r="G148" s="168"/>
      <c r="H148" s="171"/>
      <c r="I148" s="171"/>
      <c r="J148" s="171"/>
      <c r="K148" s="168"/>
      <c r="L148" s="168"/>
      <c r="M148" s="171"/>
      <c r="N148" s="168"/>
      <c r="O148" s="19">
        <f t="shared" si="30"/>
        <v>0</v>
      </c>
    </row>
    <row r="149" spans="1:15" ht="25.5" customHeight="1" outlineLevel="1" x14ac:dyDescent="0.25">
      <c r="B149" s="167"/>
      <c r="C149" s="171"/>
      <c r="D149" s="171"/>
      <c r="E149" s="171"/>
      <c r="F149" s="171"/>
      <c r="G149" s="168"/>
      <c r="H149" s="171"/>
      <c r="I149" s="171"/>
      <c r="J149" s="171"/>
      <c r="K149" s="171"/>
      <c r="L149" s="168"/>
      <c r="M149" s="171"/>
      <c r="N149" s="168"/>
      <c r="O149" s="19">
        <f t="shared" si="30"/>
        <v>0</v>
      </c>
    </row>
    <row r="150" spans="1:15" ht="25.5" customHeight="1" outlineLevel="1" x14ac:dyDescent="0.25">
      <c r="B150" s="167"/>
      <c r="C150" s="171"/>
      <c r="D150" s="171"/>
      <c r="E150" s="171"/>
      <c r="F150" s="171"/>
      <c r="G150" s="168"/>
      <c r="H150" s="171"/>
      <c r="I150" s="171"/>
      <c r="J150" s="171"/>
      <c r="K150" s="171"/>
      <c r="L150" s="168"/>
      <c r="M150" s="171"/>
      <c r="N150" s="168"/>
      <c r="O150" s="19">
        <f t="shared" si="30"/>
        <v>0</v>
      </c>
    </row>
    <row r="151" spans="1:15" ht="18.600000000000001" customHeight="1" x14ac:dyDescent="0.25">
      <c r="B151" s="66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19"/>
    </row>
    <row r="152" spans="1:15" ht="18.600000000000001" customHeight="1" x14ac:dyDescent="0.25">
      <c r="B152" s="40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39"/>
    </row>
    <row r="155" spans="1:15" ht="21" customHeight="1" x14ac:dyDescent="0.25">
      <c r="B155" s="97" t="s">
        <v>195</v>
      </c>
      <c r="C155" s="28">
        <f t="shared" ref="C155:O155" si="31">+C3</f>
        <v>45505</v>
      </c>
      <c r="D155" s="28">
        <f t="shared" si="31"/>
        <v>45536</v>
      </c>
      <c r="E155" s="28">
        <f t="shared" si="31"/>
        <v>45566</v>
      </c>
      <c r="F155" s="28">
        <f t="shared" si="31"/>
        <v>45597</v>
      </c>
      <c r="G155" s="28">
        <f t="shared" si="31"/>
        <v>45627</v>
      </c>
      <c r="H155" s="28">
        <f t="shared" si="31"/>
        <v>45658</v>
      </c>
      <c r="I155" s="28">
        <f t="shared" si="31"/>
        <v>45689</v>
      </c>
      <c r="J155" s="28">
        <f t="shared" si="31"/>
        <v>45717</v>
      </c>
      <c r="K155" s="28">
        <f t="shared" si="31"/>
        <v>45748</v>
      </c>
      <c r="L155" s="28">
        <f t="shared" si="31"/>
        <v>45778</v>
      </c>
      <c r="M155" s="28">
        <f t="shared" si="31"/>
        <v>45809</v>
      </c>
      <c r="N155" s="28">
        <f t="shared" si="31"/>
        <v>45839</v>
      </c>
      <c r="O155" s="89" t="str">
        <f t="shared" si="31"/>
        <v>TOTAL Y20</v>
      </c>
    </row>
    <row r="156" spans="1:15" ht="24" customHeight="1" thickBot="1" x14ac:dyDescent="0.3">
      <c r="B156" s="191" t="s">
        <v>195</v>
      </c>
      <c r="C156" s="96">
        <f>SUM(C158:C328)</f>
        <v>0</v>
      </c>
      <c r="D156" s="96">
        <f t="shared" ref="D156:N156" si="32">SUM(D157:D328)</f>
        <v>0</v>
      </c>
      <c r="E156" s="96">
        <f t="shared" si="32"/>
        <v>540556.5</v>
      </c>
      <c r="F156" s="96">
        <f t="shared" si="32"/>
        <v>0</v>
      </c>
      <c r="G156" s="96">
        <f t="shared" si="32"/>
        <v>463980</v>
      </c>
      <c r="H156" s="96">
        <f t="shared" si="32"/>
        <v>0</v>
      </c>
      <c r="I156" s="96">
        <f t="shared" si="32"/>
        <v>633600</v>
      </c>
      <c r="J156" s="96">
        <f t="shared" si="32"/>
        <v>1140578</v>
      </c>
      <c r="K156" s="96">
        <f t="shared" si="32"/>
        <v>0</v>
      </c>
      <c r="L156" s="96">
        <f t="shared" si="32"/>
        <v>0</v>
      </c>
      <c r="M156" s="96">
        <f t="shared" si="32"/>
        <v>0</v>
      </c>
      <c r="N156" s="96">
        <f t="shared" si="32"/>
        <v>0</v>
      </c>
      <c r="O156" s="96">
        <f>SUM(C156:N156)</f>
        <v>2778714.5</v>
      </c>
    </row>
    <row r="157" spans="1:15" ht="26.4" customHeight="1" x14ac:dyDescent="0.25">
      <c r="B157" s="8" t="s">
        <v>243</v>
      </c>
      <c r="D157" s="16"/>
      <c r="E157" s="16"/>
      <c r="F157" s="177"/>
      <c r="G157" s="16">
        <f>222*1040+222*1050</f>
        <v>463980</v>
      </c>
      <c r="H157" s="16"/>
      <c r="I157" s="16"/>
      <c r="J157" s="16">
        <f>211*1100+211*1280+211*1090</f>
        <v>732170</v>
      </c>
      <c r="K157" s="16"/>
      <c r="L157" s="16"/>
      <c r="M157" s="16"/>
      <c r="N157" s="16"/>
      <c r="O157" s="16">
        <f>SUM(D157:N157)</f>
        <v>1196150</v>
      </c>
    </row>
    <row r="158" spans="1:15" ht="26.4" customHeight="1" x14ac:dyDescent="0.25">
      <c r="B158" s="202" t="s">
        <v>246</v>
      </c>
      <c r="C158" s="16"/>
      <c r="D158" s="16"/>
      <c r="E158" s="16">
        <f>540556.5</f>
        <v>540556.5</v>
      </c>
      <c r="F158" s="177"/>
      <c r="G158" s="16"/>
      <c r="H158" s="16"/>
      <c r="I158" s="16">
        <f>528*1200</f>
        <v>633600</v>
      </c>
      <c r="J158" s="16">
        <f>369.6*1105</f>
        <v>408408</v>
      </c>
      <c r="K158" s="16"/>
      <c r="L158" s="16"/>
      <c r="M158" s="16"/>
      <c r="N158" s="16"/>
      <c r="O158" s="16">
        <f t="shared" ref="O158:O165" si="33">SUM(C158:N158)</f>
        <v>1582564.5</v>
      </c>
    </row>
    <row r="159" spans="1:15" ht="26.4" customHeight="1" x14ac:dyDescent="0.25">
      <c r="B159" s="202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>
        <f t="shared" si="33"/>
        <v>0</v>
      </c>
    </row>
    <row r="160" spans="1:15" ht="26.4" customHeight="1" x14ac:dyDescent="0.25">
      <c r="B160" s="202"/>
      <c r="C160" s="16"/>
      <c r="D160" s="179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>
        <f t="shared" si="33"/>
        <v>0</v>
      </c>
    </row>
    <row r="161" spans="2:16" ht="26.4" customHeight="1" x14ac:dyDescent="0.25">
      <c r="B161" s="202"/>
      <c r="C161" s="16"/>
      <c r="D161" s="179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>
        <f t="shared" si="33"/>
        <v>0</v>
      </c>
    </row>
    <row r="162" spans="2:16" ht="22.2" customHeight="1" x14ac:dyDescent="0.25">
      <c r="B162" s="202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>
        <f t="shared" si="33"/>
        <v>0</v>
      </c>
    </row>
    <row r="163" spans="2:16" ht="22.2" customHeight="1" x14ac:dyDescent="0.25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>
        <f t="shared" si="33"/>
        <v>0</v>
      </c>
    </row>
    <row r="164" spans="2:16" ht="16.95" customHeight="1" x14ac:dyDescent="0.25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>
        <f t="shared" si="33"/>
        <v>0</v>
      </c>
    </row>
    <row r="165" spans="2:16" ht="16.95" customHeight="1" x14ac:dyDescent="0.25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>
        <f t="shared" si="33"/>
        <v>0</v>
      </c>
    </row>
    <row r="166" spans="2:16" ht="16.95" customHeight="1" x14ac:dyDescent="0.25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 spans="2:16" ht="16.2" customHeight="1" x14ac:dyDescent="0.25">
      <c r="C167" s="16"/>
      <c r="D167" s="179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>
        <f t="shared" ref="O167:O198" si="34">SUM(C167:N167)</f>
        <v>0</v>
      </c>
    </row>
    <row r="168" spans="2:16" ht="14.4" x14ac:dyDescent="0.25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>
        <f t="shared" si="34"/>
        <v>0</v>
      </c>
    </row>
    <row r="169" spans="2:16" ht="14.4" x14ac:dyDescent="0.25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>
        <f t="shared" si="34"/>
        <v>0</v>
      </c>
    </row>
    <row r="170" spans="2:16" ht="14.4" x14ac:dyDescent="0.25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>
        <f t="shared" si="34"/>
        <v>0</v>
      </c>
    </row>
    <row r="171" spans="2:16" ht="14.4" x14ac:dyDescent="0.25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>
        <f t="shared" si="34"/>
        <v>0</v>
      </c>
    </row>
    <row r="172" spans="2:16" ht="14.4" x14ac:dyDescent="0.25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79"/>
      <c r="N172" s="16"/>
      <c r="O172" s="16">
        <f t="shared" si="34"/>
        <v>0</v>
      </c>
    </row>
    <row r="173" spans="2:16" ht="14.4" x14ac:dyDescent="0.25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>
        <f t="shared" si="34"/>
        <v>0</v>
      </c>
    </row>
    <row r="174" spans="2:16" ht="14.4" x14ac:dyDescent="0.25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>
        <f t="shared" si="34"/>
        <v>0</v>
      </c>
    </row>
    <row r="175" spans="2:16" ht="14.4" x14ac:dyDescent="0.25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>
        <f t="shared" si="34"/>
        <v>0</v>
      </c>
      <c r="P175" s="208">
        <f>214*288.5</f>
        <v>61739</v>
      </c>
    </row>
    <row r="176" spans="2:16" ht="14.4" x14ac:dyDescent="0.25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>
        <f t="shared" si="34"/>
        <v>0</v>
      </c>
      <c r="P176" s="208">
        <f>534*293</f>
        <v>156462</v>
      </c>
    </row>
    <row r="177" spans="3:15" ht="14.4" x14ac:dyDescent="0.25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>
        <f t="shared" si="34"/>
        <v>0</v>
      </c>
    </row>
    <row r="178" spans="3:15" ht="14.4" x14ac:dyDescent="0.25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>
        <f t="shared" si="34"/>
        <v>0</v>
      </c>
    </row>
    <row r="179" spans="3:15" ht="14.4" x14ac:dyDescent="0.25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>
        <f t="shared" si="34"/>
        <v>0</v>
      </c>
    </row>
    <row r="180" spans="3:15" ht="14.4" x14ac:dyDescent="0.25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>
        <f t="shared" si="34"/>
        <v>0</v>
      </c>
    </row>
    <row r="181" spans="3:15" ht="14.4" x14ac:dyDescent="0.25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>
        <f t="shared" si="34"/>
        <v>0</v>
      </c>
    </row>
    <row r="182" spans="3:15" ht="14.4" x14ac:dyDescent="0.25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>
        <f t="shared" si="34"/>
        <v>0</v>
      </c>
    </row>
    <row r="183" spans="3:15" ht="14.4" x14ac:dyDescent="0.25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>
        <f t="shared" si="34"/>
        <v>0</v>
      </c>
    </row>
    <row r="184" spans="3:15" ht="14.4" x14ac:dyDescent="0.25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>
        <f t="shared" si="34"/>
        <v>0</v>
      </c>
    </row>
    <row r="185" spans="3:15" ht="14.4" x14ac:dyDescent="0.25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>
        <f t="shared" si="34"/>
        <v>0</v>
      </c>
    </row>
    <row r="186" spans="3:15" ht="14.4" x14ac:dyDescent="0.25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>
        <f t="shared" si="34"/>
        <v>0</v>
      </c>
    </row>
    <row r="187" spans="3:15" ht="14.4" x14ac:dyDescent="0.25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>
        <f t="shared" si="34"/>
        <v>0</v>
      </c>
    </row>
    <row r="188" spans="3:15" ht="14.4" x14ac:dyDescent="0.25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>
        <f t="shared" si="34"/>
        <v>0</v>
      </c>
    </row>
    <row r="189" spans="3:15" ht="14.4" x14ac:dyDescent="0.25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>
        <f t="shared" si="34"/>
        <v>0</v>
      </c>
    </row>
    <row r="190" spans="3:15" ht="14.4" x14ac:dyDescent="0.25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>
        <f t="shared" si="34"/>
        <v>0</v>
      </c>
    </row>
    <row r="191" spans="3:15" ht="14.4" x14ac:dyDescent="0.25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>
        <f t="shared" si="34"/>
        <v>0</v>
      </c>
    </row>
    <row r="192" spans="3:15" ht="14.4" x14ac:dyDescent="0.25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>
        <f t="shared" si="34"/>
        <v>0</v>
      </c>
    </row>
    <row r="193" spans="3:15" ht="14.4" x14ac:dyDescent="0.25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>
        <f t="shared" si="34"/>
        <v>0</v>
      </c>
    </row>
    <row r="194" spans="3:15" ht="14.4" x14ac:dyDescent="0.25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>
        <f t="shared" si="34"/>
        <v>0</v>
      </c>
    </row>
    <row r="195" spans="3:15" ht="14.4" x14ac:dyDescent="0.25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>
        <f t="shared" si="34"/>
        <v>0</v>
      </c>
    </row>
    <row r="196" spans="3:15" ht="14.4" x14ac:dyDescent="0.25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>
        <f t="shared" si="34"/>
        <v>0</v>
      </c>
    </row>
    <row r="197" spans="3:15" ht="14.4" x14ac:dyDescent="0.25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>
        <f t="shared" si="34"/>
        <v>0</v>
      </c>
    </row>
    <row r="198" spans="3:15" ht="14.4" x14ac:dyDescent="0.25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>
        <f t="shared" si="34"/>
        <v>0</v>
      </c>
    </row>
    <row r="199" spans="3:15" ht="14.4" x14ac:dyDescent="0.25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>
        <f t="shared" ref="O199:O221" si="35">SUM(C199:N199)</f>
        <v>0</v>
      </c>
    </row>
    <row r="200" spans="3:15" ht="14.4" x14ac:dyDescent="0.25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>
        <f t="shared" si="35"/>
        <v>0</v>
      </c>
    </row>
    <row r="201" spans="3:15" ht="14.4" x14ac:dyDescent="0.25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>
        <f t="shared" si="35"/>
        <v>0</v>
      </c>
    </row>
    <row r="202" spans="3:15" ht="14.4" x14ac:dyDescent="0.25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>
        <f t="shared" si="35"/>
        <v>0</v>
      </c>
    </row>
    <row r="203" spans="3:15" ht="14.4" x14ac:dyDescent="0.25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>
        <f t="shared" si="35"/>
        <v>0</v>
      </c>
    </row>
    <row r="204" spans="3:15" ht="14.4" x14ac:dyDescent="0.25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>
        <f t="shared" si="35"/>
        <v>0</v>
      </c>
    </row>
    <row r="205" spans="3:15" ht="14.4" x14ac:dyDescent="0.25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>
        <f t="shared" si="35"/>
        <v>0</v>
      </c>
    </row>
    <row r="206" spans="3:15" ht="14.4" x14ac:dyDescent="0.25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>
        <f t="shared" si="35"/>
        <v>0</v>
      </c>
    </row>
    <row r="207" spans="3:15" ht="14.4" x14ac:dyDescent="0.25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>
        <f t="shared" si="35"/>
        <v>0</v>
      </c>
    </row>
    <row r="208" spans="3:15" ht="14.4" x14ac:dyDescent="0.25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>
        <f t="shared" si="35"/>
        <v>0</v>
      </c>
    </row>
    <row r="209" spans="3:15" ht="14.4" x14ac:dyDescent="0.25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>
        <f t="shared" si="35"/>
        <v>0</v>
      </c>
    </row>
    <row r="210" spans="3:15" ht="14.4" x14ac:dyDescent="0.25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>
        <f t="shared" si="35"/>
        <v>0</v>
      </c>
    </row>
    <row r="211" spans="3:15" ht="14.4" x14ac:dyDescent="0.25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>
        <f t="shared" si="35"/>
        <v>0</v>
      </c>
    </row>
    <row r="212" spans="3:15" ht="14.4" x14ac:dyDescent="0.25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>
        <f t="shared" si="35"/>
        <v>0</v>
      </c>
    </row>
    <row r="213" spans="3:15" ht="14.4" x14ac:dyDescent="0.25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>
        <f t="shared" si="35"/>
        <v>0</v>
      </c>
    </row>
    <row r="214" spans="3:15" ht="14.4" x14ac:dyDescent="0.25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>
        <f t="shared" si="35"/>
        <v>0</v>
      </c>
    </row>
    <row r="215" spans="3:15" ht="14.4" x14ac:dyDescent="0.25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>
        <f t="shared" si="35"/>
        <v>0</v>
      </c>
    </row>
    <row r="216" spans="3:15" ht="14.4" x14ac:dyDescent="0.25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>
        <f t="shared" si="35"/>
        <v>0</v>
      </c>
    </row>
    <row r="217" spans="3:15" ht="14.4" x14ac:dyDescent="0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>
        <f t="shared" si="35"/>
        <v>0</v>
      </c>
    </row>
    <row r="218" spans="3:15" ht="14.4" x14ac:dyDescent="0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>
        <f t="shared" si="35"/>
        <v>0</v>
      </c>
    </row>
    <row r="219" spans="3:15" ht="14.4" x14ac:dyDescent="0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>
        <f t="shared" si="35"/>
        <v>0</v>
      </c>
    </row>
    <row r="220" spans="3:15" ht="14.4" x14ac:dyDescent="0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>
        <f t="shared" si="35"/>
        <v>0</v>
      </c>
    </row>
    <row r="221" spans="3:15" ht="14.4" x14ac:dyDescent="0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>
        <f t="shared" si="35"/>
        <v>0</v>
      </c>
    </row>
    <row r="222" spans="3:15" ht="14.4" x14ac:dyDescent="0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>
        <f t="shared" ref="O222:O246" si="36">SUM(C222:N222)</f>
        <v>0</v>
      </c>
    </row>
    <row r="223" spans="3:15" ht="14.4" x14ac:dyDescent="0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>
        <f t="shared" si="36"/>
        <v>0</v>
      </c>
    </row>
    <row r="224" spans="3:15" ht="14.4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>
        <f t="shared" si="36"/>
        <v>0</v>
      </c>
    </row>
    <row r="225" spans="3:15" ht="14.4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>
        <f t="shared" si="36"/>
        <v>0</v>
      </c>
    </row>
    <row r="226" spans="3:15" ht="14.4" x14ac:dyDescent="0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>
        <f t="shared" si="36"/>
        <v>0</v>
      </c>
    </row>
    <row r="227" spans="3:15" ht="14.4" x14ac:dyDescent="0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>
        <f t="shared" si="36"/>
        <v>0</v>
      </c>
    </row>
    <row r="228" spans="3:15" ht="14.4" x14ac:dyDescent="0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>
        <f t="shared" si="36"/>
        <v>0</v>
      </c>
    </row>
    <row r="229" spans="3:15" ht="14.4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>
        <f t="shared" si="36"/>
        <v>0</v>
      </c>
    </row>
    <row r="230" spans="3:15" ht="14.4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>
        <f t="shared" si="36"/>
        <v>0</v>
      </c>
    </row>
    <row r="231" spans="3:15" ht="14.4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>
        <f t="shared" si="36"/>
        <v>0</v>
      </c>
    </row>
    <row r="232" spans="3:15" ht="14.4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>
        <f t="shared" si="36"/>
        <v>0</v>
      </c>
    </row>
    <row r="233" spans="3:15" ht="14.4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>
        <f t="shared" si="36"/>
        <v>0</v>
      </c>
    </row>
    <row r="234" spans="3:15" ht="14.4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>
        <f t="shared" si="36"/>
        <v>0</v>
      </c>
    </row>
    <row r="235" spans="3:15" ht="14.4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>
        <f t="shared" si="36"/>
        <v>0</v>
      </c>
    </row>
    <row r="236" spans="3:15" ht="14.4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>
        <f t="shared" si="36"/>
        <v>0</v>
      </c>
    </row>
    <row r="237" spans="3:15" ht="14.4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>
        <f t="shared" si="36"/>
        <v>0</v>
      </c>
    </row>
    <row r="238" spans="3:15" ht="14.4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>
        <f t="shared" si="36"/>
        <v>0</v>
      </c>
    </row>
    <row r="239" spans="3:15" ht="14.4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>
        <f t="shared" si="36"/>
        <v>0</v>
      </c>
    </row>
    <row r="240" spans="3:15" ht="14.4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>
        <f t="shared" si="36"/>
        <v>0</v>
      </c>
    </row>
    <row r="241" spans="15:15" ht="14.4" x14ac:dyDescent="0.25">
      <c r="O241" s="16">
        <f t="shared" si="36"/>
        <v>0</v>
      </c>
    </row>
    <row r="242" spans="15:15" ht="14.4" x14ac:dyDescent="0.25">
      <c r="O242" s="16">
        <f t="shared" si="36"/>
        <v>0</v>
      </c>
    </row>
    <row r="243" spans="15:15" ht="14.4" x14ac:dyDescent="0.25">
      <c r="O243" s="16">
        <f t="shared" si="36"/>
        <v>0</v>
      </c>
    </row>
    <row r="244" spans="15:15" ht="14.4" x14ac:dyDescent="0.25">
      <c r="O244" s="16">
        <f t="shared" si="36"/>
        <v>0</v>
      </c>
    </row>
    <row r="245" spans="15:15" ht="14.4" x14ac:dyDescent="0.25">
      <c r="O245" s="16">
        <f t="shared" si="36"/>
        <v>0</v>
      </c>
    </row>
    <row r="246" spans="15:15" ht="14.4" x14ac:dyDescent="0.25">
      <c r="O246" s="16">
        <f t="shared" si="36"/>
        <v>0</v>
      </c>
    </row>
  </sheetData>
  <phoneticPr fontId="37" type="noConversion"/>
  <dataValidations count="1">
    <dataValidation type="textLength" errorStyle="warning" allowBlank="1" showInputMessage="1" showErrorMessage="1" errorTitle="Atención" error="Llenar este campo es obligatorio" promptTitle="Atención" prompt="Llenar este campo es obligatorio" sqref="B158:B161" xr:uid="{00000000-0002-0000-0200-000000000000}">
      <formula1>1</formula1>
      <formula2>100</formula2>
    </dataValidation>
  </dataValidations>
  <printOptions horizontalCentered="1"/>
  <pageMargins left="0" right="0" top="0" bottom="0" header="0" footer="0"/>
  <pageSetup paperSize="9" scale="45" orientation="landscape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Q58"/>
  <sheetViews>
    <sheetView zoomScale="70" zoomScaleNormal="70" workbookViewId="0">
      <pane ySplit="3" topLeftCell="A4" activePane="bottomLeft" state="frozen"/>
      <selection pane="bottomLeft" activeCell="H12" sqref="H12"/>
    </sheetView>
  </sheetViews>
  <sheetFormatPr baseColWidth="10" defaultColWidth="9.109375" defaultRowHeight="13.8" outlineLevelRow="2" outlineLevelCol="1" x14ac:dyDescent="0.25"/>
  <cols>
    <col min="1" max="1" width="5.33203125" style="8" customWidth="1"/>
    <col min="2" max="2" width="7.5546875" style="8" hidden="1" customWidth="1"/>
    <col min="3" max="3" width="45.6640625" style="8" customWidth="1"/>
    <col min="4" max="15" width="15.109375" style="8" customWidth="1" outlineLevel="1"/>
    <col min="16" max="16" width="19" style="8" customWidth="1"/>
    <col min="17" max="17" width="10" style="8" customWidth="1"/>
    <col min="18" max="16384" width="9.109375" style="8"/>
  </cols>
  <sheetData>
    <row r="1" spans="1:17" ht="42.75" customHeight="1" thickBot="1" x14ac:dyDescent="0.35">
      <c r="B1" s="9"/>
      <c r="C1" s="10" t="s">
        <v>156</v>
      </c>
    </row>
    <row r="2" spans="1:17" ht="15" hidden="1" customHeight="1" thickBot="1" x14ac:dyDescent="0.3">
      <c r="A2" s="11"/>
      <c r="C2" s="11"/>
    </row>
    <row r="3" spans="1:17" ht="33" customHeight="1" x14ac:dyDescent="0.25">
      <c r="A3" s="11"/>
      <c r="C3" s="19"/>
      <c r="D3" s="28">
        <f>'P&amp;L '!D4</f>
        <v>45505</v>
      </c>
      <c r="E3" s="28">
        <f>'P&amp;L '!E4</f>
        <v>45536</v>
      </c>
      <c r="F3" s="28">
        <f>'P&amp;L '!F4</f>
        <v>45566</v>
      </c>
      <c r="G3" s="28">
        <f>'P&amp;L '!G4</f>
        <v>45597</v>
      </c>
      <c r="H3" s="28">
        <f>'P&amp;L '!H4</f>
        <v>45627</v>
      </c>
      <c r="I3" s="28">
        <f>'P&amp;L '!I4</f>
        <v>45658</v>
      </c>
      <c r="J3" s="28">
        <f>'P&amp;L '!J4</f>
        <v>45689</v>
      </c>
      <c r="K3" s="28">
        <f>'P&amp;L '!K4</f>
        <v>45717</v>
      </c>
      <c r="L3" s="28">
        <f>'P&amp;L '!L4</f>
        <v>45748</v>
      </c>
      <c r="M3" s="28">
        <f>'P&amp;L '!M4</f>
        <v>45778</v>
      </c>
      <c r="N3" s="28">
        <f>'P&amp;L '!N4</f>
        <v>45809</v>
      </c>
      <c r="O3" s="28">
        <f>'P&amp;L '!O4</f>
        <v>45839</v>
      </c>
      <c r="P3" s="89" t="str">
        <f>'P&amp;L '!P4</f>
        <v>TOTAL Y20</v>
      </c>
    </row>
    <row r="4" spans="1:17" ht="6" customHeight="1" x14ac:dyDescent="0.25">
      <c r="A4" s="11"/>
      <c r="C4" s="13"/>
      <c r="D4" s="14"/>
    </row>
    <row r="5" spans="1:17" ht="27" customHeight="1" x14ac:dyDescent="0.25">
      <c r="A5" s="11"/>
      <c r="C5" s="48" t="s">
        <v>146</v>
      </c>
      <c r="D5" s="60">
        <f>+D6+D29+D38+D50</f>
        <v>880000</v>
      </c>
      <c r="E5" s="60">
        <f t="shared" ref="E5:O5" si="0">+E6+E29+E38+E50</f>
        <v>26250000</v>
      </c>
      <c r="F5" s="60">
        <f t="shared" si="0"/>
        <v>0</v>
      </c>
      <c r="G5" s="60">
        <f t="shared" si="0"/>
        <v>8750000</v>
      </c>
      <c r="H5" s="60">
        <f t="shared" si="0"/>
        <v>8750000</v>
      </c>
      <c r="I5" s="60">
        <f t="shared" si="0"/>
        <v>0</v>
      </c>
      <c r="J5" s="60">
        <f t="shared" si="0"/>
        <v>0</v>
      </c>
      <c r="K5" s="60">
        <f t="shared" si="0"/>
        <v>0</v>
      </c>
      <c r="L5" s="60">
        <f t="shared" si="0"/>
        <v>0</v>
      </c>
      <c r="M5" s="60">
        <f t="shared" si="0"/>
        <v>0</v>
      </c>
      <c r="N5" s="60">
        <f t="shared" si="0"/>
        <v>0</v>
      </c>
      <c r="O5" s="60">
        <f t="shared" si="0"/>
        <v>0</v>
      </c>
      <c r="P5" s="61">
        <f>SUM(D5:O5)</f>
        <v>44630000</v>
      </c>
      <c r="Q5" s="88"/>
    </row>
    <row r="6" spans="1:17" ht="32.25" customHeight="1" outlineLevel="1" x14ac:dyDescent="0.25">
      <c r="A6" s="11"/>
      <c r="C6" s="44" t="s">
        <v>108</v>
      </c>
      <c r="D6" s="56">
        <f>SUM(D7:D28)</f>
        <v>880000</v>
      </c>
      <c r="E6" s="56">
        <f t="shared" ref="E6:O6" si="1">SUM(E7:E28)</f>
        <v>26250000</v>
      </c>
      <c r="F6" s="56">
        <f t="shared" si="1"/>
        <v>0</v>
      </c>
      <c r="G6" s="56">
        <f t="shared" si="1"/>
        <v>8750000</v>
      </c>
      <c r="H6" s="56">
        <f t="shared" si="1"/>
        <v>8750000</v>
      </c>
      <c r="I6" s="56">
        <f t="shared" si="1"/>
        <v>0</v>
      </c>
      <c r="J6" s="56">
        <f t="shared" si="1"/>
        <v>0</v>
      </c>
      <c r="K6" s="56">
        <f t="shared" si="1"/>
        <v>0</v>
      </c>
      <c r="L6" s="56">
        <f t="shared" si="1"/>
        <v>0</v>
      </c>
      <c r="M6" s="56">
        <f t="shared" si="1"/>
        <v>0</v>
      </c>
      <c r="N6" s="56">
        <f t="shared" si="1"/>
        <v>0</v>
      </c>
      <c r="O6" s="56">
        <f t="shared" si="1"/>
        <v>0</v>
      </c>
      <c r="P6" s="56">
        <f>SUM(D6:O6)</f>
        <v>44630000</v>
      </c>
      <c r="Q6" s="17"/>
    </row>
    <row r="7" spans="1:17" ht="24.75" customHeight="1" outlineLevel="2" x14ac:dyDescent="0.25">
      <c r="A7" s="11"/>
      <c r="C7" s="75" t="s">
        <v>269</v>
      </c>
      <c r="D7" s="16">
        <f>440000*2</f>
        <v>880000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>
        <f t="shared" ref="P7:P28" si="2">SUM(D7:O7)</f>
        <v>880000</v>
      </c>
      <c r="Q7" s="17"/>
    </row>
    <row r="8" spans="1:17" ht="24.75" customHeight="1" outlineLevel="2" x14ac:dyDescent="0.25">
      <c r="A8" s="11"/>
      <c r="C8" s="75" t="s">
        <v>271</v>
      </c>
      <c r="D8" s="16"/>
      <c r="E8" s="16">
        <f>1750000*5</f>
        <v>8750000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f t="shared" si="2"/>
        <v>8750000</v>
      </c>
      <c r="Q8" s="17"/>
    </row>
    <row r="9" spans="1:17" ht="24.75" customHeight="1" outlineLevel="2" x14ac:dyDescent="0.25">
      <c r="A9" s="11"/>
      <c r="C9" s="75" t="s">
        <v>272</v>
      </c>
      <c r="D9" s="16"/>
      <c r="E9" s="16">
        <f>1750000*5</f>
        <v>8750000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>
        <f t="shared" si="2"/>
        <v>8750000</v>
      </c>
      <c r="Q9" s="17"/>
    </row>
    <row r="10" spans="1:17" ht="24.75" customHeight="1" outlineLevel="2" x14ac:dyDescent="0.25">
      <c r="C10" s="75" t="s">
        <v>282</v>
      </c>
      <c r="D10" s="16"/>
      <c r="E10" s="16">
        <f>8750000</f>
        <v>8750000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>
        <f t="shared" si="2"/>
        <v>8750000</v>
      </c>
      <c r="Q10" s="17"/>
    </row>
    <row r="11" spans="1:17" ht="24.75" customHeight="1" outlineLevel="2" x14ac:dyDescent="0.25">
      <c r="C11" s="75" t="s">
        <v>295</v>
      </c>
      <c r="D11" s="16"/>
      <c r="E11" s="16"/>
      <c r="F11" s="16"/>
      <c r="G11" s="16">
        <f>1750000*5</f>
        <v>8750000</v>
      </c>
      <c r="I11" s="16"/>
      <c r="J11" s="16"/>
      <c r="K11" s="16"/>
      <c r="L11" s="16"/>
      <c r="M11" s="16"/>
      <c r="N11" s="16"/>
      <c r="O11" s="16"/>
      <c r="P11" s="16">
        <f t="shared" si="2"/>
        <v>8750000</v>
      </c>
      <c r="Q11" s="17"/>
    </row>
    <row r="12" spans="1:17" ht="24.75" customHeight="1" outlineLevel="2" x14ac:dyDescent="0.25">
      <c r="C12" s="75" t="s">
        <v>296</v>
      </c>
      <c r="D12" s="16"/>
      <c r="E12" s="16"/>
      <c r="F12" s="16"/>
      <c r="G12" s="16"/>
      <c r="H12" s="16">
        <f>1750000*5</f>
        <v>8750000</v>
      </c>
      <c r="I12" s="16"/>
      <c r="J12" s="16"/>
      <c r="K12" s="16"/>
      <c r="L12" s="16"/>
      <c r="M12" s="16"/>
      <c r="N12" s="16"/>
      <c r="O12" s="16"/>
      <c r="P12" s="16">
        <f t="shared" si="2"/>
        <v>8750000</v>
      </c>
      <c r="Q12" s="17"/>
    </row>
    <row r="13" spans="1:17" ht="24.75" customHeight="1" outlineLevel="2" x14ac:dyDescent="0.25">
      <c r="C13" s="7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f t="shared" si="2"/>
        <v>0</v>
      </c>
      <c r="Q13" s="17"/>
    </row>
    <row r="14" spans="1:17" ht="24.75" customHeight="1" outlineLevel="2" x14ac:dyDescent="0.25">
      <c r="C14" s="75"/>
      <c r="D14" s="16"/>
      <c r="E14" s="16"/>
      <c r="F14" s="16"/>
      <c r="G14" s="16"/>
      <c r="H14" s="16"/>
      <c r="I14" s="16"/>
      <c r="J14" s="16"/>
      <c r="L14" s="16"/>
      <c r="M14" s="16"/>
      <c r="N14" s="16"/>
      <c r="O14" s="16"/>
      <c r="P14" s="16">
        <f t="shared" si="2"/>
        <v>0</v>
      </c>
      <c r="Q14" s="17"/>
    </row>
    <row r="15" spans="1:17" ht="24.75" customHeight="1" outlineLevel="2" x14ac:dyDescent="0.25">
      <c r="C15" s="7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f t="shared" si="2"/>
        <v>0</v>
      </c>
      <c r="Q15" s="17"/>
    </row>
    <row r="16" spans="1:17" ht="24.75" customHeight="1" outlineLevel="2" x14ac:dyDescent="0.25">
      <c r="C16" s="7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>
        <f t="shared" si="2"/>
        <v>0</v>
      </c>
      <c r="Q16" s="17"/>
    </row>
    <row r="17" spans="1:17" ht="24.75" customHeight="1" outlineLevel="2" x14ac:dyDescent="0.25">
      <c r="C17" s="7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>
        <f t="shared" si="2"/>
        <v>0</v>
      </c>
      <c r="Q17" s="17"/>
    </row>
    <row r="18" spans="1:17" ht="24.75" customHeight="1" outlineLevel="2" x14ac:dyDescent="0.25">
      <c r="C18" s="7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>
        <f t="shared" si="2"/>
        <v>0</v>
      </c>
      <c r="Q18" s="17"/>
    </row>
    <row r="19" spans="1:17" ht="24.75" customHeight="1" outlineLevel="2" x14ac:dyDescent="0.25">
      <c r="C19" s="7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>
        <f t="shared" si="2"/>
        <v>0</v>
      </c>
      <c r="Q19" s="17"/>
    </row>
    <row r="20" spans="1:17" ht="24.75" customHeight="1" outlineLevel="2" x14ac:dyDescent="0.25">
      <c r="C20" s="7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>
        <f t="shared" si="2"/>
        <v>0</v>
      </c>
      <c r="Q20" s="17"/>
    </row>
    <row r="21" spans="1:17" ht="24.75" customHeight="1" outlineLevel="2" x14ac:dyDescent="0.25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>
        <f t="shared" si="2"/>
        <v>0</v>
      </c>
      <c r="Q21" s="17"/>
    </row>
    <row r="22" spans="1:17" ht="24.75" customHeight="1" outlineLevel="2" x14ac:dyDescent="0.25">
      <c r="C22" s="7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>
        <f t="shared" si="2"/>
        <v>0</v>
      </c>
      <c r="Q22" s="17"/>
    </row>
    <row r="23" spans="1:17" ht="24.75" customHeight="1" outlineLevel="2" x14ac:dyDescent="0.25">
      <c r="C23" s="7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>
        <f t="shared" si="2"/>
        <v>0</v>
      </c>
      <c r="Q23" s="17"/>
    </row>
    <row r="24" spans="1:17" ht="24.75" customHeight="1" outlineLevel="2" x14ac:dyDescent="0.25">
      <c r="C24" s="7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>
        <f t="shared" si="2"/>
        <v>0</v>
      </c>
      <c r="Q24" s="17"/>
    </row>
    <row r="25" spans="1:17" ht="24.75" customHeight="1" outlineLevel="2" x14ac:dyDescent="0.25">
      <c r="C25" s="7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>
        <f t="shared" si="2"/>
        <v>0</v>
      </c>
      <c r="Q25" s="17"/>
    </row>
    <row r="26" spans="1:17" ht="24.75" customHeight="1" outlineLevel="2" x14ac:dyDescent="0.25">
      <c r="C26" s="7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f t="shared" si="2"/>
        <v>0</v>
      </c>
      <c r="Q26" s="17"/>
    </row>
    <row r="27" spans="1:17" ht="24.75" customHeight="1" outlineLevel="2" x14ac:dyDescent="0.25">
      <c r="C27" s="7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f t="shared" si="2"/>
        <v>0</v>
      </c>
      <c r="Q27" s="17"/>
    </row>
    <row r="28" spans="1:17" ht="24.75" customHeight="1" outlineLevel="2" x14ac:dyDescent="0.25"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f t="shared" si="2"/>
        <v>0</v>
      </c>
    </row>
    <row r="29" spans="1:17" ht="24.75" customHeight="1" outlineLevel="1" x14ac:dyDescent="0.25">
      <c r="C29" s="44" t="s">
        <v>254</v>
      </c>
      <c r="D29" s="56">
        <f>SUM(D30:D37)</f>
        <v>0</v>
      </c>
      <c r="E29" s="56">
        <f t="shared" ref="E29:O29" si="3">SUM(E30:E37)</f>
        <v>0</v>
      </c>
      <c r="F29" s="56">
        <f t="shared" si="3"/>
        <v>0</v>
      </c>
      <c r="G29" s="56">
        <f t="shared" si="3"/>
        <v>0</v>
      </c>
      <c r="H29" s="56">
        <f t="shared" si="3"/>
        <v>0</v>
      </c>
      <c r="I29" s="56">
        <f t="shared" si="3"/>
        <v>0</v>
      </c>
      <c r="J29" s="56">
        <f t="shared" si="3"/>
        <v>0</v>
      </c>
      <c r="K29" s="56">
        <f t="shared" si="3"/>
        <v>0</v>
      </c>
      <c r="L29" s="56">
        <f t="shared" si="3"/>
        <v>0</v>
      </c>
      <c r="M29" s="56">
        <f t="shared" si="3"/>
        <v>0</v>
      </c>
      <c r="N29" s="56">
        <f t="shared" si="3"/>
        <v>0</v>
      </c>
      <c r="O29" s="56">
        <f t="shared" si="3"/>
        <v>0</v>
      </c>
      <c r="P29" s="56">
        <f t="shared" ref="P29:P55" si="4">SUM(D29:O29)</f>
        <v>0</v>
      </c>
    </row>
    <row r="30" spans="1:17" ht="24.75" customHeight="1" outlineLevel="2" x14ac:dyDescent="0.25">
      <c r="A30" s="208"/>
      <c r="C30" s="7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f t="shared" si="4"/>
        <v>0</v>
      </c>
    </row>
    <row r="31" spans="1:17" ht="24.75" customHeight="1" outlineLevel="2" x14ac:dyDescent="0.25">
      <c r="A31" s="208"/>
      <c r="C31" s="7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f t="shared" si="4"/>
        <v>0</v>
      </c>
    </row>
    <row r="32" spans="1:17" ht="24.75" customHeight="1" outlineLevel="2" x14ac:dyDescent="0.25">
      <c r="A32" s="25"/>
      <c r="C32" s="7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f t="shared" si="4"/>
        <v>0</v>
      </c>
    </row>
    <row r="33" spans="1:16" ht="24.75" customHeight="1" outlineLevel="2" x14ac:dyDescent="0.25">
      <c r="A33" s="25"/>
      <c r="C33" s="7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f t="shared" si="4"/>
        <v>0</v>
      </c>
    </row>
    <row r="34" spans="1:16" ht="24.75" customHeight="1" outlineLevel="2" x14ac:dyDescent="0.25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f t="shared" si="4"/>
        <v>0</v>
      </c>
    </row>
    <row r="35" spans="1:16" ht="24.75" customHeight="1" outlineLevel="2" x14ac:dyDescent="0.25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f t="shared" si="4"/>
        <v>0</v>
      </c>
    </row>
    <row r="36" spans="1:16" ht="24.75" customHeight="1" outlineLevel="2" x14ac:dyDescent="0.25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>
        <f t="shared" si="4"/>
        <v>0</v>
      </c>
    </row>
    <row r="37" spans="1:16" ht="24.75" customHeight="1" outlineLevel="2" x14ac:dyDescent="0.25"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>
        <f t="shared" si="4"/>
        <v>0</v>
      </c>
    </row>
    <row r="38" spans="1:16" ht="24.75" customHeight="1" outlineLevel="1" x14ac:dyDescent="0.25">
      <c r="C38" s="44" t="s">
        <v>109</v>
      </c>
      <c r="D38" s="56">
        <f>SUM(D39:D49)</f>
        <v>0</v>
      </c>
      <c r="E38" s="56">
        <f t="shared" ref="E38:O38" si="5">SUM(E39:E49)</f>
        <v>0</v>
      </c>
      <c r="F38" s="56">
        <f t="shared" si="5"/>
        <v>0</v>
      </c>
      <c r="G38" s="56">
        <f t="shared" si="5"/>
        <v>0</v>
      </c>
      <c r="H38" s="56">
        <f t="shared" si="5"/>
        <v>0</v>
      </c>
      <c r="I38" s="56">
        <f t="shared" si="5"/>
        <v>0</v>
      </c>
      <c r="J38" s="56">
        <f t="shared" si="5"/>
        <v>0</v>
      </c>
      <c r="K38" s="56">
        <f t="shared" si="5"/>
        <v>0</v>
      </c>
      <c r="L38" s="56">
        <f t="shared" si="5"/>
        <v>0</v>
      </c>
      <c r="M38" s="56">
        <f t="shared" si="5"/>
        <v>0</v>
      </c>
      <c r="N38" s="56">
        <f t="shared" si="5"/>
        <v>0</v>
      </c>
      <c r="O38" s="56">
        <f t="shared" si="5"/>
        <v>0</v>
      </c>
      <c r="P38" s="56">
        <f t="shared" si="4"/>
        <v>0</v>
      </c>
    </row>
    <row r="39" spans="1:16" ht="22.5" customHeight="1" outlineLevel="2" x14ac:dyDescent="0.25">
      <c r="A39" s="181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16">
        <f t="shared" si="4"/>
        <v>0</v>
      </c>
    </row>
    <row r="40" spans="1:16" ht="17.25" customHeight="1" outlineLevel="2" x14ac:dyDescent="0.25"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16">
        <f t="shared" si="4"/>
        <v>0</v>
      </c>
    </row>
    <row r="41" spans="1:16" ht="17.25" customHeight="1" outlineLevel="2" x14ac:dyDescent="0.25">
      <c r="A41" s="178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16">
        <f t="shared" si="4"/>
        <v>0</v>
      </c>
    </row>
    <row r="42" spans="1:16" ht="17.25" customHeight="1" outlineLevel="2" x14ac:dyDescent="0.25">
      <c r="A42" s="178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16">
        <f t="shared" si="4"/>
        <v>0</v>
      </c>
    </row>
    <row r="43" spans="1:16" ht="17.25" customHeight="1" outlineLevel="2" x14ac:dyDescent="0.25">
      <c r="A43" s="178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16">
        <f t="shared" si="4"/>
        <v>0</v>
      </c>
    </row>
    <row r="44" spans="1:16" ht="17.25" customHeight="1" outlineLevel="2" x14ac:dyDescent="0.25">
      <c r="A44" s="178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16">
        <f t="shared" si="4"/>
        <v>0</v>
      </c>
    </row>
    <row r="45" spans="1:16" ht="17.25" customHeight="1" outlineLevel="2" x14ac:dyDescent="0.25"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16">
        <f t="shared" si="4"/>
        <v>0</v>
      </c>
    </row>
    <row r="46" spans="1:16" ht="17.25" customHeight="1" outlineLevel="2" x14ac:dyDescent="0.25">
      <c r="C46" s="7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>
        <f t="shared" si="4"/>
        <v>0</v>
      </c>
    </row>
    <row r="47" spans="1:16" ht="17.25" customHeight="1" outlineLevel="2" x14ac:dyDescent="0.25">
      <c r="C47" s="7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>
        <f t="shared" si="4"/>
        <v>0</v>
      </c>
    </row>
    <row r="48" spans="1:16" ht="17.25" customHeight="1" outlineLevel="2" x14ac:dyDescent="0.25">
      <c r="C48" s="7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>
        <f t="shared" si="4"/>
        <v>0</v>
      </c>
    </row>
    <row r="49" spans="1:16" ht="17.25" customHeight="1" outlineLevel="2" x14ac:dyDescent="0.25">
      <c r="C49" s="7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>
        <f t="shared" si="4"/>
        <v>0</v>
      </c>
    </row>
    <row r="50" spans="1:16" ht="17.25" customHeight="1" outlineLevel="1" x14ac:dyDescent="0.25">
      <c r="C50" s="44" t="s">
        <v>110</v>
      </c>
      <c r="D50" s="56">
        <f>SUM(D51:D55)</f>
        <v>0</v>
      </c>
      <c r="E50" s="56">
        <f t="shared" ref="E50:O50" si="6">SUM(E51:E55)</f>
        <v>0</v>
      </c>
      <c r="F50" s="56">
        <f t="shared" si="6"/>
        <v>0</v>
      </c>
      <c r="G50" s="56">
        <f t="shared" si="6"/>
        <v>0</v>
      </c>
      <c r="H50" s="56">
        <f t="shared" si="6"/>
        <v>0</v>
      </c>
      <c r="I50" s="56">
        <f t="shared" si="6"/>
        <v>0</v>
      </c>
      <c r="J50" s="56">
        <f t="shared" si="6"/>
        <v>0</v>
      </c>
      <c r="K50" s="56">
        <f t="shared" si="6"/>
        <v>0</v>
      </c>
      <c r="L50" s="56">
        <f t="shared" si="6"/>
        <v>0</v>
      </c>
      <c r="M50" s="56">
        <f t="shared" si="6"/>
        <v>0</v>
      </c>
      <c r="N50" s="56">
        <f t="shared" si="6"/>
        <v>0</v>
      </c>
      <c r="O50" s="56">
        <f t="shared" si="6"/>
        <v>0</v>
      </c>
      <c r="P50" s="16">
        <f t="shared" si="4"/>
        <v>0</v>
      </c>
    </row>
    <row r="51" spans="1:16" ht="17.25" customHeight="1" outlineLevel="2" x14ac:dyDescent="0.25">
      <c r="A51" s="25"/>
      <c r="C51" s="7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>
        <f t="shared" si="4"/>
        <v>0</v>
      </c>
    </row>
    <row r="52" spans="1:16" ht="17.25" customHeight="1" outlineLevel="2" x14ac:dyDescent="0.25">
      <c r="C52" s="7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>
        <f t="shared" si="4"/>
        <v>0</v>
      </c>
    </row>
    <row r="53" spans="1:16" ht="17.25" customHeight="1" outlineLevel="2" x14ac:dyDescent="0.25">
      <c r="C53" s="7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>
        <f t="shared" si="4"/>
        <v>0</v>
      </c>
    </row>
    <row r="54" spans="1:16" ht="17.25" customHeight="1" outlineLevel="2" x14ac:dyDescent="0.25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>
        <f t="shared" si="4"/>
        <v>0</v>
      </c>
    </row>
    <row r="55" spans="1:16" ht="17.25" customHeight="1" outlineLevel="2" x14ac:dyDescent="0.25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>
        <f t="shared" si="4"/>
        <v>0</v>
      </c>
    </row>
    <row r="56" spans="1:16" ht="14.4" x14ac:dyDescent="0.25">
      <c r="P56" s="69"/>
    </row>
    <row r="57" spans="1:16" ht="14.4" x14ac:dyDescent="0.25">
      <c r="P57" s="69"/>
    </row>
    <row r="58" spans="1:16" ht="14.4" x14ac:dyDescent="0.25">
      <c r="P58" s="68"/>
    </row>
  </sheetData>
  <printOptions horizontalCentered="1"/>
  <pageMargins left="0" right="0" top="0" bottom="0" header="0" footer="0"/>
  <pageSetup paperSize="9" scale="45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outlinePr summaryBelow="0"/>
  </sheetPr>
  <dimension ref="A1:R41"/>
  <sheetViews>
    <sheetView zoomScale="70" zoomScaleNormal="70" workbookViewId="0">
      <pane ySplit="3" topLeftCell="A11" activePane="bottomLeft" state="frozen"/>
      <selection pane="bottomLeft" activeCell="D23" sqref="D23"/>
    </sheetView>
  </sheetViews>
  <sheetFormatPr baseColWidth="10" defaultColWidth="9.109375" defaultRowHeight="13.8" outlineLevelRow="2" outlineLevelCol="1" x14ac:dyDescent="0.25"/>
  <cols>
    <col min="1" max="1" width="6.109375" style="8" customWidth="1"/>
    <col min="2" max="2" width="7.5546875" style="8" hidden="1" customWidth="1"/>
    <col min="3" max="3" width="67" style="8" customWidth="1"/>
    <col min="4" max="15" width="16" style="8" customWidth="1" outlineLevel="1"/>
    <col min="16" max="16" width="18.5546875" style="8" customWidth="1"/>
    <col min="17" max="17" width="19.6640625" style="8" customWidth="1"/>
    <col min="18" max="18" width="22.109375" style="8" customWidth="1"/>
    <col min="19" max="16384" width="9.109375" style="8"/>
  </cols>
  <sheetData>
    <row r="1" spans="1:17" ht="48.75" customHeight="1" thickBot="1" x14ac:dyDescent="0.35">
      <c r="B1" s="9"/>
      <c r="C1" s="10" t="s">
        <v>155</v>
      </c>
    </row>
    <row r="2" spans="1:17" ht="21" customHeight="1" x14ac:dyDescent="0.25">
      <c r="A2" s="11"/>
    </row>
    <row r="3" spans="1:17" ht="45.75" customHeight="1" x14ac:dyDescent="0.25">
      <c r="A3" s="11"/>
      <c r="C3" s="19"/>
      <c r="D3" s="28">
        <f>'P&amp;L '!D4</f>
        <v>45505</v>
      </c>
      <c r="E3" s="28">
        <f>'P&amp;L '!E4</f>
        <v>45536</v>
      </c>
      <c r="F3" s="28">
        <f>'P&amp;L '!F4</f>
        <v>45566</v>
      </c>
      <c r="G3" s="28">
        <f>'P&amp;L '!G4</f>
        <v>45597</v>
      </c>
      <c r="H3" s="28">
        <f>'P&amp;L '!H4</f>
        <v>45627</v>
      </c>
      <c r="I3" s="28">
        <f>'P&amp;L '!I4</f>
        <v>45658</v>
      </c>
      <c r="J3" s="28">
        <f>'P&amp;L '!J4</f>
        <v>45689</v>
      </c>
      <c r="K3" s="28">
        <f>'P&amp;L '!K4</f>
        <v>45717</v>
      </c>
      <c r="L3" s="28">
        <f>'P&amp;L '!L4</f>
        <v>45748</v>
      </c>
      <c r="M3" s="28">
        <f>'P&amp;L '!M4</f>
        <v>45778</v>
      </c>
      <c r="N3" s="28">
        <f>'P&amp;L '!N4</f>
        <v>45809</v>
      </c>
      <c r="O3" s="28">
        <f>'P&amp;L '!O4</f>
        <v>45839</v>
      </c>
      <c r="P3" s="89" t="str">
        <f>'P&amp;L '!P4</f>
        <v>TOTAL Y20</v>
      </c>
    </row>
    <row r="4" spans="1:17" ht="55.5" customHeight="1" x14ac:dyDescent="0.25">
      <c r="A4" s="11"/>
      <c r="C4" s="22" t="s">
        <v>157</v>
      </c>
      <c r="D4" s="60">
        <f>+D6+D11</f>
        <v>4860000</v>
      </c>
      <c r="E4" s="60">
        <f t="shared" ref="E4:O4" si="0">+E6+E11</f>
        <v>0</v>
      </c>
      <c r="F4" s="60">
        <f t="shared" si="0"/>
        <v>0</v>
      </c>
      <c r="G4" s="60">
        <f t="shared" si="0"/>
        <v>8400000</v>
      </c>
      <c r="H4" s="60">
        <f t="shared" si="0"/>
        <v>0</v>
      </c>
      <c r="I4" s="60">
        <f t="shared" si="0"/>
        <v>0</v>
      </c>
      <c r="J4" s="60">
        <f t="shared" si="0"/>
        <v>3600000</v>
      </c>
      <c r="K4" s="60">
        <f t="shared" si="0"/>
        <v>0</v>
      </c>
      <c r="L4" s="60">
        <f t="shared" si="0"/>
        <v>0</v>
      </c>
      <c r="M4" s="60">
        <f t="shared" si="0"/>
        <v>0</v>
      </c>
      <c r="N4" s="60">
        <f t="shared" si="0"/>
        <v>0</v>
      </c>
      <c r="O4" s="60">
        <f t="shared" si="0"/>
        <v>0</v>
      </c>
      <c r="P4" s="61">
        <f>SUM(D4:O4)</f>
        <v>16860000</v>
      </c>
    </row>
    <row r="5" spans="1:17" ht="6" customHeight="1" x14ac:dyDescent="0.25">
      <c r="A5" s="11"/>
      <c r="C5" s="102"/>
      <c r="D5" s="102"/>
      <c r="E5" s="102"/>
      <c r="F5" s="102"/>
      <c r="G5" s="102"/>
      <c r="H5" s="102"/>
    </row>
    <row r="6" spans="1:17" ht="42.75" customHeight="1" x14ac:dyDescent="0.25">
      <c r="A6" s="11"/>
      <c r="C6" s="22" t="s">
        <v>154</v>
      </c>
      <c r="D6" s="60">
        <f>+D7</f>
        <v>4860000</v>
      </c>
      <c r="E6" s="60">
        <f t="shared" ref="E6:O6" si="1">+E7</f>
        <v>0</v>
      </c>
      <c r="F6" s="60">
        <f t="shared" si="1"/>
        <v>0</v>
      </c>
      <c r="G6" s="60">
        <f t="shared" si="1"/>
        <v>8400000</v>
      </c>
      <c r="H6" s="60">
        <f t="shared" si="1"/>
        <v>0</v>
      </c>
      <c r="I6" s="60">
        <f t="shared" si="1"/>
        <v>0</v>
      </c>
      <c r="J6" s="60">
        <f t="shared" si="1"/>
        <v>3600000</v>
      </c>
      <c r="K6" s="60">
        <f t="shared" si="1"/>
        <v>0</v>
      </c>
      <c r="L6" s="60">
        <f t="shared" si="1"/>
        <v>0</v>
      </c>
      <c r="M6" s="60">
        <f t="shared" si="1"/>
        <v>0</v>
      </c>
      <c r="N6" s="60">
        <f t="shared" si="1"/>
        <v>0</v>
      </c>
      <c r="O6" s="60">
        <f t="shared" si="1"/>
        <v>0</v>
      </c>
      <c r="P6" s="61">
        <f>SUM(D6:O6)</f>
        <v>16860000</v>
      </c>
      <c r="Q6" s="15"/>
    </row>
    <row r="7" spans="1:17" ht="36" customHeight="1" outlineLevel="1" x14ac:dyDescent="0.25">
      <c r="A7" s="11"/>
      <c r="C7" s="63" t="s">
        <v>55</v>
      </c>
      <c r="D7" s="56">
        <f>SUM(D8:D9)</f>
        <v>4860000</v>
      </c>
      <c r="E7" s="56">
        <f t="shared" ref="E7:O7" si="2">SUM(E8:E9)</f>
        <v>0</v>
      </c>
      <c r="F7" s="56">
        <f t="shared" si="2"/>
        <v>0</v>
      </c>
      <c r="G7" s="56">
        <f t="shared" si="2"/>
        <v>8400000</v>
      </c>
      <c r="H7" s="56">
        <f t="shared" si="2"/>
        <v>0</v>
      </c>
      <c r="I7" s="56">
        <f t="shared" si="2"/>
        <v>0</v>
      </c>
      <c r="J7" s="56">
        <f t="shared" si="2"/>
        <v>3600000</v>
      </c>
      <c r="K7" s="56">
        <f t="shared" si="2"/>
        <v>0</v>
      </c>
      <c r="L7" s="56">
        <f t="shared" si="2"/>
        <v>0</v>
      </c>
      <c r="M7" s="56">
        <f t="shared" si="2"/>
        <v>0</v>
      </c>
      <c r="N7" s="56">
        <f t="shared" si="2"/>
        <v>0</v>
      </c>
      <c r="O7" s="56">
        <f t="shared" si="2"/>
        <v>0</v>
      </c>
      <c r="P7" s="56">
        <f>SUM(D7:O7)</f>
        <v>16860000</v>
      </c>
      <c r="Q7" s="56"/>
    </row>
    <row r="8" spans="1:17" ht="35.25" customHeight="1" outlineLevel="2" x14ac:dyDescent="0.25">
      <c r="A8" s="11"/>
      <c r="C8" s="71" t="s">
        <v>56</v>
      </c>
      <c r="D8" s="16">
        <f>+D16</f>
        <v>0</v>
      </c>
      <c r="E8" s="16">
        <f t="shared" ref="E8:O8" si="3">+E16</f>
        <v>0</v>
      </c>
      <c r="F8" s="16">
        <f t="shared" si="3"/>
        <v>0</v>
      </c>
      <c r="G8" s="16">
        <f t="shared" si="3"/>
        <v>8400000</v>
      </c>
      <c r="H8" s="16">
        <f t="shared" si="3"/>
        <v>0</v>
      </c>
      <c r="I8" s="16">
        <f t="shared" si="3"/>
        <v>0</v>
      </c>
      <c r="J8" s="16">
        <f t="shared" si="3"/>
        <v>3600000</v>
      </c>
      <c r="K8" s="16">
        <f t="shared" si="3"/>
        <v>0</v>
      </c>
      <c r="L8" s="16">
        <f t="shared" si="3"/>
        <v>0</v>
      </c>
      <c r="M8" s="16">
        <f t="shared" si="3"/>
        <v>0</v>
      </c>
      <c r="N8" s="16">
        <f t="shared" si="3"/>
        <v>0</v>
      </c>
      <c r="O8" s="16">
        <f t="shared" si="3"/>
        <v>0</v>
      </c>
      <c r="P8" s="16">
        <f>SUM(D8:O8)</f>
        <v>12000000</v>
      </c>
      <c r="Q8" s="56"/>
    </row>
    <row r="9" spans="1:17" ht="35.25" customHeight="1" outlineLevel="2" x14ac:dyDescent="0.25">
      <c r="A9" s="11"/>
      <c r="C9" s="71" t="s">
        <v>57</v>
      </c>
      <c r="D9" s="16">
        <f>+D22</f>
        <v>4860000</v>
      </c>
      <c r="E9" s="16">
        <f t="shared" ref="E9:O9" si="4">+E22</f>
        <v>0</v>
      </c>
      <c r="F9" s="16">
        <f t="shared" si="4"/>
        <v>0</v>
      </c>
      <c r="G9" s="16">
        <f t="shared" si="4"/>
        <v>0</v>
      </c>
      <c r="H9" s="16">
        <f t="shared" si="4"/>
        <v>0</v>
      </c>
      <c r="I9" s="16">
        <f t="shared" si="4"/>
        <v>0</v>
      </c>
      <c r="J9" s="16">
        <f t="shared" si="4"/>
        <v>0</v>
      </c>
      <c r="K9" s="16">
        <f t="shared" si="4"/>
        <v>0</v>
      </c>
      <c r="L9" s="16">
        <f t="shared" si="4"/>
        <v>0</v>
      </c>
      <c r="M9" s="16">
        <f t="shared" si="4"/>
        <v>0</v>
      </c>
      <c r="N9" s="16">
        <f t="shared" si="4"/>
        <v>0</v>
      </c>
      <c r="O9" s="16">
        <f t="shared" si="4"/>
        <v>0</v>
      </c>
      <c r="P9" s="16">
        <f>SUM(D9:O9)</f>
        <v>4860000</v>
      </c>
      <c r="Q9" s="17"/>
    </row>
    <row r="10" spans="1:17" ht="18" customHeight="1" x14ac:dyDescent="0.25">
      <c r="A10" s="11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7"/>
    </row>
    <row r="11" spans="1:17" ht="42" customHeight="1" x14ac:dyDescent="0.25">
      <c r="A11" s="11"/>
      <c r="C11" s="22" t="s">
        <v>15</v>
      </c>
      <c r="D11" s="20">
        <f>SUM(D12:D12)</f>
        <v>0</v>
      </c>
      <c r="E11" s="20">
        <f t="shared" ref="E11:O11" si="5">SUM(E12:E12)</f>
        <v>0</v>
      </c>
      <c r="F11" s="20">
        <f t="shared" si="5"/>
        <v>0</v>
      </c>
      <c r="G11" s="20">
        <f t="shared" si="5"/>
        <v>0</v>
      </c>
      <c r="H11" s="20">
        <f t="shared" si="5"/>
        <v>0</v>
      </c>
      <c r="I11" s="20">
        <f t="shared" si="5"/>
        <v>0</v>
      </c>
      <c r="J11" s="20">
        <f t="shared" si="5"/>
        <v>0</v>
      </c>
      <c r="K11" s="20">
        <f t="shared" si="5"/>
        <v>0</v>
      </c>
      <c r="L11" s="20">
        <f t="shared" si="5"/>
        <v>0</v>
      </c>
      <c r="M11" s="20">
        <f t="shared" si="5"/>
        <v>0</v>
      </c>
      <c r="N11" s="20">
        <f t="shared" si="5"/>
        <v>0</v>
      </c>
      <c r="O11" s="20">
        <f t="shared" si="5"/>
        <v>0</v>
      </c>
      <c r="P11" s="21">
        <f>SUM(D11:O11)</f>
        <v>0</v>
      </c>
      <c r="Q11" s="17"/>
    </row>
    <row r="12" spans="1:17" ht="34.5" customHeight="1" outlineLevel="1" x14ac:dyDescent="0.25">
      <c r="A12" s="11"/>
      <c r="C12" s="62" t="s">
        <v>158</v>
      </c>
      <c r="D12" s="16">
        <f>+D35</f>
        <v>0</v>
      </c>
      <c r="E12" s="16">
        <f t="shared" ref="E12:O12" si="6">+E35</f>
        <v>0</v>
      </c>
      <c r="F12" s="16">
        <f t="shared" si="6"/>
        <v>0</v>
      </c>
      <c r="G12" s="16">
        <f t="shared" si="6"/>
        <v>0</v>
      </c>
      <c r="H12" s="16">
        <f t="shared" si="6"/>
        <v>0</v>
      </c>
      <c r="I12" s="16">
        <f t="shared" si="6"/>
        <v>0</v>
      </c>
      <c r="J12" s="16">
        <f t="shared" si="6"/>
        <v>0</v>
      </c>
      <c r="K12" s="16">
        <f t="shared" si="6"/>
        <v>0</v>
      </c>
      <c r="L12" s="16">
        <f t="shared" si="6"/>
        <v>0</v>
      </c>
      <c r="M12" s="16">
        <f t="shared" si="6"/>
        <v>0</v>
      </c>
      <c r="N12" s="16">
        <f t="shared" si="6"/>
        <v>0</v>
      </c>
      <c r="O12" s="16">
        <f t="shared" si="6"/>
        <v>0</v>
      </c>
      <c r="P12" s="16">
        <f>SUM(D12:O12)</f>
        <v>0</v>
      </c>
      <c r="Q12" s="17"/>
    </row>
    <row r="13" spans="1:17" ht="10.5" customHeight="1" x14ac:dyDescent="0.25">
      <c r="A13" s="11"/>
      <c r="C13" s="2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</row>
    <row r="14" spans="1:17" ht="11.25" customHeight="1" x14ac:dyDescent="0.25">
      <c r="G14" s="32"/>
    </row>
    <row r="15" spans="1:17" ht="32.25" customHeight="1" x14ac:dyDescent="0.25">
      <c r="C15" s="97" t="s">
        <v>54</v>
      </c>
      <c r="D15" s="28">
        <f t="shared" ref="D15:P15" si="7">D3</f>
        <v>45505</v>
      </c>
      <c r="E15" s="28">
        <f t="shared" si="7"/>
        <v>45536</v>
      </c>
      <c r="F15" s="28">
        <f t="shared" si="7"/>
        <v>45566</v>
      </c>
      <c r="G15" s="28">
        <f t="shared" si="7"/>
        <v>45597</v>
      </c>
      <c r="H15" s="28">
        <f t="shared" si="7"/>
        <v>45627</v>
      </c>
      <c r="I15" s="28">
        <f t="shared" si="7"/>
        <v>45658</v>
      </c>
      <c r="J15" s="28">
        <f t="shared" si="7"/>
        <v>45689</v>
      </c>
      <c r="K15" s="28">
        <f t="shared" si="7"/>
        <v>45717</v>
      </c>
      <c r="L15" s="28">
        <f t="shared" si="7"/>
        <v>45748</v>
      </c>
      <c r="M15" s="28">
        <f t="shared" si="7"/>
        <v>45778</v>
      </c>
      <c r="N15" s="28">
        <f t="shared" si="7"/>
        <v>45809</v>
      </c>
      <c r="O15" s="28">
        <f t="shared" si="7"/>
        <v>45839</v>
      </c>
      <c r="P15" s="89" t="str">
        <f t="shared" si="7"/>
        <v>TOTAL Y20</v>
      </c>
    </row>
    <row r="16" spans="1:17" ht="32.25" customHeight="1" x14ac:dyDescent="0.25">
      <c r="C16" s="97" t="s">
        <v>56</v>
      </c>
      <c r="D16" s="76">
        <f>SUM(D17:D19)</f>
        <v>0</v>
      </c>
      <c r="E16" s="76">
        <f t="shared" ref="E16:O16" si="8">SUM(E17:E19)</f>
        <v>0</v>
      </c>
      <c r="F16" s="76">
        <f t="shared" si="8"/>
        <v>0</v>
      </c>
      <c r="G16" s="76">
        <f t="shared" si="8"/>
        <v>8400000</v>
      </c>
      <c r="H16" s="76">
        <f t="shared" si="8"/>
        <v>0</v>
      </c>
      <c r="I16" s="76">
        <f t="shared" si="8"/>
        <v>0</v>
      </c>
      <c r="J16" s="76">
        <f t="shared" si="8"/>
        <v>3600000</v>
      </c>
      <c r="K16" s="76">
        <f t="shared" si="8"/>
        <v>0</v>
      </c>
      <c r="L16" s="76">
        <f t="shared" si="8"/>
        <v>0</v>
      </c>
      <c r="M16" s="76">
        <f t="shared" si="8"/>
        <v>0</v>
      </c>
      <c r="N16" s="76">
        <f t="shared" si="8"/>
        <v>0</v>
      </c>
      <c r="O16" s="76">
        <f t="shared" si="8"/>
        <v>0</v>
      </c>
      <c r="P16" s="76">
        <f>SUM(D16:O16)</f>
        <v>12000000</v>
      </c>
    </row>
    <row r="17" spans="1:16" ht="32.25" customHeight="1" outlineLevel="1" x14ac:dyDescent="0.25">
      <c r="C17" s="75" t="s">
        <v>247</v>
      </c>
      <c r="D17" s="16"/>
      <c r="E17" s="16"/>
      <c r="F17" s="16"/>
      <c r="G17" s="16">
        <f>12000000*0.7</f>
        <v>8400000</v>
      </c>
      <c r="H17" s="16"/>
      <c r="I17" s="16"/>
      <c r="J17" s="177">
        <f>12000000*0.3</f>
        <v>3600000</v>
      </c>
      <c r="K17" s="16"/>
      <c r="L17" s="16"/>
      <c r="M17" s="16"/>
      <c r="N17" s="16"/>
      <c r="O17" s="16"/>
      <c r="P17" s="16">
        <f>SUM(D17:O17)</f>
        <v>12000000</v>
      </c>
    </row>
    <row r="18" spans="1:16" ht="32.25" customHeight="1" outlineLevel="1" x14ac:dyDescent="0.25">
      <c r="C18" s="7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>
        <f>SUM(D18:O18)</f>
        <v>0</v>
      </c>
    </row>
    <row r="19" spans="1:16" ht="32.25" customHeight="1" outlineLevel="1" x14ac:dyDescent="0.25">
      <c r="C19" s="7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>
        <f>SUM(D19:O19)</f>
        <v>0</v>
      </c>
    </row>
    <row r="20" spans="1:16" ht="32.25" customHeight="1" x14ac:dyDescent="0.25">
      <c r="C20" s="62"/>
      <c r="D20" s="164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</row>
    <row r="21" spans="1:16" ht="32.25" customHeight="1" x14ac:dyDescent="0.25">
      <c r="C21" s="35"/>
      <c r="D21" s="28">
        <f t="shared" ref="D21:P21" si="9">D3</f>
        <v>45505</v>
      </c>
      <c r="E21" s="28">
        <f t="shared" si="9"/>
        <v>45536</v>
      </c>
      <c r="F21" s="28">
        <f t="shared" si="9"/>
        <v>45566</v>
      </c>
      <c r="G21" s="28">
        <f t="shared" si="9"/>
        <v>45597</v>
      </c>
      <c r="H21" s="28">
        <f t="shared" si="9"/>
        <v>45627</v>
      </c>
      <c r="I21" s="28">
        <f t="shared" si="9"/>
        <v>45658</v>
      </c>
      <c r="J21" s="28">
        <f t="shared" si="9"/>
        <v>45689</v>
      </c>
      <c r="K21" s="28">
        <f t="shared" si="9"/>
        <v>45717</v>
      </c>
      <c r="L21" s="28">
        <f t="shared" si="9"/>
        <v>45748</v>
      </c>
      <c r="M21" s="28">
        <f t="shared" si="9"/>
        <v>45778</v>
      </c>
      <c r="N21" s="28">
        <f t="shared" si="9"/>
        <v>45809</v>
      </c>
      <c r="O21" s="28">
        <f t="shared" si="9"/>
        <v>45839</v>
      </c>
      <c r="P21" s="89" t="str">
        <f t="shared" si="9"/>
        <v>TOTAL Y20</v>
      </c>
    </row>
    <row r="22" spans="1:16" ht="33.75" customHeight="1" x14ac:dyDescent="0.25">
      <c r="C22" s="97" t="s">
        <v>57</v>
      </c>
      <c r="D22" s="76">
        <f>SUM(D23:D30)</f>
        <v>4860000</v>
      </c>
      <c r="E22" s="76">
        <f t="shared" ref="E22:O22" si="10">SUM(E23:E30)</f>
        <v>0</v>
      </c>
      <c r="F22" s="76">
        <f t="shared" si="10"/>
        <v>0</v>
      </c>
      <c r="G22" s="76">
        <f t="shared" si="10"/>
        <v>0</v>
      </c>
      <c r="H22" s="76">
        <f t="shared" si="10"/>
        <v>0</v>
      </c>
      <c r="I22" s="76">
        <f t="shared" si="10"/>
        <v>0</v>
      </c>
      <c r="J22" s="76">
        <f t="shared" si="10"/>
        <v>0</v>
      </c>
      <c r="K22" s="76">
        <f t="shared" si="10"/>
        <v>0</v>
      </c>
      <c r="L22" s="76">
        <f t="shared" si="10"/>
        <v>0</v>
      </c>
      <c r="M22" s="76">
        <f t="shared" si="10"/>
        <v>0</v>
      </c>
      <c r="N22" s="76">
        <f t="shared" si="10"/>
        <v>0</v>
      </c>
      <c r="O22" s="76">
        <f t="shared" si="10"/>
        <v>0</v>
      </c>
      <c r="P22" s="76">
        <f>SUM(D22:O22)</f>
        <v>4860000</v>
      </c>
    </row>
    <row r="23" spans="1:16" ht="32.25" customHeight="1" outlineLevel="1" x14ac:dyDescent="0.25">
      <c r="A23" s="25"/>
      <c r="C23" s="75" t="s">
        <v>255</v>
      </c>
      <c r="D23" s="16">
        <f>(112-40)*50*1350</f>
        <v>4860000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>
        <f>SUM(D23:O23)</f>
        <v>4860000</v>
      </c>
    </row>
    <row r="24" spans="1:16" ht="32.25" customHeight="1" outlineLevel="1" x14ac:dyDescent="0.25">
      <c r="A24" s="25"/>
      <c r="C24" s="7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7"/>
      <c r="P24" s="16">
        <f t="shared" ref="P24:P30" si="11">SUM(D24:O24)</f>
        <v>0</v>
      </c>
    </row>
    <row r="25" spans="1:16" ht="32.25" customHeight="1" outlineLevel="1" x14ac:dyDescent="0.25">
      <c r="C25" s="7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>
        <f t="shared" si="11"/>
        <v>0</v>
      </c>
    </row>
    <row r="26" spans="1:16" ht="32.25" customHeight="1" outlineLevel="1" x14ac:dyDescent="0.25">
      <c r="C26" s="6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f t="shared" si="11"/>
        <v>0</v>
      </c>
    </row>
    <row r="27" spans="1:16" ht="32.25" customHeight="1" outlineLevel="1" x14ac:dyDescent="0.25">
      <c r="C27" s="6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f t="shared" si="11"/>
        <v>0</v>
      </c>
    </row>
    <row r="28" spans="1:16" ht="32.25" customHeight="1" outlineLevel="1" x14ac:dyDescent="0.25">
      <c r="C28" s="6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f t="shared" si="11"/>
        <v>0</v>
      </c>
    </row>
    <row r="29" spans="1:16" ht="32.25" customHeight="1" outlineLevel="1" x14ac:dyDescent="0.25">
      <c r="C29" s="6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>
        <f t="shared" si="11"/>
        <v>0</v>
      </c>
    </row>
    <row r="30" spans="1:16" ht="32.25" customHeight="1" outlineLevel="1" x14ac:dyDescent="0.25">
      <c r="C30" s="6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f t="shared" si="11"/>
        <v>0</v>
      </c>
    </row>
    <row r="31" spans="1:16" ht="26.25" customHeight="1" x14ac:dyDescent="0.25"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 ht="11.25" customHeight="1" x14ac:dyDescent="0.25"/>
    <row r="33" spans="3:18" ht="32.25" customHeight="1" x14ac:dyDescent="0.25">
      <c r="D33" s="26"/>
      <c r="G33" s="32"/>
    </row>
    <row r="34" spans="3:18" ht="34.5" customHeight="1" x14ac:dyDescent="0.25">
      <c r="C34" s="97" t="s">
        <v>158</v>
      </c>
      <c r="D34" s="28">
        <f t="shared" ref="D34:P34" si="12">D3</f>
        <v>45505</v>
      </c>
      <c r="E34" s="28">
        <f t="shared" si="12"/>
        <v>45536</v>
      </c>
      <c r="F34" s="28">
        <f t="shared" si="12"/>
        <v>45566</v>
      </c>
      <c r="G34" s="28">
        <f t="shared" si="12"/>
        <v>45597</v>
      </c>
      <c r="H34" s="28">
        <f t="shared" si="12"/>
        <v>45627</v>
      </c>
      <c r="I34" s="28">
        <f t="shared" si="12"/>
        <v>45658</v>
      </c>
      <c r="J34" s="28">
        <f t="shared" si="12"/>
        <v>45689</v>
      </c>
      <c r="K34" s="28">
        <f t="shared" si="12"/>
        <v>45717</v>
      </c>
      <c r="L34" s="28">
        <f t="shared" si="12"/>
        <v>45748</v>
      </c>
      <c r="M34" s="28">
        <f t="shared" si="12"/>
        <v>45778</v>
      </c>
      <c r="N34" s="28">
        <f t="shared" si="12"/>
        <v>45809</v>
      </c>
      <c r="O34" s="28">
        <f t="shared" si="12"/>
        <v>45839</v>
      </c>
      <c r="P34" s="89" t="str">
        <f t="shared" si="12"/>
        <v>TOTAL Y20</v>
      </c>
      <c r="Q34" s="30"/>
      <c r="R34" s="51"/>
    </row>
    <row r="35" spans="3:18" ht="32.25" customHeight="1" x14ac:dyDescent="0.25">
      <c r="C35" s="97" t="s">
        <v>158</v>
      </c>
      <c r="D35" s="76">
        <f>SUM(D36:D39)</f>
        <v>0</v>
      </c>
      <c r="E35" s="76">
        <f t="shared" ref="E35:O35" si="13">SUM(E36:E39)</f>
        <v>0</v>
      </c>
      <c r="F35" s="76">
        <f t="shared" si="13"/>
        <v>0</v>
      </c>
      <c r="G35" s="76">
        <f t="shared" si="13"/>
        <v>0</v>
      </c>
      <c r="H35" s="76">
        <f t="shared" si="13"/>
        <v>0</v>
      </c>
      <c r="I35" s="76">
        <f t="shared" si="13"/>
        <v>0</v>
      </c>
      <c r="J35" s="76">
        <f t="shared" si="13"/>
        <v>0</v>
      </c>
      <c r="K35" s="76">
        <f t="shared" si="13"/>
        <v>0</v>
      </c>
      <c r="L35" s="76">
        <f t="shared" si="13"/>
        <v>0</v>
      </c>
      <c r="M35" s="76">
        <f t="shared" si="13"/>
        <v>0</v>
      </c>
      <c r="N35" s="76">
        <f t="shared" si="13"/>
        <v>0</v>
      </c>
      <c r="O35" s="76">
        <f t="shared" si="13"/>
        <v>0</v>
      </c>
      <c r="P35" s="76">
        <f>SUM(D35:O35)</f>
        <v>0</v>
      </c>
    </row>
    <row r="36" spans="3:18" ht="23.25" customHeight="1" outlineLevel="1" x14ac:dyDescent="0.25">
      <c r="C36" s="2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16">
        <f>SUM(D36:O36)</f>
        <v>0</v>
      </c>
    </row>
    <row r="37" spans="3:18" ht="23.25" customHeight="1" outlineLevel="1" x14ac:dyDescent="0.25">
      <c r="C37" s="25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6">
        <f>SUM(D37:O37)</f>
        <v>0</v>
      </c>
    </row>
    <row r="38" spans="3:18" ht="23.25" customHeight="1" outlineLevel="1" x14ac:dyDescent="0.25">
      <c r="C38" s="25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16">
        <f>SUM(D38:O38)</f>
        <v>0</v>
      </c>
    </row>
    <row r="39" spans="3:18" ht="23.25" customHeight="1" outlineLevel="1" x14ac:dyDescent="0.25">
      <c r="P39" s="16">
        <f>SUM(D39:O39)</f>
        <v>0</v>
      </c>
    </row>
    <row r="40" spans="3:18" ht="11.25" customHeight="1" x14ac:dyDescent="0.25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3:18" ht="26.25" customHeight="1" x14ac:dyDescent="0.25"/>
  </sheetData>
  <printOptions horizontalCentered="1"/>
  <pageMargins left="0" right="0" top="0.59055118110236227" bottom="0.39370078740157483" header="0" footer="0"/>
  <pageSetup paperSize="9" scale="50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Q97"/>
  <sheetViews>
    <sheetView zoomScale="80" zoomScaleNormal="80" workbookViewId="0">
      <pane ySplit="3" topLeftCell="A56" activePane="bottomLeft" state="frozen"/>
      <selection activeCell="C18" sqref="C18"/>
      <selection pane="bottomLeft" activeCell="C83" sqref="C83"/>
    </sheetView>
  </sheetViews>
  <sheetFormatPr baseColWidth="10" defaultColWidth="9.109375" defaultRowHeight="13.8" outlineLevelRow="2" outlineLevelCol="1" x14ac:dyDescent="0.25"/>
  <cols>
    <col min="1" max="1" width="7.109375" style="8" customWidth="1"/>
    <col min="2" max="2" width="0.88671875" style="8" customWidth="1"/>
    <col min="3" max="3" width="48" style="8" customWidth="1"/>
    <col min="4" max="15" width="14.109375" style="8" customWidth="1" outlineLevel="1"/>
    <col min="16" max="16" width="19" style="8" customWidth="1"/>
    <col min="17" max="17" width="10" style="8" customWidth="1"/>
    <col min="18" max="16384" width="9.109375" style="8"/>
  </cols>
  <sheetData>
    <row r="1" spans="1:17" ht="42.75" customHeight="1" thickBot="1" x14ac:dyDescent="0.35">
      <c r="B1" s="9"/>
      <c r="C1" s="10" t="s">
        <v>149</v>
      </c>
    </row>
    <row r="2" spans="1:17" ht="15" hidden="1" customHeight="1" thickBot="1" x14ac:dyDescent="0.3">
      <c r="A2" s="11"/>
      <c r="C2" s="11"/>
    </row>
    <row r="3" spans="1:17" ht="33" customHeight="1" x14ac:dyDescent="0.25">
      <c r="A3" s="11"/>
      <c r="C3" s="19"/>
      <c r="D3" s="28">
        <f>+'P&amp;L '!D4</f>
        <v>45505</v>
      </c>
      <c r="E3" s="28">
        <f>+'P&amp;L '!E4</f>
        <v>45536</v>
      </c>
      <c r="F3" s="28">
        <f>+'P&amp;L '!F4</f>
        <v>45566</v>
      </c>
      <c r="G3" s="28">
        <f>+'P&amp;L '!G4</f>
        <v>45597</v>
      </c>
      <c r="H3" s="28">
        <f>+'P&amp;L '!H4</f>
        <v>45627</v>
      </c>
      <c r="I3" s="28">
        <f>+'P&amp;L '!I4</f>
        <v>45658</v>
      </c>
      <c r="J3" s="28">
        <f>+'P&amp;L '!J4</f>
        <v>45689</v>
      </c>
      <c r="K3" s="28">
        <f>+'P&amp;L '!K4</f>
        <v>45717</v>
      </c>
      <c r="L3" s="28">
        <f>+'P&amp;L '!L4</f>
        <v>45748</v>
      </c>
      <c r="M3" s="28">
        <f>+'P&amp;L '!M4</f>
        <v>45778</v>
      </c>
      <c r="N3" s="28">
        <f>+'P&amp;L '!N4</f>
        <v>45809</v>
      </c>
      <c r="O3" s="28">
        <f>+'P&amp;L '!O4</f>
        <v>45839</v>
      </c>
      <c r="P3" s="163" t="str">
        <f>+'P&amp;L '!P4</f>
        <v>TOTAL Y20</v>
      </c>
    </row>
    <row r="4" spans="1:17" ht="6" customHeight="1" x14ac:dyDescent="0.25">
      <c r="A4" s="11"/>
      <c r="C4" s="13"/>
      <c r="D4" s="14"/>
    </row>
    <row r="5" spans="1:17" ht="45" customHeight="1" x14ac:dyDescent="0.25">
      <c r="A5" s="11"/>
      <c r="C5" s="48" t="s">
        <v>150</v>
      </c>
      <c r="D5" s="60">
        <f>+D6+D9+D12</f>
        <v>0</v>
      </c>
      <c r="E5" s="60">
        <f t="shared" ref="E5:O5" si="0">+E6+E9+E12</f>
        <v>4536250</v>
      </c>
      <c r="F5" s="60">
        <f t="shared" si="0"/>
        <v>8966300</v>
      </c>
      <c r="G5" s="60">
        <f t="shared" si="0"/>
        <v>8132000</v>
      </c>
      <c r="H5" s="60">
        <f t="shared" si="0"/>
        <v>0</v>
      </c>
      <c r="I5" s="60">
        <f t="shared" si="0"/>
        <v>0</v>
      </c>
      <c r="J5" s="60">
        <f t="shared" si="0"/>
        <v>13746993.399999999</v>
      </c>
      <c r="K5" s="60">
        <f t="shared" si="0"/>
        <v>0</v>
      </c>
      <c r="L5" s="60">
        <f t="shared" si="0"/>
        <v>0</v>
      </c>
      <c r="M5" s="60">
        <f t="shared" si="0"/>
        <v>0</v>
      </c>
      <c r="N5" s="60">
        <f t="shared" si="0"/>
        <v>0</v>
      </c>
      <c r="O5" s="60">
        <f t="shared" si="0"/>
        <v>0</v>
      </c>
      <c r="P5" s="61">
        <f>SUM(D5:O5)</f>
        <v>35381543.399999999</v>
      </c>
      <c r="Q5" s="15"/>
    </row>
    <row r="6" spans="1:17" ht="27.75" customHeight="1" outlineLevel="1" x14ac:dyDescent="0.25">
      <c r="A6" s="11"/>
      <c r="C6" s="44" t="s">
        <v>133</v>
      </c>
      <c r="D6" s="56">
        <f>SUM(D7:D8)</f>
        <v>0</v>
      </c>
      <c r="E6" s="56">
        <f t="shared" ref="E6:O6" si="1">SUM(E7:E8)</f>
        <v>0</v>
      </c>
      <c r="F6" s="56">
        <f t="shared" si="1"/>
        <v>1521500</v>
      </c>
      <c r="G6" s="56">
        <f t="shared" si="1"/>
        <v>0</v>
      </c>
      <c r="H6" s="56">
        <f t="shared" si="1"/>
        <v>0</v>
      </c>
      <c r="I6" s="56">
        <f t="shared" si="1"/>
        <v>0</v>
      </c>
      <c r="J6" s="56">
        <f t="shared" si="1"/>
        <v>0</v>
      </c>
      <c r="K6" s="56">
        <f t="shared" si="1"/>
        <v>0</v>
      </c>
      <c r="L6" s="56">
        <f t="shared" si="1"/>
        <v>0</v>
      </c>
      <c r="M6" s="56">
        <f t="shared" si="1"/>
        <v>0</v>
      </c>
      <c r="N6" s="56">
        <f t="shared" si="1"/>
        <v>0</v>
      </c>
      <c r="O6" s="56">
        <f t="shared" si="1"/>
        <v>0</v>
      </c>
      <c r="P6" s="56">
        <f>SUM(D6:O6)</f>
        <v>1521500</v>
      </c>
      <c r="Q6" s="17"/>
    </row>
    <row r="7" spans="1:17" ht="24.75" customHeight="1" outlineLevel="2" x14ac:dyDescent="0.25">
      <c r="A7" s="11"/>
      <c r="C7" s="45" t="s">
        <v>151</v>
      </c>
      <c r="D7" s="16">
        <f>+D16</f>
        <v>0</v>
      </c>
      <c r="E7" s="16">
        <f t="shared" ref="E7:O7" si="2">+E16</f>
        <v>0</v>
      </c>
      <c r="F7" s="16">
        <f t="shared" si="2"/>
        <v>1521500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16">
        <f t="shared" si="2"/>
        <v>0</v>
      </c>
      <c r="O7" s="16">
        <f t="shared" si="2"/>
        <v>0</v>
      </c>
      <c r="P7" s="16">
        <f t="shared" ref="P7:P13" si="3">SUM(D7:O7)</f>
        <v>1521500</v>
      </c>
      <c r="Q7" s="17"/>
    </row>
    <row r="8" spans="1:17" ht="24.75" customHeight="1" outlineLevel="2" x14ac:dyDescent="0.25">
      <c r="A8" s="11"/>
      <c r="C8" s="45" t="s">
        <v>251</v>
      </c>
      <c r="D8" s="16">
        <f>+D26</f>
        <v>0</v>
      </c>
      <c r="E8" s="16">
        <f t="shared" ref="E8:O8" si="4">+E26</f>
        <v>0</v>
      </c>
      <c r="F8" s="16">
        <f t="shared" si="4"/>
        <v>0</v>
      </c>
      <c r="G8" s="16">
        <f t="shared" si="4"/>
        <v>0</v>
      </c>
      <c r="H8" s="16">
        <f t="shared" si="4"/>
        <v>0</v>
      </c>
      <c r="I8" s="16">
        <f t="shared" si="4"/>
        <v>0</v>
      </c>
      <c r="J8" s="16">
        <f t="shared" si="4"/>
        <v>0</v>
      </c>
      <c r="K8" s="16">
        <f t="shared" si="4"/>
        <v>0</v>
      </c>
      <c r="L8" s="16">
        <f t="shared" si="4"/>
        <v>0</v>
      </c>
      <c r="M8" s="16">
        <f t="shared" si="4"/>
        <v>0</v>
      </c>
      <c r="N8" s="16">
        <f t="shared" si="4"/>
        <v>0</v>
      </c>
      <c r="O8" s="16">
        <f t="shared" si="4"/>
        <v>0</v>
      </c>
      <c r="P8" s="16">
        <f t="shared" si="3"/>
        <v>0</v>
      </c>
      <c r="Q8" s="17"/>
    </row>
    <row r="9" spans="1:17" ht="28.5" customHeight="1" outlineLevel="1" x14ac:dyDescent="0.25">
      <c r="A9" s="11"/>
      <c r="C9" s="44" t="s">
        <v>119</v>
      </c>
      <c r="D9" s="56">
        <f>SUM(D10:D11)</f>
        <v>0</v>
      </c>
      <c r="E9" s="56">
        <f t="shared" ref="E9:O9" si="5">SUM(E10:E11)</f>
        <v>0</v>
      </c>
      <c r="F9" s="56">
        <f t="shared" si="5"/>
        <v>0</v>
      </c>
      <c r="G9" s="56">
        <f t="shared" si="5"/>
        <v>8132000</v>
      </c>
      <c r="H9" s="56">
        <f t="shared" si="5"/>
        <v>0</v>
      </c>
      <c r="I9" s="56">
        <f t="shared" si="5"/>
        <v>0</v>
      </c>
      <c r="J9" s="56">
        <f t="shared" si="5"/>
        <v>9106000</v>
      </c>
      <c r="K9" s="56">
        <f t="shared" si="5"/>
        <v>0</v>
      </c>
      <c r="L9" s="56">
        <f t="shared" si="5"/>
        <v>0</v>
      </c>
      <c r="M9" s="56">
        <f t="shared" si="5"/>
        <v>0</v>
      </c>
      <c r="N9" s="56">
        <f t="shared" si="5"/>
        <v>0</v>
      </c>
      <c r="O9" s="56">
        <f t="shared" si="5"/>
        <v>0</v>
      </c>
      <c r="P9" s="56">
        <f t="shared" si="3"/>
        <v>17238000</v>
      </c>
      <c r="Q9" s="17"/>
    </row>
    <row r="10" spans="1:17" ht="24.75" customHeight="1" outlineLevel="2" x14ac:dyDescent="0.25">
      <c r="A10" s="11"/>
      <c r="C10" s="45" t="s">
        <v>194</v>
      </c>
      <c r="D10" s="16">
        <f>+D44</f>
        <v>0</v>
      </c>
      <c r="E10" s="16">
        <f t="shared" ref="E10:O10" si="6">+E44</f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si="6"/>
        <v>0</v>
      </c>
      <c r="K10" s="16">
        <f t="shared" si="6"/>
        <v>0</v>
      </c>
      <c r="L10" s="16">
        <f t="shared" si="6"/>
        <v>0</v>
      </c>
      <c r="M10" s="16">
        <f t="shared" si="6"/>
        <v>0</v>
      </c>
      <c r="N10" s="16">
        <f t="shared" si="6"/>
        <v>0</v>
      </c>
      <c r="O10" s="16">
        <f t="shared" si="6"/>
        <v>0</v>
      </c>
      <c r="P10" s="16">
        <f t="shared" si="3"/>
        <v>0</v>
      </c>
      <c r="Q10" s="17"/>
    </row>
    <row r="11" spans="1:17" ht="25.5" customHeight="1" outlineLevel="2" x14ac:dyDescent="0.25">
      <c r="A11" s="11"/>
      <c r="C11" s="45" t="s">
        <v>28</v>
      </c>
      <c r="D11" s="16">
        <f>+D56</f>
        <v>0</v>
      </c>
      <c r="E11" s="16">
        <f t="shared" ref="E11:O11" si="7">+E56</f>
        <v>0</v>
      </c>
      <c r="F11" s="16">
        <f t="shared" si="7"/>
        <v>0</v>
      </c>
      <c r="G11" s="16">
        <f t="shared" si="7"/>
        <v>8132000</v>
      </c>
      <c r="H11" s="16">
        <f t="shared" si="7"/>
        <v>0</v>
      </c>
      <c r="I11" s="16">
        <f t="shared" si="7"/>
        <v>0</v>
      </c>
      <c r="J11" s="16">
        <f t="shared" si="7"/>
        <v>9106000</v>
      </c>
      <c r="K11" s="16">
        <f t="shared" si="7"/>
        <v>0</v>
      </c>
      <c r="L11" s="16">
        <f t="shared" si="7"/>
        <v>0</v>
      </c>
      <c r="M11" s="16">
        <f t="shared" si="7"/>
        <v>0</v>
      </c>
      <c r="N11" s="16">
        <f t="shared" si="7"/>
        <v>0</v>
      </c>
      <c r="O11" s="16">
        <f t="shared" si="7"/>
        <v>0</v>
      </c>
      <c r="P11" s="16">
        <f t="shared" si="3"/>
        <v>17238000</v>
      </c>
      <c r="Q11" s="17"/>
    </row>
    <row r="12" spans="1:17" ht="25.5" customHeight="1" outlineLevel="1" x14ac:dyDescent="0.25">
      <c r="C12" s="44" t="s">
        <v>137</v>
      </c>
      <c r="D12" s="56">
        <f>+D13</f>
        <v>0</v>
      </c>
      <c r="E12" s="56">
        <f t="shared" ref="E12:O12" si="8">+E13</f>
        <v>4536250</v>
      </c>
      <c r="F12" s="56">
        <f t="shared" si="8"/>
        <v>7444800</v>
      </c>
      <c r="G12" s="56">
        <f t="shared" si="8"/>
        <v>0</v>
      </c>
      <c r="H12" s="56">
        <f t="shared" si="8"/>
        <v>0</v>
      </c>
      <c r="I12" s="56">
        <f t="shared" si="8"/>
        <v>0</v>
      </c>
      <c r="J12" s="56">
        <f t="shared" si="8"/>
        <v>4640993.3999999994</v>
      </c>
      <c r="K12" s="56">
        <f t="shared" si="8"/>
        <v>0</v>
      </c>
      <c r="L12" s="56">
        <f t="shared" si="8"/>
        <v>0</v>
      </c>
      <c r="M12" s="56">
        <f t="shared" si="8"/>
        <v>0</v>
      </c>
      <c r="N12" s="56">
        <f t="shared" si="8"/>
        <v>0</v>
      </c>
      <c r="O12" s="56">
        <f t="shared" si="8"/>
        <v>0</v>
      </c>
      <c r="P12" s="56">
        <f t="shared" si="3"/>
        <v>16622043.399999999</v>
      </c>
      <c r="Q12" s="17"/>
    </row>
    <row r="13" spans="1:17" ht="25.5" customHeight="1" outlineLevel="2" x14ac:dyDescent="0.25">
      <c r="C13" s="45" t="s">
        <v>13</v>
      </c>
      <c r="D13" s="16">
        <f>+D80</f>
        <v>0</v>
      </c>
      <c r="E13" s="16">
        <f t="shared" ref="E13:O13" si="9">+E80</f>
        <v>4536250</v>
      </c>
      <c r="F13" s="16">
        <f t="shared" si="9"/>
        <v>7444800</v>
      </c>
      <c r="G13" s="16">
        <f t="shared" si="9"/>
        <v>0</v>
      </c>
      <c r="H13" s="16">
        <f t="shared" si="9"/>
        <v>0</v>
      </c>
      <c r="I13" s="16">
        <f t="shared" si="9"/>
        <v>0</v>
      </c>
      <c r="J13" s="16">
        <f t="shared" si="9"/>
        <v>4640993.3999999994</v>
      </c>
      <c r="K13" s="16">
        <f t="shared" si="9"/>
        <v>0</v>
      </c>
      <c r="L13" s="16">
        <f t="shared" si="9"/>
        <v>0</v>
      </c>
      <c r="M13" s="16">
        <f t="shared" si="9"/>
        <v>0</v>
      </c>
      <c r="N13" s="16">
        <f t="shared" si="9"/>
        <v>0</v>
      </c>
      <c r="O13" s="16">
        <f t="shared" si="9"/>
        <v>0</v>
      </c>
      <c r="P13" s="16">
        <f t="shared" si="3"/>
        <v>16622043.399999999</v>
      </c>
      <c r="Q13" s="17"/>
    </row>
    <row r="14" spans="1:17" ht="17.25" customHeight="1" x14ac:dyDescent="0.25"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</row>
    <row r="15" spans="1:17" ht="32.25" customHeight="1" x14ac:dyDescent="0.25">
      <c r="C15" s="97" t="s">
        <v>133</v>
      </c>
      <c r="D15" s="28">
        <f t="shared" ref="D15:P15" si="10">+D3</f>
        <v>45505</v>
      </c>
      <c r="E15" s="28">
        <f t="shared" si="10"/>
        <v>45536</v>
      </c>
      <c r="F15" s="28">
        <f t="shared" si="10"/>
        <v>45566</v>
      </c>
      <c r="G15" s="28">
        <f t="shared" si="10"/>
        <v>45597</v>
      </c>
      <c r="H15" s="28">
        <f t="shared" si="10"/>
        <v>45627</v>
      </c>
      <c r="I15" s="28">
        <f t="shared" si="10"/>
        <v>45658</v>
      </c>
      <c r="J15" s="28">
        <f t="shared" si="10"/>
        <v>45689</v>
      </c>
      <c r="K15" s="28">
        <f t="shared" si="10"/>
        <v>45717</v>
      </c>
      <c r="L15" s="28">
        <f t="shared" si="10"/>
        <v>45748</v>
      </c>
      <c r="M15" s="28">
        <f t="shared" si="10"/>
        <v>45778</v>
      </c>
      <c r="N15" s="28">
        <f t="shared" si="10"/>
        <v>45809</v>
      </c>
      <c r="O15" s="28">
        <f t="shared" si="10"/>
        <v>45839</v>
      </c>
      <c r="P15" s="163" t="str">
        <f t="shared" si="10"/>
        <v>TOTAL Y20</v>
      </c>
    </row>
    <row r="16" spans="1:17" ht="27" customHeight="1" thickBot="1" x14ac:dyDescent="0.3">
      <c r="C16" s="36" t="s">
        <v>151</v>
      </c>
      <c r="D16" s="95">
        <f>SUM(D17:D24)</f>
        <v>0</v>
      </c>
      <c r="E16" s="95">
        <f t="shared" ref="E16:O16" si="11">SUM(E17:E24)</f>
        <v>0</v>
      </c>
      <c r="F16" s="95">
        <f t="shared" si="11"/>
        <v>1521500</v>
      </c>
      <c r="G16" s="95">
        <f t="shared" si="11"/>
        <v>0</v>
      </c>
      <c r="H16" s="95">
        <f t="shared" si="11"/>
        <v>0</v>
      </c>
      <c r="I16" s="95">
        <f t="shared" si="11"/>
        <v>0</v>
      </c>
      <c r="J16" s="95">
        <f t="shared" si="11"/>
        <v>0</v>
      </c>
      <c r="K16" s="95">
        <f t="shared" si="11"/>
        <v>0</v>
      </c>
      <c r="L16" s="95">
        <f t="shared" si="11"/>
        <v>0</v>
      </c>
      <c r="M16" s="95">
        <f t="shared" si="11"/>
        <v>0</v>
      </c>
      <c r="N16" s="95">
        <f t="shared" si="11"/>
        <v>0</v>
      </c>
      <c r="O16" s="95">
        <f t="shared" si="11"/>
        <v>0</v>
      </c>
      <c r="P16" s="96">
        <f t="shared" ref="P16:P24" si="12">SUM(D16:O16)</f>
        <v>1521500</v>
      </c>
    </row>
    <row r="17" spans="1:17" ht="24.75" customHeight="1" outlineLevel="1" x14ac:dyDescent="0.25">
      <c r="C17" s="167" t="s">
        <v>227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>
        <f t="shared" si="12"/>
        <v>0</v>
      </c>
    </row>
    <row r="18" spans="1:17" ht="24.75" customHeight="1" outlineLevel="1" x14ac:dyDescent="0.25">
      <c r="C18" s="167" t="s">
        <v>285</v>
      </c>
      <c r="D18" s="16"/>
      <c r="E18" s="16"/>
      <c r="F18" s="214">
        <v>1521500</v>
      </c>
      <c r="G18" s="16"/>
      <c r="H18" s="16"/>
      <c r="I18" s="16"/>
      <c r="J18" s="16"/>
      <c r="K18" s="16"/>
      <c r="L18" s="16"/>
      <c r="M18" s="16"/>
      <c r="N18" s="16"/>
      <c r="O18" s="16"/>
      <c r="P18" s="16">
        <f t="shared" si="12"/>
        <v>1521500</v>
      </c>
    </row>
    <row r="19" spans="1:17" ht="22.95" customHeight="1" outlineLevel="1" x14ac:dyDescent="0.25">
      <c r="C19" s="167" t="s">
        <v>231</v>
      </c>
      <c r="D19" s="16"/>
      <c r="E19" s="17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>
        <f t="shared" si="12"/>
        <v>0</v>
      </c>
    </row>
    <row r="20" spans="1:17" ht="24.75" customHeight="1" outlineLevel="1" x14ac:dyDescent="0.25">
      <c r="C20" s="75" t="s">
        <v>232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>
        <f t="shared" si="12"/>
        <v>0</v>
      </c>
    </row>
    <row r="21" spans="1:17" ht="24.75" customHeight="1" outlineLevel="1" x14ac:dyDescent="0.25">
      <c r="C21" s="75" t="s">
        <v>237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>
        <f t="shared" si="12"/>
        <v>0</v>
      </c>
      <c r="Q21" s="19"/>
    </row>
    <row r="22" spans="1:17" ht="24.75" customHeight="1" outlineLevel="1" x14ac:dyDescent="0.25">
      <c r="C22" s="7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>
        <f t="shared" si="12"/>
        <v>0</v>
      </c>
      <c r="Q22" s="19"/>
    </row>
    <row r="23" spans="1:17" ht="24.75" customHeight="1" outlineLevel="1" x14ac:dyDescent="0.25">
      <c r="C23" s="7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>
        <f t="shared" si="12"/>
        <v>0</v>
      </c>
      <c r="Q23" s="19"/>
    </row>
    <row r="24" spans="1:17" ht="24.75" customHeight="1" outlineLevel="1" x14ac:dyDescent="0.25">
      <c r="C24" s="7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>
        <f t="shared" si="12"/>
        <v>0</v>
      </c>
      <c r="Q24" s="19"/>
    </row>
    <row r="25" spans="1:17" ht="24.75" customHeight="1" x14ac:dyDescent="0.25">
      <c r="C25" s="7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9"/>
    </row>
    <row r="26" spans="1:17" ht="24.75" customHeight="1" thickBot="1" x14ac:dyDescent="0.3">
      <c r="C26" s="36" t="s">
        <v>251</v>
      </c>
      <c r="D26" s="95">
        <f>SUM(D27:D34)</f>
        <v>0</v>
      </c>
      <c r="E26" s="95">
        <f t="shared" ref="E26:O26" si="13">SUM(E27:E34)</f>
        <v>0</v>
      </c>
      <c r="F26" s="95">
        <f t="shared" si="13"/>
        <v>0</v>
      </c>
      <c r="G26" s="95">
        <f t="shared" si="13"/>
        <v>0</v>
      </c>
      <c r="H26" s="95">
        <f t="shared" si="13"/>
        <v>0</v>
      </c>
      <c r="I26" s="95">
        <f t="shared" si="13"/>
        <v>0</v>
      </c>
      <c r="J26" s="95">
        <f t="shared" si="13"/>
        <v>0</v>
      </c>
      <c r="K26" s="95">
        <f t="shared" si="13"/>
        <v>0</v>
      </c>
      <c r="L26" s="95">
        <f t="shared" si="13"/>
        <v>0</v>
      </c>
      <c r="M26" s="95">
        <f t="shared" si="13"/>
        <v>0</v>
      </c>
      <c r="N26" s="95">
        <f t="shared" si="13"/>
        <v>0</v>
      </c>
      <c r="O26" s="95">
        <f t="shared" si="13"/>
        <v>0</v>
      </c>
      <c r="P26" s="95">
        <f>SUM(D26:O26)</f>
        <v>0</v>
      </c>
      <c r="Q26" s="19"/>
    </row>
    <row r="27" spans="1:17" ht="24.75" customHeight="1" outlineLevel="1" x14ac:dyDescent="0.25">
      <c r="C27" s="7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f>SUM(D27:O27)</f>
        <v>0</v>
      </c>
      <c r="Q27" s="19"/>
    </row>
    <row r="28" spans="1:17" ht="24.75" customHeight="1" outlineLevel="1" x14ac:dyDescent="0.25">
      <c r="A28" s="25"/>
      <c r="C28" s="7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f t="shared" ref="P28:P34" si="14">SUM(D28:O28)</f>
        <v>0</v>
      </c>
    </row>
    <row r="29" spans="1:17" ht="24.75" customHeight="1" outlineLevel="1" x14ac:dyDescent="0.25">
      <c r="C29" s="7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>
        <f t="shared" si="14"/>
        <v>0</v>
      </c>
    </row>
    <row r="30" spans="1:17" ht="24.75" customHeight="1" outlineLevel="1" x14ac:dyDescent="0.25">
      <c r="A30" s="178"/>
      <c r="D30" s="16"/>
      <c r="E30" s="16"/>
      <c r="F30" s="16"/>
      <c r="G30" s="16"/>
      <c r="H30" s="177"/>
      <c r="I30" s="16"/>
      <c r="J30" s="16"/>
      <c r="K30" s="16"/>
      <c r="L30" s="16"/>
      <c r="M30" s="16"/>
      <c r="N30" s="16"/>
      <c r="O30" s="16"/>
      <c r="P30" s="16">
        <f t="shared" si="14"/>
        <v>0</v>
      </c>
    </row>
    <row r="31" spans="1:17" ht="24.75" customHeight="1" outlineLevel="1" x14ac:dyDescent="0.25">
      <c r="C31" s="7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f t="shared" si="14"/>
        <v>0</v>
      </c>
    </row>
    <row r="32" spans="1:17" ht="24.75" customHeight="1" outlineLevel="1" x14ac:dyDescent="0.25">
      <c r="C32" s="7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f t="shared" si="14"/>
        <v>0</v>
      </c>
    </row>
    <row r="33" spans="3:16" ht="24.75" customHeight="1" outlineLevel="1" x14ac:dyDescent="0.25">
      <c r="C33" s="167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f t="shared" si="14"/>
        <v>0</v>
      </c>
    </row>
    <row r="34" spans="3:16" ht="24.75" customHeight="1" outlineLevel="1" x14ac:dyDescent="0.25">
      <c r="C34" s="7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f t="shared" si="14"/>
        <v>0</v>
      </c>
    </row>
    <row r="35" spans="3:16" ht="24.75" customHeight="1" x14ac:dyDescent="0.25">
      <c r="C35" s="7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3:16" ht="24.75" customHeight="1" x14ac:dyDescent="0.25">
      <c r="C36" s="75"/>
    </row>
    <row r="37" spans="3:16" ht="24.75" customHeight="1" x14ac:dyDescent="0.25">
      <c r="C37" s="75"/>
      <c r="D37" s="28">
        <f t="shared" ref="D37:P37" si="15">D3</f>
        <v>45505</v>
      </c>
      <c r="E37" s="28">
        <f t="shared" si="15"/>
        <v>45536</v>
      </c>
      <c r="F37" s="28">
        <f t="shared" si="15"/>
        <v>45566</v>
      </c>
      <c r="G37" s="28">
        <f t="shared" si="15"/>
        <v>45597</v>
      </c>
      <c r="H37" s="28">
        <f t="shared" si="15"/>
        <v>45627</v>
      </c>
      <c r="I37" s="28">
        <f t="shared" si="15"/>
        <v>45658</v>
      </c>
      <c r="J37" s="28">
        <f t="shared" si="15"/>
        <v>45689</v>
      </c>
      <c r="K37" s="28">
        <f t="shared" si="15"/>
        <v>45717</v>
      </c>
      <c r="L37" s="28">
        <f t="shared" si="15"/>
        <v>45748</v>
      </c>
      <c r="M37" s="28">
        <f t="shared" si="15"/>
        <v>45778</v>
      </c>
      <c r="N37" s="28">
        <f t="shared" si="15"/>
        <v>45809</v>
      </c>
      <c r="O37" s="28">
        <f t="shared" si="15"/>
        <v>45839</v>
      </c>
      <c r="P37" s="89" t="str">
        <f t="shared" si="15"/>
        <v>TOTAL Y20</v>
      </c>
    </row>
    <row r="38" spans="3:16" ht="15" customHeight="1" x14ac:dyDescent="0.25">
      <c r="C38" s="64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3:16" ht="24" customHeight="1" x14ac:dyDescent="0.25">
      <c r="C39" s="36"/>
      <c r="D39" s="26"/>
      <c r="E39" s="24"/>
      <c r="F39" s="24"/>
      <c r="G39" s="24"/>
      <c r="P39" s="19"/>
    </row>
    <row r="40" spans="3:16" ht="10.5" customHeight="1" x14ac:dyDescent="0.25">
      <c r="C40" s="36"/>
      <c r="D40" s="26"/>
    </row>
    <row r="41" spans="3:16" ht="2.25" customHeight="1" x14ac:dyDescent="0.25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3:16" ht="17.25" customHeight="1" x14ac:dyDescent="0.25"/>
    <row r="43" spans="3:16" ht="31.5" customHeight="1" x14ac:dyDescent="0.25">
      <c r="C43" s="97" t="s">
        <v>116</v>
      </c>
      <c r="D43" s="28">
        <f t="shared" ref="D43:P43" si="16">D3</f>
        <v>45505</v>
      </c>
      <c r="E43" s="28">
        <f t="shared" si="16"/>
        <v>45536</v>
      </c>
      <c r="F43" s="28">
        <f t="shared" si="16"/>
        <v>45566</v>
      </c>
      <c r="G43" s="28">
        <f t="shared" si="16"/>
        <v>45597</v>
      </c>
      <c r="H43" s="28">
        <f t="shared" si="16"/>
        <v>45627</v>
      </c>
      <c r="I43" s="28">
        <f t="shared" si="16"/>
        <v>45658</v>
      </c>
      <c r="J43" s="28">
        <f t="shared" si="16"/>
        <v>45689</v>
      </c>
      <c r="K43" s="28">
        <f t="shared" si="16"/>
        <v>45717</v>
      </c>
      <c r="L43" s="28">
        <f t="shared" si="16"/>
        <v>45748</v>
      </c>
      <c r="M43" s="28">
        <f t="shared" si="16"/>
        <v>45778</v>
      </c>
      <c r="N43" s="28">
        <f t="shared" si="16"/>
        <v>45809</v>
      </c>
      <c r="O43" s="28">
        <f t="shared" si="16"/>
        <v>45839</v>
      </c>
      <c r="P43" s="89" t="str">
        <f t="shared" si="16"/>
        <v>TOTAL Y20</v>
      </c>
    </row>
    <row r="44" spans="3:16" ht="31.5" customHeight="1" thickBot="1" x14ac:dyDescent="0.3">
      <c r="C44" s="36" t="s">
        <v>194</v>
      </c>
      <c r="D44" s="96">
        <f>SUM(D45:D52)</f>
        <v>0</v>
      </c>
      <c r="E44" s="96">
        <f t="shared" ref="E44:O44" si="17">SUM(E45:E52)</f>
        <v>0</v>
      </c>
      <c r="F44" s="96">
        <f t="shared" si="17"/>
        <v>0</v>
      </c>
      <c r="G44" s="96">
        <f t="shared" si="17"/>
        <v>0</v>
      </c>
      <c r="H44" s="96">
        <f t="shared" si="17"/>
        <v>0</v>
      </c>
      <c r="I44" s="96">
        <f t="shared" si="17"/>
        <v>0</v>
      </c>
      <c r="J44" s="96">
        <f t="shared" si="17"/>
        <v>0</v>
      </c>
      <c r="K44" s="96">
        <f t="shared" si="17"/>
        <v>0</v>
      </c>
      <c r="L44" s="96">
        <f t="shared" si="17"/>
        <v>0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>SUM(D44:O44)</f>
        <v>0</v>
      </c>
    </row>
    <row r="45" spans="3:16" ht="20.25" customHeight="1" outlineLevel="1" x14ac:dyDescent="0.25">
      <c r="C45" s="7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>
        <f>SUM(D45:O45)</f>
        <v>0</v>
      </c>
    </row>
    <row r="46" spans="3:16" ht="20.25" customHeight="1" outlineLevel="1" x14ac:dyDescent="0.25">
      <c r="C46" s="7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>
        <f t="shared" ref="P46:P52" si="18">SUM(D46:O46)</f>
        <v>0</v>
      </c>
    </row>
    <row r="47" spans="3:16" ht="20.25" customHeight="1" outlineLevel="1" x14ac:dyDescent="0.25">
      <c r="C47" s="7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>
        <f t="shared" si="18"/>
        <v>0</v>
      </c>
    </row>
    <row r="48" spans="3:16" ht="20.25" customHeight="1" outlineLevel="1" x14ac:dyDescent="0.25">
      <c r="C48" s="7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>
        <f t="shared" si="18"/>
        <v>0</v>
      </c>
    </row>
    <row r="49" spans="1:16" ht="20.25" customHeight="1" outlineLevel="1" x14ac:dyDescent="0.25">
      <c r="C49" s="7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>
        <f t="shared" si="18"/>
        <v>0</v>
      </c>
    </row>
    <row r="50" spans="1:16" ht="20.25" customHeight="1" outlineLevel="1" x14ac:dyDescent="0.25">
      <c r="C50" s="167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>
        <f t="shared" si="18"/>
        <v>0</v>
      </c>
    </row>
    <row r="51" spans="1:16" ht="20.25" customHeight="1" outlineLevel="1" x14ac:dyDescent="0.25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>
        <f t="shared" si="18"/>
        <v>0</v>
      </c>
    </row>
    <row r="52" spans="1:16" ht="20.25" customHeight="1" outlineLevel="1" x14ac:dyDescent="0.25">
      <c r="C52" s="7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>
        <f t="shared" si="18"/>
        <v>0</v>
      </c>
    </row>
    <row r="53" spans="1:16" ht="12.75" customHeight="1" x14ac:dyDescent="0.25">
      <c r="C53" s="98"/>
      <c r="D53" s="99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8"/>
    </row>
    <row r="54" spans="1:16" ht="23.25" customHeight="1" x14ac:dyDescent="0.25">
      <c r="D54" s="99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8"/>
    </row>
    <row r="55" spans="1:16" ht="27" customHeight="1" x14ac:dyDescent="0.25">
      <c r="D55" s="28">
        <f t="shared" ref="D55:P55" si="19">D3</f>
        <v>45505</v>
      </c>
      <c r="E55" s="28">
        <f t="shared" si="19"/>
        <v>45536</v>
      </c>
      <c r="F55" s="28">
        <f t="shared" si="19"/>
        <v>45566</v>
      </c>
      <c r="G55" s="28">
        <f t="shared" si="19"/>
        <v>45597</v>
      </c>
      <c r="H55" s="28">
        <f t="shared" si="19"/>
        <v>45627</v>
      </c>
      <c r="I55" s="28">
        <f t="shared" si="19"/>
        <v>45658</v>
      </c>
      <c r="J55" s="28">
        <f t="shared" si="19"/>
        <v>45689</v>
      </c>
      <c r="K55" s="28">
        <f t="shared" si="19"/>
        <v>45717</v>
      </c>
      <c r="L55" s="28">
        <f t="shared" si="19"/>
        <v>45748</v>
      </c>
      <c r="M55" s="28">
        <f t="shared" si="19"/>
        <v>45778</v>
      </c>
      <c r="N55" s="28">
        <f t="shared" si="19"/>
        <v>45809</v>
      </c>
      <c r="O55" s="28">
        <f t="shared" si="19"/>
        <v>45839</v>
      </c>
      <c r="P55" s="89" t="str">
        <f t="shared" si="19"/>
        <v>TOTAL Y20</v>
      </c>
    </row>
    <row r="56" spans="1:16" ht="30.75" customHeight="1" thickBot="1" x14ac:dyDescent="0.3">
      <c r="C56" s="36" t="s">
        <v>28</v>
      </c>
      <c r="D56" s="96">
        <f t="shared" ref="D56:O56" si="20">SUM(D57:D76)</f>
        <v>0</v>
      </c>
      <c r="E56" s="96">
        <f t="shared" si="20"/>
        <v>0</v>
      </c>
      <c r="F56" s="96">
        <f t="shared" si="20"/>
        <v>0</v>
      </c>
      <c r="G56" s="96">
        <f t="shared" si="20"/>
        <v>8132000</v>
      </c>
      <c r="H56" s="96">
        <f t="shared" si="20"/>
        <v>0</v>
      </c>
      <c r="I56" s="96">
        <f t="shared" si="20"/>
        <v>0</v>
      </c>
      <c r="J56" s="96">
        <f t="shared" si="20"/>
        <v>9106000</v>
      </c>
      <c r="K56" s="96">
        <f t="shared" si="20"/>
        <v>0</v>
      </c>
      <c r="L56" s="96">
        <f t="shared" si="20"/>
        <v>0</v>
      </c>
      <c r="M56" s="96">
        <f t="shared" si="20"/>
        <v>0</v>
      </c>
      <c r="N56" s="96">
        <f t="shared" si="20"/>
        <v>0</v>
      </c>
      <c r="O56" s="96">
        <f t="shared" si="20"/>
        <v>0</v>
      </c>
      <c r="P56" s="96">
        <f>SUM(D56:O56)</f>
        <v>17238000</v>
      </c>
    </row>
    <row r="57" spans="1:16" ht="22.5" customHeight="1" outlineLevel="2" x14ac:dyDescent="0.25">
      <c r="A57" s="181"/>
      <c r="C57" s="75" t="s">
        <v>292</v>
      </c>
      <c r="D57" s="16"/>
      <c r="E57" s="16"/>
      <c r="F57" s="16"/>
      <c r="G57" s="16">
        <f>(476000*7+600000*8)</f>
        <v>8132000</v>
      </c>
      <c r="H57" s="16"/>
      <c r="I57" s="16"/>
      <c r="J57" s="16"/>
      <c r="K57" s="16"/>
      <c r="L57" s="16"/>
      <c r="M57" s="16"/>
      <c r="N57" s="16"/>
      <c r="O57" s="16"/>
      <c r="P57" s="16">
        <f t="shared" ref="P57:P90" si="21">SUM(D57:O57)</f>
        <v>8132000</v>
      </c>
    </row>
    <row r="58" spans="1:16" ht="22.5" customHeight="1" outlineLevel="2" x14ac:dyDescent="0.25">
      <c r="A58" s="25"/>
      <c r="C58" s="75" t="s">
        <v>305</v>
      </c>
      <c r="D58" s="16"/>
      <c r="E58" s="16"/>
      <c r="F58" s="16"/>
      <c r="G58" s="16"/>
      <c r="H58" s="16"/>
      <c r="I58" s="16"/>
      <c r="J58" s="16">
        <v>9106000</v>
      </c>
      <c r="K58" s="16"/>
      <c r="L58" s="16"/>
      <c r="M58" s="16"/>
      <c r="N58" s="16"/>
      <c r="O58" s="16"/>
      <c r="P58" s="16">
        <f t="shared" si="21"/>
        <v>9106000</v>
      </c>
    </row>
    <row r="59" spans="1:16" ht="22.5" customHeight="1" outlineLevel="2" x14ac:dyDescent="0.25">
      <c r="A59" s="25"/>
      <c r="C59" s="7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>
        <f t="shared" si="21"/>
        <v>0</v>
      </c>
    </row>
    <row r="60" spans="1:16" ht="22.5" customHeight="1" outlineLevel="2" x14ac:dyDescent="0.25">
      <c r="A60" s="25"/>
      <c r="C60" s="7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>
        <f t="shared" si="21"/>
        <v>0</v>
      </c>
    </row>
    <row r="61" spans="1:16" ht="26.25" customHeight="1" outlineLevel="2" x14ac:dyDescent="0.25">
      <c r="C61" s="7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>
        <f t="shared" si="21"/>
        <v>0</v>
      </c>
    </row>
    <row r="62" spans="1:16" ht="26.25" customHeight="1" outlineLevel="2" x14ac:dyDescent="0.25">
      <c r="C62" s="7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>
        <f t="shared" si="21"/>
        <v>0</v>
      </c>
    </row>
    <row r="63" spans="1:16" ht="26.25" customHeight="1" outlineLevel="2" x14ac:dyDescent="0.25">
      <c r="C63" s="7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>
        <f t="shared" si="21"/>
        <v>0</v>
      </c>
    </row>
    <row r="64" spans="1:16" ht="26.25" hidden="1" customHeight="1" outlineLevel="2" x14ac:dyDescent="0.25">
      <c r="C64" s="7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>
        <f t="shared" si="21"/>
        <v>0</v>
      </c>
    </row>
    <row r="65" spans="1:16" ht="26.25" hidden="1" customHeight="1" outlineLevel="2" x14ac:dyDescent="0.25">
      <c r="A65" s="25"/>
      <c r="C65" s="7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>
        <f t="shared" si="21"/>
        <v>0</v>
      </c>
    </row>
    <row r="66" spans="1:16" ht="22.5" hidden="1" customHeight="1" outlineLevel="2" x14ac:dyDescent="0.25">
      <c r="C66" s="7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>
        <f t="shared" si="21"/>
        <v>0</v>
      </c>
    </row>
    <row r="67" spans="1:16" ht="22.5" hidden="1" customHeight="1" outlineLevel="2" x14ac:dyDescent="0.25">
      <c r="C67" s="7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>
        <f t="shared" si="21"/>
        <v>0</v>
      </c>
    </row>
    <row r="68" spans="1:16" ht="23.25" hidden="1" customHeight="1" outlineLevel="2" x14ac:dyDescent="0.25">
      <c r="C68" s="75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>
        <f t="shared" si="21"/>
        <v>0</v>
      </c>
    </row>
    <row r="69" spans="1:16" ht="23.25" hidden="1" customHeight="1" outlineLevel="2" x14ac:dyDescent="0.25">
      <c r="C69" s="7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>
        <f t="shared" si="21"/>
        <v>0</v>
      </c>
    </row>
    <row r="70" spans="1:16" ht="24.75" hidden="1" customHeight="1" outlineLevel="2" x14ac:dyDescent="0.25">
      <c r="C70" s="7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>
        <f t="shared" si="21"/>
        <v>0</v>
      </c>
    </row>
    <row r="71" spans="1:16" ht="24.75" hidden="1" customHeight="1" outlineLevel="2" x14ac:dyDescent="0.25">
      <c r="C71" s="7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>
        <f t="shared" si="21"/>
        <v>0</v>
      </c>
    </row>
    <row r="72" spans="1:16" ht="24.75" hidden="1" customHeight="1" outlineLevel="2" x14ac:dyDescent="0.25">
      <c r="C72" s="7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>
        <f t="shared" si="21"/>
        <v>0</v>
      </c>
    </row>
    <row r="73" spans="1:16" ht="24.75" hidden="1" customHeight="1" outlineLevel="2" x14ac:dyDescent="0.25">
      <c r="C73" s="7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>
        <f t="shared" si="21"/>
        <v>0</v>
      </c>
    </row>
    <row r="74" spans="1:16" ht="24.75" hidden="1" customHeight="1" outlineLevel="2" x14ac:dyDescent="0.25">
      <c r="C74" s="7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>
        <f t="shared" si="21"/>
        <v>0</v>
      </c>
    </row>
    <row r="75" spans="1:16" ht="24.75" hidden="1" customHeight="1" outlineLevel="2" x14ac:dyDescent="0.25">
      <c r="C75" s="7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>
        <f t="shared" si="21"/>
        <v>0</v>
      </c>
    </row>
    <row r="76" spans="1:16" ht="24.75" hidden="1" customHeight="1" outlineLevel="2" x14ac:dyDescent="0.25">
      <c r="C76" s="7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>
        <f t="shared" si="21"/>
        <v>0</v>
      </c>
    </row>
    <row r="77" spans="1:16" ht="24.75" customHeight="1" x14ac:dyDescent="0.25">
      <c r="C77" s="176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70"/>
    </row>
    <row r="78" spans="1:16" ht="24.75" customHeight="1" x14ac:dyDescent="0.25">
      <c r="C78" s="75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19"/>
    </row>
    <row r="79" spans="1:16" ht="24.75" customHeight="1" x14ac:dyDescent="0.25">
      <c r="C79" s="97" t="s">
        <v>169</v>
      </c>
      <c r="D79" s="28">
        <f t="shared" ref="D79:P79" si="22">D3</f>
        <v>45505</v>
      </c>
      <c r="E79" s="28">
        <f t="shared" si="22"/>
        <v>45536</v>
      </c>
      <c r="F79" s="28">
        <f t="shared" si="22"/>
        <v>45566</v>
      </c>
      <c r="G79" s="28">
        <f t="shared" si="22"/>
        <v>45597</v>
      </c>
      <c r="H79" s="28">
        <f t="shared" si="22"/>
        <v>45627</v>
      </c>
      <c r="I79" s="28">
        <f t="shared" si="22"/>
        <v>45658</v>
      </c>
      <c r="J79" s="28">
        <f t="shared" si="22"/>
        <v>45689</v>
      </c>
      <c r="K79" s="28">
        <f t="shared" si="22"/>
        <v>45717</v>
      </c>
      <c r="L79" s="28">
        <f t="shared" si="22"/>
        <v>45748</v>
      </c>
      <c r="M79" s="28">
        <f t="shared" si="22"/>
        <v>45778</v>
      </c>
      <c r="N79" s="28">
        <f t="shared" si="22"/>
        <v>45809</v>
      </c>
      <c r="O79" s="28">
        <f t="shared" si="22"/>
        <v>45839</v>
      </c>
      <c r="P79" s="89" t="str">
        <f t="shared" si="22"/>
        <v>TOTAL Y20</v>
      </c>
    </row>
    <row r="80" spans="1:16" ht="22.5" customHeight="1" thickBot="1" x14ac:dyDescent="0.3">
      <c r="C80" s="36" t="s">
        <v>13</v>
      </c>
      <c r="D80" s="96">
        <f>SUM(D81:D90)</f>
        <v>0</v>
      </c>
      <c r="E80" s="96">
        <f t="shared" ref="E80:O80" si="23">SUM(E81:E90)</f>
        <v>4536250</v>
      </c>
      <c r="F80" s="96">
        <f t="shared" si="23"/>
        <v>7444800</v>
      </c>
      <c r="G80" s="96">
        <f t="shared" si="23"/>
        <v>0</v>
      </c>
      <c r="H80" s="96">
        <f t="shared" si="23"/>
        <v>0</v>
      </c>
      <c r="I80" s="96">
        <f t="shared" si="23"/>
        <v>0</v>
      </c>
      <c r="J80" s="96">
        <f t="shared" si="23"/>
        <v>4640993.3999999994</v>
      </c>
      <c r="K80" s="96">
        <f t="shared" si="23"/>
        <v>0</v>
      </c>
      <c r="L80" s="96">
        <f t="shared" si="23"/>
        <v>0</v>
      </c>
      <c r="M80" s="96">
        <f t="shared" si="23"/>
        <v>0</v>
      </c>
      <c r="N80" s="96">
        <f t="shared" si="23"/>
        <v>0</v>
      </c>
      <c r="O80" s="96">
        <f t="shared" si="23"/>
        <v>0</v>
      </c>
      <c r="P80" s="96">
        <f>SUM(D80:O80)</f>
        <v>16622043.399999999</v>
      </c>
    </row>
    <row r="81" spans="1:17" ht="25.5" customHeight="1" outlineLevel="1" x14ac:dyDescent="0.25">
      <c r="A81" s="217">
        <v>1200</v>
      </c>
      <c r="C81" s="75" t="s">
        <v>278</v>
      </c>
      <c r="D81" s="16"/>
      <c r="E81" s="16"/>
      <c r="F81" s="214">
        <f>6600*0.94*A81</f>
        <v>7444800</v>
      </c>
      <c r="H81" s="171"/>
      <c r="I81" s="69"/>
      <c r="J81" s="171"/>
      <c r="K81" s="171"/>
      <c r="L81" s="171"/>
      <c r="M81" s="171"/>
      <c r="N81" s="171"/>
      <c r="O81" s="171"/>
      <c r="P81" s="19">
        <f t="shared" si="21"/>
        <v>7444800</v>
      </c>
    </row>
    <row r="82" spans="1:17" ht="25.5" customHeight="1" outlineLevel="1" x14ac:dyDescent="0.25">
      <c r="A82" s="25">
        <v>950</v>
      </c>
      <c r="C82" s="75" t="s">
        <v>287</v>
      </c>
      <c r="D82" s="168"/>
      <c r="E82" s="16">
        <f>4775*A82</f>
        <v>4536250</v>
      </c>
      <c r="F82" s="16"/>
      <c r="G82" s="18"/>
      <c r="H82" s="171"/>
      <c r="I82" s="69"/>
      <c r="J82" s="171"/>
      <c r="K82" s="171"/>
      <c r="L82" s="18"/>
      <c r="M82" s="171"/>
      <c r="N82" s="18"/>
      <c r="O82" s="171"/>
      <c r="P82" s="19">
        <f t="shared" si="21"/>
        <v>4536250</v>
      </c>
    </row>
    <row r="83" spans="1:17" ht="25.5" customHeight="1" outlineLevel="1" x14ac:dyDescent="0.25">
      <c r="A83" s="180">
        <v>1060.75</v>
      </c>
      <c r="C83" s="75" t="s">
        <v>310</v>
      </c>
      <c r="D83" s="168"/>
      <c r="E83" s="169"/>
      <c r="F83" s="170"/>
      <c r="G83" s="18"/>
      <c r="H83" s="90"/>
      <c r="I83" s="90"/>
      <c r="J83" s="16">
        <f>4375.2*A83</f>
        <v>4640993.3999999994</v>
      </c>
      <c r="K83" s="171"/>
      <c r="M83" s="171"/>
      <c r="N83" s="171"/>
      <c r="O83" s="93"/>
      <c r="P83" s="19">
        <f>SUM(D83:O83)</f>
        <v>4640993.3999999994</v>
      </c>
    </row>
    <row r="84" spans="1:17" ht="25.5" customHeight="1" outlineLevel="1" x14ac:dyDescent="0.25">
      <c r="A84" s="25"/>
      <c r="C84" s="75"/>
      <c r="D84" s="171"/>
      <c r="E84" s="168"/>
      <c r="F84" s="168"/>
      <c r="G84" s="171"/>
      <c r="H84" s="18"/>
      <c r="I84" s="171"/>
      <c r="J84" s="171"/>
      <c r="K84" s="171"/>
      <c r="L84" s="171"/>
      <c r="M84" s="171"/>
      <c r="N84" s="171"/>
      <c r="O84" s="171"/>
      <c r="P84" s="19">
        <f t="shared" si="21"/>
        <v>0</v>
      </c>
    </row>
    <row r="85" spans="1:17" ht="25.5" customHeight="1" outlineLevel="1" x14ac:dyDescent="0.25">
      <c r="A85" s="25"/>
      <c r="D85" s="171"/>
      <c r="E85" s="171"/>
      <c r="F85" s="168"/>
      <c r="G85" s="171"/>
      <c r="H85" s="168"/>
      <c r="I85" s="18"/>
      <c r="J85" s="171"/>
      <c r="K85" s="18"/>
      <c r="L85" s="171"/>
      <c r="M85" s="171"/>
      <c r="N85" s="171"/>
      <c r="O85" s="171"/>
      <c r="P85" s="19">
        <f t="shared" si="21"/>
        <v>0</v>
      </c>
    </row>
    <row r="86" spans="1:17" ht="25.5" customHeight="1" outlineLevel="1" x14ac:dyDescent="0.25">
      <c r="A86" s="25"/>
      <c r="C86" s="75"/>
      <c r="D86" s="171"/>
      <c r="E86" s="171"/>
      <c r="F86" s="171"/>
      <c r="G86" s="168"/>
      <c r="H86" s="171"/>
      <c r="I86" s="171"/>
      <c r="J86" s="171"/>
      <c r="K86" s="18"/>
      <c r="L86" s="171"/>
      <c r="M86" s="171"/>
      <c r="N86" s="171"/>
      <c r="O86" s="18"/>
      <c r="P86" s="19">
        <f t="shared" si="21"/>
        <v>0</v>
      </c>
    </row>
    <row r="87" spans="1:17" ht="25.5" customHeight="1" outlineLevel="1" x14ac:dyDescent="0.25">
      <c r="C87" s="167"/>
      <c r="D87" s="171"/>
      <c r="E87" s="171"/>
      <c r="F87" s="171"/>
      <c r="G87" s="171"/>
      <c r="H87" s="171"/>
      <c r="I87" s="171"/>
      <c r="J87" s="171"/>
      <c r="K87" s="168"/>
      <c r="L87" s="171"/>
      <c r="M87" s="171"/>
      <c r="N87" s="168"/>
      <c r="O87" s="171"/>
      <c r="P87" s="19">
        <f t="shared" si="21"/>
        <v>0</v>
      </c>
    </row>
    <row r="88" spans="1:17" ht="25.5" customHeight="1" outlineLevel="1" x14ac:dyDescent="0.25">
      <c r="C88" s="167"/>
      <c r="D88" s="171"/>
      <c r="E88" s="171"/>
      <c r="F88" s="171"/>
      <c r="G88" s="171"/>
      <c r="H88" s="171"/>
      <c r="I88" s="171"/>
      <c r="J88" s="171"/>
      <c r="K88" s="171"/>
      <c r="L88" s="168"/>
      <c r="M88" s="171"/>
      <c r="N88" s="168"/>
      <c r="O88" s="171"/>
      <c r="P88" s="19">
        <f t="shared" si="21"/>
        <v>0</v>
      </c>
    </row>
    <row r="89" spans="1:17" ht="25.5" customHeight="1" outlineLevel="1" x14ac:dyDescent="0.25">
      <c r="C89" s="167"/>
      <c r="D89" s="171"/>
      <c r="E89" s="171"/>
      <c r="F89" s="171"/>
      <c r="G89" s="171"/>
      <c r="H89" s="171"/>
      <c r="I89" s="171"/>
      <c r="J89" s="171"/>
      <c r="K89" s="171"/>
      <c r="L89" s="171"/>
      <c r="M89" s="168"/>
      <c r="N89" s="171"/>
      <c r="O89" s="168"/>
      <c r="P89" s="19">
        <f t="shared" si="21"/>
        <v>0</v>
      </c>
    </row>
    <row r="90" spans="1:17" ht="25.5" customHeight="1" outlineLevel="1" x14ac:dyDescent="0.25">
      <c r="C90" s="75"/>
      <c r="D90" s="171"/>
      <c r="E90" s="171"/>
      <c r="F90" s="171"/>
      <c r="G90" s="171"/>
      <c r="H90" s="171"/>
      <c r="I90" s="171"/>
      <c r="J90" s="171"/>
      <c r="K90" s="171"/>
      <c r="L90" s="171"/>
      <c r="M90" s="168"/>
      <c r="N90" s="171"/>
      <c r="O90" s="168"/>
      <c r="P90" s="19">
        <f t="shared" si="21"/>
        <v>0</v>
      </c>
    </row>
    <row r="91" spans="1:17" ht="25.5" customHeight="1" x14ac:dyDescent="0.25">
      <c r="C91" s="66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19"/>
    </row>
    <row r="92" spans="1:17" ht="25.5" hidden="1" customHeight="1" x14ac:dyDescent="0.25">
      <c r="C92" s="27" t="s">
        <v>45</v>
      </c>
      <c r="D92" s="23"/>
      <c r="E92" s="23"/>
      <c r="F92" s="23"/>
      <c r="H92" s="23"/>
      <c r="I92" s="23"/>
      <c r="J92" s="23"/>
      <c r="K92" s="23"/>
      <c r="L92" s="23"/>
      <c r="M92" s="23"/>
      <c r="N92" s="23"/>
      <c r="O92" s="23"/>
      <c r="P92" s="19"/>
    </row>
    <row r="93" spans="1:17" ht="25.5" hidden="1" customHeight="1" x14ac:dyDescent="0.25">
      <c r="C93" s="30" t="s">
        <v>42</v>
      </c>
      <c r="D93" s="31" t="e">
        <f>#REF!</f>
        <v>#REF!</v>
      </c>
      <c r="E93" s="84" t="s">
        <v>46</v>
      </c>
      <c r="F93" s="23"/>
      <c r="H93" s="23"/>
      <c r="I93" s="23"/>
      <c r="J93" s="23"/>
      <c r="K93" s="23"/>
      <c r="L93" s="23"/>
      <c r="M93" s="23"/>
      <c r="N93" s="23"/>
      <c r="O93" s="23"/>
      <c r="P93" s="19"/>
    </row>
    <row r="94" spans="1:17" ht="25.5" hidden="1" customHeight="1" x14ac:dyDescent="0.25">
      <c r="C94" s="30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19"/>
      <c r="Q94" s="7"/>
    </row>
    <row r="95" spans="1:17" ht="32.25" hidden="1" customHeight="1" x14ac:dyDescent="0.25">
      <c r="C95" s="30"/>
      <c r="D95" s="28">
        <v>40391</v>
      </c>
      <c r="E95" s="28">
        <v>40422</v>
      </c>
      <c r="F95" s="28">
        <v>40452</v>
      </c>
      <c r="G95" s="28">
        <v>40483</v>
      </c>
      <c r="H95" s="28">
        <v>40513</v>
      </c>
      <c r="I95" s="28">
        <v>40544</v>
      </c>
      <c r="J95" s="28">
        <v>40575</v>
      </c>
      <c r="K95" s="28">
        <v>40603</v>
      </c>
      <c r="L95" s="28">
        <v>40634</v>
      </c>
      <c r="M95" s="28">
        <v>40664</v>
      </c>
      <c r="N95" s="28">
        <v>40695</v>
      </c>
      <c r="O95" s="28">
        <v>40725</v>
      </c>
      <c r="P95" s="89" t="s">
        <v>50</v>
      </c>
    </row>
    <row r="96" spans="1:17" ht="27" hidden="1" customHeight="1" thickBot="1" x14ac:dyDescent="0.3">
      <c r="C96" s="25" t="s">
        <v>47</v>
      </c>
      <c r="D96" s="85"/>
      <c r="E96" s="85"/>
      <c r="F96" s="85"/>
      <c r="G96" s="85"/>
      <c r="H96" s="85"/>
      <c r="I96" s="86"/>
      <c r="J96" s="86"/>
      <c r="K96" s="86"/>
      <c r="L96" s="87"/>
      <c r="M96" s="87"/>
      <c r="N96" s="87"/>
      <c r="O96" s="87"/>
      <c r="P96" s="67">
        <f>SUM(D96:O96)</f>
        <v>0</v>
      </c>
    </row>
    <row r="97" spans="3:16" x14ac:dyDescent="0.25">
      <c r="C97" s="40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9"/>
    </row>
  </sheetData>
  <phoneticPr fontId="36" type="noConversion"/>
  <printOptions horizontalCentered="1"/>
  <pageMargins left="0" right="0" top="0" bottom="0" header="0" footer="0"/>
  <pageSetup paperSize="9" scale="45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outlinePr summaryBelow="0"/>
  </sheetPr>
  <dimension ref="A1:Q197"/>
  <sheetViews>
    <sheetView zoomScale="80" zoomScaleNormal="80" workbookViewId="0">
      <pane ySplit="3" topLeftCell="A136" activePane="bottomLeft" state="frozen"/>
      <selection pane="bottomLeft" activeCell="N148" sqref="N148"/>
    </sheetView>
  </sheetViews>
  <sheetFormatPr baseColWidth="10" defaultColWidth="9.109375" defaultRowHeight="13.8" outlineLevelRow="2" outlineLevelCol="1" x14ac:dyDescent="0.25"/>
  <cols>
    <col min="1" max="1" width="7.33203125" style="8" customWidth="1"/>
    <col min="2" max="2" width="46.77734375" style="8" customWidth="1"/>
    <col min="3" max="10" width="14.109375" style="8" customWidth="1" outlineLevel="1"/>
    <col min="11" max="11" width="15.5546875" style="8" customWidth="1" outlineLevel="1"/>
    <col min="12" max="12" width="15.5546875" style="8" bestFit="1" customWidth="1" outlineLevel="1"/>
    <col min="13" max="14" width="14.109375" style="8" customWidth="1" outlineLevel="1"/>
    <col min="15" max="15" width="19" style="8" customWidth="1"/>
    <col min="16" max="16" width="10" style="8" customWidth="1"/>
    <col min="17" max="17" width="10" style="8" bestFit="1" customWidth="1"/>
    <col min="18" max="16384" width="9.109375" style="8"/>
  </cols>
  <sheetData>
    <row r="1" spans="1:16" ht="42.75" customHeight="1" x14ac:dyDescent="0.25">
      <c r="B1" s="10" t="s">
        <v>118</v>
      </c>
    </row>
    <row r="2" spans="1:16" ht="15" hidden="1" customHeight="1" thickBot="1" x14ac:dyDescent="0.25">
      <c r="A2" s="11"/>
      <c r="B2" s="11"/>
    </row>
    <row r="3" spans="1:16" ht="33" customHeight="1" x14ac:dyDescent="0.25">
      <c r="A3" s="11"/>
      <c r="B3" s="19"/>
      <c r="C3" s="28">
        <f>+'P&amp;L '!D4</f>
        <v>45505</v>
      </c>
      <c r="D3" s="28">
        <f>+'P&amp;L '!E4</f>
        <v>45536</v>
      </c>
      <c r="E3" s="28">
        <f>+'P&amp;L '!F4</f>
        <v>45566</v>
      </c>
      <c r="F3" s="28">
        <f>+'P&amp;L '!G4</f>
        <v>45597</v>
      </c>
      <c r="G3" s="28">
        <f>+'P&amp;L '!H4</f>
        <v>45627</v>
      </c>
      <c r="H3" s="28">
        <f>+'P&amp;L '!I4</f>
        <v>45658</v>
      </c>
      <c r="I3" s="28">
        <f>+'P&amp;L '!J4</f>
        <v>45689</v>
      </c>
      <c r="J3" s="28">
        <f>+'P&amp;L '!K4</f>
        <v>45717</v>
      </c>
      <c r="K3" s="28">
        <f>+'P&amp;L '!L4</f>
        <v>45748</v>
      </c>
      <c r="L3" s="28">
        <f>+'P&amp;L '!M4</f>
        <v>45778</v>
      </c>
      <c r="M3" s="28">
        <f>+'P&amp;L '!N4</f>
        <v>45809</v>
      </c>
      <c r="N3" s="28">
        <f>+'P&amp;L '!O4</f>
        <v>45839</v>
      </c>
      <c r="O3" s="89" t="str">
        <f>+'P&amp;L '!P4</f>
        <v>TOTAL Y20</v>
      </c>
    </row>
    <row r="4" spans="1:16" ht="6" customHeight="1" x14ac:dyDescent="0.25">
      <c r="A4" s="11"/>
      <c r="B4" s="13"/>
      <c r="C4" s="14"/>
    </row>
    <row r="5" spans="1:16" ht="45" customHeight="1" collapsed="1" x14ac:dyDescent="0.25">
      <c r="A5" s="11"/>
      <c r="B5" s="72" t="s">
        <v>16</v>
      </c>
      <c r="C5" s="60">
        <f>+C6+C9+C12+C15</f>
        <v>-5996158.0999999996</v>
      </c>
      <c r="D5" s="60">
        <f t="shared" ref="D5:N5" si="0">+D6+D9+D12+D15</f>
        <v>-9696651.3000000007</v>
      </c>
      <c r="E5" s="60">
        <f t="shared" si="0"/>
        <v>-20322293.899999999</v>
      </c>
      <c r="F5" s="60">
        <f t="shared" si="0"/>
        <v>-11037443</v>
      </c>
      <c r="G5" s="60">
        <f t="shared" si="0"/>
        <v>-6781749.5</v>
      </c>
      <c r="H5" s="60">
        <f t="shared" si="0"/>
        <v>-12229979.300000001</v>
      </c>
      <c r="I5" s="60">
        <f t="shared" si="0"/>
        <v>-15498867.199999999</v>
      </c>
      <c r="J5" s="60">
        <f t="shared" si="0"/>
        <v>-15652103.504999999</v>
      </c>
      <c r="K5" s="60">
        <f t="shared" si="0"/>
        <v>-12039442.800000001</v>
      </c>
      <c r="L5" s="60">
        <f t="shared" si="0"/>
        <v>-23553519.400000002</v>
      </c>
      <c r="M5" s="60">
        <f t="shared" si="0"/>
        <v>-9607048</v>
      </c>
      <c r="N5" s="60">
        <f t="shared" si="0"/>
        <v>-5970000</v>
      </c>
      <c r="O5" s="61">
        <f>SUM(C5:N5)</f>
        <v>-148385256.005</v>
      </c>
      <c r="P5" s="15"/>
    </row>
    <row r="6" spans="1:16" ht="33.75" hidden="1" customHeight="1" outlineLevel="1" x14ac:dyDescent="0.25">
      <c r="A6" s="11"/>
      <c r="B6" s="44" t="s">
        <v>135</v>
      </c>
      <c r="C6" s="56">
        <f>SUM(C7:C8)</f>
        <v>-2977675.7</v>
      </c>
      <c r="D6" s="56">
        <f t="shared" ref="D6:N6" si="1">SUM(D7:D8)</f>
        <v>-7852711.2999999998</v>
      </c>
      <c r="E6" s="56">
        <f t="shared" si="1"/>
        <v>-10823224.300000001</v>
      </c>
      <c r="F6" s="56">
        <f t="shared" si="1"/>
        <v>-7056487.7999999998</v>
      </c>
      <c r="G6" s="56">
        <f t="shared" si="1"/>
        <v>-3984938.3</v>
      </c>
      <c r="H6" s="56">
        <f t="shared" si="1"/>
        <v>-11629979.300000001</v>
      </c>
      <c r="I6" s="56">
        <f t="shared" si="1"/>
        <v>-6474534.5</v>
      </c>
      <c r="J6" s="56">
        <f t="shared" si="1"/>
        <v>-9282803.8049999997</v>
      </c>
      <c r="K6" s="56">
        <f t="shared" si="1"/>
        <v>-2404061.2000000002</v>
      </c>
      <c r="L6" s="56">
        <f t="shared" si="1"/>
        <v>-17065328.800000001</v>
      </c>
      <c r="M6" s="56">
        <f t="shared" si="1"/>
        <v>-6067048</v>
      </c>
      <c r="N6" s="56">
        <f t="shared" si="1"/>
        <v>0</v>
      </c>
      <c r="O6" s="56">
        <f>SUM(C6:N6)</f>
        <v>-85618793.00500001</v>
      </c>
      <c r="P6" s="17"/>
    </row>
    <row r="7" spans="1:16" ht="24.75" hidden="1" customHeight="1" outlineLevel="2" x14ac:dyDescent="0.25">
      <c r="A7" s="11"/>
      <c r="B7" s="45" t="s">
        <v>132</v>
      </c>
      <c r="C7" s="16">
        <f>+C19</f>
        <v>-2400000</v>
      </c>
      <c r="D7" s="16">
        <f t="shared" ref="D7:N7" si="2">+D19</f>
        <v>-7560000</v>
      </c>
      <c r="E7" s="16">
        <f t="shared" si="2"/>
        <v>-9824500</v>
      </c>
      <c r="F7" s="16">
        <f t="shared" si="2"/>
        <v>-6900000</v>
      </c>
      <c r="G7" s="16">
        <f t="shared" si="2"/>
        <v>-3668000</v>
      </c>
      <c r="H7" s="16">
        <f t="shared" si="2"/>
        <v>-10908000</v>
      </c>
      <c r="I7" s="16">
        <f t="shared" si="2"/>
        <v>-5460000</v>
      </c>
      <c r="J7" s="16">
        <f t="shared" si="2"/>
        <v>-8808000</v>
      </c>
      <c r="K7" s="16">
        <f t="shared" si="2"/>
        <v>-1836000</v>
      </c>
      <c r="L7" s="16">
        <f t="shared" si="2"/>
        <v>-16900000</v>
      </c>
      <c r="M7" s="16">
        <f t="shared" si="2"/>
        <v>-5200000</v>
      </c>
      <c r="N7" s="16">
        <f t="shared" si="2"/>
        <v>0</v>
      </c>
      <c r="O7" s="16">
        <f t="shared" ref="O7:O16" si="3">SUM(C7:N7)</f>
        <v>-79464500</v>
      </c>
      <c r="P7" s="17"/>
    </row>
    <row r="8" spans="1:16" ht="24.75" hidden="1" customHeight="1" outlineLevel="2" x14ac:dyDescent="0.25">
      <c r="A8" s="11"/>
      <c r="B8" s="45" t="s">
        <v>195</v>
      </c>
      <c r="C8" s="16">
        <f>+C164</f>
        <v>-577675.70000000007</v>
      </c>
      <c r="D8" s="16">
        <f t="shared" ref="D8:N8" si="4">+D164</f>
        <v>-292711.3</v>
      </c>
      <c r="E8" s="16">
        <f t="shared" si="4"/>
        <v>-998724.29999999981</v>
      </c>
      <c r="F8" s="16">
        <f t="shared" si="4"/>
        <v>-156487.79999999999</v>
      </c>
      <c r="G8" s="16">
        <f t="shared" si="4"/>
        <v>-316938.29999999993</v>
      </c>
      <c r="H8" s="16">
        <f t="shared" si="4"/>
        <v>-721979.29999999993</v>
      </c>
      <c r="I8" s="16">
        <f t="shared" si="4"/>
        <v>-1014534.4999999999</v>
      </c>
      <c r="J8" s="16">
        <f t="shared" si="4"/>
        <v>-474803.80499999993</v>
      </c>
      <c r="K8" s="16">
        <f t="shared" si="4"/>
        <v>-568061.19999999995</v>
      </c>
      <c r="L8" s="16">
        <f t="shared" si="4"/>
        <v>-165328.79999999999</v>
      </c>
      <c r="M8" s="16">
        <f t="shared" si="4"/>
        <v>-867048</v>
      </c>
      <c r="N8" s="16">
        <f t="shared" si="4"/>
        <v>0</v>
      </c>
      <c r="O8" s="16">
        <f t="shared" si="3"/>
        <v>-6154293.0049999999</v>
      </c>
      <c r="P8" s="17"/>
    </row>
    <row r="9" spans="1:16" ht="28.5" hidden="1" customHeight="1" outlineLevel="1" x14ac:dyDescent="0.25">
      <c r="A9" s="11"/>
      <c r="B9" s="44" t="s">
        <v>140</v>
      </c>
      <c r="C9" s="56">
        <f>SUM(C10:C11)</f>
        <v>-1818482.4</v>
      </c>
      <c r="D9" s="56">
        <f t="shared" ref="D9:N9" si="5">SUM(D10:D11)</f>
        <v>-583940</v>
      </c>
      <c r="E9" s="56">
        <f t="shared" si="5"/>
        <v>-659069.6</v>
      </c>
      <c r="F9" s="56">
        <f t="shared" si="5"/>
        <v>0</v>
      </c>
      <c r="G9" s="56">
        <f t="shared" si="5"/>
        <v>-996811.2</v>
      </c>
      <c r="H9" s="56">
        <f t="shared" si="5"/>
        <v>0</v>
      </c>
      <c r="I9" s="56">
        <f t="shared" si="5"/>
        <v>-2964332.7</v>
      </c>
      <c r="J9" s="56">
        <f t="shared" si="5"/>
        <v>-999299.7</v>
      </c>
      <c r="K9" s="56">
        <f t="shared" si="5"/>
        <v>-1005127.2</v>
      </c>
      <c r="L9" s="56">
        <f t="shared" si="5"/>
        <v>-1088190.6000000001</v>
      </c>
      <c r="M9" s="56">
        <f t="shared" si="5"/>
        <v>0</v>
      </c>
      <c r="N9" s="56">
        <f t="shared" si="5"/>
        <v>0</v>
      </c>
      <c r="O9" s="56">
        <f t="shared" si="3"/>
        <v>-10115253.4</v>
      </c>
      <c r="P9" s="17"/>
    </row>
    <row r="10" spans="1:16" ht="24.75" hidden="1" customHeight="1" outlineLevel="2" x14ac:dyDescent="0.25">
      <c r="A10" s="11"/>
      <c r="B10" s="45" t="s">
        <v>130</v>
      </c>
      <c r="C10" s="16">
        <f>+C56</f>
        <v>-1818482.4</v>
      </c>
      <c r="D10" s="16">
        <f t="shared" ref="D10:N10" si="6">+D56</f>
        <v>0</v>
      </c>
      <c r="E10" s="16">
        <f t="shared" si="6"/>
        <v>0</v>
      </c>
      <c r="F10" s="16">
        <f t="shared" si="6"/>
        <v>0</v>
      </c>
      <c r="G10" s="16">
        <f t="shared" si="6"/>
        <v>-996811.2</v>
      </c>
      <c r="H10" s="16">
        <f t="shared" si="6"/>
        <v>0</v>
      </c>
      <c r="I10" s="16">
        <f t="shared" si="6"/>
        <v>-2964332.7</v>
      </c>
      <c r="J10" s="16">
        <f t="shared" si="6"/>
        <v>-999299.7</v>
      </c>
      <c r="K10" s="16">
        <f t="shared" si="6"/>
        <v>-1005127.2</v>
      </c>
      <c r="L10" s="16">
        <f t="shared" si="6"/>
        <v>-1088190.6000000001</v>
      </c>
      <c r="M10" s="16">
        <f t="shared" si="6"/>
        <v>0</v>
      </c>
      <c r="N10" s="16">
        <f t="shared" si="6"/>
        <v>0</v>
      </c>
      <c r="O10" s="56">
        <f t="shared" si="3"/>
        <v>-8872243.8000000007</v>
      </c>
      <c r="P10" s="17"/>
    </row>
    <row r="11" spans="1:16" ht="24.75" hidden="1" customHeight="1" outlineLevel="2" x14ac:dyDescent="0.25">
      <c r="A11" s="11"/>
      <c r="B11" s="45" t="s">
        <v>131</v>
      </c>
      <c r="C11" s="16">
        <f>+C74</f>
        <v>0</v>
      </c>
      <c r="D11" s="16">
        <f t="shared" ref="D11:N11" si="7">+D74</f>
        <v>-583940</v>
      </c>
      <c r="E11" s="16">
        <f t="shared" si="7"/>
        <v>-659069.6</v>
      </c>
      <c r="F11" s="16">
        <f t="shared" si="7"/>
        <v>0</v>
      </c>
      <c r="G11" s="16">
        <f t="shared" si="7"/>
        <v>0</v>
      </c>
      <c r="H11" s="16">
        <f t="shared" si="7"/>
        <v>0</v>
      </c>
      <c r="I11" s="16">
        <f t="shared" si="7"/>
        <v>0</v>
      </c>
      <c r="J11" s="16">
        <f t="shared" si="7"/>
        <v>0</v>
      </c>
      <c r="K11" s="16">
        <f t="shared" si="7"/>
        <v>0</v>
      </c>
      <c r="L11" s="16">
        <f t="shared" si="7"/>
        <v>0</v>
      </c>
      <c r="M11" s="16">
        <f t="shared" si="7"/>
        <v>0</v>
      </c>
      <c r="N11" s="16">
        <f t="shared" si="7"/>
        <v>0</v>
      </c>
      <c r="O11" s="56">
        <f t="shared" si="3"/>
        <v>-1243009.6000000001</v>
      </c>
      <c r="P11" s="17"/>
    </row>
    <row r="12" spans="1:16" ht="28.5" hidden="1" customHeight="1" outlineLevel="1" x14ac:dyDescent="0.25">
      <c r="A12" s="11"/>
      <c r="B12" s="44" t="s">
        <v>120</v>
      </c>
      <c r="C12" s="56">
        <f>SUM(C13:C14)</f>
        <v>-1200000</v>
      </c>
      <c r="D12" s="56">
        <f t="shared" ref="D12:N12" si="8">SUM(D13:D14)</f>
        <v>-1260000</v>
      </c>
      <c r="E12" s="56">
        <f t="shared" si="8"/>
        <v>-1740000</v>
      </c>
      <c r="F12" s="56">
        <f t="shared" si="8"/>
        <v>-3980955.2</v>
      </c>
      <c r="G12" s="56">
        <f t="shared" si="8"/>
        <v>-1400000</v>
      </c>
      <c r="H12" s="56">
        <f t="shared" si="8"/>
        <v>-600000</v>
      </c>
      <c r="I12" s="56">
        <f t="shared" si="8"/>
        <v>-6060000</v>
      </c>
      <c r="J12" s="56">
        <f t="shared" si="8"/>
        <v>-5370000</v>
      </c>
      <c r="K12" s="56">
        <f t="shared" si="8"/>
        <v>-4270254.4000000004</v>
      </c>
      <c r="L12" s="56">
        <f t="shared" si="8"/>
        <v>-5400000</v>
      </c>
      <c r="M12" s="56">
        <f t="shared" si="8"/>
        <v>-3540000</v>
      </c>
      <c r="N12" s="56">
        <f t="shared" si="8"/>
        <v>-1250000</v>
      </c>
      <c r="O12" s="56">
        <f t="shared" si="3"/>
        <v>-36071209.600000001</v>
      </c>
      <c r="P12" s="17"/>
    </row>
    <row r="13" spans="1:16" ht="24.75" hidden="1" customHeight="1" outlineLevel="2" x14ac:dyDescent="0.25">
      <c r="A13" s="11"/>
      <c r="B13" s="45" t="s">
        <v>194</v>
      </c>
      <c r="C13" s="16">
        <f>C92</f>
        <v>-1200000</v>
      </c>
      <c r="D13" s="16">
        <f t="shared" ref="D13:N13" si="9">D92</f>
        <v>-1260000</v>
      </c>
      <c r="E13" s="16">
        <f t="shared" si="9"/>
        <v>-1740000</v>
      </c>
      <c r="F13" s="16">
        <f t="shared" si="9"/>
        <v>-3980955.2</v>
      </c>
      <c r="G13" s="16">
        <f t="shared" si="9"/>
        <v>-1400000</v>
      </c>
      <c r="H13" s="16">
        <f t="shared" si="9"/>
        <v>-600000</v>
      </c>
      <c r="I13" s="16">
        <f t="shared" si="9"/>
        <v>-6060000</v>
      </c>
      <c r="J13" s="16">
        <f t="shared" si="9"/>
        <v>-5370000</v>
      </c>
      <c r="K13" s="16">
        <f t="shared" si="9"/>
        <v>-4270254.4000000004</v>
      </c>
      <c r="L13" s="16">
        <f t="shared" si="9"/>
        <v>-5400000</v>
      </c>
      <c r="M13" s="16">
        <f t="shared" si="9"/>
        <v>-3540000</v>
      </c>
      <c r="N13" s="16">
        <f t="shared" si="9"/>
        <v>-1250000</v>
      </c>
      <c r="O13" s="56">
        <f t="shared" si="3"/>
        <v>-36071209.600000001</v>
      </c>
      <c r="P13" s="17"/>
    </row>
    <row r="14" spans="1:16" ht="25.5" hidden="1" customHeight="1" outlineLevel="2" x14ac:dyDescent="0.25">
      <c r="A14" s="11"/>
      <c r="B14" s="45" t="s">
        <v>28</v>
      </c>
      <c r="C14" s="16">
        <f>C119</f>
        <v>0</v>
      </c>
      <c r="D14" s="16">
        <f t="shared" ref="D14:N14" si="10">D119</f>
        <v>0</v>
      </c>
      <c r="E14" s="16">
        <f t="shared" si="10"/>
        <v>0</v>
      </c>
      <c r="F14" s="16">
        <f t="shared" si="10"/>
        <v>0</v>
      </c>
      <c r="G14" s="16">
        <f t="shared" si="10"/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  <c r="N14" s="16">
        <f t="shared" si="10"/>
        <v>0</v>
      </c>
      <c r="O14" s="56">
        <f t="shared" si="3"/>
        <v>0</v>
      </c>
      <c r="P14" s="17"/>
    </row>
    <row r="15" spans="1:16" ht="25.5" hidden="1" customHeight="1" outlineLevel="1" x14ac:dyDescent="0.25">
      <c r="B15" s="44" t="s">
        <v>136</v>
      </c>
      <c r="C15" s="56">
        <f>+C16</f>
        <v>0</v>
      </c>
      <c r="D15" s="56">
        <f t="shared" ref="D15:N15" si="11">+D16</f>
        <v>0</v>
      </c>
      <c r="E15" s="56">
        <f t="shared" si="11"/>
        <v>-7100000</v>
      </c>
      <c r="F15" s="56">
        <f t="shared" si="11"/>
        <v>0</v>
      </c>
      <c r="G15" s="56">
        <f t="shared" si="11"/>
        <v>-400000</v>
      </c>
      <c r="H15" s="56">
        <f t="shared" si="11"/>
        <v>0</v>
      </c>
      <c r="I15" s="56">
        <f t="shared" si="11"/>
        <v>0</v>
      </c>
      <c r="J15" s="56">
        <f t="shared" si="11"/>
        <v>0</v>
      </c>
      <c r="K15" s="56">
        <f t="shared" si="11"/>
        <v>-4360000</v>
      </c>
      <c r="L15" s="56">
        <f t="shared" si="11"/>
        <v>0</v>
      </c>
      <c r="M15" s="56">
        <f t="shared" si="11"/>
        <v>0</v>
      </c>
      <c r="N15" s="56">
        <f t="shared" si="11"/>
        <v>-4720000</v>
      </c>
      <c r="O15" s="56">
        <f t="shared" si="3"/>
        <v>-16580000</v>
      </c>
      <c r="P15" s="17"/>
    </row>
    <row r="16" spans="1:16" ht="25.5" hidden="1" customHeight="1" outlineLevel="2" x14ac:dyDescent="0.25">
      <c r="B16" s="45" t="s">
        <v>13</v>
      </c>
      <c r="C16" s="16">
        <f>+C139</f>
        <v>0</v>
      </c>
      <c r="D16" s="16">
        <f t="shared" ref="D16:N16" si="12">+D139</f>
        <v>0</v>
      </c>
      <c r="E16" s="16">
        <f t="shared" si="12"/>
        <v>-7100000</v>
      </c>
      <c r="F16" s="16">
        <f t="shared" si="12"/>
        <v>0</v>
      </c>
      <c r="G16" s="16">
        <f t="shared" si="12"/>
        <v>-400000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-4360000</v>
      </c>
      <c r="L16" s="16">
        <f t="shared" si="12"/>
        <v>0</v>
      </c>
      <c r="M16" s="16">
        <f t="shared" si="12"/>
        <v>0</v>
      </c>
      <c r="N16" s="16">
        <f t="shared" si="12"/>
        <v>-4720000</v>
      </c>
      <c r="O16" s="56">
        <f t="shared" si="3"/>
        <v>-16580000</v>
      </c>
      <c r="P16" s="17"/>
    </row>
    <row r="17" spans="2:15" ht="17.25" customHeight="1" x14ac:dyDescent="0.25"/>
    <row r="18" spans="2:15" ht="32.25" customHeight="1" x14ac:dyDescent="0.25">
      <c r="B18" s="97" t="s">
        <v>135</v>
      </c>
      <c r="C18" s="28">
        <f>+C3</f>
        <v>45505</v>
      </c>
      <c r="D18" s="28">
        <f t="shared" ref="D18:N18" si="13">+D3</f>
        <v>45536</v>
      </c>
      <c r="E18" s="28">
        <f t="shared" si="13"/>
        <v>45566</v>
      </c>
      <c r="F18" s="28">
        <f t="shared" si="13"/>
        <v>45597</v>
      </c>
      <c r="G18" s="28">
        <f t="shared" si="13"/>
        <v>45627</v>
      </c>
      <c r="H18" s="28">
        <f t="shared" si="13"/>
        <v>45658</v>
      </c>
      <c r="I18" s="28">
        <f t="shared" si="13"/>
        <v>45689</v>
      </c>
      <c r="J18" s="28">
        <f t="shared" si="13"/>
        <v>45717</v>
      </c>
      <c r="K18" s="28">
        <f t="shared" si="13"/>
        <v>45748</v>
      </c>
      <c r="L18" s="28">
        <f t="shared" si="13"/>
        <v>45778</v>
      </c>
      <c r="M18" s="28">
        <f t="shared" si="13"/>
        <v>45809</v>
      </c>
      <c r="N18" s="28">
        <f t="shared" si="13"/>
        <v>45839</v>
      </c>
      <c r="O18" s="89" t="str">
        <f>+O3</f>
        <v>TOTAL Y20</v>
      </c>
    </row>
    <row r="19" spans="2:15" ht="27" customHeight="1" collapsed="1" thickBot="1" x14ac:dyDescent="0.3">
      <c r="B19" s="36" t="s">
        <v>141</v>
      </c>
      <c r="C19" s="201">
        <f t="shared" ref="C19:N19" si="14">SUM(C20:C52)</f>
        <v>-2400000</v>
      </c>
      <c r="D19" s="201">
        <f t="shared" si="14"/>
        <v>-7560000</v>
      </c>
      <c r="E19" s="201">
        <f t="shared" si="14"/>
        <v>-9824500</v>
      </c>
      <c r="F19" s="201">
        <f t="shared" si="14"/>
        <v>-6900000</v>
      </c>
      <c r="G19" s="201">
        <f t="shared" si="14"/>
        <v>-3668000</v>
      </c>
      <c r="H19" s="201">
        <f t="shared" si="14"/>
        <v>-10908000</v>
      </c>
      <c r="I19" s="201">
        <f t="shared" si="14"/>
        <v>-5460000</v>
      </c>
      <c r="J19" s="201">
        <f t="shared" si="14"/>
        <v>-8808000</v>
      </c>
      <c r="K19" s="201">
        <f t="shared" si="14"/>
        <v>-1836000</v>
      </c>
      <c r="L19" s="201">
        <f t="shared" si="14"/>
        <v>-16900000</v>
      </c>
      <c r="M19" s="201">
        <f t="shared" si="14"/>
        <v>-5200000</v>
      </c>
      <c r="N19" s="201">
        <f t="shared" si="14"/>
        <v>0</v>
      </c>
      <c r="O19" s="96">
        <f>SUM(C19:N19)</f>
        <v>-79464500</v>
      </c>
    </row>
    <row r="20" spans="2:15" ht="24.75" hidden="1" customHeight="1" outlineLevel="1" x14ac:dyDescent="0.25">
      <c r="B20" s="167" t="s">
        <v>240</v>
      </c>
      <c r="C20" s="16">
        <f>-20*20000</f>
        <v>-400000</v>
      </c>
      <c r="D20" s="16">
        <f>-20*22000</f>
        <v>-440000</v>
      </c>
      <c r="E20" s="16">
        <f>-20*22000</f>
        <v>-440000</v>
      </c>
      <c r="F20" s="16">
        <f>-100*23000</f>
        <v>-2300000</v>
      </c>
      <c r="G20" s="16">
        <f>-20*22000</f>
        <v>-440000</v>
      </c>
      <c r="H20" s="16"/>
      <c r="I20" s="16">
        <f>-20*23000</f>
        <v>-460000</v>
      </c>
      <c r="J20" s="16">
        <f>-20*24000</f>
        <v>-480000</v>
      </c>
      <c r="K20" s="16">
        <f>-25000*20</f>
        <v>-500000</v>
      </c>
      <c r="L20" s="16">
        <f>-20*25000</f>
        <v>-500000</v>
      </c>
      <c r="M20" s="16"/>
      <c r="N20" s="16"/>
      <c r="O20" s="16">
        <f>SUM(C20:N20)</f>
        <v>-5960000</v>
      </c>
    </row>
    <row r="21" spans="2:15" ht="24.75" hidden="1" customHeight="1" outlineLevel="1" x14ac:dyDescent="0.25">
      <c r="B21" s="167" t="s">
        <v>215</v>
      </c>
      <c r="C21" s="16"/>
      <c r="D21" s="16">
        <f>-100*20000</f>
        <v>-2000000</v>
      </c>
      <c r="E21" s="16">
        <f>-22000*100</f>
        <v>-2200000</v>
      </c>
      <c r="F21" s="16"/>
      <c r="G21" s="16"/>
      <c r="H21" s="16">
        <f>-23000*100</f>
        <v>-2300000</v>
      </c>
      <c r="I21" s="16"/>
      <c r="J21" s="16">
        <f>-100*25000</f>
        <v>-2500000</v>
      </c>
      <c r="K21" s="16"/>
      <c r="L21" s="16">
        <f>-100*26000</f>
        <v>-2600000</v>
      </c>
      <c r="M21" s="16">
        <f>-100*26000</f>
        <v>-2600000</v>
      </c>
      <c r="N21" s="16"/>
      <c r="O21" s="16">
        <f t="shared" ref="O21:O71" si="15">SUM(C21:N21)</f>
        <v>-14200000</v>
      </c>
    </row>
    <row r="22" spans="2:15" ht="24.75" hidden="1" customHeight="1" outlineLevel="1" x14ac:dyDescent="0.25">
      <c r="B22" s="167" t="s">
        <v>216</v>
      </c>
      <c r="C22" s="16"/>
      <c r="D22" s="16">
        <f>-100*22000</f>
        <v>-2200000</v>
      </c>
      <c r="E22" s="16">
        <f>-100*23000</f>
        <v>-2300000</v>
      </c>
      <c r="F22" s="16">
        <f>-100*23000</f>
        <v>-2300000</v>
      </c>
      <c r="G22" s="16"/>
      <c r="H22" s="16">
        <f>-23000*100-23000*4</f>
        <v>-2392000</v>
      </c>
      <c r="I22" s="16"/>
      <c r="J22" s="16">
        <f>-32000*100-32000*4</f>
        <v>-3328000</v>
      </c>
      <c r="K22" s="16"/>
      <c r="L22" s="16">
        <f>-26000*100</f>
        <v>-2600000</v>
      </c>
      <c r="M22" s="16">
        <f>-26000*24-26000*76</f>
        <v>-2600000</v>
      </c>
      <c r="N22" s="16"/>
      <c r="O22" s="16">
        <f t="shared" si="15"/>
        <v>-17720000</v>
      </c>
    </row>
    <row r="23" spans="2:15" ht="24.75" hidden="1" customHeight="1" outlineLevel="1" x14ac:dyDescent="0.25">
      <c r="B23" s="167" t="s">
        <v>217</v>
      </c>
      <c r="C23" s="16"/>
      <c r="D23" s="16">
        <f>-100*21000</f>
        <v>-2100000</v>
      </c>
      <c r="E23" s="16"/>
      <c r="F23" s="16">
        <f>-23000*100</f>
        <v>-2300000</v>
      </c>
      <c r="G23" s="16"/>
      <c r="H23" s="16">
        <f>-23000*100</f>
        <v>-2300000</v>
      </c>
      <c r="I23" s="16"/>
      <c r="J23" s="16">
        <f>-25000*100</f>
        <v>-2500000</v>
      </c>
      <c r="L23" s="16">
        <f>-27000*100</f>
        <v>-2700000</v>
      </c>
      <c r="M23" s="16"/>
      <c r="N23" s="16"/>
      <c r="O23" s="16">
        <f t="shared" si="15"/>
        <v>-11900000</v>
      </c>
    </row>
    <row r="24" spans="2:15" ht="24.75" hidden="1" customHeight="1" outlineLevel="1" x14ac:dyDescent="0.25">
      <c r="B24" s="167" t="s">
        <v>211</v>
      </c>
      <c r="C24" s="16"/>
      <c r="D24" s="16"/>
      <c r="E24" s="16">
        <f>-64*22000-36*23000</f>
        <v>-2236000</v>
      </c>
      <c r="F24" s="16"/>
      <c r="G24" s="16"/>
      <c r="H24" s="16"/>
      <c r="I24" s="16">
        <f>-25000*52-48*25000</f>
        <v>-2500000</v>
      </c>
      <c r="J24" s="16"/>
      <c r="K24" s="16"/>
      <c r="L24" s="16"/>
      <c r="M24" s="16"/>
      <c r="N24" s="16"/>
      <c r="O24" s="16">
        <f t="shared" si="15"/>
        <v>-4736000</v>
      </c>
    </row>
    <row r="25" spans="2:15" ht="24.75" hidden="1" customHeight="1" outlineLevel="1" x14ac:dyDescent="0.25">
      <c r="B25" s="167" t="s">
        <v>260</v>
      </c>
      <c r="D25" s="16"/>
      <c r="E25" s="16"/>
      <c r="F25" s="16"/>
      <c r="G25" s="16"/>
      <c r="H25" s="16"/>
      <c r="I25" s="16"/>
      <c r="J25" s="16"/>
      <c r="K25" s="16"/>
      <c r="L25" s="16">
        <f>-30000*100</f>
        <v>-3000000</v>
      </c>
      <c r="M25" s="16"/>
      <c r="N25" s="16"/>
      <c r="O25" s="16">
        <f t="shared" si="15"/>
        <v>-3000000</v>
      </c>
    </row>
    <row r="26" spans="2:15" ht="24.75" hidden="1" customHeight="1" outlineLevel="1" x14ac:dyDescent="0.25">
      <c r="B26" s="167" t="s">
        <v>283</v>
      </c>
      <c r="C26" s="16">
        <f>-100*20000</f>
        <v>-2000000</v>
      </c>
      <c r="D26" s="16"/>
      <c r="E26" s="16"/>
      <c r="F26" s="16"/>
      <c r="G26" s="16"/>
      <c r="H26" s="16"/>
      <c r="I26" s="16">
        <f>-100*25000</f>
        <v>-2500000</v>
      </c>
      <c r="J26" s="16"/>
      <c r="L26" s="16">
        <f>-100*27000</f>
        <v>-2700000</v>
      </c>
      <c r="M26" s="16"/>
      <c r="N26" s="16"/>
      <c r="O26" s="16">
        <f t="shared" si="15"/>
        <v>-7200000</v>
      </c>
    </row>
    <row r="27" spans="2:15" ht="24.75" hidden="1" customHeight="1" outlineLevel="1" x14ac:dyDescent="0.25">
      <c r="B27" s="167" t="s">
        <v>284</v>
      </c>
      <c r="C27" s="16"/>
      <c r="D27" s="16"/>
      <c r="E27" s="16">
        <f>-100*22000</f>
        <v>-2200000</v>
      </c>
      <c r="F27" s="16"/>
      <c r="G27" s="16"/>
      <c r="H27" s="16"/>
      <c r="I27" s="16"/>
      <c r="J27" s="16"/>
      <c r="K27" s="16"/>
      <c r="L27" s="16">
        <f>-28000*100</f>
        <v>-2800000</v>
      </c>
      <c r="M27" s="16"/>
      <c r="N27" s="16"/>
      <c r="O27" s="16">
        <f t="shared" si="15"/>
        <v>-5000000</v>
      </c>
    </row>
    <row r="28" spans="2:15" ht="24.75" hidden="1" customHeight="1" outlineLevel="1" x14ac:dyDescent="0.25">
      <c r="B28" s="167" t="s">
        <v>220</v>
      </c>
      <c r="C28" s="16"/>
      <c r="D28" s="16"/>
      <c r="E28" s="16"/>
      <c r="F28" s="16"/>
      <c r="G28" s="16"/>
      <c r="H28" s="16">
        <f>-64*25000-36*26000</f>
        <v>-2536000</v>
      </c>
      <c r="I28" s="16"/>
      <c r="J28" s="16"/>
      <c r="K28" s="16"/>
      <c r="L28" s="16"/>
      <c r="M28" s="16"/>
      <c r="N28" s="16"/>
      <c r="O28" s="16">
        <f t="shared" si="15"/>
        <v>-2536000</v>
      </c>
    </row>
    <row r="29" spans="2:15" ht="24.75" hidden="1" customHeight="1" outlineLevel="1" x14ac:dyDescent="0.25">
      <c r="B29" s="167" t="s">
        <v>214</v>
      </c>
      <c r="C29" s="16"/>
      <c r="D29" s="16"/>
      <c r="E29" s="16"/>
      <c r="F29" s="16"/>
      <c r="G29" s="16">
        <f>-36*23000</f>
        <v>-828000</v>
      </c>
      <c r="H29" s="16"/>
      <c r="I29" s="16"/>
      <c r="J29" s="16"/>
      <c r="K29" s="16">
        <f>-26000*36</f>
        <v>-936000</v>
      </c>
      <c r="L29" s="16"/>
      <c r="M29" s="16"/>
      <c r="N29" s="16"/>
      <c r="O29" s="16">
        <f t="shared" si="15"/>
        <v>-1764000</v>
      </c>
    </row>
    <row r="30" spans="2:15" ht="24.75" hidden="1" customHeight="1" outlineLevel="1" x14ac:dyDescent="0.25">
      <c r="B30" s="167" t="s">
        <v>218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>
        <f t="shared" si="15"/>
        <v>0</v>
      </c>
    </row>
    <row r="31" spans="2:15" ht="24.75" hidden="1" customHeight="1" outlineLevel="1" x14ac:dyDescent="0.25">
      <c r="B31" s="167" t="s">
        <v>219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>
        <f t="shared" si="15"/>
        <v>0</v>
      </c>
    </row>
    <row r="32" spans="2:15" ht="24" hidden="1" customHeight="1" outlineLevel="1" x14ac:dyDescent="0.25">
      <c r="B32" s="200" t="s">
        <v>221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>
        <f t="shared" si="15"/>
        <v>0</v>
      </c>
    </row>
    <row r="33" spans="1:15" ht="24.75" hidden="1" customHeight="1" outlineLevel="1" x14ac:dyDescent="0.25">
      <c r="B33" s="200" t="s">
        <v>222</v>
      </c>
      <c r="C33" s="16"/>
      <c r="D33" s="16"/>
      <c r="E33" s="16"/>
      <c r="F33" s="16"/>
      <c r="G33" s="16"/>
      <c r="H33" s="16">
        <f>-23000*60</f>
        <v>-1380000</v>
      </c>
      <c r="I33" s="16"/>
      <c r="J33" s="16"/>
      <c r="K33" s="16"/>
      <c r="L33" s="16"/>
      <c r="M33" s="16"/>
      <c r="N33" s="16"/>
      <c r="O33" s="16">
        <f t="shared" si="15"/>
        <v>-1380000</v>
      </c>
    </row>
    <row r="34" spans="1:15" ht="24.75" hidden="1" customHeight="1" outlineLevel="1" x14ac:dyDescent="0.25">
      <c r="B34" s="200" t="s">
        <v>223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>
        <f t="shared" si="15"/>
        <v>0</v>
      </c>
    </row>
    <row r="35" spans="1:15" ht="24.75" hidden="1" customHeight="1" outlineLevel="1" x14ac:dyDescent="0.25">
      <c r="B35" s="75" t="s">
        <v>224</v>
      </c>
      <c r="C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>
        <f t="shared" si="15"/>
        <v>0</v>
      </c>
    </row>
    <row r="36" spans="1:15" ht="24.75" hidden="1" customHeight="1" outlineLevel="1" x14ac:dyDescent="0.25">
      <c r="B36" s="75" t="s">
        <v>234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>
        <f t="shared" si="15"/>
        <v>0</v>
      </c>
    </row>
    <row r="37" spans="1:15" ht="24.75" hidden="1" customHeight="1" outlineLevel="1" x14ac:dyDescent="0.25">
      <c r="B37" s="75" t="s">
        <v>235</v>
      </c>
      <c r="D37" s="16">
        <f>-20*25000</f>
        <v>-500000</v>
      </c>
      <c r="F37" s="16"/>
      <c r="G37" s="16"/>
      <c r="H37" s="16"/>
      <c r="I37" s="16"/>
      <c r="J37" s="16"/>
      <c r="K37" s="16"/>
      <c r="L37" s="16"/>
      <c r="M37" s="16"/>
      <c r="N37" s="16"/>
      <c r="O37" s="16">
        <f t="shared" si="15"/>
        <v>-500000</v>
      </c>
    </row>
    <row r="38" spans="1:15" ht="24.75" hidden="1" customHeight="1" outlineLevel="1" x14ac:dyDescent="0.25">
      <c r="B38" s="75" t="s">
        <v>239</v>
      </c>
      <c r="C38" s="16"/>
      <c r="D38" s="16">
        <f>-16*20000</f>
        <v>-320000</v>
      </c>
      <c r="E38" s="16"/>
      <c r="F38" s="16"/>
      <c r="G38" s="16"/>
      <c r="H38" s="16"/>
      <c r="I38" s="16"/>
      <c r="J38" s="16"/>
      <c r="K38" s="16">
        <f>-16*25000</f>
        <v>-400000</v>
      </c>
      <c r="L38" s="16"/>
      <c r="M38" s="16"/>
      <c r="N38" s="16"/>
      <c r="O38" s="16">
        <f t="shared" si="15"/>
        <v>-720000</v>
      </c>
    </row>
    <row r="39" spans="1:15" ht="24.75" hidden="1" customHeight="1" outlineLevel="1" x14ac:dyDescent="0.25">
      <c r="B39" s="75" t="s">
        <v>241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>
        <f t="shared" si="15"/>
        <v>0</v>
      </c>
    </row>
    <row r="40" spans="1:15" ht="24.75" hidden="1" customHeight="1" outlineLevel="1" x14ac:dyDescent="0.25">
      <c r="B40" s="75" t="s">
        <v>250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>
        <f t="shared" si="15"/>
        <v>0</v>
      </c>
    </row>
    <row r="41" spans="1:15" ht="24.75" hidden="1" customHeight="1" outlineLevel="1" x14ac:dyDescent="0.25">
      <c r="A41" s="25"/>
      <c r="B41" s="75" t="str">
        <f>+'SAP '!B41</f>
        <v>ACTIVATE</v>
      </c>
      <c r="C41" s="16"/>
      <c r="D41" s="16"/>
      <c r="E41" s="16">
        <f>-30*13*1150</f>
        <v>-448500</v>
      </c>
      <c r="F41" s="16"/>
      <c r="G41" s="16"/>
      <c r="H41" s="16"/>
      <c r="I41" s="16"/>
      <c r="K41" s="16"/>
      <c r="L41" s="16"/>
      <c r="M41" s="177"/>
      <c r="N41" s="16"/>
      <c r="O41" s="16">
        <f t="shared" si="15"/>
        <v>-448500</v>
      </c>
    </row>
    <row r="42" spans="1:15" ht="24.75" hidden="1" customHeight="1" outlineLevel="1" x14ac:dyDescent="0.25">
      <c r="A42" s="8">
        <v>1200</v>
      </c>
      <c r="B42" s="75" t="str">
        <f>+'SAP '!B42</f>
        <v>EWM</v>
      </c>
      <c r="C42" s="16"/>
      <c r="D42" s="16"/>
      <c r="E42" s="16"/>
      <c r="F42" s="16"/>
      <c r="G42" s="16">
        <f>-2000*A42</f>
        <v>-2400000</v>
      </c>
      <c r="H42" s="16"/>
      <c r="I42" s="16"/>
      <c r="J42" s="16"/>
      <c r="K42" s="16"/>
      <c r="L42" s="16"/>
      <c r="M42" s="16"/>
      <c r="N42" s="16"/>
      <c r="O42" s="16">
        <f t="shared" si="15"/>
        <v>-2400000</v>
      </c>
    </row>
    <row r="43" spans="1:15" ht="24.75" hidden="1" customHeight="1" outlineLevel="1" x14ac:dyDescent="0.25">
      <c r="B43" s="7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>
        <f t="shared" si="15"/>
        <v>0</v>
      </c>
    </row>
    <row r="44" spans="1:15" ht="24.75" hidden="1" customHeight="1" outlineLevel="1" x14ac:dyDescent="0.25">
      <c r="B44" s="7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>
        <f t="shared" si="15"/>
        <v>0</v>
      </c>
    </row>
    <row r="45" spans="1:15" ht="24.75" hidden="1" customHeight="1" outlineLevel="1" x14ac:dyDescent="0.25">
      <c r="B45" s="7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>
        <f t="shared" si="15"/>
        <v>0</v>
      </c>
    </row>
    <row r="46" spans="1:15" ht="24.75" hidden="1" customHeight="1" outlineLevel="1" x14ac:dyDescent="0.25">
      <c r="B46" s="167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>
        <f t="shared" si="15"/>
        <v>0</v>
      </c>
    </row>
    <row r="47" spans="1:15" ht="24.75" hidden="1" customHeight="1" outlineLevel="1" x14ac:dyDescent="0.25">
      <c r="B47" s="167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>
        <f t="shared" si="15"/>
        <v>0</v>
      </c>
    </row>
    <row r="48" spans="1:15" ht="24.75" hidden="1" customHeight="1" outlineLevel="1" x14ac:dyDescent="0.25">
      <c r="B48" s="167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>
        <f t="shared" si="15"/>
        <v>0</v>
      </c>
    </row>
    <row r="49" spans="1:15" ht="24.75" hidden="1" customHeight="1" outlineLevel="1" x14ac:dyDescent="0.25">
      <c r="B49" s="167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>
        <f t="shared" si="15"/>
        <v>0</v>
      </c>
    </row>
    <row r="50" spans="1:15" ht="24.75" hidden="1" customHeight="1" outlineLevel="1" x14ac:dyDescent="0.25">
      <c r="B50" s="167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>
        <f t="shared" si="15"/>
        <v>0</v>
      </c>
    </row>
    <row r="51" spans="1:15" ht="24.75" hidden="1" customHeight="1" outlineLevel="1" x14ac:dyDescent="0.25">
      <c r="B51" s="167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>
        <f t="shared" si="15"/>
        <v>0</v>
      </c>
    </row>
    <row r="52" spans="1:15" ht="24.75" hidden="1" customHeight="1" outlineLevel="1" x14ac:dyDescent="0.25">
      <c r="B52" s="167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>
        <f t="shared" si="15"/>
        <v>0</v>
      </c>
    </row>
    <row r="53" spans="1:15" ht="24.75" customHeight="1" x14ac:dyDescent="0.25">
      <c r="B53" s="167"/>
      <c r="C53" s="16"/>
      <c r="I53" s="16"/>
      <c r="O53" s="16">
        <f t="shared" si="15"/>
        <v>0</v>
      </c>
    </row>
    <row r="54" spans="1:15" ht="32.25" customHeight="1" x14ac:dyDescent="0.25">
      <c r="B54" s="167"/>
      <c r="C54" s="16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6">
        <f t="shared" si="15"/>
        <v>0</v>
      </c>
    </row>
    <row r="55" spans="1:15" ht="30.75" customHeight="1" x14ac:dyDescent="0.25">
      <c r="B55" s="97" t="s">
        <v>138</v>
      </c>
      <c r="C55" s="28">
        <f t="shared" ref="C55:N55" si="16">+C3</f>
        <v>45505</v>
      </c>
      <c r="D55" s="28">
        <f t="shared" si="16"/>
        <v>45536</v>
      </c>
      <c r="E55" s="28">
        <f t="shared" si="16"/>
        <v>45566</v>
      </c>
      <c r="F55" s="28">
        <f t="shared" si="16"/>
        <v>45597</v>
      </c>
      <c r="G55" s="28">
        <f t="shared" si="16"/>
        <v>45627</v>
      </c>
      <c r="H55" s="28">
        <f t="shared" si="16"/>
        <v>45658</v>
      </c>
      <c r="I55" s="28">
        <f t="shared" si="16"/>
        <v>45689</v>
      </c>
      <c r="J55" s="28">
        <f t="shared" si="16"/>
        <v>45717</v>
      </c>
      <c r="K55" s="28">
        <f t="shared" si="16"/>
        <v>45748</v>
      </c>
      <c r="L55" s="28">
        <f t="shared" si="16"/>
        <v>45778</v>
      </c>
      <c r="M55" s="28">
        <f t="shared" si="16"/>
        <v>45809</v>
      </c>
      <c r="N55" s="28">
        <f t="shared" si="16"/>
        <v>45839</v>
      </c>
      <c r="O55" s="16">
        <f t="shared" si="15"/>
        <v>548069</v>
      </c>
    </row>
    <row r="56" spans="1:15" ht="36" customHeight="1" collapsed="1" thickBot="1" x14ac:dyDescent="0.3">
      <c r="B56" s="36" t="s">
        <v>191</v>
      </c>
      <c r="C56" s="95">
        <f>SUM(C57:C71)</f>
        <v>-1818482.4</v>
      </c>
      <c r="D56" s="95">
        <f t="shared" ref="D56:N56" si="17">SUM(D57:D71)</f>
        <v>0</v>
      </c>
      <c r="E56" s="95">
        <f t="shared" si="17"/>
        <v>0</v>
      </c>
      <c r="F56" s="95">
        <f t="shared" si="17"/>
        <v>0</v>
      </c>
      <c r="G56" s="95">
        <f t="shared" si="17"/>
        <v>-996811.2</v>
      </c>
      <c r="H56" s="95">
        <f t="shared" si="17"/>
        <v>0</v>
      </c>
      <c r="I56" s="95">
        <f t="shared" si="17"/>
        <v>-2964332.7</v>
      </c>
      <c r="J56" s="95">
        <f t="shared" si="17"/>
        <v>-999299.7</v>
      </c>
      <c r="K56" s="95">
        <f t="shared" si="17"/>
        <v>-1005127.2</v>
      </c>
      <c r="L56" s="95">
        <f t="shared" si="17"/>
        <v>-1088190.6000000001</v>
      </c>
      <c r="M56" s="95">
        <f t="shared" si="17"/>
        <v>0</v>
      </c>
      <c r="N56" s="95">
        <f t="shared" si="17"/>
        <v>0</v>
      </c>
      <c r="O56" s="16">
        <f t="shared" si="15"/>
        <v>-8872243.8000000007</v>
      </c>
    </row>
    <row r="57" spans="1:15" ht="27.75" hidden="1" customHeight="1" outlineLevel="1" x14ac:dyDescent="0.25">
      <c r="A57" s="25">
        <v>949.5</v>
      </c>
      <c r="B57" s="75" t="str">
        <f>+'SAP '!B53</f>
        <v>Boehringer Inheilm LH x 2 26/08/2024</v>
      </c>
      <c r="C57" s="16">
        <f>-1368*0.7*2*A57</f>
        <v>-1818482.4</v>
      </c>
      <c r="D57" s="179"/>
      <c r="O57" s="16">
        <f t="shared" si="15"/>
        <v>-1818482.4</v>
      </c>
    </row>
    <row r="58" spans="1:15" ht="27.75" hidden="1" customHeight="1" outlineLevel="1" x14ac:dyDescent="0.25">
      <c r="A58" s="25">
        <v>1023</v>
      </c>
      <c r="B58" s="75" t="str">
        <f>+'SAP '!B54</f>
        <v>Boehringer LH (Santiago Chereque)</v>
      </c>
      <c r="C58" s="179"/>
      <c r="D58" s="179"/>
      <c r="E58" s="179"/>
      <c r="G58" s="179">
        <f>-1392*0.7*A58</f>
        <v>-996811.2</v>
      </c>
      <c r="O58" s="16">
        <f t="shared" si="15"/>
        <v>-996811.2</v>
      </c>
    </row>
    <row r="59" spans="1:15" ht="27.75" hidden="1" customHeight="1" outlineLevel="1" x14ac:dyDescent="0.25">
      <c r="A59" s="180">
        <v>1059.75</v>
      </c>
      <c r="B59" s="75" t="str">
        <f>+'SAP '!B55</f>
        <v>Gabriel Sagripanti LH 14/02/2025</v>
      </c>
      <c r="E59" s="179"/>
      <c r="H59" s="179"/>
      <c r="I59" s="179">
        <f>-1332*0.7*A59</f>
        <v>-988110.9</v>
      </c>
      <c r="O59" s="16">
        <f t="shared" si="15"/>
        <v>-988110.9</v>
      </c>
    </row>
    <row r="60" spans="1:15" ht="27.75" hidden="1" customHeight="1" outlineLevel="1" x14ac:dyDescent="0.25">
      <c r="A60" s="180">
        <v>1059.75</v>
      </c>
      <c r="B60" s="75" t="str">
        <f>+'SAP '!B56</f>
        <v>Juan Carta LH 18/02/2025</v>
      </c>
      <c r="D60" s="179"/>
      <c r="E60" s="179"/>
      <c r="F60" s="179"/>
      <c r="H60" s="179"/>
      <c r="I60" s="179">
        <f>-1332*0.7*A60</f>
        <v>-988110.9</v>
      </c>
      <c r="O60" s="16">
        <f t="shared" si="15"/>
        <v>-988110.9</v>
      </c>
    </row>
    <row r="61" spans="1:15" ht="27.75" hidden="1" customHeight="1" outlineLevel="1" x14ac:dyDescent="0.25">
      <c r="A61" s="180">
        <v>1059.75</v>
      </c>
      <c r="B61" s="75" t="str">
        <f>+'SAP '!B57</f>
        <v>Rosina Fernandez LH 19/02/2025</v>
      </c>
      <c r="E61" s="179"/>
      <c r="I61" s="179">
        <f>-1332*0.7*A61</f>
        <v>-988110.9</v>
      </c>
      <c r="J61" s="179"/>
      <c r="K61" s="16"/>
      <c r="N61" s="179"/>
      <c r="O61" s="16">
        <f t="shared" si="15"/>
        <v>-988110.9</v>
      </c>
    </row>
    <row r="62" spans="1:15" ht="27.75" hidden="1" customHeight="1" outlineLevel="1" x14ac:dyDescent="0.25">
      <c r="A62" s="180">
        <v>1071.75</v>
      </c>
      <c r="B62" s="75" t="str">
        <f>+'SAP '!B58</f>
        <v>Rigoberto Gallardo Azuaje LH 26/03/2025</v>
      </c>
      <c r="E62" s="179"/>
      <c r="J62" s="179">
        <f>-1332*0.7*A62</f>
        <v>-999299.7</v>
      </c>
      <c r="M62" s="179"/>
      <c r="N62" s="179"/>
      <c r="O62" s="16">
        <f t="shared" si="15"/>
        <v>-999299.7</v>
      </c>
    </row>
    <row r="63" spans="1:15" s="216" customFormat="1" ht="27.75" hidden="1" customHeight="1" outlineLevel="1" x14ac:dyDescent="0.25">
      <c r="A63" s="180">
        <v>1078</v>
      </c>
      <c r="B63" s="75" t="str">
        <f>+'SAP '!B59</f>
        <v>KUATECC PY LH 04/2025</v>
      </c>
      <c r="J63" s="180"/>
      <c r="K63" s="179">
        <f>-1332*0.7*A63</f>
        <v>-1005127.2</v>
      </c>
      <c r="O63" s="16">
        <f t="shared" si="15"/>
        <v>-1005127.2</v>
      </c>
    </row>
    <row r="64" spans="1:15" ht="27.75" hidden="1" customHeight="1" outlineLevel="1" x14ac:dyDescent="0.25">
      <c r="A64" s="180">
        <v>1188.5</v>
      </c>
      <c r="B64" s="75" t="str">
        <f>+'SAP '!B60</f>
        <v>Sebastián Degano LH 05/2025</v>
      </c>
      <c r="G64" s="179"/>
      <c r="L64" s="179">
        <f>-915.6*A64</f>
        <v>-1088190.6000000001</v>
      </c>
      <c r="N64" s="179"/>
      <c r="O64" s="16">
        <f t="shared" si="15"/>
        <v>-1088190.6000000001</v>
      </c>
    </row>
    <row r="65" spans="1:15" ht="27.75" hidden="1" customHeight="1" outlineLevel="1" x14ac:dyDescent="0.25">
      <c r="A65" s="25"/>
      <c r="B65" s="75"/>
      <c r="G65" s="179"/>
      <c r="O65" s="16">
        <f t="shared" si="15"/>
        <v>0</v>
      </c>
    </row>
    <row r="66" spans="1:15" ht="27.75" hidden="1" customHeight="1" outlineLevel="1" x14ac:dyDescent="0.25">
      <c r="A66" s="25"/>
      <c r="B66" s="75"/>
      <c r="J66" s="179"/>
      <c r="O66" s="16">
        <f t="shared" si="15"/>
        <v>0</v>
      </c>
    </row>
    <row r="67" spans="1:15" ht="27.75" hidden="1" customHeight="1" outlineLevel="1" x14ac:dyDescent="0.25">
      <c r="A67" s="25"/>
      <c r="B67" s="75"/>
      <c r="J67" s="179"/>
      <c r="O67" s="16">
        <f t="shared" si="15"/>
        <v>0</v>
      </c>
    </row>
    <row r="68" spans="1:15" ht="27.75" hidden="1" customHeight="1" outlineLevel="1" x14ac:dyDescent="0.25">
      <c r="A68" s="25"/>
      <c r="B68" s="75"/>
      <c r="J68" s="179"/>
      <c r="L68" s="179"/>
      <c r="O68" s="16">
        <f t="shared" si="15"/>
        <v>0</v>
      </c>
    </row>
    <row r="69" spans="1:15" ht="27.75" hidden="1" customHeight="1" outlineLevel="1" x14ac:dyDescent="0.25">
      <c r="A69" s="25"/>
      <c r="B69" s="75"/>
      <c r="J69" s="179"/>
      <c r="L69" s="179"/>
      <c r="M69" s="179"/>
      <c r="O69" s="16">
        <f t="shared" si="15"/>
        <v>0</v>
      </c>
    </row>
    <row r="70" spans="1:15" ht="27.75" hidden="1" customHeight="1" outlineLevel="1" x14ac:dyDescent="0.25">
      <c r="A70" s="25"/>
      <c r="B70" s="75"/>
      <c r="J70" s="179"/>
      <c r="M70" s="179"/>
      <c r="O70" s="16">
        <f t="shared" si="15"/>
        <v>0</v>
      </c>
    </row>
    <row r="71" spans="1:15" ht="27.75" hidden="1" customHeight="1" outlineLevel="1" x14ac:dyDescent="0.25">
      <c r="A71" s="25"/>
      <c r="B71" s="75"/>
      <c r="J71" s="179"/>
      <c r="O71" s="16">
        <f t="shared" si="15"/>
        <v>0</v>
      </c>
    </row>
    <row r="72" spans="1:15" ht="24.75" customHeight="1" x14ac:dyDescent="0.25">
      <c r="B72" s="64"/>
      <c r="O72" s="18"/>
    </row>
    <row r="73" spans="1:15" ht="24" customHeight="1" x14ac:dyDescent="0.25">
      <c r="B73" s="36"/>
      <c r="C73" s="28">
        <f t="shared" ref="C73:O73" si="18">C3</f>
        <v>45505</v>
      </c>
      <c r="D73" s="28">
        <f t="shared" si="18"/>
        <v>45536</v>
      </c>
      <c r="E73" s="28">
        <f t="shared" si="18"/>
        <v>45566</v>
      </c>
      <c r="F73" s="28">
        <f t="shared" si="18"/>
        <v>45597</v>
      </c>
      <c r="G73" s="28">
        <f t="shared" si="18"/>
        <v>45627</v>
      </c>
      <c r="H73" s="28">
        <f t="shared" si="18"/>
        <v>45658</v>
      </c>
      <c r="I73" s="28">
        <f t="shared" si="18"/>
        <v>45689</v>
      </c>
      <c r="J73" s="28">
        <f t="shared" si="18"/>
        <v>45717</v>
      </c>
      <c r="K73" s="28">
        <f t="shared" si="18"/>
        <v>45748</v>
      </c>
      <c r="L73" s="28">
        <f t="shared" si="18"/>
        <v>45778</v>
      </c>
      <c r="M73" s="28">
        <f t="shared" si="18"/>
        <v>45809</v>
      </c>
      <c r="N73" s="28">
        <f t="shared" si="18"/>
        <v>45839</v>
      </c>
      <c r="O73" s="89" t="str">
        <f t="shared" si="18"/>
        <v>TOTAL Y20</v>
      </c>
    </row>
    <row r="74" spans="1:15" ht="24" customHeight="1" collapsed="1" thickBot="1" x14ac:dyDescent="0.3">
      <c r="B74" s="36" t="s">
        <v>131</v>
      </c>
      <c r="C74" s="95">
        <f>SUM(C75:C85)</f>
        <v>0</v>
      </c>
      <c r="D74" s="95">
        <f t="shared" ref="D74:N74" si="19">SUM(D75:D85)</f>
        <v>-583940</v>
      </c>
      <c r="E74" s="95">
        <f t="shared" si="19"/>
        <v>-659069.6</v>
      </c>
      <c r="F74" s="95">
        <f t="shared" si="19"/>
        <v>0</v>
      </c>
      <c r="G74" s="95">
        <f t="shared" si="19"/>
        <v>0</v>
      </c>
      <c r="H74" s="95">
        <f t="shared" si="19"/>
        <v>0</v>
      </c>
      <c r="I74" s="95">
        <f t="shared" si="19"/>
        <v>0</v>
      </c>
      <c r="J74" s="95">
        <f t="shared" si="19"/>
        <v>0</v>
      </c>
      <c r="K74" s="95">
        <f t="shared" si="19"/>
        <v>0</v>
      </c>
      <c r="L74" s="95">
        <f t="shared" si="19"/>
        <v>0</v>
      </c>
      <c r="M74" s="95">
        <f t="shared" si="19"/>
        <v>0</v>
      </c>
      <c r="N74" s="95">
        <f t="shared" si="19"/>
        <v>0</v>
      </c>
      <c r="O74" s="96">
        <f t="shared" ref="O74:O85" si="20">SUM(C74:N74)</f>
        <v>-1243009.6000000001</v>
      </c>
    </row>
    <row r="75" spans="1:15" ht="24" hidden="1" customHeight="1" outlineLevel="1" x14ac:dyDescent="0.25">
      <c r="A75" s="229">
        <v>970</v>
      </c>
      <c r="B75" s="75" t="str">
        <f>+'SAP '!B71</f>
        <v>J.Ayala TADM55 30/09/2024</v>
      </c>
      <c r="C75" s="16"/>
      <c r="D75" s="230">
        <f>-860*0.7*A75</f>
        <v>-583940</v>
      </c>
      <c r="E75" s="179"/>
      <c r="O75" s="16">
        <f t="shared" si="20"/>
        <v>-583940</v>
      </c>
    </row>
    <row r="76" spans="1:15" ht="24" hidden="1" customHeight="1" outlineLevel="1" x14ac:dyDescent="0.25">
      <c r="A76" s="180">
        <v>989</v>
      </c>
      <c r="B76" s="75" t="str">
        <f>+'SAP '!B72</f>
        <v>Genneia GRC100 30/10/2024</v>
      </c>
      <c r="C76" s="16"/>
      <c r="D76" s="179"/>
      <c r="E76" s="179">
        <f>-952*0.7*A76</f>
        <v>-659069.6</v>
      </c>
      <c r="O76" s="16">
        <f t="shared" si="20"/>
        <v>-659069.6</v>
      </c>
    </row>
    <row r="77" spans="1:15" ht="24" hidden="1" customHeight="1" outlineLevel="1" x14ac:dyDescent="0.25">
      <c r="A77" s="180"/>
      <c r="B77" s="75"/>
      <c r="E77" s="179"/>
      <c r="F77" s="179"/>
      <c r="O77" s="16">
        <f t="shared" si="20"/>
        <v>0</v>
      </c>
    </row>
    <row r="78" spans="1:15" ht="24" hidden="1" customHeight="1" outlineLevel="1" x14ac:dyDescent="0.25">
      <c r="A78" s="180"/>
      <c r="B78" s="75"/>
      <c r="E78" s="196"/>
      <c r="F78" s="179"/>
      <c r="H78" s="179"/>
      <c r="O78" s="16">
        <f t="shared" si="20"/>
        <v>0</v>
      </c>
    </row>
    <row r="79" spans="1:15" ht="24" hidden="1" customHeight="1" outlineLevel="1" x14ac:dyDescent="0.25">
      <c r="A79" s="180"/>
      <c r="B79" s="75"/>
      <c r="G79" s="179"/>
      <c r="I79" s="179"/>
      <c r="M79" s="179"/>
      <c r="O79" s="16">
        <f t="shared" si="20"/>
        <v>0</v>
      </c>
    </row>
    <row r="80" spans="1:15" ht="24" hidden="1" customHeight="1" outlineLevel="1" x14ac:dyDescent="0.25">
      <c r="A80" s="180"/>
      <c r="B80" s="75"/>
      <c r="G80" s="179"/>
      <c r="I80" s="179"/>
      <c r="N80" s="177"/>
      <c r="O80" s="16">
        <f t="shared" si="20"/>
        <v>0</v>
      </c>
    </row>
    <row r="81" spans="1:15" ht="24" hidden="1" customHeight="1" outlineLevel="1" x14ac:dyDescent="0.25">
      <c r="A81" s="180"/>
      <c r="B81" s="75"/>
      <c r="G81" s="179"/>
      <c r="J81" s="179"/>
      <c r="K81" s="179"/>
      <c r="N81" s="177"/>
      <c r="O81" s="16">
        <f t="shared" si="20"/>
        <v>0</v>
      </c>
    </row>
    <row r="82" spans="1:15" ht="24" hidden="1" customHeight="1" outlineLevel="1" x14ac:dyDescent="0.25">
      <c r="A82" s="180"/>
      <c r="B82" s="75"/>
      <c r="J82" s="179"/>
      <c r="L82" s="179"/>
      <c r="N82" s="179"/>
      <c r="O82" s="16">
        <f t="shared" si="20"/>
        <v>0</v>
      </c>
    </row>
    <row r="83" spans="1:15" ht="24" hidden="1" customHeight="1" outlineLevel="1" x14ac:dyDescent="0.25">
      <c r="A83" s="216"/>
      <c r="B83" s="75"/>
      <c r="J83" s="179"/>
      <c r="K83" s="196"/>
      <c r="M83" s="179"/>
      <c r="N83" s="179"/>
      <c r="O83" s="16">
        <f t="shared" si="20"/>
        <v>0</v>
      </c>
    </row>
    <row r="84" spans="1:15" ht="24" hidden="1" customHeight="1" outlineLevel="1" x14ac:dyDescent="0.25">
      <c r="A84" s="25"/>
      <c r="B84" s="75"/>
      <c r="J84" s="179"/>
      <c r="N84" s="179"/>
      <c r="O84" s="16">
        <f t="shared" si="20"/>
        <v>0</v>
      </c>
    </row>
    <row r="85" spans="1:15" ht="24" hidden="1" customHeight="1" outlineLevel="1" x14ac:dyDescent="0.25">
      <c r="A85" s="181"/>
      <c r="N85" s="177"/>
      <c r="O85" s="16">
        <f t="shared" si="20"/>
        <v>0</v>
      </c>
    </row>
    <row r="86" spans="1:15" ht="10.5" customHeight="1" x14ac:dyDescent="0.25">
      <c r="B86" s="36"/>
      <c r="C86" s="26"/>
      <c r="O86" s="56"/>
    </row>
    <row r="87" spans="1:15" ht="8.25" customHeight="1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</row>
    <row r="88" spans="1:15" ht="17.25" customHeight="1" x14ac:dyDescent="0.25"/>
    <row r="89" spans="1:15" ht="24.75" customHeight="1" x14ac:dyDescent="0.25">
      <c r="B89" s="65"/>
    </row>
    <row r="90" spans="1:15" ht="19.5" customHeight="1" x14ac:dyDescent="0.25">
      <c r="B90" s="36"/>
      <c r="C90" s="23"/>
      <c r="D90" s="23"/>
      <c r="E90" s="23"/>
      <c r="F90" s="23"/>
    </row>
    <row r="91" spans="1:15" ht="33" customHeight="1" x14ac:dyDescent="0.25">
      <c r="B91" s="97" t="s">
        <v>120</v>
      </c>
      <c r="C91" s="28">
        <f t="shared" ref="C91:O91" si="21">+C3</f>
        <v>45505</v>
      </c>
      <c r="D91" s="28">
        <f t="shared" si="21"/>
        <v>45536</v>
      </c>
      <c r="E91" s="28">
        <f t="shared" si="21"/>
        <v>45566</v>
      </c>
      <c r="F91" s="28">
        <f t="shared" si="21"/>
        <v>45597</v>
      </c>
      <c r="G91" s="28">
        <f t="shared" si="21"/>
        <v>45627</v>
      </c>
      <c r="H91" s="28">
        <f t="shared" si="21"/>
        <v>45658</v>
      </c>
      <c r="I91" s="28">
        <f t="shared" si="21"/>
        <v>45689</v>
      </c>
      <c r="J91" s="28">
        <f t="shared" si="21"/>
        <v>45717</v>
      </c>
      <c r="K91" s="28">
        <f t="shared" si="21"/>
        <v>45748</v>
      </c>
      <c r="L91" s="28">
        <f t="shared" si="21"/>
        <v>45778</v>
      </c>
      <c r="M91" s="28">
        <f t="shared" si="21"/>
        <v>45809</v>
      </c>
      <c r="N91" s="28">
        <f t="shared" si="21"/>
        <v>45839</v>
      </c>
      <c r="O91" s="89" t="str">
        <f t="shared" si="21"/>
        <v>TOTAL Y20</v>
      </c>
    </row>
    <row r="92" spans="1:15" ht="33" customHeight="1" collapsed="1" thickBot="1" x14ac:dyDescent="0.3">
      <c r="B92" s="36" t="s">
        <v>194</v>
      </c>
      <c r="C92" s="96">
        <f t="shared" ref="C92:N92" si="22">SUM(C93:C115)</f>
        <v>-1200000</v>
      </c>
      <c r="D92" s="96">
        <f t="shared" si="22"/>
        <v>-1260000</v>
      </c>
      <c r="E92" s="96">
        <f t="shared" si="22"/>
        <v>-1740000</v>
      </c>
      <c r="F92" s="96">
        <f t="shared" si="22"/>
        <v>-3980955.2</v>
      </c>
      <c r="G92" s="96">
        <f t="shared" si="22"/>
        <v>-1400000</v>
      </c>
      <c r="H92" s="96">
        <f t="shared" si="22"/>
        <v>-600000</v>
      </c>
      <c r="I92" s="96">
        <f t="shared" si="22"/>
        <v>-6060000</v>
      </c>
      <c r="J92" s="96">
        <f t="shared" si="22"/>
        <v>-5370000</v>
      </c>
      <c r="K92" s="96">
        <f t="shared" si="22"/>
        <v>-4270254.4000000004</v>
      </c>
      <c r="L92" s="96">
        <f t="shared" si="22"/>
        <v>-5400000</v>
      </c>
      <c r="M92" s="96">
        <f t="shared" si="22"/>
        <v>-3540000</v>
      </c>
      <c r="N92" s="96">
        <f t="shared" si="22"/>
        <v>-1250000</v>
      </c>
      <c r="O92" s="96">
        <f>SUM(C92:N92)</f>
        <v>-36071209.600000001</v>
      </c>
    </row>
    <row r="93" spans="1:15" ht="20.25" hidden="1" customHeight="1" outlineLevel="1" x14ac:dyDescent="0.25">
      <c r="B93" s="75" t="str">
        <f>+'SAP '!B88</f>
        <v>Citrusvil SAP Varios 08&amp;09/2024</v>
      </c>
      <c r="C93" s="16">
        <f>-24*25000-24*25000</f>
        <v>-1200000</v>
      </c>
      <c r="E93" s="16">
        <f>-24*25000-24*25000-15*30*1200</f>
        <v>-1740000</v>
      </c>
      <c r="F93" s="16"/>
      <c r="G93" s="16"/>
      <c r="H93" s="16">
        <f>-24*25000</f>
        <v>-600000</v>
      </c>
      <c r="O93" s="16">
        <f t="shared" ref="O93:O120" si="23">SUM(C93:N93)</f>
        <v>-3540000</v>
      </c>
    </row>
    <row r="94" spans="1:15" ht="20.25" hidden="1" customHeight="1" outlineLevel="1" x14ac:dyDescent="0.25">
      <c r="A94" s="178"/>
      <c r="B94" s="75" t="str">
        <f>+'SAP '!B89</f>
        <v>EDASA - Coca Cola EWM 09/2024</v>
      </c>
      <c r="C94" s="16"/>
      <c r="D94" s="16">
        <v>0</v>
      </c>
      <c r="E94" s="16"/>
      <c r="G94" s="16"/>
      <c r="O94" s="16">
        <f t="shared" si="23"/>
        <v>0</v>
      </c>
    </row>
    <row r="95" spans="1:15" ht="20.25" hidden="1" customHeight="1" outlineLevel="1" x14ac:dyDescent="0.25">
      <c r="A95" s="8">
        <v>1050</v>
      </c>
      <c r="B95" s="75" t="str">
        <f>+'SAP '!B90</f>
        <v>EDASA - Coca Cola Datos Maestros  09/2025</v>
      </c>
      <c r="D95" s="16">
        <f>-1200*A95</f>
        <v>-1260000</v>
      </c>
      <c r="E95" s="16"/>
      <c r="F95" s="16"/>
      <c r="O95" s="16">
        <f t="shared" si="23"/>
        <v>-1260000</v>
      </c>
    </row>
    <row r="96" spans="1:15" ht="20.25" hidden="1" customHeight="1" outlineLevel="1" x14ac:dyDescent="0.25">
      <c r="B96" s="75" t="str">
        <f>+'SAP '!B91</f>
        <v>U.Blas PASCAL/DICSYS SAP BTP 19/11/2024</v>
      </c>
      <c r="E96" s="16"/>
      <c r="F96" s="16">
        <f>-2800000*0.5</f>
        <v>-1400000</v>
      </c>
      <c r="G96" s="16">
        <f>-2800000*0.5</f>
        <v>-1400000</v>
      </c>
      <c r="O96" s="16">
        <f t="shared" si="23"/>
        <v>-2800000</v>
      </c>
    </row>
    <row r="97" spans="1:15" ht="20.25" hidden="1" customHeight="1" outlineLevel="1" x14ac:dyDescent="0.25">
      <c r="A97" s="8">
        <v>1016.5</v>
      </c>
      <c r="B97" s="75" t="str">
        <f>+'SAP '!B92</f>
        <v>UNIMACO LH x 2 + Curso UX100 05/12/2024</v>
      </c>
      <c r="D97" s="16"/>
      <c r="E97" s="16"/>
      <c r="F97" s="16">
        <f>-1392*0.7*2*A97-25000*24</f>
        <v>-2580955.2000000002</v>
      </c>
      <c r="O97" s="16">
        <f t="shared" si="23"/>
        <v>-2580955.2000000002</v>
      </c>
    </row>
    <row r="98" spans="1:15" ht="20.25" hidden="1" customHeight="1" outlineLevel="1" x14ac:dyDescent="0.25">
      <c r="B98" s="75" t="str">
        <f>+'SAP '!B93</f>
        <v>ACCENTURE Intro-MM-EWM-M1 Consultor 02/2025</v>
      </c>
      <c r="E98" s="179"/>
      <c r="F98" s="16"/>
      <c r="I98" s="16">
        <f>-20*30000-2000*1230</f>
        <v>-3060000</v>
      </c>
      <c r="J98" s="16">
        <f>-24*30000-64*25000-500*1300</f>
        <v>-2970000</v>
      </c>
      <c r="O98" s="16">
        <f t="shared" si="23"/>
        <v>-6030000</v>
      </c>
    </row>
    <row r="99" spans="1:15" ht="18.75" hidden="1" customHeight="1" outlineLevel="1" x14ac:dyDescent="0.25">
      <c r="B99" s="75" t="str">
        <f>+'SAP '!B94</f>
        <v>ACCENTURE FI-CO 24/02/2025</v>
      </c>
      <c r="E99" s="16"/>
      <c r="G99" s="16"/>
      <c r="I99" s="16">
        <f>-100*30000</f>
        <v>-3000000</v>
      </c>
      <c r="K99" s="16"/>
      <c r="L99" s="16">
        <f>-500*1300</f>
        <v>-650000</v>
      </c>
      <c r="M99" s="16"/>
      <c r="N99" s="177"/>
      <c r="O99" s="16">
        <f t="shared" si="23"/>
        <v>-3650000</v>
      </c>
    </row>
    <row r="100" spans="1:15" ht="20.25" hidden="1" customHeight="1" outlineLevel="1" x14ac:dyDescent="0.25">
      <c r="A100" s="178">
        <v>1400</v>
      </c>
      <c r="B100" s="75" t="str">
        <f>+'SAP '!B95</f>
        <v>ACCENTURE QM-PP-PM 03&amp;05-2025</v>
      </c>
      <c r="E100" s="16"/>
      <c r="J100" s="16">
        <f>-80*30000</f>
        <v>-2400000</v>
      </c>
      <c r="K100" s="16">
        <f>-1332*0.7*2*1078</f>
        <v>-2010254.4</v>
      </c>
      <c r="L100" s="16">
        <f>-100*35000</f>
        <v>-3500000</v>
      </c>
      <c r="M100" s="16">
        <f>-100*30000</f>
        <v>-3000000</v>
      </c>
      <c r="N100" s="16"/>
      <c r="O100" s="16">
        <f t="shared" si="23"/>
        <v>-10910254.4</v>
      </c>
    </row>
    <row r="101" spans="1:15" ht="20.25" hidden="1" customHeight="1" outlineLevel="1" x14ac:dyDescent="0.25">
      <c r="B101" s="75" t="str">
        <f>+'SAP '!B96</f>
        <v>ARIBIAN SAP PP 04&amp;08-2025</v>
      </c>
      <c r="F101" s="16"/>
      <c r="K101" s="16">
        <f>-25000*100*0.5</f>
        <v>-1250000</v>
      </c>
      <c r="N101" s="177">
        <f>-25000*100*0.5</f>
        <v>-1250000</v>
      </c>
      <c r="O101" s="16">
        <f t="shared" si="23"/>
        <v>-2500000</v>
      </c>
    </row>
    <row r="102" spans="1:15" ht="20.25" hidden="1" customHeight="1" outlineLevel="1" x14ac:dyDescent="0.25">
      <c r="B102" s="75" t="str">
        <f>+'SAP '!B97</f>
        <v>DPEC Intro S4HANA 04/2025</v>
      </c>
      <c r="F102" s="16"/>
      <c r="K102" s="16">
        <f>-6*40000</f>
        <v>-240000</v>
      </c>
      <c r="N102" s="16"/>
      <c r="O102" s="16">
        <f t="shared" si="23"/>
        <v>-240000</v>
      </c>
    </row>
    <row r="103" spans="1:15" ht="20.25" hidden="1" customHeight="1" outlineLevel="1" x14ac:dyDescent="0.25">
      <c r="B103" s="75" t="str">
        <f>+'SAP '!B98</f>
        <v>OSPECON Delta MM - Delta FI 04&amp;05/2025</v>
      </c>
      <c r="F103" s="16"/>
      <c r="K103" s="16">
        <f>-30000*24-50000</f>
        <v>-770000</v>
      </c>
      <c r="L103" s="16">
        <f>-50000*24-50000</f>
        <v>-1250000</v>
      </c>
      <c r="N103" s="16"/>
      <c r="O103" s="16">
        <f t="shared" si="23"/>
        <v>-2020000</v>
      </c>
    </row>
    <row r="104" spans="1:15" ht="20.25" hidden="1" customHeight="1" outlineLevel="1" x14ac:dyDescent="0.25">
      <c r="B104" s="75" t="str">
        <f>+'SAP '!B99</f>
        <v>OSPECON Delta HR 24/06/2025</v>
      </c>
      <c r="F104" s="16"/>
      <c r="M104" s="177">
        <f>-18*30000</f>
        <v>-540000</v>
      </c>
      <c r="O104" s="16">
        <f t="shared" si="23"/>
        <v>-540000</v>
      </c>
    </row>
    <row r="105" spans="1:15" ht="20.25" hidden="1" customHeight="1" outlineLevel="1" x14ac:dyDescent="0.25">
      <c r="B105" s="75"/>
      <c r="F105" s="16"/>
      <c r="O105" s="16">
        <f t="shared" si="23"/>
        <v>0</v>
      </c>
    </row>
    <row r="106" spans="1:15" ht="20.25" hidden="1" customHeight="1" outlineLevel="1" x14ac:dyDescent="0.25">
      <c r="B106" s="75"/>
      <c r="F106" s="16"/>
      <c r="O106" s="16">
        <f t="shared" si="23"/>
        <v>0</v>
      </c>
    </row>
    <row r="107" spans="1:15" ht="20.25" hidden="1" customHeight="1" outlineLevel="1" x14ac:dyDescent="0.25">
      <c r="B107" s="75"/>
      <c r="F107" s="16"/>
      <c r="O107" s="16">
        <f t="shared" si="23"/>
        <v>0</v>
      </c>
    </row>
    <row r="108" spans="1:15" ht="20.25" hidden="1" customHeight="1" outlineLevel="1" x14ac:dyDescent="0.25">
      <c r="B108" s="75"/>
      <c r="F108" s="16"/>
      <c r="O108" s="16">
        <f t="shared" si="23"/>
        <v>0</v>
      </c>
    </row>
    <row r="109" spans="1:15" ht="20.25" hidden="1" customHeight="1" outlineLevel="1" x14ac:dyDescent="0.25">
      <c r="B109" s="75"/>
      <c r="K109" s="16"/>
      <c r="O109" s="16">
        <f t="shared" si="23"/>
        <v>0</v>
      </c>
    </row>
    <row r="110" spans="1:15" ht="20.25" hidden="1" customHeight="1" outlineLevel="1" x14ac:dyDescent="0.25">
      <c r="B110" s="75"/>
      <c r="K110" s="16"/>
      <c r="L110" s="16"/>
      <c r="O110" s="16">
        <f t="shared" si="23"/>
        <v>0</v>
      </c>
    </row>
    <row r="111" spans="1:15" ht="20.25" hidden="1" customHeight="1" outlineLevel="1" x14ac:dyDescent="0.25">
      <c r="B111" s="75"/>
      <c r="L111" s="16"/>
      <c r="M111" s="16"/>
      <c r="N111" s="16"/>
      <c r="O111" s="16">
        <f t="shared" si="23"/>
        <v>0</v>
      </c>
    </row>
    <row r="112" spans="1:15" ht="20.25" hidden="1" customHeight="1" outlineLevel="1" x14ac:dyDescent="0.25">
      <c r="B112" s="75"/>
      <c r="O112" s="16">
        <f t="shared" si="23"/>
        <v>0</v>
      </c>
    </row>
    <row r="113" spans="2:17" ht="20.25" hidden="1" customHeight="1" outlineLevel="1" x14ac:dyDescent="0.25">
      <c r="B113" s="75"/>
      <c r="N113" s="16"/>
      <c r="O113" s="16">
        <f t="shared" si="23"/>
        <v>0</v>
      </c>
    </row>
    <row r="114" spans="2:17" ht="20.25" hidden="1" customHeight="1" outlineLevel="1" x14ac:dyDescent="0.25">
      <c r="B114" s="75"/>
      <c r="N114" s="16"/>
      <c r="O114" s="16">
        <f t="shared" si="23"/>
        <v>0</v>
      </c>
    </row>
    <row r="115" spans="2:17" ht="20.25" hidden="1" customHeight="1" outlineLevel="1" x14ac:dyDescent="0.25">
      <c r="B115" s="75"/>
      <c r="O115" s="16">
        <f t="shared" si="23"/>
        <v>0</v>
      </c>
      <c r="Q115" s="19"/>
    </row>
    <row r="116" spans="2:17" ht="12.75" customHeight="1" x14ac:dyDescent="0.25">
      <c r="B116" s="98"/>
      <c r="C116" s="99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16">
        <f t="shared" si="23"/>
        <v>0</v>
      </c>
    </row>
    <row r="117" spans="2:17" ht="23.25" customHeight="1" x14ac:dyDescent="0.25">
      <c r="C117" s="99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16">
        <f t="shared" si="23"/>
        <v>0</v>
      </c>
    </row>
    <row r="118" spans="2:17" ht="27" customHeight="1" x14ac:dyDescent="0.25">
      <c r="C118" s="28">
        <f t="shared" ref="C118:N118" si="24">+C3</f>
        <v>45505</v>
      </c>
      <c r="D118" s="28">
        <f t="shared" si="24"/>
        <v>45536</v>
      </c>
      <c r="E118" s="28">
        <f t="shared" si="24"/>
        <v>45566</v>
      </c>
      <c r="F118" s="28">
        <f t="shared" si="24"/>
        <v>45597</v>
      </c>
      <c r="G118" s="28">
        <f t="shared" si="24"/>
        <v>45627</v>
      </c>
      <c r="H118" s="28">
        <f t="shared" si="24"/>
        <v>45658</v>
      </c>
      <c r="I118" s="28">
        <f t="shared" si="24"/>
        <v>45689</v>
      </c>
      <c r="J118" s="28">
        <f t="shared" si="24"/>
        <v>45717</v>
      </c>
      <c r="K118" s="28">
        <f t="shared" si="24"/>
        <v>45748</v>
      </c>
      <c r="L118" s="28">
        <f t="shared" si="24"/>
        <v>45778</v>
      </c>
      <c r="M118" s="28">
        <f t="shared" si="24"/>
        <v>45809</v>
      </c>
      <c r="N118" s="28">
        <f t="shared" si="24"/>
        <v>45839</v>
      </c>
      <c r="O118" s="16">
        <f t="shared" si="23"/>
        <v>548069</v>
      </c>
    </row>
    <row r="119" spans="2:17" ht="30.75" customHeight="1" collapsed="1" thickBot="1" x14ac:dyDescent="0.3">
      <c r="B119" s="36" t="s">
        <v>28</v>
      </c>
      <c r="C119" s="96">
        <f>SUM(C120:C135)</f>
        <v>0</v>
      </c>
      <c r="D119" s="96">
        <f t="shared" ref="D119:N119" si="25">SUM(D120:D135)</f>
        <v>0</v>
      </c>
      <c r="E119" s="96">
        <f t="shared" si="25"/>
        <v>0</v>
      </c>
      <c r="F119" s="96">
        <f t="shared" si="25"/>
        <v>0</v>
      </c>
      <c r="G119" s="96">
        <f t="shared" si="25"/>
        <v>0</v>
      </c>
      <c r="H119" s="96">
        <f t="shared" si="25"/>
        <v>0</v>
      </c>
      <c r="I119" s="96">
        <f t="shared" si="25"/>
        <v>0</v>
      </c>
      <c r="J119" s="96">
        <f t="shared" si="25"/>
        <v>0</v>
      </c>
      <c r="K119" s="96">
        <f t="shared" si="25"/>
        <v>0</v>
      </c>
      <c r="L119" s="96">
        <f t="shared" si="25"/>
        <v>0</v>
      </c>
      <c r="M119" s="96">
        <f t="shared" si="25"/>
        <v>0</v>
      </c>
      <c r="N119" s="96">
        <f t="shared" si="25"/>
        <v>0</v>
      </c>
      <c r="O119" s="16">
        <f t="shared" si="23"/>
        <v>0</v>
      </c>
    </row>
    <row r="120" spans="2:17" ht="22.5" hidden="1" customHeight="1" outlineLevel="1" x14ac:dyDescent="0.25">
      <c r="B120" s="75"/>
      <c r="C120" s="16"/>
      <c r="O120" s="16">
        <f t="shared" si="23"/>
        <v>0</v>
      </c>
    </row>
    <row r="121" spans="2:17" ht="22.5" hidden="1" customHeight="1" outlineLevel="1" x14ac:dyDescent="0.25">
      <c r="B121" s="75"/>
      <c r="D121" s="16"/>
      <c r="E121" s="16"/>
      <c r="O121" s="56">
        <f t="shared" ref="O121:O133" si="26">SUM(C121:N121)</f>
        <v>0</v>
      </c>
    </row>
    <row r="122" spans="2:17" ht="22.5" hidden="1" customHeight="1" outlineLevel="1" x14ac:dyDescent="0.25">
      <c r="B122" s="75"/>
      <c r="E122" s="16"/>
      <c r="O122" s="56">
        <f t="shared" si="26"/>
        <v>0</v>
      </c>
    </row>
    <row r="123" spans="2:17" ht="22.5" hidden="1" customHeight="1" outlineLevel="1" x14ac:dyDescent="0.25">
      <c r="B123" s="75"/>
      <c r="N123" s="16"/>
      <c r="O123" s="56">
        <f t="shared" si="26"/>
        <v>0</v>
      </c>
    </row>
    <row r="124" spans="2:17" ht="22.5" hidden="1" customHeight="1" outlineLevel="1" x14ac:dyDescent="0.25">
      <c r="B124" s="75"/>
      <c r="O124" s="56">
        <f t="shared" si="26"/>
        <v>0</v>
      </c>
    </row>
    <row r="125" spans="2:17" ht="22.5" hidden="1" customHeight="1" outlineLevel="1" x14ac:dyDescent="0.25">
      <c r="B125" s="75"/>
      <c r="O125" s="56">
        <f t="shared" si="26"/>
        <v>0</v>
      </c>
    </row>
    <row r="126" spans="2:17" ht="22.5" hidden="1" customHeight="1" outlineLevel="1" x14ac:dyDescent="0.25">
      <c r="B126" s="75"/>
      <c r="O126" s="56">
        <f t="shared" si="26"/>
        <v>0</v>
      </c>
    </row>
    <row r="127" spans="2:17" ht="22.5" hidden="1" customHeight="1" outlineLevel="1" x14ac:dyDescent="0.25">
      <c r="B127" s="75"/>
      <c r="O127" s="56">
        <f t="shared" si="26"/>
        <v>0</v>
      </c>
    </row>
    <row r="128" spans="2:17" ht="22.5" hidden="1" customHeight="1" outlineLevel="1" x14ac:dyDescent="0.25">
      <c r="B128" s="75"/>
      <c r="O128" s="56">
        <f t="shared" si="26"/>
        <v>0</v>
      </c>
    </row>
    <row r="129" spans="1:15" ht="22.5" hidden="1" customHeight="1" outlineLevel="1" x14ac:dyDescent="0.25">
      <c r="B129" s="75"/>
      <c r="O129" s="56">
        <f t="shared" si="26"/>
        <v>0</v>
      </c>
    </row>
    <row r="130" spans="1:15" ht="23.25" hidden="1" customHeight="1" outlineLevel="1" x14ac:dyDescent="0.25">
      <c r="B130" s="75"/>
      <c r="O130" s="56">
        <f t="shared" si="26"/>
        <v>0</v>
      </c>
    </row>
    <row r="131" spans="1:15" ht="23.25" hidden="1" customHeight="1" outlineLevel="1" x14ac:dyDescent="0.25">
      <c r="B131" s="75"/>
      <c r="O131" s="56">
        <f t="shared" si="26"/>
        <v>0</v>
      </c>
    </row>
    <row r="132" spans="1:15" ht="23.25" hidden="1" customHeight="1" outlineLevel="1" x14ac:dyDescent="0.25">
      <c r="B132" s="75"/>
      <c r="O132" s="56">
        <f t="shared" si="26"/>
        <v>0</v>
      </c>
    </row>
    <row r="133" spans="1:15" ht="23.25" hidden="1" customHeight="1" outlineLevel="1" x14ac:dyDescent="0.25">
      <c r="B133" s="75"/>
      <c r="O133" s="56">
        <f t="shared" si="26"/>
        <v>0</v>
      </c>
    </row>
    <row r="134" spans="1:15" ht="24.75" hidden="1" customHeight="1" outlineLevel="1" x14ac:dyDescent="0.25">
      <c r="B134" s="75"/>
      <c r="O134" s="56">
        <f t="shared" ref="O134:O153" si="27">SUM(C134:N134)</f>
        <v>0</v>
      </c>
    </row>
    <row r="135" spans="1:15" ht="24.75" hidden="1" customHeight="1" outlineLevel="1" x14ac:dyDescent="0.25">
      <c r="B135" s="75"/>
      <c r="O135" s="56">
        <f t="shared" si="27"/>
        <v>0</v>
      </c>
    </row>
    <row r="136" spans="1:15" ht="24.75" customHeight="1" x14ac:dyDescent="0.25">
      <c r="B136" s="75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19"/>
    </row>
    <row r="137" spans="1:15" ht="24.75" customHeight="1" x14ac:dyDescent="0.25">
      <c r="B137" s="75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19"/>
    </row>
    <row r="138" spans="1:15" ht="24.75" customHeight="1" x14ac:dyDescent="0.25">
      <c r="B138" s="97" t="s">
        <v>136</v>
      </c>
      <c r="C138" s="28">
        <f t="shared" ref="C138:O138" si="28">+C3</f>
        <v>45505</v>
      </c>
      <c r="D138" s="28">
        <f t="shared" si="28"/>
        <v>45536</v>
      </c>
      <c r="E138" s="28">
        <f t="shared" si="28"/>
        <v>45566</v>
      </c>
      <c r="F138" s="28">
        <f t="shared" si="28"/>
        <v>45597</v>
      </c>
      <c r="G138" s="28">
        <f t="shared" si="28"/>
        <v>45627</v>
      </c>
      <c r="H138" s="28">
        <f t="shared" si="28"/>
        <v>45658</v>
      </c>
      <c r="I138" s="28">
        <f t="shared" si="28"/>
        <v>45689</v>
      </c>
      <c r="J138" s="28">
        <f t="shared" si="28"/>
        <v>45717</v>
      </c>
      <c r="K138" s="28">
        <f t="shared" si="28"/>
        <v>45748</v>
      </c>
      <c r="L138" s="28">
        <f t="shared" si="28"/>
        <v>45778</v>
      </c>
      <c r="M138" s="28">
        <f t="shared" si="28"/>
        <v>45809</v>
      </c>
      <c r="N138" s="28">
        <f t="shared" si="28"/>
        <v>45839</v>
      </c>
      <c r="O138" s="89" t="str">
        <f t="shared" si="28"/>
        <v>TOTAL Y20</v>
      </c>
    </row>
    <row r="139" spans="1:15" ht="22.5" customHeight="1" collapsed="1" thickBot="1" x14ac:dyDescent="0.3">
      <c r="B139" s="36" t="s">
        <v>13</v>
      </c>
      <c r="C139" s="96">
        <f>SUM(C140:C153)</f>
        <v>0</v>
      </c>
      <c r="D139" s="96">
        <f t="shared" ref="D139:N139" si="29">SUM(D140:D153)</f>
        <v>0</v>
      </c>
      <c r="E139" s="96">
        <f t="shared" si="29"/>
        <v>-7100000</v>
      </c>
      <c r="F139" s="96">
        <f t="shared" si="29"/>
        <v>0</v>
      </c>
      <c r="G139" s="96">
        <f t="shared" si="29"/>
        <v>-400000</v>
      </c>
      <c r="H139" s="96">
        <f t="shared" si="29"/>
        <v>0</v>
      </c>
      <c r="I139" s="96">
        <f t="shared" si="29"/>
        <v>0</v>
      </c>
      <c r="J139" s="96">
        <f t="shared" si="29"/>
        <v>0</v>
      </c>
      <c r="K139" s="96">
        <f t="shared" si="29"/>
        <v>-4360000</v>
      </c>
      <c r="L139" s="96">
        <f t="shared" si="29"/>
        <v>0</v>
      </c>
      <c r="M139" s="96">
        <f t="shared" si="29"/>
        <v>0</v>
      </c>
      <c r="N139" s="96">
        <f t="shared" si="29"/>
        <v>-4720000</v>
      </c>
      <c r="O139" s="96">
        <f t="shared" si="27"/>
        <v>-16580000</v>
      </c>
    </row>
    <row r="140" spans="1:15" ht="25.5" hidden="1" customHeight="1" outlineLevel="1" x14ac:dyDescent="0.25">
      <c r="A140" s="185"/>
      <c r="B140" s="75" t="str">
        <f>+'SAP '!B139</f>
        <v>CHACOMER (PY) Curso SAP BW (40HS)</v>
      </c>
      <c r="C140" s="16"/>
      <c r="D140" s="171"/>
      <c r="E140" s="168">
        <f>-25000*(40+40)</f>
        <v>-2000000</v>
      </c>
      <c r="F140" s="171"/>
      <c r="G140" s="171"/>
      <c r="H140" s="171"/>
      <c r="I140" s="171"/>
      <c r="J140" s="171"/>
      <c r="K140" s="171"/>
      <c r="L140" s="171"/>
      <c r="M140" s="171"/>
      <c r="N140" s="171"/>
      <c r="O140" s="16">
        <f t="shared" si="27"/>
        <v>-2000000</v>
      </c>
    </row>
    <row r="141" spans="1:15" ht="25.5" hidden="1" customHeight="1" outlineLevel="1" x14ac:dyDescent="0.25">
      <c r="B141" s="75" t="str">
        <f>+'SAP '!B140</f>
        <v>EPI-USE Chile Intro+HR+HA400 21/10/2024</v>
      </c>
      <c r="C141" s="16"/>
      <c r="D141" s="171"/>
      <c r="E141" s="168">
        <f>-132*25000</f>
        <v>-3300000</v>
      </c>
      <c r="F141" s="171"/>
      <c r="G141" s="171"/>
      <c r="H141" s="171"/>
      <c r="I141" s="171"/>
      <c r="J141" s="171"/>
      <c r="K141" s="171"/>
      <c r="L141" s="171"/>
      <c r="M141" s="171"/>
      <c r="N141" s="171"/>
      <c r="O141" s="16">
        <f t="shared" si="27"/>
        <v>-3300000</v>
      </c>
    </row>
    <row r="142" spans="1:15" ht="25.5" hidden="1" customHeight="1" outlineLevel="1" x14ac:dyDescent="0.25">
      <c r="A142" s="178"/>
      <c r="B142" s="75" t="str">
        <f>+'SAP '!B141</f>
        <v>INFOCENTER Webinar Intro SAP 22/10/2024</v>
      </c>
      <c r="C142" s="16"/>
      <c r="D142" s="171"/>
      <c r="E142" s="168">
        <f>-6*25000-6*25000</f>
        <v>-300000</v>
      </c>
      <c r="F142" s="171"/>
      <c r="G142" s="171"/>
      <c r="H142" s="171"/>
      <c r="I142" s="171"/>
      <c r="J142" s="171"/>
      <c r="K142" s="171"/>
      <c r="L142" s="171"/>
      <c r="M142" s="171"/>
      <c r="N142" s="171"/>
      <c r="O142" s="16">
        <f t="shared" si="27"/>
        <v>-300000</v>
      </c>
    </row>
    <row r="143" spans="1:15" ht="25.5" hidden="1" customHeight="1" outlineLevel="1" x14ac:dyDescent="0.25">
      <c r="B143" s="75" t="str">
        <f>+'SAP '!B142</f>
        <v>COGNITUS MX p-BBVA 21/10/2024</v>
      </c>
      <c r="C143" s="16"/>
      <c r="D143" s="171"/>
      <c r="E143" s="168">
        <f>-20*25000-40*25000</f>
        <v>-1500000</v>
      </c>
      <c r="F143" s="171"/>
      <c r="G143" s="171"/>
      <c r="H143" s="171"/>
      <c r="I143" s="171"/>
      <c r="J143" s="171"/>
      <c r="K143" s="171"/>
      <c r="L143" s="171"/>
      <c r="M143" s="171"/>
      <c r="N143" s="171"/>
      <c r="O143" s="16">
        <f t="shared" si="27"/>
        <v>-1500000</v>
      </c>
    </row>
    <row r="144" spans="1:15" ht="25.5" hidden="1" customHeight="1" outlineLevel="1" x14ac:dyDescent="0.25">
      <c r="A144" s="178"/>
      <c r="B144" s="75" t="str">
        <f>+'SAP '!B143</f>
        <v>INVENZIS (UY) ADM945 09/12/2024</v>
      </c>
      <c r="D144" s="171"/>
      <c r="E144" s="16"/>
      <c r="F144" s="171"/>
      <c r="G144" s="168">
        <f>-16*25000</f>
        <v>-400000</v>
      </c>
      <c r="H144" s="171"/>
      <c r="I144" s="171"/>
      <c r="J144" s="171"/>
      <c r="K144" s="171"/>
      <c r="L144" s="171"/>
      <c r="M144" s="171"/>
      <c r="N144" s="171"/>
      <c r="O144" s="16">
        <f t="shared" si="27"/>
        <v>-400000</v>
      </c>
    </row>
    <row r="145" spans="1:16" ht="25.5" hidden="1" customHeight="1" outlineLevel="1" x14ac:dyDescent="0.25">
      <c r="A145" s="178"/>
      <c r="B145" s="75" t="str">
        <f>+'SAP '!B144</f>
        <v>TENARIS MX Analista Liquidador</v>
      </c>
      <c r="C145" s="16"/>
      <c r="D145" s="171"/>
      <c r="E145" s="16"/>
      <c r="F145" s="171"/>
      <c r="G145" s="171"/>
      <c r="H145" s="171"/>
      <c r="I145" s="171"/>
      <c r="J145" s="171"/>
      <c r="K145" s="168">
        <f>-16*25000</f>
        <v>-400000</v>
      </c>
      <c r="L145" s="171"/>
      <c r="M145" s="171"/>
      <c r="N145" s="171"/>
      <c r="O145" s="16">
        <f t="shared" si="27"/>
        <v>-400000</v>
      </c>
      <c r="P145" s="183"/>
    </row>
    <row r="146" spans="1:16" ht="25.5" hidden="1" customHeight="1" outlineLevel="1" x14ac:dyDescent="0.25">
      <c r="A146" s="178"/>
      <c r="B146" s="75" t="str">
        <f>+'SAP '!B145</f>
        <v>EPIUSE Intro-HR-Payroll 22/04/2025</v>
      </c>
      <c r="C146" s="16"/>
      <c r="D146" s="171"/>
      <c r="E146" s="16"/>
      <c r="F146" s="171"/>
      <c r="G146" s="171"/>
      <c r="H146" s="171"/>
      <c r="I146" s="171"/>
      <c r="J146" s="171"/>
      <c r="K146" s="168">
        <f>-132*30000</f>
        <v>-3960000</v>
      </c>
      <c r="L146" s="171"/>
      <c r="M146" s="171"/>
      <c r="N146" s="171"/>
      <c r="O146" s="16">
        <f t="shared" si="27"/>
        <v>-3960000</v>
      </c>
    </row>
    <row r="147" spans="1:16" ht="25.5" hidden="1" customHeight="1" outlineLevel="1" x14ac:dyDescent="0.25">
      <c r="B147" s="75" t="str">
        <f>+'SAP '!B146</f>
        <v>CEMENTOS ARTIGAS UY 07/2025</v>
      </c>
      <c r="C147" s="171"/>
      <c r="D147" s="171"/>
      <c r="E147" s="171"/>
      <c r="F147" s="171"/>
      <c r="G147" s="16"/>
      <c r="H147" s="171"/>
      <c r="I147" s="171"/>
      <c r="J147" s="171"/>
      <c r="K147" s="171"/>
      <c r="L147" s="171"/>
      <c r="M147" s="171"/>
      <c r="N147" s="241">
        <f>-30000*20-30000*20-32000*20</f>
        <v>-1840000</v>
      </c>
      <c r="O147" s="16">
        <f t="shared" si="27"/>
        <v>-1840000</v>
      </c>
    </row>
    <row r="148" spans="1:16" ht="25.5" hidden="1" customHeight="1" outlineLevel="1" x14ac:dyDescent="0.25">
      <c r="B148" s="75" t="str">
        <f>+'SAP '!B147</f>
        <v>EPIUSE DELTA HR 24/06/2025</v>
      </c>
      <c r="C148" s="171"/>
      <c r="D148" s="171"/>
      <c r="E148" s="171"/>
      <c r="F148" s="171"/>
      <c r="G148" s="16"/>
      <c r="H148" s="171"/>
      <c r="I148" s="171"/>
      <c r="J148" s="171"/>
      <c r="K148" s="16"/>
      <c r="L148" s="171"/>
      <c r="M148" s="171"/>
      <c r="N148" s="232">
        <f>-96*30000</f>
        <v>-2880000</v>
      </c>
      <c r="O148" s="16">
        <f t="shared" si="27"/>
        <v>-2880000</v>
      </c>
    </row>
    <row r="149" spans="1:16" ht="25.5" hidden="1" customHeight="1" outlineLevel="1" x14ac:dyDescent="0.25">
      <c r="A149" s="178"/>
      <c r="B149" s="75">
        <f>+'SAP '!B148</f>
        <v>0</v>
      </c>
      <c r="C149" s="171"/>
      <c r="D149" s="171"/>
      <c r="E149" s="171"/>
      <c r="F149" s="171"/>
      <c r="G149" s="16"/>
      <c r="H149" s="171"/>
      <c r="I149" s="171"/>
      <c r="J149" s="171"/>
      <c r="K149" s="177"/>
      <c r="L149" s="171"/>
      <c r="M149" s="171"/>
      <c r="N149" s="171"/>
      <c r="O149" s="16">
        <f t="shared" si="27"/>
        <v>0</v>
      </c>
    </row>
    <row r="150" spans="1:16" ht="25.5" hidden="1" customHeight="1" outlineLevel="1" x14ac:dyDescent="0.25">
      <c r="B150" s="75"/>
      <c r="C150" s="171"/>
      <c r="D150" s="171"/>
      <c r="E150" s="171"/>
      <c r="F150" s="171"/>
      <c r="G150" s="16"/>
      <c r="H150" s="171"/>
      <c r="I150" s="171"/>
      <c r="J150" s="171"/>
      <c r="K150" s="171"/>
      <c r="L150" s="171"/>
      <c r="M150" s="171"/>
      <c r="N150" s="171"/>
      <c r="O150" s="16">
        <f t="shared" si="27"/>
        <v>0</v>
      </c>
    </row>
    <row r="151" spans="1:16" ht="25.5" hidden="1" customHeight="1" outlineLevel="1" x14ac:dyDescent="0.25">
      <c r="B151" s="75"/>
      <c r="C151" s="171"/>
      <c r="D151" s="171"/>
      <c r="E151" s="171"/>
      <c r="F151" s="171"/>
      <c r="G151" s="16"/>
      <c r="H151" s="171"/>
      <c r="I151" s="171"/>
      <c r="J151" s="171"/>
      <c r="K151" s="171"/>
      <c r="L151" s="171"/>
      <c r="M151" s="171"/>
      <c r="N151" s="171"/>
      <c r="O151" s="16">
        <f t="shared" si="27"/>
        <v>0</v>
      </c>
    </row>
    <row r="152" spans="1:16" ht="25.5" hidden="1" customHeight="1" outlineLevel="1" x14ac:dyDescent="0.25">
      <c r="B152" s="75"/>
      <c r="C152" s="171"/>
      <c r="D152" s="171"/>
      <c r="E152" s="171"/>
      <c r="F152" s="171"/>
      <c r="G152" s="16"/>
      <c r="H152" s="171"/>
      <c r="I152" s="171"/>
      <c r="J152" s="171"/>
      <c r="K152" s="171"/>
      <c r="L152" s="171"/>
      <c r="M152" s="171"/>
      <c r="N152" s="171"/>
      <c r="O152" s="16">
        <f t="shared" si="27"/>
        <v>0</v>
      </c>
    </row>
    <row r="153" spans="1:16" ht="25.5" hidden="1" customHeight="1" outlineLevel="1" x14ac:dyDescent="0.25">
      <c r="B153" s="75"/>
      <c r="C153" s="171"/>
      <c r="D153" s="171"/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6">
        <f t="shared" si="27"/>
        <v>0</v>
      </c>
    </row>
    <row r="154" spans="1:16" ht="25.5" customHeight="1" x14ac:dyDescent="0.25">
      <c r="B154" s="66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19"/>
    </row>
    <row r="155" spans="1:16" ht="25.5" hidden="1" customHeight="1" x14ac:dyDescent="0.25">
      <c r="B155" s="27" t="s">
        <v>45</v>
      </c>
      <c r="C155" s="23"/>
      <c r="D155" s="23"/>
      <c r="E155" s="23"/>
      <c r="G155" s="23"/>
      <c r="H155" s="23"/>
      <c r="I155" s="23"/>
      <c r="J155" s="23"/>
      <c r="K155" s="23"/>
      <c r="L155" s="23"/>
      <c r="M155" s="23"/>
      <c r="N155" s="23"/>
      <c r="O155" s="19"/>
    </row>
    <row r="156" spans="1:16" ht="25.5" hidden="1" customHeight="1" x14ac:dyDescent="0.25">
      <c r="B156" s="30" t="s">
        <v>42</v>
      </c>
      <c r="C156" s="31" t="e">
        <f>#REF!</f>
        <v>#REF!</v>
      </c>
      <c r="D156" s="84" t="s">
        <v>46</v>
      </c>
      <c r="E156" s="23"/>
      <c r="G156" s="23"/>
      <c r="H156" s="23"/>
      <c r="I156" s="23"/>
      <c r="J156" s="23"/>
      <c r="K156" s="23"/>
      <c r="L156" s="23"/>
      <c r="M156" s="23"/>
      <c r="N156" s="23"/>
      <c r="O156" s="19"/>
    </row>
    <row r="157" spans="1:16" ht="25.5" hidden="1" customHeight="1" x14ac:dyDescent="0.25">
      <c r="B157" s="30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19"/>
      <c r="P157" s="7"/>
    </row>
    <row r="158" spans="1:16" ht="32.25" hidden="1" customHeight="1" x14ac:dyDescent="0.25">
      <c r="B158" s="30"/>
      <c r="C158" s="28">
        <v>40391</v>
      </c>
      <c r="D158" s="28">
        <v>40422</v>
      </c>
      <c r="E158" s="28">
        <v>40452</v>
      </c>
      <c r="F158" s="28">
        <v>40483</v>
      </c>
      <c r="G158" s="28">
        <v>40513</v>
      </c>
      <c r="H158" s="28">
        <v>40544</v>
      </c>
      <c r="I158" s="28">
        <v>40575</v>
      </c>
      <c r="J158" s="28">
        <v>40603</v>
      </c>
      <c r="K158" s="28">
        <v>40634</v>
      </c>
      <c r="L158" s="28">
        <v>40664</v>
      </c>
      <c r="M158" s="28">
        <v>40695</v>
      </c>
      <c r="N158" s="28">
        <v>40725</v>
      </c>
      <c r="O158" s="89" t="s">
        <v>50</v>
      </c>
    </row>
    <row r="159" spans="1:16" ht="27" hidden="1" customHeight="1" thickBot="1" x14ac:dyDescent="0.3">
      <c r="B159" s="25" t="s">
        <v>47</v>
      </c>
      <c r="C159" s="85"/>
      <c r="D159" s="85"/>
      <c r="E159" s="85"/>
      <c r="F159" s="85"/>
      <c r="G159" s="85"/>
      <c r="H159" s="86"/>
      <c r="I159" s="86"/>
      <c r="J159" s="86"/>
      <c r="K159" s="87"/>
      <c r="L159" s="87"/>
      <c r="M159" s="87"/>
      <c r="N159" s="87"/>
      <c r="O159" s="67">
        <f>SUM(C159:N159)</f>
        <v>0</v>
      </c>
    </row>
    <row r="160" spans="1:16" x14ac:dyDescent="0.25">
      <c r="B160" s="4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39"/>
    </row>
    <row r="163" spans="1:15" ht="21" customHeight="1" x14ac:dyDescent="0.25">
      <c r="B163" s="97" t="s">
        <v>195</v>
      </c>
      <c r="C163" s="28">
        <f t="shared" ref="C163:O163" si="30">+C3</f>
        <v>45505</v>
      </c>
      <c r="D163" s="28">
        <f t="shared" si="30"/>
        <v>45536</v>
      </c>
      <c r="E163" s="28">
        <f t="shared" si="30"/>
        <v>45566</v>
      </c>
      <c r="F163" s="28">
        <f t="shared" si="30"/>
        <v>45597</v>
      </c>
      <c r="G163" s="28">
        <f t="shared" si="30"/>
        <v>45627</v>
      </c>
      <c r="H163" s="28">
        <f t="shared" si="30"/>
        <v>45658</v>
      </c>
      <c r="I163" s="28">
        <f t="shared" si="30"/>
        <v>45689</v>
      </c>
      <c r="J163" s="28">
        <f t="shared" si="30"/>
        <v>45717</v>
      </c>
      <c r="K163" s="28">
        <f t="shared" si="30"/>
        <v>45748</v>
      </c>
      <c r="L163" s="28">
        <f t="shared" si="30"/>
        <v>45778</v>
      </c>
      <c r="M163" s="28">
        <f t="shared" si="30"/>
        <v>45809</v>
      </c>
      <c r="N163" s="28">
        <f t="shared" si="30"/>
        <v>45839</v>
      </c>
      <c r="O163" s="89" t="str">
        <f t="shared" si="30"/>
        <v>TOTAL Y20</v>
      </c>
    </row>
    <row r="164" spans="1:15" ht="21" customHeight="1" thickBot="1" x14ac:dyDescent="0.3">
      <c r="B164" s="191" t="s">
        <v>195</v>
      </c>
      <c r="C164" s="192">
        <f>SUM(C165:C199)</f>
        <v>-577675.70000000007</v>
      </c>
      <c r="D164" s="192">
        <f t="shared" ref="D164:N164" si="31">SUM(D165:D199)</f>
        <v>-292711.3</v>
      </c>
      <c r="E164" s="192">
        <f>SUM(E165:E199)</f>
        <v>-998724.29999999981</v>
      </c>
      <c r="F164" s="192">
        <f t="shared" si="31"/>
        <v>-156487.79999999999</v>
      </c>
      <c r="G164" s="192">
        <f t="shared" si="31"/>
        <v>-316938.29999999993</v>
      </c>
      <c r="H164" s="192">
        <f t="shared" si="31"/>
        <v>-721979.29999999993</v>
      </c>
      <c r="I164" s="192">
        <f t="shared" si="31"/>
        <v>-1014534.4999999999</v>
      </c>
      <c r="J164" s="192">
        <f t="shared" si="31"/>
        <v>-474803.80499999993</v>
      </c>
      <c r="K164" s="192">
        <f t="shared" si="31"/>
        <v>-568061.19999999995</v>
      </c>
      <c r="L164" s="192">
        <f t="shared" si="31"/>
        <v>-165328.79999999999</v>
      </c>
      <c r="M164" s="192">
        <f t="shared" si="31"/>
        <v>-867048</v>
      </c>
      <c r="N164" s="192">
        <f t="shared" si="31"/>
        <v>0</v>
      </c>
      <c r="O164" s="96">
        <f>SUM(C164:N164)</f>
        <v>-6154293.0049999999</v>
      </c>
    </row>
    <row r="165" spans="1:15" ht="29.4" customHeight="1" x14ac:dyDescent="0.25">
      <c r="A165" s="25"/>
      <c r="B165" s="8" t="str">
        <f>+'SAP '!B157</f>
        <v>CER001</v>
      </c>
      <c r="C165" s="16">
        <f>-151.9*950-151.9*3*951</f>
        <v>-577675.70000000007</v>
      </c>
      <c r="D165" s="16">
        <f>-151.9*963.5*2</f>
        <v>-292711.3</v>
      </c>
      <c r="E165" s="16">
        <f>-222*0.7*4*990</f>
        <v>-615383.99999999988</v>
      </c>
      <c r="F165" s="16">
        <f>-222*0.7*1007</f>
        <v>-156487.79999999999</v>
      </c>
      <c r="G165" s="16">
        <f>-222*0.7*1016.5-222*0.7*1023</f>
        <v>-316938.29999999993</v>
      </c>
      <c r="H165" s="16">
        <f>-222*0.7*1052-211*0.7*1052</f>
        <v>-318861.19999999995</v>
      </c>
      <c r="I165" s="16">
        <f>-147.7*4*1054.25</f>
        <v>-622850.89999999991</v>
      </c>
      <c r="J165" s="16">
        <f>-211*0.7*3*1071.55</f>
        <v>-474803.80499999993</v>
      </c>
      <c r="K165" s="230">
        <f>-208*0.7*1169.5</f>
        <v>-170279.19999999998</v>
      </c>
      <c r="L165" s="16">
        <f>-145.6*1135.5</f>
        <v>-165328.79999999999</v>
      </c>
      <c r="M165" s="16">
        <f>-145.6*5*1191</f>
        <v>-867048</v>
      </c>
      <c r="N165" s="179"/>
      <c r="O165" s="19">
        <f>SUM(C165:N165)</f>
        <v>-4578369.0049999999</v>
      </c>
    </row>
    <row r="166" spans="1:15" ht="29.4" customHeight="1" x14ac:dyDescent="0.25">
      <c r="A166" s="25"/>
      <c r="B166" s="8" t="str">
        <f>+'SAP '!B158</f>
        <v>CER006</v>
      </c>
      <c r="C166" s="16"/>
      <c r="D166" s="16"/>
      <c r="E166" s="16">
        <f>-554*0.7*988.5</f>
        <v>-383340.29999999993</v>
      </c>
      <c r="F166" s="16"/>
      <c r="G166" s="16"/>
      <c r="H166" s="16">
        <f>-554*0.7*1039.5</f>
        <v>-403118.1</v>
      </c>
      <c r="I166" s="16">
        <f>-528*0.7*1059.75</f>
        <v>-391683.6</v>
      </c>
      <c r="J166" s="16"/>
      <c r="K166" s="16">
        <f>-369.6*1076.25</f>
        <v>-397782</v>
      </c>
      <c r="L166" s="16"/>
      <c r="M166" s="16"/>
      <c r="N166" s="179"/>
      <c r="O166" s="19">
        <f t="shared" ref="O166:O195" si="32">SUM(C166:N166)</f>
        <v>-1575924</v>
      </c>
    </row>
    <row r="167" spans="1:15" ht="29.4" customHeight="1" x14ac:dyDescent="0.25">
      <c r="A167" s="2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9">
        <f t="shared" si="32"/>
        <v>0</v>
      </c>
    </row>
    <row r="168" spans="1:15" ht="29.4" customHeight="1" x14ac:dyDescent="0.25">
      <c r="A168" s="2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9">
        <f t="shared" si="32"/>
        <v>0</v>
      </c>
    </row>
    <row r="169" spans="1:15" ht="29.4" customHeight="1" x14ac:dyDescent="0.25">
      <c r="A169" s="2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9">
        <f t="shared" si="32"/>
        <v>0</v>
      </c>
    </row>
    <row r="170" spans="1:15" ht="29.4" customHeight="1" x14ac:dyDescent="0.25">
      <c r="A170" s="2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9">
        <f t="shared" si="32"/>
        <v>0</v>
      </c>
    </row>
    <row r="171" spans="1:15" ht="20.399999999999999" customHeight="1" x14ac:dyDescent="0.25">
      <c r="A171" s="2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9">
        <f t="shared" si="32"/>
        <v>0</v>
      </c>
    </row>
    <row r="172" spans="1:15" ht="20.399999999999999" customHeight="1" x14ac:dyDescent="0.25">
      <c r="A172" s="178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9">
        <f t="shared" si="32"/>
        <v>0</v>
      </c>
    </row>
    <row r="173" spans="1:15" ht="20.399999999999999" customHeight="1" x14ac:dyDescent="0.25">
      <c r="A173" s="2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9">
        <f t="shared" si="32"/>
        <v>0</v>
      </c>
    </row>
    <row r="174" spans="1:15" ht="20.399999999999999" customHeight="1" x14ac:dyDescent="0.25">
      <c r="A174" s="2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9">
        <f t="shared" si="32"/>
        <v>0</v>
      </c>
    </row>
    <row r="175" spans="1:15" ht="20.399999999999999" customHeight="1" x14ac:dyDescent="0.25">
      <c r="A175" s="2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9"/>
    </row>
    <row r="176" spans="1:15" ht="18" customHeight="1" x14ac:dyDescent="0.25">
      <c r="A176" s="2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9">
        <f t="shared" si="32"/>
        <v>0</v>
      </c>
    </row>
    <row r="177" spans="1:15" ht="16.2" customHeight="1" x14ac:dyDescent="0.25">
      <c r="A177" s="2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9">
        <f t="shared" si="32"/>
        <v>0</v>
      </c>
    </row>
    <row r="178" spans="1:15" ht="16.2" customHeight="1" x14ac:dyDescent="0.25">
      <c r="A178" s="2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9">
        <f t="shared" si="32"/>
        <v>0</v>
      </c>
    </row>
    <row r="179" spans="1:15" ht="16.2" customHeight="1" x14ac:dyDescent="0.25">
      <c r="A179" s="2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9">
        <f t="shared" si="32"/>
        <v>0</v>
      </c>
    </row>
    <row r="180" spans="1:15" ht="14.4" x14ac:dyDescent="0.25">
      <c r="A180" s="18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9">
        <f t="shared" si="32"/>
        <v>0</v>
      </c>
    </row>
    <row r="181" spans="1:15" ht="14.4" x14ac:dyDescent="0.25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9">
        <f t="shared" si="32"/>
        <v>0</v>
      </c>
    </row>
    <row r="182" spans="1:15" ht="14.4" x14ac:dyDescent="0.25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9">
        <f t="shared" si="32"/>
        <v>0</v>
      </c>
    </row>
    <row r="183" spans="1:15" ht="14.4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9">
        <f t="shared" si="32"/>
        <v>0</v>
      </c>
    </row>
    <row r="184" spans="1:15" ht="14.4" x14ac:dyDescent="0.25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9">
        <f t="shared" si="32"/>
        <v>0</v>
      </c>
    </row>
    <row r="185" spans="1:15" ht="14.4" x14ac:dyDescent="0.25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9">
        <f t="shared" si="32"/>
        <v>0</v>
      </c>
    </row>
    <row r="186" spans="1:15" ht="14.4" x14ac:dyDescent="0.25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9">
        <f t="shared" si="32"/>
        <v>0</v>
      </c>
    </row>
    <row r="187" spans="1:15" ht="14.4" x14ac:dyDescent="0.25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9">
        <f t="shared" si="32"/>
        <v>0</v>
      </c>
    </row>
    <row r="188" spans="1:15" ht="14.4" x14ac:dyDescent="0.25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9">
        <f t="shared" si="32"/>
        <v>0</v>
      </c>
    </row>
    <row r="189" spans="1:15" ht="14.4" x14ac:dyDescent="0.25">
      <c r="A189" s="178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9">
        <f t="shared" si="32"/>
        <v>0</v>
      </c>
    </row>
    <row r="190" spans="1:15" ht="14.4" x14ac:dyDescent="0.25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9">
        <f t="shared" si="32"/>
        <v>0</v>
      </c>
    </row>
    <row r="191" spans="1:15" ht="14.4" x14ac:dyDescent="0.25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9">
        <f t="shared" si="32"/>
        <v>0</v>
      </c>
    </row>
    <row r="192" spans="1:15" ht="14.4" x14ac:dyDescent="0.25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9">
        <f t="shared" si="32"/>
        <v>0</v>
      </c>
    </row>
    <row r="193" spans="2:16" ht="16.2" customHeight="1" x14ac:dyDescent="0.25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9">
        <f t="shared" si="32"/>
        <v>0</v>
      </c>
    </row>
    <row r="194" spans="2:16" ht="14.4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9">
        <f t="shared" si="32"/>
        <v>0</v>
      </c>
    </row>
    <row r="195" spans="2:16" ht="14.4" x14ac:dyDescent="0.25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9">
        <f t="shared" si="32"/>
        <v>0</v>
      </c>
      <c r="P195" s="178"/>
    </row>
    <row r="196" spans="2:16" ht="14.4" x14ac:dyDescent="0.25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2:16" ht="14.4" x14ac:dyDescent="0.25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</sheetData>
  <dataValidations count="1">
    <dataValidation type="textLength" errorStyle="warning" allowBlank="1" showInputMessage="1" showErrorMessage="1" errorTitle="Atención" error="Llenar este campo es obligatorio" promptTitle="Atención" prompt="Llenar este campo es obligatorio" sqref="E167:F167 B168:F170 B167:C167 C166:D166 F166" xr:uid="{00000000-0002-0000-0600-000000000000}">
      <formula1>1</formula1>
      <formula2>100</formula2>
    </dataValidation>
  </dataValidations>
  <printOptions horizontalCentered="1"/>
  <pageMargins left="0" right="0" top="0" bottom="0" header="0" footer="0"/>
  <pageSetup paperSize="9" scale="45" orientation="landscape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Q57"/>
  <sheetViews>
    <sheetView zoomScale="70" zoomScaleNormal="70" workbookViewId="0">
      <pane ySplit="3" topLeftCell="A4" activePane="bottomLeft" state="frozen"/>
      <selection pane="bottomLeft" activeCell="L16" sqref="L16"/>
    </sheetView>
  </sheetViews>
  <sheetFormatPr baseColWidth="10" defaultColWidth="9.109375" defaultRowHeight="13.8" outlineLevelRow="2" outlineLevelCol="1" x14ac:dyDescent="0.25"/>
  <cols>
    <col min="1" max="1" width="5.33203125" style="8" customWidth="1"/>
    <col min="2" max="2" width="7.5546875" style="8" hidden="1" customWidth="1"/>
    <col min="3" max="3" width="56.44140625" style="8" customWidth="1"/>
    <col min="4" max="15" width="15.109375" style="8" customWidth="1" outlineLevel="1"/>
    <col min="16" max="16" width="19" style="8" customWidth="1"/>
    <col min="17" max="17" width="10" style="8" customWidth="1"/>
    <col min="18" max="16384" width="9.109375" style="8"/>
  </cols>
  <sheetData>
    <row r="1" spans="1:17" ht="42.75" customHeight="1" thickBot="1" x14ac:dyDescent="0.35">
      <c r="B1" s="9"/>
      <c r="C1" s="10" t="s">
        <v>148</v>
      </c>
    </row>
    <row r="2" spans="1:17" ht="15" hidden="1" customHeight="1" thickBot="1" x14ac:dyDescent="0.3">
      <c r="A2" s="11"/>
      <c r="C2" s="11"/>
    </row>
    <row r="3" spans="1:17" ht="33" customHeight="1" x14ac:dyDescent="0.25">
      <c r="A3" s="11"/>
      <c r="C3" s="19"/>
      <c r="D3" s="28">
        <f>'SAP '!C3</f>
        <v>45505</v>
      </c>
      <c r="E3" s="28">
        <f>'SAP '!D3</f>
        <v>45536</v>
      </c>
      <c r="F3" s="28">
        <f>'SAP '!E3</f>
        <v>45566</v>
      </c>
      <c r="G3" s="28">
        <f>'SAP '!F3</f>
        <v>45597</v>
      </c>
      <c r="H3" s="28">
        <f>'SAP '!G3</f>
        <v>45627</v>
      </c>
      <c r="I3" s="28">
        <f>'SAP '!H3</f>
        <v>45658</v>
      </c>
      <c r="J3" s="28">
        <f>'SAP '!I3</f>
        <v>45689</v>
      </c>
      <c r="K3" s="28">
        <f>'SAP '!J3</f>
        <v>45717</v>
      </c>
      <c r="L3" s="28">
        <f>'SAP '!K3</f>
        <v>45748</v>
      </c>
      <c r="M3" s="28">
        <f>'SAP '!L3</f>
        <v>45778</v>
      </c>
      <c r="N3" s="28">
        <f>'SAP '!M3</f>
        <v>45809</v>
      </c>
      <c r="O3" s="28">
        <f>'SAP '!N3</f>
        <v>45839</v>
      </c>
      <c r="P3" s="89" t="str">
        <f>'SAP '!O3</f>
        <v>TOTAL Y20</v>
      </c>
    </row>
    <row r="4" spans="1:17" ht="6" customHeight="1" x14ac:dyDescent="0.25">
      <c r="A4" s="11"/>
      <c r="C4" s="13"/>
      <c r="D4" s="14"/>
    </row>
    <row r="5" spans="1:17" ht="27" customHeight="1" x14ac:dyDescent="0.25">
      <c r="A5" s="11"/>
      <c r="C5" s="48" t="s">
        <v>147</v>
      </c>
      <c r="D5" s="60">
        <f>+D6+D28+D37+D49</f>
        <v>-450000</v>
      </c>
      <c r="E5" s="60">
        <f t="shared" ref="E5:O5" si="0">+E6+E28+E37+E49</f>
        <v>-7200000</v>
      </c>
      <c r="F5" s="60">
        <f t="shared" si="0"/>
        <v>0</v>
      </c>
      <c r="G5" s="60">
        <f t="shared" si="0"/>
        <v>-2200000</v>
      </c>
      <c r="H5" s="60">
        <f t="shared" si="0"/>
        <v>-1320000</v>
      </c>
      <c r="I5" s="60">
        <f t="shared" si="0"/>
        <v>0</v>
      </c>
      <c r="J5" s="60">
        <f t="shared" si="0"/>
        <v>0</v>
      </c>
      <c r="K5" s="60">
        <f t="shared" si="0"/>
        <v>0</v>
      </c>
      <c r="L5" s="60">
        <f t="shared" si="0"/>
        <v>0</v>
      </c>
      <c r="M5" s="60">
        <f t="shared" si="0"/>
        <v>0</v>
      </c>
      <c r="N5" s="60">
        <f t="shared" si="0"/>
        <v>0</v>
      </c>
      <c r="O5" s="60">
        <f t="shared" si="0"/>
        <v>0</v>
      </c>
      <c r="P5" s="61">
        <f>SUM(D5:O5)</f>
        <v>-11170000</v>
      </c>
      <c r="Q5" s="88"/>
    </row>
    <row r="6" spans="1:17" ht="32.25" customHeight="1" outlineLevel="1" x14ac:dyDescent="0.25">
      <c r="A6" s="11"/>
      <c r="C6" s="44" t="s">
        <v>108</v>
      </c>
      <c r="D6" s="56">
        <f>SUM(D7:D27)</f>
        <v>-450000</v>
      </c>
      <c r="E6" s="56">
        <f t="shared" ref="E6:O6" si="1">SUM(E7:E27)</f>
        <v>-7200000</v>
      </c>
      <c r="F6" s="56">
        <f t="shared" si="1"/>
        <v>0</v>
      </c>
      <c r="G6" s="56">
        <f t="shared" si="1"/>
        <v>-2200000</v>
      </c>
      <c r="H6" s="56">
        <f t="shared" si="1"/>
        <v>-1320000</v>
      </c>
      <c r="I6" s="56">
        <f t="shared" si="1"/>
        <v>0</v>
      </c>
      <c r="J6" s="56">
        <f t="shared" si="1"/>
        <v>0</v>
      </c>
      <c r="K6" s="56">
        <f t="shared" si="1"/>
        <v>0</v>
      </c>
      <c r="L6" s="56">
        <f t="shared" si="1"/>
        <v>0</v>
      </c>
      <c r="M6" s="56">
        <f t="shared" si="1"/>
        <v>0</v>
      </c>
      <c r="N6" s="56">
        <f t="shared" si="1"/>
        <v>0</v>
      </c>
      <c r="O6" s="56">
        <f t="shared" si="1"/>
        <v>0</v>
      </c>
      <c r="P6" s="56">
        <f>SUM(D6:O6)</f>
        <v>-11170000</v>
      </c>
      <c r="Q6" s="17"/>
    </row>
    <row r="7" spans="1:17" ht="24.75" customHeight="1" outlineLevel="2" x14ac:dyDescent="0.25">
      <c r="A7" s="25"/>
      <c r="C7" s="75" t="str">
        <f>+'SAP D'!C7</f>
        <v>SAP ARG. P-OSDE M.De Vincenzo ADM945 26/08/2024</v>
      </c>
      <c r="D7" s="16">
        <f>-25000*18</f>
        <v>-450000</v>
      </c>
      <c r="E7" s="16"/>
      <c r="F7" s="16"/>
      <c r="G7" s="177"/>
      <c r="H7" s="16"/>
      <c r="I7" s="16"/>
      <c r="J7" s="16"/>
      <c r="K7" s="16"/>
      <c r="L7" s="16"/>
      <c r="M7" s="16"/>
      <c r="N7" s="16"/>
      <c r="O7" s="16"/>
      <c r="P7" s="16">
        <f t="shared" ref="P7:P54" si="2">SUM(D7:O7)</f>
        <v>-450000</v>
      </c>
      <c r="Q7" s="17"/>
    </row>
    <row r="8" spans="1:17" ht="24.75" customHeight="1" outlineLevel="2" x14ac:dyDescent="0.25">
      <c r="A8" s="11">
        <v>1200</v>
      </c>
      <c r="C8" s="75" t="str">
        <f>+'SAP D'!C8</f>
        <v>SAP ARG. P-OSDE C.Cortez UX100 05/08/2024</v>
      </c>
      <c r="D8" s="16"/>
      <c r="E8" s="16">
        <f>-400*5*A8</f>
        <v>-2400000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f t="shared" si="2"/>
        <v>-2400000</v>
      </c>
      <c r="Q8" s="17"/>
    </row>
    <row r="9" spans="1:17" ht="24.75" customHeight="1" outlineLevel="2" x14ac:dyDescent="0.25">
      <c r="A9" s="11">
        <v>1200</v>
      </c>
      <c r="C9" s="75" t="str">
        <f>+'SAP D'!C9</f>
        <v>SAP ARG. P-OSDE C.Cortez UX200 19/08/2025</v>
      </c>
      <c r="D9" s="16"/>
      <c r="E9" s="16">
        <f>-400*5*A9</f>
        <v>-2400000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>
        <f t="shared" si="2"/>
        <v>-2400000</v>
      </c>
      <c r="Q9" s="17"/>
    </row>
    <row r="10" spans="1:17" ht="24.75" customHeight="1" outlineLevel="2" x14ac:dyDescent="0.25">
      <c r="A10" s="11">
        <v>1200</v>
      </c>
      <c r="C10" s="75" t="str">
        <f>+'SAP D'!C10</f>
        <v>SAP ARG. P-OSDE R.Alcantara S4H00 02/09/2024</v>
      </c>
      <c r="D10" s="16"/>
      <c r="E10" s="16">
        <f>-400*5*A10</f>
        <v>-2400000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>
        <f t="shared" si="2"/>
        <v>-2400000</v>
      </c>
      <c r="Q10" s="17"/>
    </row>
    <row r="11" spans="1:17" ht="24.75" customHeight="1" outlineLevel="2" x14ac:dyDescent="0.25">
      <c r="A11" s="213">
        <v>1100</v>
      </c>
      <c r="C11" s="75" t="str">
        <f>+'SAP D'!C11</f>
        <v>SAP ARG. P-OSDE R.Alcantara GW100 11/11/2024</v>
      </c>
      <c r="D11" s="16"/>
      <c r="E11" s="16"/>
      <c r="F11" s="16"/>
      <c r="G11" s="177">
        <f>-400*5*A11</f>
        <v>-2200000</v>
      </c>
      <c r="H11" s="177"/>
      <c r="I11" s="16"/>
      <c r="J11" s="16"/>
      <c r="K11" s="16"/>
      <c r="L11" s="16"/>
      <c r="M11" s="16"/>
      <c r="N11" s="16"/>
      <c r="O11" s="16"/>
      <c r="P11" s="16">
        <f t="shared" si="2"/>
        <v>-2200000</v>
      </c>
      <c r="Q11" s="17"/>
    </row>
    <row r="12" spans="1:17" ht="24.75" customHeight="1" outlineLevel="2" x14ac:dyDescent="0.25">
      <c r="A12" s="213">
        <v>1100</v>
      </c>
      <c r="C12" s="75" t="str">
        <f>+'SAP D'!C12</f>
        <v>SAP ARG. P-SIDERCA C.Aguirre CLD900 25/11/2024</v>
      </c>
      <c r="D12" s="16"/>
      <c r="E12" s="16"/>
      <c r="F12" s="16"/>
      <c r="G12" s="177"/>
      <c r="H12" s="177">
        <f>-400*3*A12</f>
        <v>-1320000</v>
      </c>
      <c r="I12" s="16"/>
      <c r="J12" s="16"/>
      <c r="K12" s="16"/>
      <c r="L12" s="16"/>
      <c r="M12" s="16"/>
      <c r="N12" s="16"/>
      <c r="O12" s="16"/>
      <c r="P12" s="16">
        <f t="shared" si="2"/>
        <v>-1320000</v>
      </c>
      <c r="Q12" s="17"/>
    </row>
    <row r="13" spans="1:17" ht="24.75" customHeight="1" outlineLevel="2" x14ac:dyDescent="0.25">
      <c r="A13" s="181"/>
      <c r="C13" s="75"/>
      <c r="D13" s="16"/>
      <c r="E13" s="16"/>
      <c r="F13" s="16"/>
      <c r="G13" s="177"/>
      <c r="H13" s="16"/>
      <c r="I13" s="16"/>
      <c r="J13" s="16"/>
      <c r="K13" s="16"/>
      <c r="L13" s="16"/>
      <c r="M13" s="16"/>
      <c r="N13" s="16"/>
      <c r="O13" s="16"/>
      <c r="P13" s="16">
        <f t="shared" si="2"/>
        <v>0</v>
      </c>
      <c r="Q13" s="17"/>
    </row>
    <row r="14" spans="1:17" ht="24.75" customHeight="1" outlineLevel="2" x14ac:dyDescent="0.25">
      <c r="A14" s="181"/>
      <c r="C14" s="75"/>
      <c r="D14" s="16"/>
      <c r="E14" s="16"/>
      <c r="F14" s="16"/>
      <c r="G14" s="177"/>
      <c r="H14" s="16"/>
      <c r="I14" s="16"/>
      <c r="J14" s="16"/>
      <c r="K14" s="16"/>
      <c r="L14" s="16"/>
      <c r="M14" s="16"/>
      <c r="N14" s="16"/>
      <c r="O14" s="16"/>
      <c r="P14" s="16">
        <f t="shared" si="2"/>
        <v>0</v>
      </c>
      <c r="Q14" s="17"/>
    </row>
    <row r="15" spans="1:17" ht="24.75" customHeight="1" outlineLevel="2" x14ac:dyDescent="0.25">
      <c r="A15" s="217"/>
      <c r="C15" s="75"/>
      <c r="D15" s="16"/>
      <c r="E15" s="16"/>
      <c r="F15" s="16"/>
      <c r="G15" s="177"/>
      <c r="H15" s="16"/>
      <c r="I15" s="16"/>
      <c r="J15" s="16"/>
      <c r="K15" s="16"/>
      <c r="L15" s="16"/>
      <c r="M15" s="16"/>
      <c r="N15" s="16"/>
      <c r="O15" s="16"/>
      <c r="P15" s="16">
        <f t="shared" si="2"/>
        <v>0</v>
      </c>
      <c r="Q15" s="17"/>
    </row>
    <row r="16" spans="1:17" ht="24.75" customHeight="1" outlineLevel="2" x14ac:dyDescent="0.25">
      <c r="A16" s="181"/>
      <c r="C16" s="75"/>
      <c r="D16" s="16"/>
      <c r="E16" s="16"/>
      <c r="F16" s="16"/>
      <c r="G16" s="177"/>
      <c r="H16" s="16"/>
      <c r="I16" s="16"/>
      <c r="J16" s="16"/>
      <c r="K16" s="16"/>
      <c r="L16" s="16"/>
      <c r="M16" s="16"/>
      <c r="N16" s="16"/>
      <c r="O16" s="16"/>
      <c r="P16" s="16">
        <f t="shared" si="2"/>
        <v>0</v>
      </c>
      <c r="Q16" s="17"/>
    </row>
    <row r="17" spans="1:17" ht="24.75" customHeight="1" outlineLevel="2" x14ac:dyDescent="0.25">
      <c r="A17" s="25"/>
      <c r="C17" s="75"/>
      <c r="D17" s="16"/>
      <c r="E17" s="16"/>
      <c r="F17" s="16"/>
      <c r="G17" s="177"/>
      <c r="H17" s="16"/>
      <c r="I17" s="16"/>
      <c r="J17" s="16"/>
      <c r="K17" s="16"/>
      <c r="L17" s="16"/>
      <c r="M17" s="16"/>
      <c r="N17" s="16"/>
      <c r="O17" s="16"/>
      <c r="P17" s="16">
        <f t="shared" si="2"/>
        <v>0</v>
      </c>
      <c r="Q17" s="17"/>
    </row>
    <row r="18" spans="1:17" ht="24.75" customHeight="1" outlineLevel="2" x14ac:dyDescent="0.25">
      <c r="A18" s="25"/>
      <c r="C18" s="75"/>
      <c r="D18" s="16"/>
      <c r="E18" s="16"/>
      <c r="F18" s="16"/>
      <c r="G18" s="177"/>
      <c r="H18" s="16"/>
      <c r="I18" s="16"/>
      <c r="J18" s="16"/>
      <c r="K18" s="16"/>
      <c r="L18" s="16"/>
      <c r="M18" s="16"/>
      <c r="N18" s="16"/>
      <c r="O18" s="16"/>
      <c r="P18" s="16">
        <f t="shared" si="2"/>
        <v>0</v>
      </c>
      <c r="Q18" s="17"/>
    </row>
    <row r="19" spans="1:17" ht="24.75" customHeight="1" outlineLevel="2" x14ac:dyDescent="0.25">
      <c r="A19" s="181"/>
      <c r="C19" s="75"/>
      <c r="D19" s="16"/>
      <c r="E19" s="16"/>
      <c r="F19" s="16"/>
      <c r="G19" s="177"/>
      <c r="H19" s="16"/>
      <c r="I19" s="16"/>
      <c r="J19" s="16"/>
      <c r="K19" s="16"/>
      <c r="L19" s="16"/>
      <c r="M19" s="177"/>
      <c r="N19" s="177"/>
      <c r="O19" s="16"/>
      <c r="P19" s="16">
        <f t="shared" si="2"/>
        <v>0</v>
      </c>
      <c r="Q19" s="17"/>
    </row>
    <row r="20" spans="1:17" ht="24.75" customHeight="1" outlineLevel="2" x14ac:dyDescent="0.25">
      <c r="A20" s="181"/>
      <c r="C20" s="75"/>
      <c r="D20" s="16"/>
      <c r="E20" s="16"/>
      <c r="F20" s="16"/>
      <c r="G20" s="177"/>
      <c r="H20" s="16"/>
      <c r="I20" s="16"/>
      <c r="J20" s="16"/>
      <c r="K20" s="16"/>
      <c r="L20" s="16"/>
      <c r="M20" s="177"/>
      <c r="N20" s="16"/>
      <c r="O20" s="16"/>
      <c r="P20" s="16">
        <f t="shared" si="2"/>
        <v>0</v>
      </c>
      <c r="Q20" s="17"/>
    </row>
    <row r="21" spans="1:17" ht="24.75" customHeight="1" outlineLevel="2" x14ac:dyDescent="0.25">
      <c r="A21" s="181"/>
      <c r="C21" s="75"/>
      <c r="D21" s="16"/>
      <c r="E21" s="16"/>
      <c r="F21" s="16"/>
      <c r="G21" s="177"/>
      <c r="H21" s="16"/>
      <c r="I21" s="16"/>
      <c r="J21" s="16"/>
      <c r="K21" s="16"/>
      <c r="L21" s="16"/>
      <c r="M21" s="177"/>
      <c r="N21" s="16"/>
      <c r="O21" s="16"/>
      <c r="P21" s="16">
        <f t="shared" si="2"/>
        <v>0</v>
      </c>
      <c r="Q21" s="17"/>
    </row>
    <row r="22" spans="1:17" ht="24.75" customHeight="1" outlineLevel="2" x14ac:dyDescent="0.25">
      <c r="A22" s="181"/>
      <c r="C22" s="75"/>
      <c r="D22" s="16"/>
      <c r="E22" s="16"/>
      <c r="F22" s="16"/>
      <c r="G22" s="177"/>
      <c r="H22" s="16"/>
      <c r="I22" s="16"/>
      <c r="J22" s="16"/>
      <c r="K22" s="16"/>
      <c r="L22" s="16"/>
      <c r="M22" s="177"/>
      <c r="N22" s="16"/>
      <c r="O22" s="16"/>
      <c r="P22" s="16">
        <f t="shared" si="2"/>
        <v>0</v>
      </c>
      <c r="Q22" s="17"/>
    </row>
    <row r="23" spans="1:17" ht="24.75" customHeight="1" outlineLevel="2" x14ac:dyDescent="0.25">
      <c r="A23" s="181"/>
      <c r="C23" s="75"/>
      <c r="D23" s="16"/>
      <c r="E23" s="16"/>
      <c r="F23" s="16"/>
      <c r="G23" s="177"/>
      <c r="H23" s="16"/>
      <c r="I23" s="16"/>
      <c r="J23" s="16"/>
      <c r="K23" s="16"/>
      <c r="L23" s="16"/>
      <c r="M23" s="177"/>
      <c r="N23" s="16"/>
      <c r="O23" s="16"/>
      <c r="P23" s="16">
        <f t="shared" si="2"/>
        <v>0</v>
      </c>
      <c r="Q23" s="17"/>
    </row>
    <row r="24" spans="1:17" ht="24.75" customHeight="1" outlineLevel="2" x14ac:dyDescent="0.25">
      <c r="A24" s="181"/>
      <c r="C24" s="75"/>
      <c r="D24" s="16"/>
      <c r="E24" s="16"/>
      <c r="F24" s="16"/>
      <c r="G24" s="177"/>
      <c r="H24" s="16"/>
      <c r="I24" s="16"/>
      <c r="J24" s="16"/>
      <c r="K24" s="16"/>
      <c r="L24" s="16"/>
      <c r="M24" s="177"/>
      <c r="N24" s="16"/>
      <c r="O24" s="16"/>
      <c r="P24" s="16">
        <f t="shared" si="2"/>
        <v>0</v>
      </c>
      <c r="Q24" s="17"/>
    </row>
    <row r="25" spans="1:17" ht="24.75" customHeight="1" outlineLevel="2" x14ac:dyDescent="0.25">
      <c r="A25" s="181"/>
      <c r="C25" s="75"/>
      <c r="D25" s="16"/>
      <c r="E25" s="16"/>
      <c r="F25" s="16"/>
      <c r="G25" s="177"/>
      <c r="H25" s="16"/>
      <c r="I25" s="16"/>
      <c r="J25" s="16"/>
      <c r="K25" s="16"/>
      <c r="L25" s="16"/>
      <c r="M25" s="16"/>
      <c r="N25" s="16"/>
      <c r="O25" s="16"/>
      <c r="P25" s="16">
        <f t="shared" si="2"/>
        <v>0</v>
      </c>
      <c r="Q25" s="17"/>
    </row>
    <row r="26" spans="1:17" ht="24.75" customHeight="1" outlineLevel="2" x14ac:dyDescent="0.25">
      <c r="C26" s="75"/>
      <c r="D26" s="16"/>
      <c r="E26" s="16"/>
      <c r="F26" s="16"/>
      <c r="G26" s="16"/>
      <c r="H26" s="16"/>
      <c r="I26" s="16"/>
      <c r="J26" s="16"/>
      <c r="K26" s="16"/>
      <c r="L26" s="16"/>
      <c r="M26" s="177"/>
      <c r="N26" s="16"/>
      <c r="O26" s="16"/>
      <c r="P26" s="16">
        <f t="shared" si="2"/>
        <v>0</v>
      </c>
      <c r="Q26" s="17"/>
    </row>
    <row r="27" spans="1:17" ht="24.75" customHeight="1" outlineLevel="2" x14ac:dyDescent="0.25">
      <c r="A27" s="181"/>
      <c r="C27" s="7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f t="shared" si="2"/>
        <v>0</v>
      </c>
    </row>
    <row r="28" spans="1:17" ht="24.75" customHeight="1" outlineLevel="1" x14ac:dyDescent="0.25">
      <c r="C28" s="44" t="str">
        <f>+'SAP D'!C29</f>
        <v>SAP PERÚ SAC</v>
      </c>
      <c r="D28" s="56">
        <f>SUM(D29:D36)</f>
        <v>0</v>
      </c>
      <c r="E28" s="56">
        <f t="shared" ref="E28:O28" si="3">SUM(E29:E36)</f>
        <v>0</v>
      </c>
      <c r="F28" s="56">
        <f t="shared" si="3"/>
        <v>0</v>
      </c>
      <c r="G28" s="56">
        <f t="shared" si="3"/>
        <v>0</v>
      </c>
      <c r="H28" s="56">
        <f t="shared" si="3"/>
        <v>0</v>
      </c>
      <c r="I28" s="56">
        <f t="shared" si="3"/>
        <v>0</v>
      </c>
      <c r="J28" s="56">
        <f t="shared" si="3"/>
        <v>0</v>
      </c>
      <c r="K28" s="56">
        <f t="shared" si="3"/>
        <v>0</v>
      </c>
      <c r="L28" s="56">
        <f t="shared" si="3"/>
        <v>0</v>
      </c>
      <c r="M28" s="56">
        <f t="shared" si="3"/>
        <v>0</v>
      </c>
      <c r="N28" s="56">
        <f t="shared" si="3"/>
        <v>0</v>
      </c>
      <c r="O28" s="56">
        <f t="shared" si="3"/>
        <v>0</v>
      </c>
      <c r="P28" s="56">
        <f t="shared" si="2"/>
        <v>0</v>
      </c>
    </row>
    <row r="29" spans="1:17" ht="24.75" customHeight="1" outlineLevel="2" x14ac:dyDescent="0.25">
      <c r="A29" s="205"/>
      <c r="C29" s="7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>
        <f t="shared" si="2"/>
        <v>0</v>
      </c>
    </row>
    <row r="30" spans="1:17" ht="24.75" customHeight="1" outlineLevel="2" x14ac:dyDescent="0.25">
      <c r="A30" s="213"/>
      <c r="C30" s="7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f t="shared" si="2"/>
        <v>0</v>
      </c>
    </row>
    <row r="31" spans="1:17" ht="24.75" customHeight="1" outlineLevel="2" x14ac:dyDescent="0.25">
      <c r="C31" s="7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f t="shared" si="2"/>
        <v>0</v>
      </c>
    </row>
    <row r="32" spans="1:17" ht="24.75" customHeight="1" outlineLevel="2" x14ac:dyDescent="0.25">
      <c r="C32" s="75"/>
      <c r="D32" s="16"/>
      <c r="E32" s="16"/>
      <c r="F32" s="177"/>
      <c r="G32" s="16"/>
      <c r="H32" s="16"/>
      <c r="I32" s="16"/>
      <c r="J32" s="16"/>
      <c r="K32" s="16"/>
      <c r="L32" s="16"/>
      <c r="M32" s="16"/>
      <c r="N32" s="16"/>
      <c r="O32" s="16"/>
      <c r="P32" s="16">
        <f t="shared" si="2"/>
        <v>0</v>
      </c>
    </row>
    <row r="33" spans="1:16" ht="24.75" customHeight="1" outlineLevel="2" x14ac:dyDescent="0.25"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f t="shared" si="2"/>
        <v>0</v>
      </c>
    </row>
    <row r="34" spans="1:16" ht="24.75" customHeight="1" outlineLevel="2" x14ac:dyDescent="0.25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f t="shared" si="2"/>
        <v>0</v>
      </c>
    </row>
    <row r="35" spans="1:16" ht="24.75" customHeight="1" outlineLevel="2" x14ac:dyDescent="0.25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f t="shared" si="2"/>
        <v>0</v>
      </c>
    </row>
    <row r="36" spans="1:16" ht="24.75" customHeight="1" outlineLevel="2" x14ac:dyDescent="0.25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>
        <f t="shared" si="2"/>
        <v>0</v>
      </c>
    </row>
    <row r="37" spans="1:16" ht="24.75" customHeight="1" outlineLevel="1" x14ac:dyDescent="0.25">
      <c r="C37" s="44" t="s">
        <v>109</v>
      </c>
      <c r="D37" s="56">
        <f>SUM(D38:D48)</f>
        <v>0</v>
      </c>
      <c r="E37" s="56">
        <f t="shared" ref="E37:O37" si="4">SUM(E38:E48)</f>
        <v>0</v>
      </c>
      <c r="F37" s="56">
        <f t="shared" si="4"/>
        <v>0</v>
      </c>
      <c r="G37" s="56">
        <f t="shared" si="4"/>
        <v>0</v>
      </c>
      <c r="H37" s="56">
        <f t="shared" si="4"/>
        <v>0</v>
      </c>
      <c r="I37" s="56">
        <f t="shared" si="4"/>
        <v>0</v>
      </c>
      <c r="J37" s="56">
        <f t="shared" si="4"/>
        <v>0</v>
      </c>
      <c r="K37" s="56">
        <f t="shared" si="4"/>
        <v>0</v>
      </c>
      <c r="L37" s="56">
        <f t="shared" si="4"/>
        <v>0</v>
      </c>
      <c r="M37" s="56">
        <f t="shared" si="4"/>
        <v>0</v>
      </c>
      <c r="N37" s="56">
        <f t="shared" si="4"/>
        <v>0</v>
      </c>
      <c r="O37" s="56">
        <f t="shared" si="4"/>
        <v>0</v>
      </c>
      <c r="P37" s="56">
        <f t="shared" si="2"/>
        <v>0</v>
      </c>
    </row>
    <row r="38" spans="1:16" ht="16.95" customHeight="1" outlineLevel="2" x14ac:dyDescent="0.25">
      <c r="C38" s="75"/>
      <c r="D38" s="179"/>
      <c r="E38" s="16"/>
      <c r="F38" s="177"/>
      <c r="G38" s="16"/>
      <c r="H38" s="16"/>
      <c r="I38" s="16"/>
      <c r="J38" s="16"/>
      <c r="K38" s="16"/>
      <c r="L38" s="16"/>
      <c r="M38" s="16"/>
      <c r="N38" s="16"/>
      <c r="O38" s="16"/>
      <c r="P38" s="16">
        <f t="shared" si="2"/>
        <v>0</v>
      </c>
    </row>
    <row r="39" spans="1:16" ht="17.25" customHeight="1" outlineLevel="2" x14ac:dyDescent="0.25">
      <c r="C39" s="75"/>
      <c r="D39" s="16"/>
      <c r="E39" s="16"/>
      <c r="F39" s="16"/>
      <c r="G39" s="177"/>
      <c r="H39" s="16"/>
      <c r="I39" s="16"/>
      <c r="J39" s="16"/>
      <c r="K39" s="16"/>
      <c r="L39" s="16"/>
      <c r="M39" s="16"/>
      <c r="N39" s="16"/>
      <c r="O39" s="16"/>
      <c r="P39" s="16">
        <f t="shared" si="2"/>
        <v>0</v>
      </c>
    </row>
    <row r="40" spans="1:16" ht="17.25" customHeight="1" outlineLevel="2" x14ac:dyDescent="0.25">
      <c r="A40" s="178"/>
      <c r="C40" s="75"/>
      <c r="D40" s="16"/>
      <c r="E40" s="16"/>
      <c r="F40" s="16"/>
      <c r="G40" s="177"/>
      <c r="H40" s="16"/>
      <c r="I40" s="16"/>
      <c r="J40" s="16"/>
      <c r="K40" s="16"/>
      <c r="L40" s="16"/>
      <c r="M40" s="16"/>
      <c r="N40" s="16"/>
      <c r="O40" s="16"/>
      <c r="P40" s="16">
        <f t="shared" si="2"/>
        <v>0</v>
      </c>
    </row>
    <row r="41" spans="1:16" ht="17.25" customHeight="1" outlineLevel="2" x14ac:dyDescent="0.25">
      <c r="A41" s="178"/>
      <c r="C41" s="7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>
        <f t="shared" si="2"/>
        <v>0</v>
      </c>
    </row>
    <row r="42" spans="1:16" ht="17.25" customHeight="1" outlineLevel="2" x14ac:dyDescent="0.25">
      <c r="A42" s="178"/>
      <c r="C42" s="7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>
        <f t="shared" si="2"/>
        <v>0</v>
      </c>
    </row>
    <row r="43" spans="1:16" ht="17.25" customHeight="1" outlineLevel="2" x14ac:dyDescent="0.25">
      <c r="A43" s="178"/>
      <c r="C43" s="7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>
        <f t="shared" si="2"/>
        <v>0</v>
      </c>
    </row>
    <row r="44" spans="1:16" ht="17.25" customHeight="1" outlineLevel="2" x14ac:dyDescent="0.25">
      <c r="A44" s="178"/>
      <c r="C44" s="7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>
        <f t="shared" si="2"/>
        <v>0</v>
      </c>
    </row>
    <row r="45" spans="1:16" ht="17.25" customHeight="1" outlineLevel="2" x14ac:dyDescent="0.25">
      <c r="A45" s="178"/>
      <c r="C45" s="7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>
        <f t="shared" si="2"/>
        <v>0</v>
      </c>
    </row>
    <row r="46" spans="1:16" ht="17.25" customHeight="1" outlineLevel="2" x14ac:dyDescent="0.25">
      <c r="A46" s="178"/>
      <c r="C46" s="7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>
        <f t="shared" si="2"/>
        <v>0</v>
      </c>
    </row>
    <row r="47" spans="1:16" ht="17.25" customHeight="1" outlineLevel="2" x14ac:dyDescent="0.25">
      <c r="A47" s="178"/>
      <c r="C47" s="7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>
        <f t="shared" si="2"/>
        <v>0</v>
      </c>
    </row>
    <row r="48" spans="1:16" ht="17.25" customHeight="1" outlineLevel="2" x14ac:dyDescent="0.25"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>
        <f t="shared" si="2"/>
        <v>0</v>
      </c>
    </row>
    <row r="49" spans="1:16" ht="17.25" customHeight="1" outlineLevel="1" x14ac:dyDescent="0.25">
      <c r="C49" s="44" t="s">
        <v>110</v>
      </c>
      <c r="D49" s="56">
        <f>SUM(D50:D54)</f>
        <v>0</v>
      </c>
      <c r="E49" s="56">
        <f t="shared" ref="E49:O49" si="5">SUM(E50:E54)</f>
        <v>0</v>
      </c>
      <c r="F49" s="56">
        <f t="shared" si="5"/>
        <v>0</v>
      </c>
      <c r="G49" s="56">
        <f t="shared" si="5"/>
        <v>0</v>
      </c>
      <c r="H49" s="56">
        <f t="shared" si="5"/>
        <v>0</v>
      </c>
      <c r="I49" s="56">
        <f t="shared" si="5"/>
        <v>0</v>
      </c>
      <c r="J49" s="56">
        <f t="shared" si="5"/>
        <v>0</v>
      </c>
      <c r="K49" s="56">
        <f t="shared" si="5"/>
        <v>0</v>
      </c>
      <c r="L49" s="56">
        <f t="shared" si="5"/>
        <v>0</v>
      </c>
      <c r="M49" s="56">
        <f t="shared" si="5"/>
        <v>0</v>
      </c>
      <c r="N49" s="56">
        <f t="shared" si="5"/>
        <v>0</v>
      </c>
      <c r="O49" s="56">
        <f t="shared" si="5"/>
        <v>0</v>
      </c>
      <c r="P49" s="56">
        <f t="shared" si="2"/>
        <v>0</v>
      </c>
    </row>
    <row r="50" spans="1:16" ht="17.25" customHeight="1" outlineLevel="2" x14ac:dyDescent="0.25">
      <c r="A50" s="181"/>
      <c r="C50" s="7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>
        <f t="shared" si="2"/>
        <v>0</v>
      </c>
    </row>
    <row r="51" spans="1:16" ht="17.25" customHeight="1" outlineLevel="2" x14ac:dyDescent="0.25">
      <c r="C51" s="7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>
        <f t="shared" si="2"/>
        <v>0</v>
      </c>
    </row>
    <row r="52" spans="1:16" ht="17.25" customHeight="1" outlineLevel="2" x14ac:dyDescent="0.25">
      <c r="C52" s="7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>
        <f t="shared" si="2"/>
        <v>0</v>
      </c>
    </row>
    <row r="53" spans="1:16" ht="17.25" customHeight="1" outlineLevel="2" x14ac:dyDescent="0.25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>
        <f t="shared" si="2"/>
        <v>0</v>
      </c>
    </row>
    <row r="54" spans="1:16" ht="17.25" customHeight="1" outlineLevel="2" x14ac:dyDescent="0.25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>
        <f t="shared" si="2"/>
        <v>0</v>
      </c>
    </row>
    <row r="55" spans="1:16" ht="14.4" x14ac:dyDescent="0.25">
      <c r="P55" s="69"/>
    </row>
    <row r="56" spans="1:16" ht="14.4" x14ac:dyDescent="0.25">
      <c r="P56" s="69"/>
    </row>
    <row r="57" spans="1:16" ht="14.4" x14ac:dyDescent="0.25">
      <c r="P57" s="68"/>
    </row>
  </sheetData>
  <printOptions horizontalCentered="1"/>
  <pageMargins left="0" right="0" top="0" bottom="0" header="0" footer="0"/>
  <pageSetup paperSize="9" scale="4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Q100"/>
  <sheetViews>
    <sheetView zoomScale="80" zoomScaleNormal="80" workbookViewId="0">
      <pane ySplit="3" topLeftCell="A73" activePane="bottomLeft" state="frozen"/>
      <selection pane="bottomLeft" activeCell="J88" sqref="J88"/>
    </sheetView>
  </sheetViews>
  <sheetFormatPr baseColWidth="10" defaultColWidth="9.109375" defaultRowHeight="13.8" outlineLevelRow="2" outlineLevelCol="1" x14ac:dyDescent="0.25"/>
  <cols>
    <col min="1" max="1" width="6.109375" style="8" customWidth="1"/>
    <col min="2" max="2" width="7.5546875" style="8" hidden="1" customWidth="1"/>
    <col min="3" max="3" width="55.33203125" style="8" customWidth="1"/>
    <col min="4" max="15" width="14.109375" style="8" customWidth="1" outlineLevel="1"/>
    <col min="16" max="16" width="19" style="8" customWidth="1"/>
    <col min="17" max="17" width="10" style="8" customWidth="1"/>
    <col min="18" max="16384" width="9.109375" style="8"/>
  </cols>
  <sheetData>
    <row r="1" spans="1:17" ht="42.75" customHeight="1" thickBot="1" x14ac:dyDescent="0.35">
      <c r="B1" s="9"/>
      <c r="C1" s="10" t="s">
        <v>152</v>
      </c>
    </row>
    <row r="2" spans="1:17" ht="15" hidden="1" customHeight="1" thickBot="1" x14ac:dyDescent="0.3">
      <c r="A2" s="11"/>
      <c r="C2" s="11"/>
    </row>
    <row r="3" spans="1:17" ht="33" customHeight="1" x14ac:dyDescent="0.25">
      <c r="A3" s="11"/>
      <c r="C3" s="19"/>
      <c r="D3" s="28">
        <f>+'P&amp;L '!D4</f>
        <v>45505</v>
      </c>
      <c r="E3" s="28">
        <f>+'P&amp;L '!E4</f>
        <v>45536</v>
      </c>
      <c r="F3" s="28">
        <f>+'P&amp;L '!F4</f>
        <v>45566</v>
      </c>
      <c r="G3" s="28">
        <f>+'P&amp;L '!G4</f>
        <v>45597</v>
      </c>
      <c r="H3" s="28">
        <f>+'P&amp;L '!H4</f>
        <v>45627</v>
      </c>
      <c r="I3" s="28">
        <f>+'P&amp;L '!I4</f>
        <v>45658</v>
      </c>
      <c r="J3" s="28">
        <f>+'P&amp;L '!J4</f>
        <v>45689</v>
      </c>
      <c r="K3" s="28">
        <f>+'P&amp;L '!K4</f>
        <v>45717</v>
      </c>
      <c r="L3" s="28">
        <f>+'P&amp;L '!L4</f>
        <v>45748</v>
      </c>
      <c r="M3" s="28">
        <f>+'P&amp;L '!M4</f>
        <v>45778</v>
      </c>
      <c r="N3" s="28">
        <f>+'P&amp;L '!N4</f>
        <v>45809</v>
      </c>
      <c r="O3" s="28">
        <f>+'P&amp;L '!O4</f>
        <v>45839</v>
      </c>
      <c r="P3" s="89" t="str">
        <f>+'P&amp;L '!P4</f>
        <v>TOTAL Y20</v>
      </c>
    </row>
    <row r="4" spans="1:17" ht="6" customHeight="1" x14ac:dyDescent="0.25">
      <c r="A4" s="11"/>
      <c r="C4" s="13"/>
      <c r="D4" s="14"/>
    </row>
    <row r="5" spans="1:17" ht="45" customHeight="1" x14ac:dyDescent="0.25">
      <c r="A5" s="11"/>
      <c r="C5" s="72" t="s">
        <v>153</v>
      </c>
      <c r="D5" s="60">
        <f>+D6+D9+D12</f>
        <v>0</v>
      </c>
      <c r="E5" s="60">
        <f t="shared" ref="E5:O5" si="0">+E6+E9+E12</f>
        <v>-2400000</v>
      </c>
      <c r="F5" s="60">
        <f t="shared" si="0"/>
        <v>-635600</v>
      </c>
      <c r="G5" s="60">
        <f t="shared" si="0"/>
        <v>-3290000</v>
      </c>
      <c r="H5" s="60">
        <f t="shared" si="0"/>
        <v>0</v>
      </c>
      <c r="I5" s="60">
        <f t="shared" si="0"/>
        <v>0</v>
      </c>
      <c r="J5" s="60">
        <f t="shared" si="0"/>
        <v>-5459375</v>
      </c>
      <c r="K5" s="60">
        <f t="shared" si="0"/>
        <v>0</v>
      </c>
      <c r="L5" s="60">
        <f t="shared" si="0"/>
        <v>0</v>
      </c>
      <c r="M5" s="60">
        <f t="shared" si="0"/>
        <v>0</v>
      </c>
      <c r="N5" s="60">
        <f t="shared" si="0"/>
        <v>0</v>
      </c>
      <c r="O5" s="60">
        <f t="shared" si="0"/>
        <v>0</v>
      </c>
      <c r="P5" s="61">
        <f>SUM(D5:O5)</f>
        <v>-11784975</v>
      </c>
      <c r="Q5" s="15"/>
    </row>
    <row r="6" spans="1:17" ht="33.75" customHeight="1" outlineLevel="1" x14ac:dyDescent="0.25">
      <c r="A6" s="11"/>
      <c r="C6" s="44" t="s">
        <v>135</v>
      </c>
      <c r="D6" s="56">
        <f>SUM(D7:D8)</f>
        <v>0</v>
      </c>
      <c r="E6" s="56">
        <f t="shared" ref="E6:O6" si="1">SUM(E7:E8)</f>
        <v>0</v>
      </c>
      <c r="F6" s="56">
        <f t="shared" si="1"/>
        <v>-635600</v>
      </c>
      <c r="G6" s="56">
        <f t="shared" si="1"/>
        <v>0</v>
      </c>
      <c r="H6" s="56">
        <f t="shared" si="1"/>
        <v>0</v>
      </c>
      <c r="I6" s="56">
        <f t="shared" si="1"/>
        <v>0</v>
      </c>
      <c r="J6" s="56">
        <f t="shared" si="1"/>
        <v>0</v>
      </c>
      <c r="K6" s="56">
        <f t="shared" si="1"/>
        <v>0</v>
      </c>
      <c r="L6" s="56">
        <f t="shared" si="1"/>
        <v>0</v>
      </c>
      <c r="M6" s="56">
        <f t="shared" si="1"/>
        <v>0</v>
      </c>
      <c r="N6" s="56">
        <f t="shared" si="1"/>
        <v>0</v>
      </c>
      <c r="O6" s="56">
        <f t="shared" si="1"/>
        <v>0</v>
      </c>
      <c r="P6" s="56">
        <f>SUM(D6:O6)</f>
        <v>-635600</v>
      </c>
      <c r="Q6" s="17"/>
    </row>
    <row r="7" spans="1:17" ht="24.75" customHeight="1" outlineLevel="2" x14ac:dyDescent="0.25">
      <c r="A7" s="11"/>
      <c r="C7" s="45" t="str">
        <f>+SF!C7</f>
        <v>CURSOS SALESFORCE</v>
      </c>
      <c r="D7" s="16">
        <f>+D16</f>
        <v>0</v>
      </c>
      <c r="E7" s="16">
        <f t="shared" ref="E7:O7" si="2">+E16</f>
        <v>0</v>
      </c>
      <c r="F7" s="16">
        <f t="shared" si="2"/>
        <v>-635600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16">
        <f t="shared" si="2"/>
        <v>0</v>
      </c>
      <c r="O7" s="16">
        <f t="shared" si="2"/>
        <v>0</v>
      </c>
      <c r="P7" s="16">
        <f t="shared" ref="P7:P13" si="3">SUM(D7:O7)</f>
        <v>-635600</v>
      </c>
      <c r="Q7" s="17"/>
    </row>
    <row r="8" spans="1:17" ht="24.75" customHeight="1" outlineLevel="2" x14ac:dyDescent="0.25">
      <c r="A8" s="11"/>
      <c r="C8" s="45" t="str">
        <f>+SF!C8</f>
        <v>VOUCHERS SF</v>
      </c>
      <c r="D8" s="16">
        <f>+D28</f>
        <v>0</v>
      </c>
      <c r="E8" s="16">
        <f t="shared" ref="E8:O8" si="4">+E28</f>
        <v>0</v>
      </c>
      <c r="F8" s="16">
        <f t="shared" si="4"/>
        <v>0</v>
      </c>
      <c r="G8" s="16">
        <f t="shared" si="4"/>
        <v>0</v>
      </c>
      <c r="H8" s="16">
        <f t="shared" si="4"/>
        <v>0</v>
      </c>
      <c r="I8" s="16">
        <f t="shared" si="4"/>
        <v>0</v>
      </c>
      <c r="J8" s="16">
        <f t="shared" si="4"/>
        <v>0</v>
      </c>
      <c r="K8" s="16">
        <f t="shared" si="4"/>
        <v>0</v>
      </c>
      <c r="L8" s="16">
        <f t="shared" si="4"/>
        <v>0</v>
      </c>
      <c r="M8" s="16">
        <f t="shared" si="4"/>
        <v>0</v>
      </c>
      <c r="N8" s="16">
        <f t="shared" si="4"/>
        <v>0</v>
      </c>
      <c r="O8" s="16">
        <f t="shared" si="4"/>
        <v>0</v>
      </c>
      <c r="P8" s="16">
        <f t="shared" si="3"/>
        <v>0</v>
      </c>
      <c r="Q8" s="17"/>
    </row>
    <row r="9" spans="1:17" ht="28.5" customHeight="1" outlineLevel="1" x14ac:dyDescent="0.25">
      <c r="A9" s="11"/>
      <c r="C9" s="44" t="s">
        <v>120</v>
      </c>
      <c r="D9" s="56">
        <f>SUM(D10:D11)</f>
        <v>0</v>
      </c>
      <c r="E9" s="56">
        <f t="shared" ref="E9:O9" si="5">SUM(E10:E11)</f>
        <v>0</v>
      </c>
      <c r="F9" s="56">
        <f t="shared" si="5"/>
        <v>0</v>
      </c>
      <c r="G9" s="56">
        <f t="shared" si="5"/>
        <v>-2090000</v>
      </c>
      <c r="H9" s="56">
        <f t="shared" si="5"/>
        <v>0</v>
      </c>
      <c r="I9" s="56">
        <f t="shared" si="5"/>
        <v>0</v>
      </c>
      <c r="J9" s="56">
        <f t="shared" si="5"/>
        <v>-2859375</v>
      </c>
      <c r="K9" s="56">
        <f t="shared" si="5"/>
        <v>0</v>
      </c>
      <c r="L9" s="56">
        <f t="shared" si="5"/>
        <v>0</v>
      </c>
      <c r="M9" s="56">
        <f t="shared" si="5"/>
        <v>0</v>
      </c>
      <c r="N9" s="56">
        <f t="shared" si="5"/>
        <v>0</v>
      </c>
      <c r="O9" s="56">
        <f t="shared" si="5"/>
        <v>0</v>
      </c>
      <c r="P9" s="56">
        <f t="shared" si="3"/>
        <v>-4949375</v>
      </c>
      <c r="Q9" s="17"/>
    </row>
    <row r="10" spans="1:17" ht="24.75" customHeight="1" outlineLevel="2" x14ac:dyDescent="0.25">
      <c r="A10" s="11"/>
      <c r="C10" s="45" t="s">
        <v>194</v>
      </c>
      <c r="D10" s="16">
        <f>D48</f>
        <v>0</v>
      </c>
      <c r="E10" s="16">
        <f t="shared" ref="E10:O10" si="6">E48</f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si="6"/>
        <v>0</v>
      </c>
      <c r="K10" s="16">
        <f t="shared" si="6"/>
        <v>0</v>
      </c>
      <c r="L10" s="16">
        <f t="shared" si="6"/>
        <v>0</v>
      </c>
      <c r="M10" s="16">
        <f t="shared" si="6"/>
        <v>0</v>
      </c>
      <c r="N10" s="16">
        <f t="shared" si="6"/>
        <v>0</v>
      </c>
      <c r="O10" s="16">
        <f t="shared" si="6"/>
        <v>0</v>
      </c>
      <c r="P10" s="56">
        <f t="shared" si="3"/>
        <v>0</v>
      </c>
      <c r="Q10" s="17"/>
    </row>
    <row r="11" spans="1:17" ht="25.5" customHeight="1" outlineLevel="2" x14ac:dyDescent="0.25">
      <c r="A11" s="11"/>
      <c r="C11" s="45" t="s">
        <v>28</v>
      </c>
      <c r="D11" s="16">
        <f>D65</f>
        <v>0</v>
      </c>
      <c r="E11" s="16">
        <f t="shared" ref="E11:O11" si="7">E65</f>
        <v>0</v>
      </c>
      <c r="F11" s="16">
        <f t="shared" si="7"/>
        <v>0</v>
      </c>
      <c r="G11" s="16">
        <f t="shared" si="7"/>
        <v>-2090000</v>
      </c>
      <c r="H11" s="16">
        <f t="shared" si="7"/>
        <v>0</v>
      </c>
      <c r="I11" s="16">
        <f t="shared" si="7"/>
        <v>0</v>
      </c>
      <c r="J11" s="16">
        <f t="shared" si="7"/>
        <v>-2859375</v>
      </c>
      <c r="K11" s="16">
        <f t="shared" si="7"/>
        <v>0</v>
      </c>
      <c r="L11" s="16">
        <f t="shared" si="7"/>
        <v>0</v>
      </c>
      <c r="M11" s="16">
        <f t="shared" si="7"/>
        <v>0</v>
      </c>
      <c r="N11" s="16">
        <f t="shared" si="7"/>
        <v>0</v>
      </c>
      <c r="O11" s="16">
        <f t="shared" si="7"/>
        <v>0</v>
      </c>
      <c r="P11" s="56">
        <f t="shared" si="3"/>
        <v>-4949375</v>
      </c>
      <c r="Q11" s="17"/>
    </row>
    <row r="12" spans="1:17" ht="25.5" customHeight="1" outlineLevel="1" x14ac:dyDescent="0.25">
      <c r="C12" s="44" t="s">
        <v>136</v>
      </c>
      <c r="D12" s="56">
        <f>+D13</f>
        <v>0</v>
      </c>
      <c r="E12" s="56">
        <f t="shared" ref="E12:O12" si="8">+E13</f>
        <v>-2400000</v>
      </c>
      <c r="F12" s="56">
        <f t="shared" si="8"/>
        <v>0</v>
      </c>
      <c r="G12" s="56">
        <f t="shared" si="8"/>
        <v>-1200000</v>
      </c>
      <c r="H12" s="56">
        <f t="shared" si="8"/>
        <v>0</v>
      </c>
      <c r="I12" s="56">
        <f t="shared" si="8"/>
        <v>0</v>
      </c>
      <c r="J12" s="56">
        <f t="shared" si="8"/>
        <v>-2600000</v>
      </c>
      <c r="K12" s="56">
        <f t="shared" si="8"/>
        <v>0</v>
      </c>
      <c r="L12" s="56">
        <f t="shared" si="8"/>
        <v>0</v>
      </c>
      <c r="M12" s="56">
        <f t="shared" si="8"/>
        <v>0</v>
      </c>
      <c r="N12" s="56">
        <f t="shared" si="8"/>
        <v>0</v>
      </c>
      <c r="O12" s="56">
        <f t="shared" si="8"/>
        <v>0</v>
      </c>
      <c r="P12" s="56">
        <f t="shared" si="3"/>
        <v>-6200000</v>
      </c>
      <c r="Q12" s="17"/>
    </row>
    <row r="13" spans="1:17" ht="25.5" customHeight="1" outlineLevel="2" x14ac:dyDescent="0.25">
      <c r="C13" s="45" t="s">
        <v>13</v>
      </c>
      <c r="D13" s="16">
        <f>+D85</f>
        <v>0</v>
      </c>
      <c r="E13" s="16">
        <f t="shared" ref="E13:N13" si="9">+E85</f>
        <v>-2400000</v>
      </c>
      <c r="F13" s="16">
        <f t="shared" si="9"/>
        <v>0</v>
      </c>
      <c r="G13" s="16">
        <f t="shared" si="9"/>
        <v>-1200000</v>
      </c>
      <c r="H13" s="16">
        <f t="shared" si="9"/>
        <v>0</v>
      </c>
      <c r="I13" s="16">
        <f t="shared" si="9"/>
        <v>0</v>
      </c>
      <c r="J13" s="16">
        <f t="shared" si="9"/>
        <v>-2600000</v>
      </c>
      <c r="K13" s="16">
        <f t="shared" si="9"/>
        <v>0</v>
      </c>
      <c r="L13" s="16">
        <f t="shared" si="9"/>
        <v>0</v>
      </c>
      <c r="M13" s="16">
        <f t="shared" si="9"/>
        <v>0</v>
      </c>
      <c r="N13" s="16">
        <f t="shared" si="9"/>
        <v>0</v>
      </c>
      <c r="O13" s="16">
        <f>+O85</f>
        <v>0</v>
      </c>
      <c r="P13" s="56">
        <f t="shared" si="3"/>
        <v>-6200000</v>
      </c>
      <c r="Q13" s="17"/>
    </row>
    <row r="14" spans="1:17" ht="17.25" customHeight="1" x14ac:dyDescent="0.25"/>
    <row r="15" spans="1:17" ht="32.25" customHeight="1" x14ac:dyDescent="0.25">
      <c r="C15" s="97" t="s">
        <v>135</v>
      </c>
      <c r="D15" s="28">
        <f t="shared" ref="D15:P15" si="10">+D3</f>
        <v>45505</v>
      </c>
      <c r="E15" s="28">
        <f t="shared" si="10"/>
        <v>45536</v>
      </c>
      <c r="F15" s="28">
        <f t="shared" si="10"/>
        <v>45566</v>
      </c>
      <c r="G15" s="28">
        <f t="shared" si="10"/>
        <v>45597</v>
      </c>
      <c r="H15" s="28">
        <f t="shared" si="10"/>
        <v>45627</v>
      </c>
      <c r="I15" s="28">
        <f t="shared" si="10"/>
        <v>45658</v>
      </c>
      <c r="J15" s="28">
        <f t="shared" si="10"/>
        <v>45689</v>
      </c>
      <c r="K15" s="28">
        <f t="shared" si="10"/>
        <v>45717</v>
      </c>
      <c r="L15" s="28">
        <f t="shared" si="10"/>
        <v>45748</v>
      </c>
      <c r="M15" s="28">
        <f t="shared" si="10"/>
        <v>45778</v>
      </c>
      <c r="N15" s="28">
        <f t="shared" si="10"/>
        <v>45809</v>
      </c>
      <c r="O15" s="28">
        <f t="shared" si="10"/>
        <v>45839</v>
      </c>
      <c r="P15" s="89" t="str">
        <f t="shared" si="10"/>
        <v>TOTAL Y20</v>
      </c>
    </row>
    <row r="16" spans="1:17" ht="27" customHeight="1" thickBot="1" x14ac:dyDescent="0.3">
      <c r="C16" s="36" t="s">
        <v>151</v>
      </c>
      <c r="D16" s="95">
        <f>SUM(D17:D26)</f>
        <v>0</v>
      </c>
      <c r="E16" s="95">
        <f t="shared" ref="E16:O16" si="11">SUM(E17:E26)</f>
        <v>0</v>
      </c>
      <c r="F16" s="95">
        <f t="shared" si="11"/>
        <v>-635600</v>
      </c>
      <c r="G16" s="95">
        <f t="shared" si="11"/>
        <v>0</v>
      </c>
      <c r="H16" s="95">
        <f t="shared" si="11"/>
        <v>0</v>
      </c>
      <c r="I16" s="95">
        <f t="shared" si="11"/>
        <v>0</v>
      </c>
      <c r="J16" s="95">
        <f t="shared" si="11"/>
        <v>0</v>
      </c>
      <c r="K16" s="95">
        <f t="shared" si="11"/>
        <v>0</v>
      </c>
      <c r="L16" s="95">
        <f t="shared" si="11"/>
        <v>0</v>
      </c>
      <c r="M16" s="95">
        <f t="shared" si="11"/>
        <v>0</v>
      </c>
      <c r="N16" s="95">
        <f t="shared" si="11"/>
        <v>0</v>
      </c>
      <c r="O16" s="95">
        <f t="shared" si="11"/>
        <v>0</v>
      </c>
      <c r="P16" s="96">
        <f t="shared" ref="P16:P39" si="12">SUM(D16:O16)</f>
        <v>-635600</v>
      </c>
    </row>
    <row r="17" spans="1:16" ht="24.75" customHeight="1" outlineLevel="1" x14ac:dyDescent="0.25">
      <c r="C17" s="167" t="str">
        <f>+SF!C17</f>
        <v>ADX201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>
        <f t="shared" si="12"/>
        <v>0</v>
      </c>
    </row>
    <row r="18" spans="1:16" ht="24.75" customHeight="1" outlineLevel="1" x14ac:dyDescent="0.25">
      <c r="A18" s="8">
        <v>1135</v>
      </c>
      <c r="C18" s="167" t="str">
        <f>+SF!C18</f>
        <v>ADX261</v>
      </c>
      <c r="D18" s="16"/>
      <c r="E18" s="16"/>
      <c r="F18" s="59">
        <f>-16*35*A18</f>
        <v>-635600</v>
      </c>
      <c r="G18" s="16"/>
      <c r="H18" s="16"/>
      <c r="I18" s="16"/>
      <c r="J18" s="16"/>
      <c r="K18" s="16"/>
      <c r="L18" s="16"/>
      <c r="M18" s="16"/>
      <c r="N18" s="16"/>
      <c r="O18" s="16"/>
      <c r="P18" s="16">
        <f t="shared" si="12"/>
        <v>-635600</v>
      </c>
    </row>
    <row r="19" spans="1:16" ht="24.75" customHeight="1" outlineLevel="1" x14ac:dyDescent="0.25">
      <c r="C19" s="167" t="str">
        <f>+SF!C19</f>
        <v>MKT101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>
        <f t="shared" si="12"/>
        <v>0</v>
      </c>
    </row>
    <row r="20" spans="1:16" ht="24.75" customHeight="1" outlineLevel="1" x14ac:dyDescent="0.25">
      <c r="C20" s="167" t="str">
        <f>+SF!C20</f>
        <v>CRT101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>
        <f t="shared" si="12"/>
        <v>0</v>
      </c>
    </row>
    <row r="21" spans="1:16" ht="24.75" customHeight="1" outlineLevel="1" x14ac:dyDescent="0.25">
      <c r="C21" s="167" t="str">
        <f>+SF!C21</f>
        <v>DEX450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>
        <f t="shared" si="12"/>
        <v>0</v>
      </c>
    </row>
    <row r="22" spans="1:16" ht="24.75" customHeight="1" outlineLevel="1" x14ac:dyDescent="0.25">
      <c r="C22" s="18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>
        <f t="shared" si="12"/>
        <v>0</v>
      </c>
    </row>
    <row r="23" spans="1:16" ht="24.75" customHeight="1" outlineLevel="1" x14ac:dyDescent="0.25">
      <c r="C23" s="7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>
        <f t="shared" si="12"/>
        <v>0</v>
      </c>
    </row>
    <row r="24" spans="1:16" ht="24.75" customHeight="1" outlineLevel="1" x14ac:dyDescent="0.25">
      <c r="C24" s="7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>
        <f t="shared" si="12"/>
        <v>0</v>
      </c>
    </row>
    <row r="25" spans="1:16" ht="24.75" customHeight="1" outlineLevel="1" x14ac:dyDescent="0.25">
      <c r="C25" s="7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>
        <f t="shared" si="12"/>
        <v>0</v>
      </c>
    </row>
    <row r="26" spans="1:16" ht="24.75" customHeight="1" outlineLevel="1" x14ac:dyDescent="0.25">
      <c r="C26" s="7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f t="shared" si="12"/>
        <v>0</v>
      </c>
    </row>
    <row r="27" spans="1:16" ht="24.75" customHeight="1" x14ac:dyDescent="0.25">
      <c r="C27" s="7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ht="24.75" customHeight="1" thickBot="1" x14ac:dyDescent="0.3">
      <c r="C28" s="36" t="s">
        <v>251</v>
      </c>
      <c r="D28" s="95">
        <f>SUM(D29:D39)</f>
        <v>0</v>
      </c>
      <c r="E28" s="95">
        <f t="shared" ref="E28:O28" si="13">SUM(E29:E39)</f>
        <v>0</v>
      </c>
      <c r="F28" s="95">
        <f t="shared" si="13"/>
        <v>0</v>
      </c>
      <c r="G28" s="95">
        <f t="shared" si="13"/>
        <v>0</v>
      </c>
      <c r="H28" s="95">
        <f t="shared" si="13"/>
        <v>0</v>
      </c>
      <c r="I28" s="95">
        <f t="shared" si="13"/>
        <v>0</v>
      </c>
      <c r="J28" s="95">
        <f t="shared" si="13"/>
        <v>0</v>
      </c>
      <c r="K28" s="95">
        <f t="shared" si="13"/>
        <v>0</v>
      </c>
      <c r="L28" s="95">
        <f t="shared" si="13"/>
        <v>0</v>
      </c>
      <c r="M28" s="95">
        <f t="shared" si="13"/>
        <v>0</v>
      </c>
      <c r="N28" s="95">
        <f t="shared" si="13"/>
        <v>0</v>
      </c>
      <c r="O28" s="95">
        <f t="shared" si="13"/>
        <v>0</v>
      </c>
      <c r="P28" s="95">
        <f>SUM(D28:O28)</f>
        <v>0</v>
      </c>
    </row>
    <row r="29" spans="1:16" ht="24.75" customHeight="1" outlineLevel="1" x14ac:dyDescent="0.25">
      <c r="C29" s="75"/>
      <c r="D29" s="16"/>
      <c r="E29" s="16"/>
      <c r="F29" s="16"/>
      <c r="G29" s="16"/>
      <c r="H29" s="212"/>
      <c r="I29" s="16"/>
      <c r="J29" s="16"/>
      <c r="K29" s="16"/>
      <c r="L29" s="16"/>
      <c r="M29" s="16"/>
      <c r="N29" s="16"/>
      <c r="O29" s="16"/>
      <c r="P29" s="16">
        <f>SUM(D29:O29)</f>
        <v>0</v>
      </c>
    </row>
    <row r="30" spans="1:16" ht="24.75" customHeight="1" outlineLevel="1" x14ac:dyDescent="0.25">
      <c r="A30" s="178"/>
      <c r="C30" s="75"/>
      <c r="D30" s="16"/>
      <c r="E30" s="16"/>
      <c r="F30" s="16"/>
      <c r="G30" s="16"/>
      <c r="H30" s="16"/>
      <c r="I30" s="16"/>
      <c r="J30" s="16"/>
      <c r="K30" s="16"/>
      <c r="L30" s="177"/>
      <c r="M30" s="16"/>
      <c r="N30" s="16"/>
      <c r="O30" s="16"/>
      <c r="P30" s="16">
        <f t="shared" si="12"/>
        <v>0</v>
      </c>
    </row>
    <row r="31" spans="1:16" ht="24.75" customHeight="1" outlineLevel="1" x14ac:dyDescent="0.25">
      <c r="C31" s="7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f t="shared" si="12"/>
        <v>0</v>
      </c>
    </row>
    <row r="32" spans="1:16" ht="24.75" customHeight="1" outlineLevel="1" x14ac:dyDescent="0.25">
      <c r="C32" s="7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f t="shared" si="12"/>
        <v>0</v>
      </c>
    </row>
    <row r="33" spans="3:16" ht="24.75" customHeight="1" outlineLevel="1" x14ac:dyDescent="0.25">
      <c r="C33" s="7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f t="shared" si="12"/>
        <v>0</v>
      </c>
    </row>
    <row r="34" spans="3:16" ht="24.75" customHeight="1" outlineLevel="1" x14ac:dyDescent="0.25">
      <c r="C34" s="7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f t="shared" si="12"/>
        <v>0</v>
      </c>
    </row>
    <row r="35" spans="3:16" ht="24.75" customHeight="1" outlineLevel="1" x14ac:dyDescent="0.25">
      <c r="C35" s="7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f t="shared" si="12"/>
        <v>0</v>
      </c>
    </row>
    <row r="36" spans="3:16" ht="24.75" customHeight="1" outlineLevel="1" x14ac:dyDescent="0.25">
      <c r="C36" s="7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>
        <f t="shared" si="12"/>
        <v>0</v>
      </c>
    </row>
    <row r="37" spans="3:16" ht="24.75" customHeight="1" outlineLevel="1" x14ac:dyDescent="0.25">
      <c r="C37" s="7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>
        <f t="shared" si="12"/>
        <v>0</v>
      </c>
    </row>
    <row r="38" spans="3:16" ht="24.75" customHeight="1" outlineLevel="1" x14ac:dyDescent="0.25">
      <c r="C38" s="7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>
        <f t="shared" si="12"/>
        <v>0</v>
      </c>
    </row>
    <row r="39" spans="3:16" ht="24.75" customHeight="1" outlineLevel="1" x14ac:dyDescent="0.25">
      <c r="C39" s="7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>
        <f t="shared" si="12"/>
        <v>0</v>
      </c>
    </row>
    <row r="40" spans="3:16" ht="24.75" customHeight="1" x14ac:dyDescent="0.25">
      <c r="C40" s="7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3:16" ht="24.75" customHeight="1" x14ac:dyDescent="0.25">
      <c r="C41" s="75"/>
    </row>
    <row r="42" spans="3:16" ht="24" hidden="1" customHeight="1" x14ac:dyDescent="0.25">
      <c r="C42" s="36"/>
      <c r="D42" s="26"/>
      <c r="E42" s="24"/>
      <c r="F42" s="24"/>
      <c r="G42" s="24"/>
      <c r="P42" s="56"/>
    </row>
    <row r="43" spans="3:16" ht="24" hidden="1" customHeight="1" x14ac:dyDescent="0.25">
      <c r="C43" s="83" t="s">
        <v>49</v>
      </c>
      <c r="D43" s="23" t="s">
        <v>41</v>
      </c>
      <c r="E43" s="23" t="s">
        <v>48</v>
      </c>
      <c r="F43" s="23" t="s">
        <v>35</v>
      </c>
      <c r="G43" s="23" t="s">
        <v>36</v>
      </c>
      <c r="H43" s="23" t="s">
        <v>37</v>
      </c>
      <c r="I43" s="23" t="s">
        <v>38</v>
      </c>
      <c r="J43" s="8" t="s">
        <v>39</v>
      </c>
      <c r="K43" s="23" t="s">
        <v>40</v>
      </c>
      <c r="P43" s="56"/>
    </row>
    <row r="44" spans="3:16" ht="10.5" customHeight="1" x14ac:dyDescent="0.25">
      <c r="C44" s="36"/>
      <c r="D44" s="26"/>
      <c r="P44" s="56"/>
    </row>
    <row r="45" spans="3:16" ht="8.25" customHeight="1" x14ac:dyDescent="0.25"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3:16" ht="17.25" customHeight="1" x14ac:dyDescent="0.25"/>
    <row r="47" spans="3:16" ht="33" customHeight="1" x14ac:dyDescent="0.25">
      <c r="C47" s="97" t="s">
        <v>120</v>
      </c>
      <c r="D47" s="28">
        <f t="shared" ref="D47:P47" si="14">+D3</f>
        <v>45505</v>
      </c>
      <c r="E47" s="28">
        <f t="shared" si="14"/>
        <v>45536</v>
      </c>
      <c r="F47" s="28">
        <f t="shared" si="14"/>
        <v>45566</v>
      </c>
      <c r="G47" s="28">
        <f t="shared" si="14"/>
        <v>45597</v>
      </c>
      <c r="H47" s="28">
        <f t="shared" si="14"/>
        <v>45627</v>
      </c>
      <c r="I47" s="28">
        <f t="shared" si="14"/>
        <v>45658</v>
      </c>
      <c r="J47" s="28">
        <f t="shared" si="14"/>
        <v>45689</v>
      </c>
      <c r="K47" s="28">
        <f t="shared" si="14"/>
        <v>45717</v>
      </c>
      <c r="L47" s="28">
        <f t="shared" si="14"/>
        <v>45748</v>
      </c>
      <c r="M47" s="28">
        <f t="shared" si="14"/>
        <v>45778</v>
      </c>
      <c r="N47" s="28">
        <f t="shared" si="14"/>
        <v>45809</v>
      </c>
      <c r="O47" s="28">
        <f t="shared" si="14"/>
        <v>45839</v>
      </c>
      <c r="P47" s="89" t="str">
        <f t="shared" si="14"/>
        <v>TOTAL Y20</v>
      </c>
    </row>
    <row r="48" spans="3:16" ht="33" customHeight="1" thickBot="1" x14ac:dyDescent="0.3">
      <c r="C48" s="36" t="s">
        <v>142</v>
      </c>
      <c r="D48" s="96">
        <f t="shared" ref="D48:O48" si="15">SUM(D49:D61)</f>
        <v>0</v>
      </c>
      <c r="E48" s="96">
        <f t="shared" si="15"/>
        <v>0</v>
      </c>
      <c r="F48" s="96">
        <f t="shared" si="15"/>
        <v>0</v>
      </c>
      <c r="G48" s="96">
        <f t="shared" si="15"/>
        <v>0</v>
      </c>
      <c r="H48" s="96">
        <f t="shared" si="15"/>
        <v>0</v>
      </c>
      <c r="I48" s="96">
        <f t="shared" si="15"/>
        <v>0</v>
      </c>
      <c r="J48" s="96">
        <f t="shared" si="15"/>
        <v>0</v>
      </c>
      <c r="K48" s="96">
        <f t="shared" si="15"/>
        <v>0</v>
      </c>
      <c r="L48" s="96">
        <f t="shared" si="15"/>
        <v>0</v>
      </c>
      <c r="M48" s="96">
        <f t="shared" si="15"/>
        <v>0</v>
      </c>
      <c r="N48" s="96">
        <f t="shared" si="15"/>
        <v>0</v>
      </c>
      <c r="O48" s="96">
        <f t="shared" si="15"/>
        <v>0</v>
      </c>
      <c r="P48" s="96">
        <f>SUM(D48:O48)</f>
        <v>0</v>
      </c>
    </row>
    <row r="49" spans="1:16" ht="20.25" customHeight="1" outlineLevel="1" x14ac:dyDescent="0.25">
      <c r="C49" s="75"/>
      <c r="E49" s="16"/>
      <c r="P49" s="56">
        <f t="shared" ref="P49:P61" si="16">SUM(D49:O49)</f>
        <v>0</v>
      </c>
    </row>
    <row r="50" spans="1:16" ht="20.25" customHeight="1" outlineLevel="1" x14ac:dyDescent="0.25">
      <c r="A50" s="178"/>
      <c r="C50" s="75"/>
      <c r="O50" s="16"/>
      <c r="P50" s="56">
        <f t="shared" si="16"/>
        <v>0</v>
      </c>
    </row>
    <row r="51" spans="1:16" ht="20.25" customHeight="1" outlineLevel="1" x14ac:dyDescent="0.25">
      <c r="C51" s="75"/>
      <c r="O51" s="16"/>
      <c r="P51" s="56">
        <f t="shared" si="16"/>
        <v>0</v>
      </c>
    </row>
    <row r="52" spans="1:16" ht="20.25" customHeight="1" outlineLevel="1" x14ac:dyDescent="0.25">
      <c r="C52" s="75"/>
      <c r="O52" s="16"/>
      <c r="P52" s="56">
        <f t="shared" si="16"/>
        <v>0</v>
      </c>
    </row>
    <row r="53" spans="1:16" ht="20.25" customHeight="1" outlineLevel="1" x14ac:dyDescent="0.25">
      <c r="C53" s="75"/>
      <c r="O53" s="16"/>
      <c r="P53" s="56">
        <f t="shared" si="16"/>
        <v>0</v>
      </c>
    </row>
    <row r="54" spans="1:16" ht="20.25" customHeight="1" outlineLevel="1" x14ac:dyDescent="0.25">
      <c r="C54" s="167"/>
      <c r="P54" s="56">
        <f t="shared" si="16"/>
        <v>0</v>
      </c>
    </row>
    <row r="55" spans="1:16" ht="20.25" customHeight="1" outlineLevel="1" x14ac:dyDescent="0.25">
      <c r="C55" s="75"/>
      <c r="P55" s="56">
        <f t="shared" si="16"/>
        <v>0</v>
      </c>
    </row>
    <row r="56" spans="1:16" ht="20.25" customHeight="1" outlineLevel="1" x14ac:dyDescent="0.25">
      <c r="C56" s="75"/>
      <c r="P56" s="56">
        <f t="shared" si="16"/>
        <v>0</v>
      </c>
    </row>
    <row r="57" spans="1:16" ht="18.75" customHeight="1" outlineLevel="1" x14ac:dyDescent="0.25">
      <c r="C57" s="75"/>
      <c r="P57" s="56">
        <f t="shared" si="16"/>
        <v>0</v>
      </c>
    </row>
    <row r="58" spans="1:16" ht="20.25" customHeight="1" outlineLevel="1" x14ac:dyDescent="0.25">
      <c r="C58" s="75"/>
      <c r="P58" s="56">
        <f t="shared" si="16"/>
        <v>0</v>
      </c>
    </row>
    <row r="59" spans="1:16" ht="20.25" customHeight="1" outlineLevel="1" x14ac:dyDescent="0.25">
      <c r="C59" s="75"/>
      <c r="P59" s="56">
        <f t="shared" si="16"/>
        <v>0</v>
      </c>
    </row>
    <row r="60" spans="1:16" ht="20.25" customHeight="1" outlineLevel="1" x14ac:dyDescent="0.25">
      <c r="A60" s="8" t="s">
        <v>62</v>
      </c>
      <c r="C60" s="75"/>
      <c r="P60" s="56">
        <f t="shared" si="16"/>
        <v>0</v>
      </c>
    </row>
    <row r="61" spans="1:16" ht="20.25" customHeight="1" outlineLevel="1" x14ac:dyDescent="0.25">
      <c r="C61" s="75"/>
      <c r="P61" s="56">
        <f t="shared" si="16"/>
        <v>0</v>
      </c>
    </row>
    <row r="62" spans="1:16" ht="12.75" customHeight="1" x14ac:dyDescent="0.25">
      <c r="C62" s="98"/>
      <c r="D62" s="99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8"/>
    </row>
    <row r="63" spans="1:16" ht="23.25" customHeight="1" x14ac:dyDescent="0.25">
      <c r="D63" s="99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8"/>
    </row>
    <row r="64" spans="1:16" ht="27" customHeight="1" x14ac:dyDescent="0.25">
      <c r="D64" s="28">
        <f t="shared" ref="D64:P64" si="17">+D3</f>
        <v>45505</v>
      </c>
      <c r="E64" s="28">
        <f t="shared" si="17"/>
        <v>45536</v>
      </c>
      <c r="F64" s="28">
        <f t="shared" si="17"/>
        <v>45566</v>
      </c>
      <c r="G64" s="28">
        <f t="shared" si="17"/>
        <v>45597</v>
      </c>
      <c r="H64" s="28">
        <f t="shared" si="17"/>
        <v>45627</v>
      </c>
      <c r="I64" s="28">
        <f t="shared" si="17"/>
        <v>45658</v>
      </c>
      <c r="J64" s="28">
        <f t="shared" si="17"/>
        <v>45689</v>
      </c>
      <c r="K64" s="28">
        <f t="shared" si="17"/>
        <v>45717</v>
      </c>
      <c r="L64" s="28">
        <f t="shared" si="17"/>
        <v>45748</v>
      </c>
      <c r="M64" s="28">
        <f t="shared" si="17"/>
        <v>45778</v>
      </c>
      <c r="N64" s="28">
        <f t="shared" si="17"/>
        <v>45809</v>
      </c>
      <c r="O64" s="28">
        <f t="shared" si="17"/>
        <v>45839</v>
      </c>
      <c r="P64" s="89" t="str">
        <f t="shared" si="17"/>
        <v>TOTAL Y20</v>
      </c>
    </row>
    <row r="65" spans="1:16" ht="30.75" customHeight="1" thickBot="1" x14ac:dyDescent="0.3">
      <c r="C65" s="36" t="s">
        <v>28</v>
      </c>
      <c r="D65" s="96">
        <f>SUM(D66:D81)</f>
        <v>0</v>
      </c>
      <c r="E65" s="96">
        <f t="shared" ref="E65:O65" si="18">SUM(E66:E81)</f>
        <v>0</v>
      </c>
      <c r="F65" s="96">
        <f t="shared" si="18"/>
        <v>0</v>
      </c>
      <c r="G65" s="96">
        <f t="shared" si="18"/>
        <v>-2090000</v>
      </c>
      <c r="H65" s="96">
        <f t="shared" si="18"/>
        <v>0</v>
      </c>
      <c r="I65" s="96">
        <f t="shared" si="18"/>
        <v>0</v>
      </c>
      <c r="J65" s="96">
        <f t="shared" si="18"/>
        <v>-2859375</v>
      </c>
      <c r="K65" s="96">
        <f t="shared" si="18"/>
        <v>0</v>
      </c>
      <c r="L65" s="96">
        <f t="shared" si="18"/>
        <v>0</v>
      </c>
      <c r="M65" s="96">
        <f t="shared" si="18"/>
        <v>0</v>
      </c>
      <c r="N65" s="96">
        <f t="shared" si="18"/>
        <v>0</v>
      </c>
      <c r="O65" s="96">
        <f t="shared" si="18"/>
        <v>0</v>
      </c>
      <c r="P65" s="96">
        <f>SUM(D65:O65)</f>
        <v>-4949375</v>
      </c>
    </row>
    <row r="66" spans="1:16" ht="22.5" customHeight="1" outlineLevel="1" x14ac:dyDescent="0.25">
      <c r="A66" s="8">
        <v>1100</v>
      </c>
      <c r="C66" s="75" t="str">
        <f>+SF!C57</f>
        <v>IBM Arg - Vouchers SF x 15 -FCE 4-166</v>
      </c>
      <c r="G66" s="177">
        <f>-1900*A66</f>
        <v>-2090000</v>
      </c>
      <c r="P66" s="56">
        <f>SUM(D66:O66)</f>
        <v>-2090000</v>
      </c>
    </row>
    <row r="67" spans="1:16" ht="22.5" customHeight="1" outlineLevel="1" x14ac:dyDescent="0.25">
      <c r="A67" s="178">
        <v>1250</v>
      </c>
      <c r="C67" s="75" t="str">
        <f>+SF!C58</f>
        <v>IBM Arg - Vouchers SF x 16 -FCE 4-171</v>
      </c>
      <c r="E67" s="16"/>
      <c r="J67" s="177">
        <f>-2287.5*A67</f>
        <v>-2859375</v>
      </c>
      <c r="P67" s="56">
        <f t="shared" ref="P67:P93" si="19">SUM(D67:O67)</f>
        <v>-2859375</v>
      </c>
    </row>
    <row r="68" spans="1:16" ht="22.5" customHeight="1" outlineLevel="1" x14ac:dyDescent="0.25">
      <c r="C68" s="75"/>
      <c r="I68" s="16"/>
      <c r="P68" s="56">
        <f t="shared" si="19"/>
        <v>0</v>
      </c>
    </row>
    <row r="69" spans="1:16" ht="22.5" customHeight="1" outlineLevel="1" x14ac:dyDescent="0.25">
      <c r="C69" s="75"/>
      <c r="P69" s="56">
        <f t="shared" si="19"/>
        <v>0</v>
      </c>
    </row>
    <row r="70" spans="1:16" ht="22.5" customHeight="1" outlineLevel="1" x14ac:dyDescent="0.25">
      <c r="C70" s="75"/>
      <c r="P70" s="56">
        <f t="shared" si="19"/>
        <v>0</v>
      </c>
    </row>
    <row r="71" spans="1:16" ht="22.5" customHeight="1" outlineLevel="1" x14ac:dyDescent="0.25">
      <c r="C71" s="75"/>
      <c r="P71" s="56">
        <f t="shared" si="19"/>
        <v>0</v>
      </c>
    </row>
    <row r="72" spans="1:16" ht="22.5" customHeight="1" outlineLevel="1" x14ac:dyDescent="0.25">
      <c r="C72" s="75"/>
      <c r="P72" s="56">
        <f t="shared" si="19"/>
        <v>0</v>
      </c>
    </row>
    <row r="73" spans="1:16" ht="22.5" customHeight="1" outlineLevel="1" x14ac:dyDescent="0.25">
      <c r="C73" s="75"/>
      <c r="P73" s="56">
        <f t="shared" si="19"/>
        <v>0</v>
      </c>
    </row>
    <row r="74" spans="1:16" ht="22.5" customHeight="1" outlineLevel="1" x14ac:dyDescent="0.25">
      <c r="C74" s="75"/>
      <c r="P74" s="56">
        <f t="shared" si="19"/>
        <v>0</v>
      </c>
    </row>
    <row r="75" spans="1:16" ht="22.5" customHeight="1" outlineLevel="1" x14ac:dyDescent="0.25">
      <c r="C75" s="75"/>
      <c r="P75" s="56">
        <f t="shared" si="19"/>
        <v>0</v>
      </c>
    </row>
    <row r="76" spans="1:16" ht="23.25" customHeight="1" outlineLevel="1" x14ac:dyDescent="0.25">
      <c r="C76" s="75"/>
      <c r="P76" s="56">
        <f t="shared" si="19"/>
        <v>0</v>
      </c>
    </row>
    <row r="77" spans="1:16" ht="23.25" customHeight="1" outlineLevel="1" x14ac:dyDescent="0.25">
      <c r="C77" s="75"/>
      <c r="P77" s="56">
        <f t="shared" si="19"/>
        <v>0</v>
      </c>
    </row>
    <row r="78" spans="1:16" ht="23.25" customHeight="1" outlineLevel="1" x14ac:dyDescent="0.25">
      <c r="C78" s="75"/>
      <c r="P78" s="56">
        <f t="shared" si="19"/>
        <v>0</v>
      </c>
    </row>
    <row r="79" spans="1:16" ht="23.25" customHeight="1" outlineLevel="1" x14ac:dyDescent="0.25">
      <c r="C79" s="75"/>
      <c r="P79" s="56">
        <f t="shared" si="19"/>
        <v>0</v>
      </c>
    </row>
    <row r="80" spans="1:16" ht="24.75" customHeight="1" outlineLevel="1" x14ac:dyDescent="0.25">
      <c r="C80" s="75"/>
      <c r="P80" s="56">
        <f t="shared" si="19"/>
        <v>0</v>
      </c>
    </row>
    <row r="81" spans="1:16" ht="24.75" customHeight="1" outlineLevel="1" x14ac:dyDescent="0.25">
      <c r="C81" s="75"/>
      <c r="P81" s="56">
        <f t="shared" si="19"/>
        <v>0</v>
      </c>
    </row>
    <row r="82" spans="1:16" ht="24.75" customHeight="1" x14ac:dyDescent="0.25">
      <c r="C82" s="75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19"/>
    </row>
    <row r="83" spans="1:16" ht="24.75" customHeight="1" x14ac:dyDescent="0.25">
      <c r="C83" s="75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19"/>
    </row>
    <row r="84" spans="1:16" ht="24.75" customHeight="1" x14ac:dyDescent="0.25">
      <c r="C84" s="97" t="s">
        <v>136</v>
      </c>
      <c r="D84" s="28">
        <f t="shared" ref="D84:P84" si="20">+D3</f>
        <v>45505</v>
      </c>
      <c r="E84" s="28">
        <f t="shared" si="20"/>
        <v>45536</v>
      </c>
      <c r="F84" s="28">
        <f t="shared" si="20"/>
        <v>45566</v>
      </c>
      <c r="G84" s="28">
        <f t="shared" si="20"/>
        <v>45597</v>
      </c>
      <c r="H84" s="28">
        <f t="shared" si="20"/>
        <v>45627</v>
      </c>
      <c r="I84" s="28">
        <f t="shared" si="20"/>
        <v>45658</v>
      </c>
      <c r="J84" s="28">
        <f t="shared" si="20"/>
        <v>45689</v>
      </c>
      <c r="K84" s="28">
        <f t="shared" si="20"/>
        <v>45717</v>
      </c>
      <c r="L84" s="28">
        <f t="shared" si="20"/>
        <v>45748</v>
      </c>
      <c r="M84" s="28">
        <f t="shared" si="20"/>
        <v>45778</v>
      </c>
      <c r="N84" s="28">
        <f t="shared" si="20"/>
        <v>45809</v>
      </c>
      <c r="O84" s="28">
        <f t="shared" si="20"/>
        <v>45839</v>
      </c>
      <c r="P84" s="89" t="str">
        <f t="shared" si="20"/>
        <v>TOTAL Y20</v>
      </c>
    </row>
    <row r="85" spans="1:16" ht="22.5" customHeight="1" thickBot="1" x14ac:dyDescent="0.3">
      <c r="C85" s="36" t="s">
        <v>13</v>
      </c>
      <c r="D85" s="96">
        <f>SUM(D86:D93)</f>
        <v>0</v>
      </c>
      <c r="E85" s="96">
        <f t="shared" ref="E85:O85" si="21">SUM(E86:E93)</f>
        <v>-2400000</v>
      </c>
      <c r="F85" s="96">
        <f t="shared" si="21"/>
        <v>0</v>
      </c>
      <c r="G85" s="96">
        <f t="shared" si="21"/>
        <v>-1200000</v>
      </c>
      <c r="H85" s="96">
        <f t="shared" si="21"/>
        <v>0</v>
      </c>
      <c r="I85" s="96">
        <f t="shared" si="21"/>
        <v>0</v>
      </c>
      <c r="J85" s="96">
        <f t="shared" si="21"/>
        <v>-2600000</v>
      </c>
      <c r="K85" s="96">
        <f t="shared" si="21"/>
        <v>0</v>
      </c>
      <c r="L85" s="96">
        <f t="shared" si="21"/>
        <v>0</v>
      </c>
      <c r="M85" s="96">
        <f t="shared" si="21"/>
        <v>0</v>
      </c>
      <c r="N85" s="96">
        <f t="shared" si="21"/>
        <v>0</v>
      </c>
      <c r="O85" s="96">
        <f t="shared" si="21"/>
        <v>0</v>
      </c>
      <c r="P85" s="96">
        <f t="shared" si="19"/>
        <v>-6200000</v>
      </c>
    </row>
    <row r="86" spans="1:16" ht="25.5" customHeight="1" outlineLevel="1" x14ac:dyDescent="0.25">
      <c r="C86" s="75" t="str">
        <f>+SF!C81</f>
        <v>GSK Panamá MKT101 13/11/2024</v>
      </c>
      <c r="E86" s="59"/>
      <c r="F86" s="16"/>
      <c r="G86" s="223">
        <f>-30000*40</f>
        <v>-1200000</v>
      </c>
      <c r="J86" s="59"/>
      <c r="K86" s="59"/>
      <c r="L86" s="59"/>
      <c r="M86" s="59"/>
      <c r="N86" s="59"/>
      <c r="O86" s="59"/>
      <c r="P86" s="16">
        <f t="shared" si="19"/>
        <v>-1200000</v>
      </c>
    </row>
    <row r="87" spans="1:16" ht="25.5" customHeight="1" outlineLevel="1" x14ac:dyDescent="0.25">
      <c r="A87" s="25">
        <v>1200</v>
      </c>
      <c r="C87" s="75" t="str">
        <f>+SF!C82</f>
        <v>Salesforce Inc (US) p-Cencosud (CL) MKT101 09/2024</v>
      </c>
      <c r="D87" s="168"/>
      <c r="E87" s="59">
        <f>-2000*A87</f>
        <v>-2400000</v>
      </c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16">
        <f t="shared" si="19"/>
        <v>-2400000</v>
      </c>
    </row>
    <row r="88" spans="1:16" ht="25.5" customHeight="1" outlineLevel="1" x14ac:dyDescent="0.25">
      <c r="A88" s="181">
        <v>1300</v>
      </c>
      <c r="C88" s="75" t="str">
        <f>+SF!C83</f>
        <v>Salesforce Inc (US) p-Banco de Chile (CL) MKT101 02/2025</v>
      </c>
      <c r="D88" s="168"/>
      <c r="E88" s="59"/>
      <c r="F88" s="59"/>
      <c r="G88" s="59"/>
      <c r="H88" s="59"/>
      <c r="I88" s="59"/>
      <c r="J88" s="183">
        <f>-2000*A88</f>
        <v>-2600000</v>
      </c>
      <c r="K88" s="59"/>
      <c r="L88" s="59"/>
      <c r="N88" s="59"/>
      <c r="O88" s="183"/>
      <c r="P88" s="16">
        <f>SUM(D88:O88)</f>
        <v>-2600000</v>
      </c>
    </row>
    <row r="89" spans="1:16" ht="25.5" customHeight="1" outlineLevel="1" x14ac:dyDescent="0.25">
      <c r="A89" s="181"/>
      <c r="C89" s="75"/>
      <c r="D89" s="171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16">
        <f t="shared" si="19"/>
        <v>0</v>
      </c>
    </row>
    <row r="90" spans="1:16" ht="25.5" customHeight="1" outlineLevel="1" x14ac:dyDescent="0.25">
      <c r="C90" s="75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16">
        <f t="shared" si="19"/>
        <v>0</v>
      </c>
    </row>
    <row r="91" spans="1:16" ht="25.5" customHeight="1" outlineLevel="1" x14ac:dyDescent="0.25">
      <c r="C91" s="167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16">
        <f t="shared" si="19"/>
        <v>0</v>
      </c>
    </row>
    <row r="92" spans="1:16" ht="25.5" customHeight="1" outlineLevel="1" x14ac:dyDescent="0.25">
      <c r="C92" s="167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16">
        <f t="shared" si="19"/>
        <v>0</v>
      </c>
    </row>
    <row r="93" spans="1:16" ht="25.5" customHeight="1" outlineLevel="1" x14ac:dyDescent="0.25">
      <c r="C93" s="167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16">
        <f t="shared" si="19"/>
        <v>0</v>
      </c>
    </row>
    <row r="94" spans="1:16" ht="25.5" customHeight="1" x14ac:dyDescent="0.25">
      <c r="C94" s="66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19"/>
    </row>
    <row r="95" spans="1:16" ht="25.5" hidden="1" customHeight="1" x14ac:dyDescent="0.25">
      <c r="C95" s="27" t="s">
        <v>45</v>
      </c>
      <c r="D95" s="23"/>
      <c r="E95" s="23"/>
      <c r="F95" s="23"/>
      <c r="H95" s="23"/>
      <c r="I95" s="23"/>
      <c r="J95" s="23"/>
      <c r="K95" s="23"/>
      <c r="L95" s="23"/>
      <c r="M95" s="23"/>
      <c r="N95" s="23"/>
      <c r="O95" s="23"/>
      <c r="P95" s="19"/>
    </row>
    <row r="96" spans="1:16" ht="25.5" hidden="1" customHeight="1" x14ac:dyDescent="0.25">
      <c r="C96" s="30" t="s">
        <v>42</v>
      </c>
      <c r="D96" s="31" t="e">
        <f>#REF!</f>
        <v>#REF!</v>
      </c>
      <c r="E96" s="84" t="s">
        <v>46</v>
      </c>
      <c r="F96" s="23"/>
      <c r="H96" s="23"/>
      <c r="I96" s="23"/>
      <c r="J96" s="23"/>
      <c r="K96" s="23"/>
      <c r="L96" s="23"/>
      <c r="M96" s="23"/>
      <c r="N96" s="23"/>
      <c r="O96" s="23"/>
      <c r="P96" s="19"/>
    </row>
    <row r="97" spans="3:17" ht="25.5" hidden="1" customHeight="1" x14ac:dyDescent="0.25">
      <c r="C97" s="30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19"/>
      <c r="Q97" s="7"/>
    </row>
    <row r="98" spans="3:17" ht="32.25" hidden="1" customHeight="1" x14ac:dyDescent="0.25">
      <c r="C98" s="30"/>
      <c r="D98" s="28">
        <v>40391</v>
      </c>
      <c r="E98" s="28">
        <v>40422</v>
      </c>
      <c r="F98" s="28">
        <v>40452</v>
      </c>
      <c r="G98" s="28">
        <v>40483</v>
      </c>
      <c r="H98" s="28">
        <v>40513</v>
      </c>
      <c r="I98" s="28">
        <v>40544</v>
      </c>
      <c r="J98" s="28">
        <v>40575</v>
      </c>
      <c r="K98" s="28">
        <v>40603</v>
      </c>
      <c r="L98" s="28">
        <v>40634</v>
      </c>
      <c r="M98" s="28">
        <v>40664</v>
      </c>
      <c r="N98" s="28">
        <v>40695</v>
      </c>
      <c r="O98" s="28">
        <v>40725</v>
      </c>
      <c r="P98" s="89" t="s">
        <v>50</v>
      </c>
    </row>
    <row r="99" spans="3:17" ht="27" hidden="1" customHeight="1" thickBot="1" x14ac:dyDescent="0.3">
      <c r="C99" s="25" t="s">
        <v>47</v>
      </c>
      <c r="D99" s="85"/>
      <c r="E99" s="85"/>
      <c r="F99" s="85"/>
      <c r="G99" s="85"/>
      <c r="H99" s="85"/>
      <c r="I99" s="86"/>
      <c r="J99" s="86"/>
      <c r="K99" s="86"/>
      <c r="L99" s="87"/>
      <c r="M99" s="87"/>
      <c r="N99" s="87"/>
      <c r="O99" s="87"/>
      <c r="P99" s="67">
        <f>SUM(D99:O99)</f>
        <v>0</v>
      </c>
    </row>
    <row r="100" spans="3:17" x14ac:dyDescent="0.25">
      <c r="C100" s="40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9"/>
    </row>
  </sheetData>
  <printOptions horizontalCentered="1"/>
  <pageMargins left="0" right="0" top="0" bottom="0" header="0" footer="0"/>
  <pageSetup paperSize="9" scale="45" orientation="landscape" horizontalDpi="1200" verticalDpi="12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R41"/>
  <sheetViews>
    <sheetView zoomScale="70" zoomScaleNormal="70" workbookViewId="0">
      <pane ySplit="3" topLeftCell="A4" activePane="bottomLeft" state="frozen"/>
      <selection pane="bottomLeft" activeCell="F23" sqref="F23"/>
    </sheetView>
  </sheetViews>
  <sheetFormatPr baseColWidth="10" defaultColWidth="9.109375" defaultRowHeight="13.8" outlineLevelRow="2" outlineLevelCol="1" x14ac:dyDescent="0.25"/>
  <cols>
    <col min="1" max="1" width="6.109375" style="8" customWidth="1"/>
    <col min="2" max="2" width="7.5546875" style="8" hidden="1" customWidth="1"/>
    <col min="3" max="3" width="69.109375" style="8" customWidth="1"/>
    <col min="4" max="15" width="16" style="8" customWidth="1" outlineLevel="1"/>
    <col min="16" max="16" width="18.5546875" style="8" customWidth="1"/>
    <col min="17" max="17" width="19.6640625" style="8" customWidth="1"/>
    <col min="18" max="18" width="22.109375" style="8" customWidth="1"/>
    <col min="19" max="16384" width="9.109375" style="8"/>
  </cols>
  <sheetData>
    <row r="1" spans="1:17" ht="48.75" customHeight="1" thickBot="1" x14ac:dyDescent="0.35">
      <c r="B1" s="9"/>
      <c r="C1" s="10" t="s">
        <v>162</v>
      </c>
    </row>
    <row r="2" spans="1:17" ht="21" customHeight="1" x14ac:dyDescent="0.25">
      <c r="A2" s="11"/>
    </row>
    <row r="3" spans="1:17" ht="45.75" customHeight="1" x14ac:dyDescent="0.25">
      <c r="A3" s="11"/>
      <c r="C3" s="19"/>
      <c r="D3" s="28">
        <f>+'P&amp;L '!D4</f>
        <v>45505</v>
      </c>
      <c r="E3" s="28">
        <f>+'P&amp;L '!E4</f>
        <v>45536</v>
      </c>
      <c r="F3" s="28">
        <f>+'P&amp;L '!F4</f>
        <v>45566</v>
      </c>
      <c r="G3" s="28">
        <f>+'P&amp;L '!G4</f>
        <v>45597</v>
      </c>
      <c r="H3" s="28">
        <f>+'P&amp;L '!H4</f>
        <v>45627</v>
      </c>
      <c r="I3" s="28">
        <f>+'P&amp;L '!I4</f>
        <v>45658</v>
      </c>
      <c r="J3" s="28">
        <f>+'P&amp;L '!J4</f>
        <v>45689</v>
      </c>
      <c r="K3" s="28">
        <f>+'P&amp;L '!K4</f>
        <v>45717</v>
      </c>
      <c r="L3" s="28">
        <f>+'P&amp;L '!L4</f>
        <v>45748</v>
      </c>
      <c r="M3" s="28">
        <f>+'P&amp;L '!M4</f>
        <v>45778</v>
      </c>
      <c r="N3" s="28">
        <f>+'P&amp;L '!N4</f>
        <v>45809</v>
      </c>
      <c r="O3" s="28">
        <f>+'P&amp;L '!O4</f>
        <v>45839</v>
      </c>
      <c r="P3" s="110" t="str">
        <f>+'P&amp;L '!P4</f>
        <v>TOTAL Y20</v>
      </c>
    </row>
    <row r="4" spans="1:17" ht="55.5" customHeight="1" x14ac:dyDescent="0.25">
      <c r="A4" s="11"/>
      <c r="C4" s="22" t="s">
        <v>163</v>
      </c>
      <c r="D4" s="60">
        <f>+D6+D11</f>
        <v>-2980800</v>
      </c>
      <c r="E4" s="60">
        <f t="shared" ref="E4:O4" si="0">+E6+E11</f>
        <v>0</v>
      </c>
      <c r="F4" s="60">
        <f t="shared" si="0"/>
        <v>0</v>
      </c>
      <c r="G4" s="60">
        <f t="shared" si="0"/>
        <v>0</v>
      </c>
      <c r="H4" s="60">
        <f t="shared" si="0"/>
        <v>0</v>
      </c>
      <c r="I4" s="60">
        <f t="shared" si="0"/>
        <v>0</v>
      </c>
      <c r="J4" s="60">
        <f t="shared" si="0"/>
        <v>0</v>
      </c>
      <c r="K4" s="60">
        <f t="shared" si="0"/>
        <v>0</v>
      </c>
      <c r="L4" s="60">
        <f t="shared" si="0"/>
        <v>0</v>
      </c>
      <c r="M4" s="60">
        <f t="shared" si="0"/>
        <v>0</v>
      </c>
      <c r="N4" s="60">
        <f t="shared" si="0"/>
        <v>0</v>
      </c>
      <c r="O4" s="60">
        <f t="shared" si="0"/>
        <v>0</v>
      </c>
      <c r="P4" s="61">
        <f>SUM(D4:O4)</f>
        <v>-2980800</v>
      </c>
    </row>
    <row r="5" spans="1:17" ht="6" customHeight="1" x14ac:dyDescent="0.25">
      <c r="A5" s="11"/>
      <c r="C5" s="102"/>
      <c r="D5" s="102"/>
      <c r="E5" s="102"/>
      <c r="F5" s="102"/>
      <c r="G5" s="102"/>
      <c r="H5" s="102"/>
    </row>
    <row r="6" spans="1:17" ht="42.75" customHeight="1" x14ac:dyDescent="0.25">
      <c r="A6" s="11"/>
      <c r="C6" s="22" t="s">
        <v>164</v>
      </c>
      <c r="D6" s="60">
        <f>+D7</f>
        <v>-2980800</v>
      </c>
      <c r="E6" s="60">
        <f t="shared" ref="E6:O6" si="1">+E7</f>
        <v>0</v>
      </c>
      <c r="F6" s="60">
        <f t="shared" si="1"/>
        <v>0</v>
      </c>
      <c r="G6" s="60">
        <f t="shared" si="1"/>
        <v>0</v>
      </c>
      <c r="H6" s="60">
        <f t="shared" si="1"/>
        <v>0</v>
      </c>
      <c r="I6" s="60">
        <f t="shared" si="1"/>
        <v>0</v>
      </c>
      <c r="J6" s="60">
        <f t="shared" si="1"/>
        <v>0</v>
      </c>
      <c r="K6" s="60">
        <f t="shared" si="1"/>
        <v>0</v>
      </c>
      <c r="L6" s="60">
        <f t="shared" si="1"/>
        <v>0</v>
      </c>
      <c r="M6" s="60">
        <f t="shared" si="1"/>
        <v>0</v>
      </c>
      <c r="N6" s="60">
        <f t="shared" si="1"/>
        <v>0</v>
      </c>
      <c r="O6" s="60">
        <f t="shared" si="1"/>
        <v>0</v>
      </c>
      <c r="P6" s="61">
        <f>SUM(D6:O6)</f>
        <v>-2980800</v>
      </c>
      <c r="Q6" s="15"/>
    </row>
    <row r="7" spans="1:17" ht="36" customHeight="1" outlineLevel="1" x14ac:dyDescent="0.25">
      <c r="A7" s="11"/>
      <c r="C7" s="63" t="s">
        <v>55</v>
      </c>
      <c r="D7" s="56">
        <f>SUM(D8:D9)</f>
        <v>-2980800</v>
      </c>
      <c r="E7" s="56">
        <f t="shared" ref="E7:O7" si="2">SUM(E8:E9)</f>
        <v>0</v>
      </c>
      <c r="F7" s="56">
        <f t="shared" si="2"/>
        <v>0</v>
      </c>
      <c r="G7" s="56">
        <f t="shared" si="2"/>
        <v>0</v>
      </c>
      <c r="H7" s="56">
        <f t="shared" si="2"/>
        <v>0</v>
      </c>
      <c r="I7" s="56">
        <f t="shared" si="2"/>
        <v>0</v>
      </c>
      <c r="J7" s="56">
        <f t="shared" si="2"/>
        <v>0</v>
      </c>
      <c r="K7" s="56">
        <f t="shared" si="2"/>
        <v>0</v>
      </c>
      <c r="L7" s="56">
        <f t="shared" si="2"/>
        <v>0</v>
      </c>
      <c r="M7" s="56">
        <f t="shared" si="2"/>
        <v>0</v>
      </c>
      <c r="N7" s="56">
        <f t="shared" si="2"/>
        <v>0</v>
      </c>
      <c r="O7" s="56">
        <f t="shared" si="2"/>
        <v>0</v>
      </c>
      <c r="P7" s="56">
        <f>SUM(D7:O7)</f>
        <v>-2980800</v>
      </c>
      <c r="Q7" s="56"/>
    </row>
    <row r="8" spans="1:17" ht="35.25" customHeight="1" outlineLevel="2" x14ac:dyDescent="0.25">
      <c r="A8" s="11"/>
      <c r="C8" s="71" t="s">
        <v>56</v>
      </c>
      <c r="D8" s="16">
        <f>+D16</f>
        <v>0</v>
      </c>
      <c r="E8" s="16">
        <f t="shared" ref="E8:O8" si="3">+E16</f>
        <v>0</v>
      </c>
      <c r="F8" s="16">
        <f t="shared" si="3"/>
        <v>0</v>
      </c>
      <c r="G8" s="16">
        <f t="shared" si="3"/>
        <v>0</v>
      </c>
      <c r="H8" s="16">
        <f t="shared" si="3"/>
        <v>0</v>
      </c>
      <c r="I8" s="16">
        <f t="shared" si="3"/>
        <v>0</v>
      </c>
      <c r="J8" s="16">
        <f t="shared" si="3"/>
        <v>0</v>
      </c>
      <c r="K8" s="16">
        <f t="shared" si="3"/>
        <v>0</v>
      </c>
      <c r="L8" s="16">
        <f t="shared" si="3"/>
        <v>0</v>
      </c>
      <c r="M8" s="16">
        <f t="shared" si="3"/>
        <v>0</v>
      </c>
      <c r="N8" s="16">
        <f t="shared" si="3"/>
        <v>0</v>
      </c>
      <c r="O8" s="16">
        <f t="shared" si="3"/>
        <v>0</v>
      </c>
      <c r="P8" s="16">
        <f>SUM(D8:O8)</f>
        <v>0</v>
      </c>
      <c r="Q8" s="56"/>
    </row>
    <row r="9" spans="1:17" ht="35.25" customHeight="1" outlineLevel="2" x14ac:dyDescent="0.25">
      <c r="A9" s="11"/>
      <c r="C9" s="71" t="s">
        <v>57</v>
      </c>
      <c r="D9" s="16">
        <f>+D22</f>
        <v>-2980800</v>
      </c>
      <c r="E9" s="16">
        <f t="shared" ref="E9:O9" si="4">+E22</f>
        <v>0</v>
      </c>
      <c r="F9" s="16">
        <f t="shared" si="4"/>
        <v>0</v>
      </c>
      <c r="G9" s="16">
        <f t="shared" si="4"/>
        <v>0</v>
      </c>
      <c r="H9" s="16">
        <f t="shared" si="4"/>
        <v>0</v>
      </c>
      <c r="I9" s="16">
        <f t="shared" si="4"/>
        <v>0</v>
      </c>
      <c r="J9" s="16">
        <f t="shared" si="4"/>
        <v>0</v>
      </c>
      <c r="K9" s="16">
        <f t="shared" si="4"/>
        <v>0</v>
      </c>
      <c r="L9" s="16">
        <f t="shared" si="4"/>
        <v>0</v>
      </c>
      <c r="M9" s="16">
        <f t="shared" si="4"/>
        <v>0</v>
      </c>
      <c r="N9" s="16">
        <f t="shared" si="4"/>
        <v>0</v>
      </c>
      <c r="O9" s="16">
        <f t="shared" si="4"/>
        <v>0</v>
      </c>
      <c r="P9" s="16">
        <f>SUM(D9:O9)</f>
        <v>-2980800</v>
      </c>
      <c r="Q9" s="17"/>
    </row>
    <row r="10" spans="1:17" ht="18" customHeight="1" x14ac:dyDescent="0.25">
      <c r="A10" s="11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7"/>
    </row>
    <row r="11" spans="1:17" ht="42" customHeight="1" x14ac:dyDescent="0.25">
      <c r="A11" s="11"/>
      <c r="C11" s="22" t="s">
        <v>165</v>
      </c>
      <c r="D11" s="20">
        <f>SUM(D12:D12)</f>
        <v>0</v>
      </c>
      <c r="E11" s="20">
        <f t="shared" ref="E11:O11" si="5">SUM(E12:E12)</f>
        <v>0</v>
      </c>
      <c r="F11" s="20">
        <f t="shared" si="5"/>
        <v>0</v>
      </c>
      <c r="G11" s="20">
        <f t="shared" si="5"/>
        <v>0</v>
      </c>
      <c r="H11" s="20">
        <f t="shared" si="5"/>
        <v>0</v>
      </c>
      <c r="I11" s="20">
        <f t="shared" si="5"/>
        <v>0</v>
      </c>
      <c r="J11" s="20">
        <f t="shared" si="5"/>
        <v>0</v>
      </c>
      <c r="K11" s="20">
        <f t="shared" si="5"/>
        <v>0</v>
      </c>
      <c r="L11" s="20">
        <f t="shared" si="5"/>
        <v>0</v>
      </c>
      <c r="M11" s="20">
        <f t="shared" si="5"/>
        <v>0</v>
      </c>
      <c r="N11" s="20">
        <f t="shared" si="5"/>
        <v>0</v>
      </c>
      <c r="O11" s="20">
        <f t="shared" si="5"/>
        <v>0</v>
      </c>
      <c r="P11" s="21">
        <f>SUM(D11:O11)</f>
        <v>0</v>
      </c>
      <c r="Q11" s="17"/>
    </row>
    <row r="12" spans="1:17" ht="34.5" customHeight="1" outlineLevel="1" x14ac:dyDescent="0.25">
      <c r="A12" s="11"/>
      <c r="C12" s="62" t="s">
        <v>158</v>
      </c>
      <c r="D12" s="16">
        <f>+D35</f>
        <v>0</v>
      </c>
      <c r="E12" s="16">
        <f t="shared" ref="E12:O12" si="6">+E35</f>
        <v>0</v>
      </c>
      <c r="F12" s="16">
        <f t="shared" si="6"/>
        <v>0</v>
      </c>
      <c r="G12" s="16">
        <f t="shared" si="6"/>
        <v>0</v>
      </c>
      <c r="H12" s="16">
        <f t="shared" si="6"/>
        <v>0</v>
      </c>
      <c r="I12" s="16">
        <f t="shared" si="6"/>
        <v>0</v>
      </c>
      <c r="J12" s="16">
        <f t="shared" si="6"/>
        <v>0</v>
      </c>
      <c r="K12" s="16">
        <f t="shared" si="6"/>
        <v>0</v>
      </c>
      <c r="L12" s="16">
        <f t="shared" si="6"/>
        <v>0</v>
      </c>
      <c r="M12" s="16">
        <f t="shared" si="6"/>
        <v>0</v>
      </c>
      <c r="N12" s="16">
        <f t="shared" si="6"/>
        <v>0</v>
      </c>
      <c r="O12" s="16">
        <f t="shared" si="6"/>
        <v>0</v>
      </c>
      <c r="P12" s="16">
        <f>SUM(D12:O12)</f>
        <v>0</v>
      </c>
      <c r="Q12" s="17"/>
    </row>
    <row r="13" spans="1:17" ht="10.5" customHeight="1" x14ac:dyDescent="0.25">
      <c r="A13" s="11"/>
      <c r="C13" s="2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</row>
    <row r="14" spans="1:17" ht="11.25" customHeight="1" x14ac:dyDescent="0.25">
      <c r="G14" s="32"/>
    </row>
    <row r="15" spans="1:17" ht="32.25" customHeight="1" x14ac:dyDescent="0.25">
      <c r="C15" s="97" t="s">
        <v>54</v>
      </c>
      <c r="D15" s="28">
        <f t="shared" ref="D15:P15" si="7">D3</f>
        <v>45505</v>
      </c>
      <c r="E15" s="28">
        <f t="shared" si="7"/>
        <v>45536</v>
      </c>
      <c r="F15" s="28">
        <f t="shared" si="7"/>
        <v>45566</v>
      </c>
      <c r="G15" s="28">
        <f t="shared" si="7"/>
        <v>45597</v>
      </c>
      <c r="H15" s="28">
        <f t="shared" si="7"/>
        <v>45627</v>
      </c>
      <c r="I15" s="28">
        <f t="shared" si="7"/>
        <v>45658</v>
      </c>
      <c r="J15" s="28">
        <f t="shared" si="7"/>
        <v>45689</v>
      </c>
      <c r="K15" s="28">
        <f t="shared" si="7"/>
        <v>45717</v>
      </c>
      <c r="L15" s="28">
        <f t="shared" si="7"/>
        <v>45748</v>
      </c>
      <c r="M15" s="28">
        <f t="shared" si="7"/>
        <v>45778</v>
      </c>
      <c r="N15" s="28">
        <f t="shared" si="7"/>
        <v>45809</v>
      </c>
      <c r="O15" s="28">
        <f t="shared" si="7"/>
        <v>45839</v>
      </c>
      <c r="P15" s="89" t="str">
        <f t="shared" si="7"/>
        <v>TOTAL Y20</v>
      </c>
    </row>
    <row r="16" spans="1:17" ht="32.25" customHeight="1" x14ac:dyDescent="0.25">
      <c r="C16" s="97" t="s">
        <v>56</v>
      </c>
      <c r="D16" s="76">
        <f>SUM(D17:D19)</f>
        <v>0</v>
      </c>
      <c r="E16" s="76">
        <f t="shared" ref="E16:O16" si="8">SUM(E17:E19)</f>
        <v>0</v>
      </c>
      <c r="F16" s="76">
        <f t="shared" si="8"/>
        <v>0</v>
      </c>
      <c r="G16" s="76">
        <f t="shared" si="8"/>
        <v>0</v>
      </c>
      <c r="H16" s="76">
        <f t="shared" si="8"/>
        <v>0</v>
      </c>
      <c r="I16" s="76">
        <f t="shared" si="8"/>
        <v>0</v>
      </c>
      <c r="J16" s="76">
        <f t="shared" si="8"/>
        <v>0</v>
      </c>
      <c r="K16" s="76">
        <f t="shared" si="8"/>
        <v>0</v>
      </c>
      <c r="L16" s="76">
        <f t="shared" si="8"/>
        <v>0</v>
      </c>
      <c r="M16" s="76">
        <f t="shared" si="8"/>
        <v>0</v>
      </c>
      <c r="N16" s="76">
        <f t="shared" si="8"/>
        <v>0</v>
      </c>
      <c r="O16" s="76">
        <f t="shared" si="8"/>
        <v>0</v>
      </c>
      <c r="P16" s="76">
        <f>SUM(D16:O16)</f>
        <v>0</v>
      </c>
    </row>
    <row r="17" spans="1:16" ht="32.25" customHeight="1" outlineLevel="1" x14ac:dyDescent="0.25">
      <c r="C17" s="75"/>
      <c r="D17" s="16"/>
      <c r="E17" s="16"/>
      <c r="F17" s="16"/>
      <c r="G17" s="16"/>
      <c r="H17" s="177"/>
      <c r="I17" s="177"/>
      <c r="J17" s="177"/>
      <c r="K17" s="16"/>
      <c r="L17" s="16"/>
      <c r="M17" s="16"/>
      <c r="N17" s="16"/>
      <c r="O17" s="16"/>
      <c r="P17" s="16">
        <f>SUM(D17:O17)</f>
        <v>0</v>
      </c>
    </row>
    <row r="18" spans="1:16" ht="32.25" customHeight="1" outlineLevel="1" x14ac:dyDescent="0.25">
      <c r="C18" s="7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>
        <f>SUM(D18:O18)</f>
        <v>0</v>
      </c>
    </row>
    <row r="19" spans="1:16" ht="32.25" customHeight="1" outlineLevel="1" x14ac:dyDescent="0.25">
      <c r="C19" s="7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>
        <f>SUM(D19:O19)</f>
        <v>0</v>
      </c>
    </row>
    <row r="20" spans="1:16" ht="32.25" customHeight="1" x14ac:dyDescent="0.25">
      <c r="C20" s="62"/>
      <c r="D20" s="164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</row>
    <row r="21" spans="1:16" ht="32.25" customHeight="1" x14ac:dyDescent="0.25">
      <c r="C21" s="35"/>
      <c r="D21" s="28">
        <f t="shared" ref="D21:P21" si="9">D3</f>
        <v>45505</v>
      </c>
      <c r="E21" s="28">
        <f t="shared" si="9"/>
        <v>45536</v>
      </c>
      <c r="F21" s="28">
        <f t="shared" si="9"/>
        <v>45566</v>
      </c>
      <c r="G21" s="28">
        <f t="shared" si="9"/>
        <v>45597</v>
      </c>
      <c r="H21" s="28">
        <f t="shared" si="9"/>
        <v>45627</v>
      </c>
      <c r="I21" s="28">
        <f t="shared" si="9"/>
        <v>45658</v>
      </c>
      <c r="J21" s="28">
        <f t="shared" si="9"/>
        <v>45689</v>
      </c>
      <c r="K21" s="28">
        <f t="shared" si="9"/>
        <v>45717</v>
      </c>
      <c r="L21" s="28">
        <f t="shared" si="9"/>
        <v>45748</v>
      </c>
      <c r="M21" s="28">
        <f t="shared" si="9"/>
        <v>45778</v>
      </c>
      <c r="N21" s="28">
        <f t="shared" si="9"/>
        <v>45809</v>
      </c>
      <c r="O21" s="28">
        <f t="shared" si="9"/>
        <v>45839</v>
      </c>
      <c r="P21" s="89" t="str">
        <f t="shared" si="9"/>
        <v>TOTAL Y20</v>
      </c>
    </row>
    <row r="22" spans="1:16" ht="33.75" customHeight="1" x14ac:dyDescent="0.25">
      <c r="C22" s="97" t="s">
        <v>57</v>
      </c>
      <c r="D22" s="76">
        <f>SUM(D23:D30)</f>
        <v>-2980800</v>
      </c>
      <c r="E22" s="76">
        <f t="shared" ref="E22:O22" si="10">SUM(E23:E30)</f>
        <v>0</v>
      </c>
      <c r="F22" s="76">
        <f t="shared" si="10"/>
        <v>0</v>
      </c>
      <c r="G22" s="76">
        <f t="shared" si="10"/>
        <v>0</v>
      </c>
      <c r="H22" s="76">
        <f t="shared" si="10"/>
        <v>0</v>
      </c>
      <c r="I22" s="76">
        <f t="shared" si="10"/>
        <v>0</v>
      </c>
      <c r="J22" s="76">
        <f t="shared" si="10"/>
        <v>0</v>
      </c>
      <c r="K22" s="76">
        <f t="shared" si="10"/>
        <v>0</v>
      </c>
      <c r="L22" s="76">
        <f t="shared" si="10"/>
        <v>0</v>
      </c>
      <c r="M22" s="76">
        <f t="shared" si="10"/>
        <v>0</v>
      </c>
      <c r="N22" s="76">
        <f t="shared" si="10"/>
        <v>0</v>
      </c>
      <c r="O22" s="76">
        <f t="shared" si="10"/>
        <v>0</v>
      </c>
      <c r="P22" s="76">
        <f>SUM(D22:O22)</f>
        <v>-2980800</v>
      </c>
    </row>
    <row r="23" spans="1:16" ht="32.25" customHeight="1" outlineLevel="1" x14ac:dyDescent="0.25">
      <c r="A23" s="25"/>
      <c r="C23" s="75" t="str">
        <f>+'C-P IT'!C23</f>
        <v>SAP Chile Consultoria SAP J.Maciel</v>
      </c>
      <c r="D23" s="16">
        <f>-(112-40)*30*1380</f>
        <v>-2980800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>
        <f>SUM(D23:O23)</f>
        <v>-2980800</v>
      </c>
    </row>
    <row r="24" spans="1:16" ht="32.25" customHeight="1" outlineLevel="1" x14ac:dyDescent="0.25">
      <c r="A24" s="25"/>
      <c r="C24" s="7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7"/>
      <c r="P24" s="16">
        <f t="shared" ref="P24:P30" si="11">SUM(D24:O24)</f>
        <v>0</v>
      </c>
    </row>
    <row r="25" spans="1:16" ht="32.25" customHeight="1" outlineLevel="1" x14ac:dyDescent="0.25">
      <c r="A25" s="25"/>
      <c r="C25" s="7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>
        <f t="shared" si="11"/>
        <v>0</v>
      </c>
    </row>
    <row r="26" spans="1:16" ht="32.25" customHeight="1" outlineLevel="1" x14ac:dyDescent="0.25">
      <c r="C26" s="6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f t="shared" si="11"/>
        <v>0</v>
      </c>
    </row>
    <row r="27" spans="1:16" ht="32.25" customHeight="1" outlineLevel="1" x14ac:dyDescent="0.25">
      <c r="C27" s="6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f t="shared" si="11"/>
        <v>0</v>
      </c>
    </row>
    <row r="28" spans="1:16" ht="32.25" customHeight="1" outlineLevel="1" x14ac:dyDescent="0.25">
      <c r="C28" s="6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f t="shared" si="11"/>
        <v>0</v>
      </c>
    </row>
    <row r="29" spans="1:16" ht="32.25" customHeight="1" outlineLevel="1" x14ac:dyDescent="0.25">
      <c r="C29" s="6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>
        <f t="shared" si="11"/>
        <v>0</v>
      </c>
    </row>
    <row r="30" spans="1:16" ht="32.25" customHeight="1" outlineLevel="1" x14ac:dyDescent="0.25">
      <c r="C30" s="6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f t="shared" si="11"/>
        <v>0</v>
      </c>
    </row>
    <row r="31" spans="1:16" ht="26.25" customHeight="1" x14ac:dyDescent="0.25"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 ht="11.25" customHeight="1" x14ac:dyDescent="0.25"/>
    <row r="33" spans="3:18" ht="32.25" customHeight="1" x14ac:dyDescent="0.25">
      <c r="D33" s="26"/>
      <c r="G33" s="32"/>
    </row>
    <row r="34" spans="3:18" ht="34.5" customHeight="1" x14ac:dyDescent="0.25">
      <c r="C34" s="97" t="s">
        <v>158</v>
      </c>
      <c r="D34" s="28">
        <f t="shared" ref="D34:P34" si="12">D3</f>
        <v>45505</v>
      </c>
      <c r="E34" s="28">
        <f t="shared" si="12"/>
        <v>45536</v>
      </c>
      <c r="F34" s="28">
        <f t="shared" si="12"/>
        <v>45566</v>
      </c>
      <c r="G34" s="28">
        <f t="shared" si="12"/>
        <v>45597</v>
      </c>
      <c r="H34" s="28">
        <f t="shared" si="12"/>
        <v>45627</v>
      </c>
      <c r="I34" s="28">
        <f t="shared" si="12"/>
        <v>45658</v>
      </c>
      <c r="J34" s="28">
        <f t="shared" si="12"/>
        <v>45689</v>
      </c>
      <c r="K34" s="28">
        <f t="shared" si="12"/>
        <v>45717</v>
      </c>
      <c r="L34" s="28">
        <f t="shared" si="12"/>
        <v>45748</v>
      </c>
      <c r="M34" s="28">
        <f t="shared" si="12"/>
        <v>45778</v>
      </c>
      <c r="N34" s="28">
        <f t="shared" si="12"/>
        <v>45809</v>
      </c>
      <c r="O34" s="28">
        <f t="shared" si="12"/>
        <v>45839</v>
      </c>
      <c r="P34" s="89" t="str">
        <f t="shared" si="12"/>
        <v>TOTAL Y20</v>
      </c>
      <c r="Q34" s="30"/>
      <c r="R34" s="51"/>
    </row>
    <row r="35" spans="3:18" ht="32.25" customHeight="1" x14ac:dyDescent="0.25">
      <c r="C35" s="97" t="s">
        <v>158</v>
      </c>
      <c r="D35" s="76">
        <f>SUM(D36:D39)</f>
        <v>0</v>
      </c>
      <c r="E35" s="76">
        <f t="shared" ref="E35:O35" si="13">SUM(E36:E39)</f>
        <v>0</v>
      </c>
      <c r="F35" s="76">
        <f t="shared" si="13"/>
        <v>0</v>
      </c>
      <c r="G35" s="76">
        <f t="shared" si="13"/>
        <v>0</v>
      </c>
      <c r="H35" s="76">
        <f t="shared" si="13"/>
        <v>0</v>
      </c>
      <c r="I35" s="76">
        <f t="shared" si="13"/>
        <v>0</v>
      </c>
      <c r="J35" s="76">
        <f t="shared" si="13"/>
        <v>0</v>
      </c>
      <c r="K35" s="76">
        <f t="shared" si="13"/>
        <v>0</v>
      </c>
      <c r="L35" s="76">
        <f t="shared" si="13"/>
        <v>0</v>
      </c>
      <c r="M35" s="76">
        <f t="shared" si="13"/>
        <v>0</v>
      </c>
      <c r="N35" s="76">
        <f t="shared" si="13"/>
        <v>0</v>
      </c>
      <c r="O35" s="76">
        <f t="shared" si="13"/>
        <v>0</v>
      </c>
      <c r="P35" s="76">
        <f>SUM(D35:O35)</f>
        <v>0</v>
      </c>
    </row>
    <row r="36" spans="3:18" ht="23.25" customHeight="1" outlineLevel="1" x14ac:dyDescent="0.25">
      <c r="C36" s="2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16">
        <f>SUM(D36:O36)</f>
        <v>0</v>
      </c>
    </row>
    <row r="37" spans="3:18" ht="23.25" customHeight="1" outlineLevel="1" x14ac:dyDescent="0.25">
      <c r="C37" s="25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6">
        <f>SUM(D37:O37)</f>
        <v>0</v>
      </c>
    </row>
    <row r="38" spans="3:18" ht="23.25" customHeight="1" outlineLevel="1" x14ac:dyDescent="0.25">
      <c r="C38" s="25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16">
        <f>SUM(D38:O38)</f>
        <v>0</v>
      </c>
    </row>
    <row r="39" spans="3:18" ht="23.25" customHeight="1" outlineLevel="1" x14ac:dyDescent="0.25">
      <c r="P39" s="16">
        <f>SUM(D39:O39)</f>
        <v>0</v>
      </c>
    </row>
    <row r="40" spans="3:18" ht="11.25" customHeight="1" x14ac:dyDescent="0.25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3:18" ht="26.25" customHeight="1" x14ac:dyDescent="0.25"/>
  </sheetData>
  <printOptions horizontalCentered="1"/>
  <pageMargins left="0" right="0" top="0.59055118110236227" bottom="0.39370078740157483" header="0" footer="0"/>
  <pageSetup paperSize="9" scale="5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20</vt:i4>
      </vt:variant>
    </vt:vector>
  </HeadingPairs>
  <TitlesOfParts>
    <vt:vector size="31" baseType="lpstr">
      <vt:lpstr>P&amp;L </vt:lpstr>
      <vt:lpstr>SAP </vt:lpstr>
      <vt:lpstr>SAP D</vt:lpstr>
      <vt:lpstr>C-P IT</vt:lpstr>
      <vt:lpstr>SF</vt:lpstr>
      <vt:lpstr>CD SAP</vt:lpstr>
      <vt:lpstr>CD SAP D</vt:lpstr>
      <vt:lpstr>CD SF</vt:lpstr>
      <vt:lpstr>CD C-P IT </vt:lpstr>
      <vt:lpstr>CI Per</vt:lpstr>
      <vt:lpstr>CI Otros</vt:lpstr>
      <vt:lpstr>'CD C-P IT '!Área_de_impresión</vt:lpstr>
      <vt:lpstr>'CD SAP'!Área_de_impresión</vt:lpstr>
      <vt:lpstr>'CD SAP D'!Área_de_impresión</vt:lpstr>
      <vt:lpstr>'CD SF'!Área_de_impresión</vt:lpstr>
      <vt:lpstr>'CI Otros'!Área_de_impresión</vt:lpstr>
      <vt:lpstr>'CI Per'!Área_de_impresión</vt:lpstr>
      <vt:lpstr>'C-P IT'!Área_de_impresión</vt:lpstr>
      <vt:lpstr>'P&amp;L '!Área_de_impresión</vt:lpstr>
      <vt:lpstr>'SAP '!Área_de_impresión</vt:lpstr>
      <vt:lpstr>'SAP D'!Área_de_impresión</vt:lpstr>
      <vt:lpstr>SF!Área_de_impresión</vt:lpstr>
      <vt:lpstr>'CD C-P IT '!Títulos_a_imprimir</vt:lpstr>
      <vt:lpstr>'CD SAP'!Títulos_a_imprimir</vt:lpstr>
      <vt:lpstr>'CD SAP D'!Títulos_a_imprimir</vt:lpstr>
      <vt:lpstr>'CD SF'!Títulos_a_imprimir</vt:lpstr>
      <vt:lpstr>'CI Per'!Títulos_a_imprimir</vt:lpstr>
      <vt:lpstr>'C-P IT'!Títulos_a_imprimir</vt:lpstr>
      <vt:lpstr>'SAP '!Títulos_a_imprimir</vt:lpstr>
      <vt:lpstr>'SAP D'!Títulos_a_imprimir</vt:lpstr>
      <vt:lpstr>SF!Títulos_a_imprimir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Curone</dc:creator>
  <cp:lastModifiedBy>Marina Curone</cp:lastModifiedBy>
  <cp:lastPrinted>2012-08-06T20:57:59Z</cp:lastPrinted>
  <dcterms:created xsi:type="dcterms:W3CDTF">2006-01-25T00:43:05Z</dcterms:created>
  <dcterms:modified xsi:type="dcterms:W3CDTF">2025-06-23T19:44:28Z</dcterms:modified>
</cp:coreProperties>
</file>