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PAGOS\"/>
    </mc:Choice>
  </mc:AlternateContent>
  <bookViews>
    <workbookView xWindow="0" yWindow="0" windowWidth="28800" windowHeight="14130" tabRatio="824" activeTab="5"/>
  </bookViews>
  <sheets>
    <sheet name="OBRAS" sheetId="1" r:id="rId1"/>
    <sheet name="SOLICITUD DE PAGO" sheetId="2" r:id="rId2"/>
    <sheet name="Hoja1" sheetId="7" state="hidden" r:id="rId3"/>
    <sheet name="AVANCE FINANCIERO 2016" sheetId="3" r:id="rId4"/>
    <sheet name="AVANCE FINANCIERO 2016 (2)" sheetId="21" r:id="rId5"/>
    <sheet name="TRAMITE DE ESTIMACIONES" sheetId="14" r:id="rId6"/>
    <sheet name="RESUMEN DE PAGOS" sheetId="9" r:id="rId7"/>
    <sheet name="CARRETERAS CREDITO" sheetId="8" r:id="rId8"/>
    <sheet name="PROYECTOS ESPECIFICOS" sheetId="10" r:id="rId9"/>
    <sheet name="FONDEN" sheetId="11" r:id="rId10"/>
    <sheet name="OBRAS PAV. PDR 2016" sheetId="13" r:id="rId11"/>
    <sheet name="CENTROS COMUNITARIOS " sheetId="16" r:id="rId12"/>
    <sheet name="SERVICIOS DE OBRA 2016" sheetId="15" r:id="rId13"/>
    <sheet name="JUZGADO" sheetId="18" r:id="rId14"/>
    <sheet name="OBRAS A VENCER MAR" sheetId="20" r:id="rId15"/>
  </sheets>
  <definedNames>
    <definedName name="_xlnm._FilterDatabase" localSheetId="3" hidden="1">'AVANCE FINANCIERO 2016'!$A$2:$P$91</definedName>
    <definedName name="_xlnm._FilterDatabase" localSheetId="4" hidden="1">'AVANCE FINANCIERO 2016 (2)'!$A$2:$P$7</definedName>
    <definedName name="_xlnm._FilterDatabase" localSheetId="0" hidden="1">OBRAS!$A$1:$K$289</definedName>
    <definedName name="_xlnm._FilterDatabase" localSheetId="1" hidden="1">'SOLICITUD DE PAGO'!$A$1:$AA$1231</definedName>
    <definedName name="_xlcn.WorksheetConnection_SOLICITUDDEPAGOAW" hidden="1">'SOLICITUD DE PAGO'!$A:$AA</definedName>
    <definedName name="_xlnm.Print_Area" localSheetId="6">'RESUMEN DE PAGOS'!$A$1:$I$31</definedName>
    <definedName name="_xlnm.Print_Titles" localSheetId="7">'CARRETERAS CREDITO'!$A:$G,'CARRETERAS CREDITO'!$3:$3</definedName>
    <definedName name="_xlnm.Print_Titles" localSheetId="11">'CENTROS COMUNITARIOS '!$A:$G,'CENTROS COMUNITARIOS '!$3:$3</definedName>
    <definedName name="_xlnm.Print_Titles" localSheetId="9">FONDEN!$A:$G,FONDEN!$3:$3</definedName>
    <definedName name="_xlnm.Print_Titles" localSheetId="13">JUZGADO!$A:$F,JUZGADO!$3:$3</definedName>
    <definedName name="_xlnm.Print_Titles" localSheetId="14">'OBRAS A VENCER MAR'!$A:$F,'OBRAS A VENCER MAR'!$3:$3</definedName>
    <definedName name="_xlnm.Print_Titles" localSheetId="10">'OBRAS PAV. PDR 2016'!$A:$G,'OBRAS PAV. PDR 2016'!$3:$3</definedName>
    <definedName name="_xlnm.Print_Titles" localSheetId="8">'PROYECTOS ESPECIFICOS'!$A:$G,'PROYECTOS ESPECIFICOS'!$3:$3</definedName>
    <definedName name="_xlnm.Print_Titles" localSheetId="12">'SERVICIOS DE OBRA 2016'!$A:$F,'SERVICIOS DE OBRA 2016'!$3:$3</definedName>
    <definedName name="_xlnm.Print_Titles" localSheetId="5">'TRAMITE DE ESTIMACIONES'!$A:$F,'TRAMITE DE ESTIMACIONES'!$3:$3</definedName>
    <definedName name="Z_1BA0F491_0792_4F15_8E45_55A195DFF7A5_.wvu.FilterData" localSheetId="1" hidden="1">'SOLICITUD DE PAGO'!$C$1:$W$463</definedName>
    <definedName name="Z_393AE098_AB30_46B6_927A_02C827883D51_.wvu.FilterData" localSheetId="0" hidden="1">OBRAS!$A$1:$I$108</definedName>
    <definedName name="Z_393AE098_AB30_46B6_927A_02C827883D51_.wvu.FilterData" localSheetId="1" hidden="1">'SOLICITUD DE PAGO'!$C$1:$W$463</definedName>
    <definedName name="Z_3E641E2C_823D_4F37_8CAA_309DBF358318_.wvu.FilterData" localSheetId="1" hidden="1">'SOLICITUD DE PAGO'!$C$1:$W$463</definedName>
    <definedName name="Z_71CFCE49_89A9_4529_8C6D_F507FB0FF9D7_.wvu.FilterData" localSheetId="3" hidden="1">'AVANCE FINANCIERO 2016'!$A$2:$P$45</definedName>
    <definedName name="Z_71CFCE49_89A9_4529_8C6D_F507FB0FF9D7_.wvu.FilterData" localSheetId="4" hidden="1">'AVANCE FINANCIERO 2016 (2)'!$A$2:$P$2</definedName>
    <definedName name="Z_71CFCE49_89A9_4529_8C6D_F507FB0FF9D7_.wvu.FilterData" localSheetId="0" hidden="1">OBRAS!$A$1:$I$141</definedName>
    <definedName name="Z_71CFCE49_89A9_4529_8C6D_F507FB0FF9D7_.wvu.FilterData" localSheetId="1" hidden="1">'SOLICITUD DE PAGO'!$C$1:$W$463</definedName>
    <definedName name="Z_795C91D3_983C_4460_8E9B_9B53E8A9ED6C_.wvu.FilterData" localSheetId="1" hidden="1">'SOLICITUD DE PAGO'!$C$1:$W$463</definedName>
    <definedName name="Z_7AFF87B6_B3E0_434A_A0B8_87EB09BABF96_.wvu.FilterData" localSheetId="3" hidden="1">'AVANCE FINANCIERO 2016'!$A$2:$P$43</definedName>
    <definedName name="Z_7AFF87B6_B3E0_434A_A0B8_87EB09BABF96_.wvu.FilterData" localSheetId="4" hidden="1">'AVANCE FINANCIERO 2016 (2)'!$A$2:$P$2</definedName>
    <definedName name="Z_7AFF87B6_B3E0_434A_A0B8_87EB09BABF96_.wvu.FilterData" localSheetId="0" hidden="1">OBRAS!$A$1:$I$108</definedName>
    <definedName name="Z_7AFF87B6_B3E0_434A_A0B8_87EB09BABF96_.wvu.FilterData" localSheetId="1" hidden="1">'SOLICITUD DE PAGO'!$C$1:$W$225</definedName>
    <definedName name="Z_C76592A2_A886_43C4_A82A_171E857E6B42_.wvu.FilterData" localSheetId="1" hidden="1">'SOLICITUD DE PAGO'!$C$1:$W$225</definedName>
    <definedName name="Z_D2E230E8_A41B_436E_B4F7_E65E0A619A1C_.wvu.FilterData" localSheetId="1" hidden="1">'SOLICITUD DE PAGO'!$C$1:$W$463</definedName>
    <definedName name="Z_F34DA8B6_09A2_4574_9212_5F416F2543B0_.wvu.FilterData" localSheetId="1" hidden="1">'SOLICITUD DE PAGO'!$C$1:$W$463</definedName>
  </definedNames>
  <calcPr calcId="162913" fullPrecision="0"/>
  <customWorkbookViews>
    <customWorkbookView name="Yamil Durazo Valencia - Vista personalizada" guid="{71CFCE49-89A9-4529-8C6D-F507FB0FF9D7}" mergeInterval="0" personalView="1" maximized="1" xWindow="-8" yWindow="-8" windowWidth="1456" windowHeight="876" tabRatio="621" activeSheetId="2"/>
    <customWorkbookView name="Veronica Jannettee Robles Torres - Vista personalizada" guid="{7AFF87B6-B3E0-434A-A0B8-87EB09BABF96}" mergeInterval="0" personalView="1" maximized="1" xWindow="-8" yWindow="-8" windowWidth="1456" windowHeight="876" activeSheetId="2"/>
  </customWorkbookViews>
  <pivotCaches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c297e66d-ef0a-4365-9392-13f31f31a80b" name="Rango" connection="WorksheetConnection_SOLICITUD DE PAGO!$A:$W"/>
        </x15:modelTables>
      </x15:dataModel>
    </ext>
  </extLst>
</workbook>
</file>

<file path=xl/calcChain.xml><?xml version="1.0" encoding="utf-8"?>
<calcChain xmlns="http://schemas.openxmlformats.org/spreadsheetml/2006/main">
  <c r="O1201" i="2" l="1"/>
  <c r="O1200" i="2"/>
  <c r="O1199" i="2"/>
  <c r="O1198" i="2"/>
  <c r="D1178" i="2"/>
  <c r="O1197" i="2" l="1"/>
  <c r="O1196" i="2"/>
  <c r="O1195" i="2" l="1"/>
  <c r="O1194" i="2"/>
  <c r="O1193" i="2"/>
  <c r="O1192" i="2" l="1"/>
  <c r="O1191" i="2"/>
  <c r="O1190" i="2"/>
  <c r="O1187" i="2"/>
  <c r="O1186" i="2"/>
  <c r="O1185" i="2"/>
  <c r="B8" i="21" l="1"/>
  <c r="D8" i="21"/>
  <c r="E8" i="21"/>
  <c r="G8" i="21"/>
  <c r="I8" i="21"/>
  <c r="K8" i="21"/>
  <c r="B9" i="21"/>
  <c r="D9" i="21"/>
  <c r="E9" i="21"/>
  <c r="G9" i="21"/>
  <c r="I9" i="21"/>
  <c r="K9" i="21"/>
  <c r="B10" i="21"/>
  <c r="D10" i="21"/>
  <c r="E10" i="21"/>
  <c r="G10" i="21"/>
  <c r="I10" i="21"/>
  <c r="K10" i="21"/>
  <c r="B11" i="21"/>
  <c r="D11" i="21"/>
  <c r="E11" i="21"/>
  <c r="G11" i="21"/>
  <c r="I11" i="21"/>
  <c r="K11" i="21"/>
  <c r="B12" i="21"/>
  <c r="D12" i="21"/>
  <c r="E12" i="21"/>
  <c r="G12" i="21"/>
  <c r="I12" i="21"/>
  <c r="K12" i="21"/>
  <c r="B13" i="21"/>
  <c r="D13" i="21"/>
  <c r="E13" i="21"/>
  <c r="G13" i="21"/>
  <c r="I13" i="21"/>
  <c r="K13" i="21"/>
  <c r="B14" i="21"/>
  <c r="D14" i="21"/>
  <c r="E14" i="21"/>
  <c r="G14" i="21"/>
  <c r="I14" i="21"/>
  <c r="K14" i="21"/>
  <c r="B15" i="21"/>
  <c r="D15" i="21"/>
  <c r="E15" i="21"/>
  <c r="G15" i="21"/>
  <c r="I15" i="21"/>
  <c r="K15" i="21"/>
  <c r="B16" i="21"/>
  <c r="D16" i="21"/>
  <c r="E16" i="21"/>
  <c r="G16" i="21"/>
  <c r="I16" i="21"/>
  <c r="K16" i="21"/>
  <c r="B17" i="21"/>
  <c r="D17" i="21"/>
  <c r="E17" i="21"/>
  <c r="G17" i="21"/>
  <c r="I17" i="21"/>
  <c r="K17" i="21"/>
  <c r="B18" i="21"/>
  <c r="D18" i="21"/>
  <c r="E18" i="21"/>
  <c r="G18" i="21"/>
  <c r="I18" i="21"/>
  <c r="K18" i="21"/>
  <c r="B19" i="21"/>
  <c r="D19" i="21"/>
  <c r="E19" i="21"/>
  <c r="G19" i="21"/>
  <c r="I19" i="21"/>
  <c r="K19" i="21"/>
  <c r="B20" i="21"/>
  <c r="D20" i="21"/>
  <c r="E20" i="21"/>
  <c r="G20" i="21"/>
  <c r="I20" i="21"/>
  <c r="K20" i="21"/>
  <c r="B21" i="21"/>
  <c r="D21" i="21"/>
  <c r="E21" i="21"/>
  <c r="G21" i="21"/>
  <c r="I21" i="21"/>
  <c r="K21" i="21"/>
  <c r="B22" i="21"/>
  <c r="D22" i="21"/>
  <c r="E22" i="21"/>
  <c r="G22" i="21"/>
  <c r="I22" i="21"/>
  <c r="K22" i="21"/>
  <c r="B23" i="21"/>
  <c r="D23" i="21"/>
  <c r="E23" i="21"/>
  <c r="G23" i="21"/>
  <c r="I23" i="21"/>
  <c r="K23" i="21"/>
  <c r="B24" i="21"/>
  <c r="D24" i="21"/>
  <c r="E24" i="21"/>
  <c r="G24" i="21"/>
  <c r="I24" i="21"/>
  <c r="K24" i="21"/>
  <c r="B25" i="21"/>
  <c r="D25" i="21"/>
  <c r="E25" i="21"/>
  <c r="G25" i="21"/>
  <c r="I25" i="21"/>
  <c r="K25" i="21"/>
  <c r="B26" i="21"/>
  <c r="D26" i="21"/>
  <c r="E26" i="21"/>
  <c r="G26" i="21"/>
  <c r="K26" i="21"/>
  <c r="B27" i="21"/>
  <c r="D27" i="21"/>
  <c r="E27" i="21"/>
  <c r="G27" i="21"/>
  <c r="I27" i="21"/>
  <c r="K27" i="21"/>
  <c r="B28" i="21"/>
  <c r="D28" i="21"/>
  <c r="E28" i="21"/>
  <c r="G28" i="21"/>
  <c r="I28" i="21"/>
  <c r="K28" i="21"/>
  <c r="B29" i="21"/>
  <c r="D29" i="21"/>
  <c r="E29" i="21"/>
  <c r="G29" i="21"/>
  <c r="I29" i="21"/>
  <c r="K29" i="21"/>
  <c r="B30" i="21"/>
  <c r="D30" i="21"/>
  <c r="E30" i="21"/>
  <c r="G30" i="21"/>
  <c r="I30" i="21"/>
  <c r="K30" i="21"/>
  <c r="B31" i="21"/>
  <c r="D31" i="21"/>
  <c r="E31" i="21"/>
  <c r="G31" i="21"/>
  <c r="I31" i="21"/>
  <c r="K31" i="21"/>
  <c r="K7" i="21"/>
  <c r="I7" i="21"/>
  <c r="G7" i="21"/>
  <c r="E7" i="21"/>
  <c r="D7" i="21"/>
  <c r="B7" i="21"/>
  <c r="K6" i="21"/>
  <c r="I6" i="21"/>
  <c r="G6" i="21"/>
  <c r="E6" i="21"/>
  <c r="D6" i="21"/>
  <c r="B6" i="21"/>
  <c r="K5" i="21"/>
  <c r="I5" i="21"/>
  <c r="G5" i="21"/>
  <c r="E5" i="21"/>
  <c r="D5" i="21"/>
  <c r="B5" i="21"/>
  <c r="K4" i="21"/>
  <c r="I4" i="21"/>
  <c r="G4" i="21"/>
  <c r="E4" i="21"/>
  <c r="D4" i="21"/>
  <c r="B4" i="21"/>
  <c r="K3" i="21"/>
  <c r="I3" i="21"/>
  <c r="G3" i="21"/>
  <c r="E3" i="21"/>
  <c r="D3" i="21"/>
  <c r="B3" i="21"/>
  <c r="J23" i="21" l="1"/>
  <c r="J21" i="21"/>
  <c r="J12" i="21"/>
  <c r="J8" i="21"/>
  <c r="J16" i="21"/>
  <c r="H14" i="21"/>
  <c r="J20" i="21"/>
  <c r="J29" i="21"/>
  <c r="J25" i="21"/>
  <c r="H18" i="21"/>
  <c r="L18" i="21" s="1"/>
  <c r="M18" i="21" s="1"/>
  <c r="J28" i="21"/>
  <c r="J6" i="21"/>
  <c r="H5" i="21"/>
  <c r="L5" i="21" s="1"/>
  <c r="J27" i="21"/>
  <c r="H19" i="21"/>
  <c r="L19" i="21" s="1"/>
  <c r="M19" i="21" s="1"/>
  <c r="H16" i="21"/>
  <c r="L16" i="21" s="1"/>
  <c r="M16" i="21" s="1"/>
  <c r="J14" i="21"/>
  <c r="H10" i="21"/>
  <c r="L10" i="21" s="1"/>
  <c r="H8" i="21"/>
  <c r="L14" i="21"/>
  <c r="H27" i="21"/>
  <c r="L27" i="21" s="1"/>
  <c r="M27" i="21" s="1"/>
  <c r="H23" i="21"/>
  <c r="H31" i="21"/>
  <c r="J30" i="21"/>
  <c r="H29" i="21"/>
  <c r="L29" i="21" s="1"/>
  <c r="M29" i="21" s="1"/>
  <c r="J22" i="21"/>
  <c r="H21" i="21"/>
  <c r="J19" i="21"/>
  <c r="H12" i="21"/>
  <c r="L12" i="21" s="1"/>
  <c r="J10" i="21"/>
  <c r="J7" i="21"/>
  <c r="H28" i="21"/>
  <c r="H24" i="21"/>
  <c r="L24" i="21" s="1"/>
  <c r="M24" i="21" s="1"/>
  <c r="H20" i="21"/>
  <c r="L20" i="21" s="1"/>
  <c r="M20" i="21" s="1"/>
  <c r="J18" i="21"/>
  <c r="J17" i="21"/>
  <c r="H17" i="21"/>
  <c r="J31" i="21"/>
  <c r="H30" i="21"/>
  <c r="H25" i="21"/>
  <c r="J24" i="21"/>
  <c r="H11" i="21"/>
  <c r="J11" i="21"/>
  <c r="H15" i="21"/>
  <c r="J15" i="21"/>
  <c r="J9" i="21"/>
  <c r="H9" i="21"/>
  <c r="H22" i="21"/>
  <c r="J13" i="21"/>
  <c r="H13" i="21"/>
  <c r="J4" i="21"/>
  <c r="H7" i="21"/>
  <c r="J3" i="21"/>
  <c r="H6" i="21"/>
  <c r="J5" i="21"/>
  <c r="H4" i="21"/>
  <c r="H3" i="21"/>
  <c r="D1196" i="2"/>
  <c r="G1196" i="2"/>
  <c r="K1196" i="2"/>
  <c r="L1196" i="2" s="1"/>
  <c r="M1196" i="2" s="1"/>
  <c r="N1196" i="2" s="1"/>
  <c r="Q1196" i="2"/>
  <c r="R1196" i="2"/>
  <c r="S1196" i="2"/>
  <c r="T1196" i="2"/>
  <c r="W1196" i="2"/>
  <c r="X1196" i="2" s="1"/>
  <c r="AA1196" i="2"/>
  <c r="D1197" i="2"/>
  <c r="G1197" i="2"/>
  <c r="L1197" i="2"/>
  <c r="M1197" i="2" s="1"/>
  <c r="N1197" i="2" s="1"/>
  <c r="Q1197" i="2"/>
  <c r="R1197" i="2"/>
  <c r="S1197" i="2"/>
  <c r="T1197" i="2"/>
  <c r="W1197" i="2"/>
  <c r="AA1197" i="2"/>
  <c r="D1198" i="2"/>
  <c r="G1198" i="2"/>
  <c r="K1198" i="2"/>
  <c r="L1198" i="2" s="1"/>
  <c r="M1198" i="2" s="1"/>
  <c r="N1198" i="2" s="1"/>
  <c r="Q1198" i="2"/>
  <c r="R1198" i="2"/>
  <c r="S1198" i="2"/>
  <c r="T1198" i="2"/>
  <c r="W1198" i="2"/>
  <c r="AA1198" i="2"/>
  <c r="D1199" i="2"/>
  <c r="G1199" i="2"/>
  <c r="K1199" i="2"/>
  <c r="L1199" i="2" s="1"/>
  <c r="M1199" i="2" s="1"/>
  <c r="N1199" i="2" s="1"/>
  <c r="Q1199" i="2"/>
  <c r="R1199" i="2"/>
  <c r="S1199" i="2"/>
  <c r="T1199" i="2"/>
  <c r="W1199" i="2"/>
  <c r="X1199" i="2" s="1"/>
  <c r="AA1199" i="2"/>
  <c r="D1200" i="2"/>
  <c r="G1200" i="2"/>
  <c r="L1200" i="2"/>
  <c r="M1200" i="2" s="1"/>
  <c r="N1200" i="2" s="1"/>
  <c r="Q1200" i="2"/>
  <c r="R1200" i="2"/>
  <c r="S1200" i="2"/>
  <c r="T1200" i="2"/>
  <c r="W1200" i="2"/>
  <c r="AA1200" i="2"/>
  <c r="D1201" i="2"/>
  <c r="G1201" i="2"/>
  <c r="L1201" i="2"/>
  <c r="M1201" i="2" s="1"/>
  <c r="N1201" i="2" s="1"/>
  <c r="Q1201" i="2"/>
  <c r="R1201" i="2"/>
  <c r="S1201" i="2"/>
  <c r="T1201" i="2"/>
  <c r="W1201" i="2"/>
  <c r="AA1201" i="2"/>
  <c r="D1202" i="2"/>
  <c r="G1202" i="2"/>
  <c r="K1202" i="2"/>
  <c r="L1202" i="2" s="1"/>
  <c r="M1202" i="2" s="1"/>
  <c r="N1202" i="2" s="1"/>
  <c r="O1202" i="2"/>
  <c r="Q1202" i="2"/>
  <c r="R1202" i="2"/>
  <c r="S1202" i="2"/>
  <c r="T1202" i="2"/>
  <c r="W1202" i="2"/>
  <c r="X1202" i="2" s="1"/>
  <c r="Y1202" i="2"/>
  <c r="AA1202" i="2"/>
  <c r="D1203" i="2"/>
  <c r="G1203" i="2"/>
  <c r="K1203" i="2"/>
  <c r="L1203" i="2" s="1"/>
  <c r="M1203" i="2" s="1"/>
  <c r="N1203" i="2" s="1"/>
  <c r="O1203" i="2"/>
  <c r="Q1203" i="2"/>
  <c r="R1203" i="2"/>
  <c r="S1203" i="2"/>
  <c r="T1203" i="2"/>
  <c r="W1203" i="2"/>
  <c r="X1203" i="2" s="1"/>
  <c r="Y1203" i="2"/>
  <c r="AA1203" i="2"/>
  <c r="D1204" i="2"/>
  <c r="G1204" i="2"/>
  <c r="K1204" i="2"/>
  <c r="L1204" i="2" s="1"/>
  <c r="M1204" i="2" s="1"/>
  <c r="N1204" i="2" s="1"/>
  <c r="O1204" i="2"/>
  <c r="Q1204" i="2"/>
  <c r="R1204" i="2"/>
  <c r="S1204" i="2"/>
  <c r="T1204" i="2"/>
  <c r="W1204" i="2"/>
  <c r="Z1204" i="2" s="1"/>
  <c r="Y1204" i="2"/>
  <c r="AA1204" i="2"/>
  <c r="D1205" i="2"/>
  <c r="G1205" i="2"/>
  <c r="K1205" i="2"/>
  <c r="L1205" i="2" s="1"/>
  <c r="M1205" i="2" s="1"/>
  <c r="N1205" i="2" s="1"/>
  <c r="O1205" i="2"/>
  <c r="Q1205" i="2"/>
  <c r="R1205" i="2"/>
  <c r="S1205" i="2"/>
  <c r="T1205" i="2"/>
  <c r="W1205" i="2"/>
  <c r="Z1205" i="2" s="1"/>
  <c r="Y1205" i="2"/>
  <c r="AA1205" i="2"/>
  <c r="D1206" i="2"/>
  <c r="G1206" i="2"/>
  <c r="K1206" i="2"/>
  <c r="L1206" i="2" s="1"/>
  <c r="M1206" i="2" s="1"/>
  <c r="N1206" i="2" s="1"/>
  <c r="O1206" i="2"/>
  <c r="Q1206" i="2"/>
  <c r="R1206" i="2"/>
  <c r="S1206" i="2"/>
  <c r="T1206" i="2"/>
  <c r="W1206" i="2"/>
  <c r="Z1206" i="2" s="1"/>
  <c r="Y1206" i="2"/>
  <c r="AA1206" i="2"/>
  <c r="D1207" i="2"/>
  <c r="G1207" i="2"/>
  <c r="K1207" i="2"/>
  <c r="L1207" i="2" s="1"/>
  <c r="M1207" i="2" s="1"/>
  <c r="N1207" i="2" s="1"/>
  <c r="O1207" i="2"/>
  <c r="Q1207" i="2"/>
  <c r="R1207" i="2"/>
  <c r="S1207" i="2"/>
  <c r="T1207" i="2"/>
  <c r="W1207" i="2"/>
  <c r="X1207" i="2" s="1"/>
  <c r="Y1207" i="2"/>
  <c r="AA1207" i="2"/>
  <c r="D1208" i="2"/>
  <c r="G1208" i="2"/>
  <c r="K1208" i="2"/>
  <c r="L1208" i="2" s="1"/>
  <c r="M1208" i="2" s="1"/>
  <c r="N1208" i="2" s="1"/>
  <c r="O1208" i="2"/>
  <c r="Q1208" i="2"/>
  <c r="R1208" i="2"/>
  <c r="S1208" i="2"/>
  <c r="T1208" i="2"/>
  <c r="W1208" i="2"/>
  <c r="Z1208" i="2" s="1"/>
  <c r="Y1208" i="2"/>
  <c r="AA1208" i="2"/>
  <c r="D1209" i="2"/>
  <c r="G1209" i="2"/>
  <c r="K1209" i="2"/>
  <c r="L1209" i="2" s="1"/>
  <c r="M1209" i="2" s="1"/>
  <c r="N1209" i="2" s="1"/>
  <c r="O1209" i="2"/>
  <c r="Q1209" i="2"/>
  <c r="R1209" i="2"/>
  <c r="S1209" i="2"/>
  <c r="T1209" i="2"/>
  <c r="W1209" i="2"/>
  <c r="Z1209" i="2" s="1"/>
  <c r="Y1209" i="2"/>
  <c r="AA1209" i="2"/>
  <c r="D1210" i="2"/>
  <c r="G1210" i="2"/>
  <c r="K1210" i="2"/>
  <c r="L1210" i="2" s="1"/>
  <c r="M1210" i="2" s="1"/>
  <c r="N1210" i="2" s="1"/>
  <c r="O1210" i="2"/>
  <c r="Q1210" i="2"/>
  <c r="R1210" i="2"/>
  <c r="S1210" i="2"/>
  <c r="T1210" i="2"/>
  <c r="W1210" i="2"/>
  <c r="X1210" i="2" s="1"/>
  <c r="Y1210" i="2"/>
  <c r="AA1210" i="2"/>
  <c r="D1211" i="2"/>
  <c r="G1211" i="2"/>
  <c r="K1211" i="2"/>
  <c r="L1211" i="2" s="1"/>
  <c r="M1211" i="2" s="1"/>
  <c r="N1211" i="2" s="1"/>
  <c r="O1211" i="2"/>
  <c r="Q1211" i="2"/>
  <c r="R1211" i="2"/>
  <c r="S1211" i="2"/>
  <c r="T1211" i="2"/>
  <c r="W1211" i="2"/>
  <c r="X1211" i="2" s="1"/>
  <c r="Y1211" i="2"/>
  <c r="AA1211" i="2"/>
  <c r="D1212" i="2"/>
  <c r="G1212" i="2"/>
  <c r="K1212" i="2"/>
  <c r="L1212" i="2" s="1"/>
  <c r="M1212" i="2" s="1"/>
  <c r="N1212" i="2" s="1"/>
  <c r="O1212" i="2"/>
  <c r="Q1212" i="2"/>
  <c r="R1212" i="2"/>
  <c r="S1212" i="2"/>
  <c r="T1212" i="2"/>
  <c r="W1212" i="2"/>
  <c r="Z1212" i="2" s="1"/>
  <c r="Y1212" i="2"/>
  <c r="AA1212" i="2"/>
  <c r="D1213" i="2"/>
  <c r="G1213" i="2"/>
  <c r="K1213" i="2"/>
  <c r="L1213" i="2" s="1"/>
  <c r="M1213" i="2" s="1"/>
  <c r="N1213" i="2" s="1"/>
  <c r="O1213" i="2"/>
  <c r="Q1213" i="2"/>
  <c r="R1213" i="2"/>
  <c r="S1213" i="2"/>
  <c r="T1213" i="2"/>
  <c r="W1213" i="2"/>
  <c r="Z1213" i="2" s="1"/>
  <c r="Y1213" i="2"/>
  <c r="AA1213" i="2"/>
  <c r="D1214" i="2"/>
  <c r="G1214" i="2"/>
  <c r="K1214" i="2"/>
  <c r="L1214" i="2" s="1"/>
  <c r="M1214" i="2" s="1"/>
  <c r="N1214" i="2" s="1"/>
  <c r="O1214" i="2"/>
  <c r="Q1214" i="2"/>
  <c r="R1214" i="2"/>
  <c r="S1214" i="2"/>
  <c r="T1214" i="2"/>
  <c r="W1214" i="2"/>
  <c r="Z1214" i="2" s="1"/>
  <c r="Y1214" i="2"/>
  <c r="AA1214" i="2"/>
  <c r="D1215" i="2"/>
  <c r="G1215" i="2"/>
  <c r="K1215" i="2"/>
  <c r="L1215" i="2" s="1"/>
  <c r="M1215" i="2" s="1"/>
  <c r="N1215" i="2" s="1"/>
  <c r="O1215" i="2"/>
  <c r="Q1215" i="2"/>
  <c r="R1215" i="2"/>
  <c r="S1215" i="2"/>
  <c r="T1215" i="2"/>
  <c r="W1215" i="2"/>
  <c r="X1215" i="2" s="1"/>
  <c r="Y1215" i="2"/>
  <c r="AA1215" i="2"/>
  <c r="D1216" i="2"/>
  <c r="G1216" i="2"/>
  <c r="K1216" i="2"/>
  <c r="L1216" i="2" s="1"/>
  <c r="M1216" i="2" s="1"/>
  <c r="N1216" i="2" s="1"/>
  <c r="O1216" i="2"/>
  <c r="Q1216" i="2"/>
  <c r="R1216" i="2"/>
  <c r="S1216" i="2"/>
  <c r="T1216" i="2"/>
  <c r="W1216" i="2"/>
  <c r="Z1216" i="2" s="1"/>
  <c r="Y1216" i="2"/>
  <c r="AA1216" i="2"/>
  <c r="D1217" i="2"/>
  <c r="G1217" i="2"/>
  <c r="K1217" i="2"/>
  <c r="L1217" i="2" s="1"/>
  <c r="M1217" i="2" s="1"/>
  <c r="N1217" i="2" s="1"/>
  <c r="O1217" i="2"/>
  <c r="Q1217" i="2"/>
  <c r="R1217" i="2"/>
  <c r="S1217" i="2"/>
  <c r="T1217" i="2"/>
  <c r="W1217" i="2"/>
  <c r="Z1217" i="2" s="1"/>
  <c r="Y1217" i="2"/>
  <c r="AA1217" i="2"/>
  <c r="D1218" i="2"/>
  <c r="G1218" i="2"/>
  <c r="K1218" i="2"/>
  <c r="L1218" i="2" s="1"/>
  <c r="M1218" i="2" s="1"/>
  <c r="N1218" i="2" s="1"/>
  <c r="O1218" i="2"/>
  <c r="Q1218" i="2"/>
  <c r="R1218" i="2"/>
  <c r="S1218" i="2"/>
  <c r="T1218" i="2"/>
  <c r="W1218" i="2"/>
  <c r="X1218" i="2" s="1"/>
  <c r="Y1218" i="2"/>
  <c r="AA1218" i="2"/>
  <c r="D1219" i="2"/>
  <c r="G1219" i="2"/>
  <c r="K1219" i="2"/>
  <c r="L1219" i="2" s="1"/>
  <c r="M1219" i="2" s="1"/>
  <c r="N1219" i="2" s="1"/>
  <c r="O1219" i="2"/>
  <c r="Q1219" i="2"/>
  <c r="R1219" i="2"/>
  <c r="S1219" i="2"/>
  <c r="T1219" i="2"/>
  <c r="W1219" i="2"/>
  <c r="X1219" i="2" s="1"/>
  <c r="Y1219" i="2"/>
  <c r="AA1219" i="2"/>
  <c r="D1220" i="2"/>
  <c r="G1220" i="2"/>
  <c r="K1220" i="2"/>
  <c r="L1220" i="2" s="1"/>
  <c r="M1220" i="2" s="1"/>
  <c r="N1220" i="2" s="1"/>
  <c r="O1220" i="2"/>
  <c r="Q1220" i="2"/>
  <c r="R1220" i="2"/>
  <c r="S1220" i="2"/>
  <c r="T1220" i="2"/>
  <c r="W1220" i="2"/>
  <c r="Z1220" i="2" s="1"/>
  <c r="Y1220" i="2"/>
  <c r="AA1220" i="2"/>
  <c r="D1221" i="2"/>
  <c r="G1221" i="2"/>
  <c r="K1221" i="2"/>
  <c r="L1221" i="2" s="1"/>
  <c r="M1221" i="2" s="1"/>
  <c r="N1221" i="2" s="1"/>
  <c r="O1221" i="2"/>
  <c r="Q1221" i="2"/>
  <c r="R1221" i="2"/>
  <c r="S1221" i="2"/>
  <c r="T1221" i="2"/>
  <c r="W1221" i="2"/>
  <c r="Z1221" i="2" s="1"/>
  <c r="Y1221" i="2"/>
  <c r="AA1221" i="2"/>
  <c r="D1222" i="2"/>
  <c r="G1222" i="2"/>
  <c r="K1222" i="2"/>
  <c r="L1222" i="2" s="1"/>
  <c r="M1222" i="2" s="1"/>
  <c r="N1222" i="2" s="1"/>
  <c r="O1222" i="2"/>
  <c r="Q1222" i="2"/>
  <c r="R1222" i="2"/>
  <c r="S1222" i="2"/>
  <c r="T1222" i="2"/>
  <c r="W1222" i="2"/>
  <c r="Z1222" i="2" s="1"/>
  <c r="Y1222" i="2"/>
  <c r="AA1222" i="2"/>
  <c r="D1223" i="2"/>
  <c r="G1223" i="2"/>
  <c r="K1223" i="2"/>
  <c r="L1223" i="2" s="1"/>
  <c r="M1223" i="2" s="1"/>
  <c r="N1223" i="2" s="1"/>
  <c r="O1223" i="2"/>
  <c r="Q1223" i="2"/>
  <c r="R1223" i="2"/>
  <c r="S1223" i="2"/>
  <c r="T1223" i="2"/>
  <c r="W1223" i="2"/>
  <c r="X1223" i="2" s="1"/>
  <c r="Y1223" i="2"/>
  <c r="AA1223" i="2"/>
  <c r="D1224" i="2"/>
  <c r="G1224" i="2"/>
  <c r="K1224" i="2"/>
  <c r="L1224" i="2" s="1"/>
  <c r="M1224" i="2" s="1"/>
  <c r="N1224" i="2" s="1"/>
  <c r="O1224" i="2"/>
  <c r="Q1224" i="2"/>
  <c r="R1224" i="2"/>
  <c r="S1224" i="2"/>
  <c r="T1224" i="2"/>
  <c r="W1224" i="2"/>
  <c r="Z1224" i="2" s="1"/>
  <c r="Y1224" i="2"/>
  <c r="AA1224" i="2"/>
  <c r="D1225" i="2"/>
  <c r="G1225" i="2"/>
  <c r="K1225" i="2"/>
  <c r="L1225" i="2" s="1"/>
  <c r="M1225" i="2" s="1"/>
  <c r="N1225" i="2" s="1"/>
  <c r="O1225" i="2"/>
  <c r="Q1225" i="2"/>
  <c r="R1225" i="2"/>
  <c r="S1225" i="2"/>
  <c r="T1225" i="2"/>
  <c r="W1225" i="2"/>
  <c r="Z1225" i="2" s="1"/>
  <c r="Y1225" i="2"/>
  <c r="AA1225" i="2"/>
  <c r="D1226" i="2"/>
  <c r="G1226" i="2"/>
  <c r="K1226" i="2"/>
  <c r="L1226" i="2" s="1"/>
  <c r="M1226" i="2" s="1"/>
  <c r="N1226" i="2" s="1"/>
  <c r="O1226" i="2"/>
  <c r="Q1226" i="2"/>
  <c r="R1226" i="2"/>
  <c r="S1226" i="2"/>
  <c r="T1226" i="2"/>
  <c r="W1226" i="2"/>
  <c r="X1226" i="2" s="1"/>
  <c r="Y1226" i="2"/>
  <c r="AA1226" i="2"/>
  <c r="D1227" i="2"/>
  <c r="G1227" i="2"/>
  <c r="K1227" i="2"/>
  <c r="L1227" i="2" s="1"/>
  <c r="M1227" i="2" s="1"/>
  <c r="N1227" i="2" s="1"/>
  <c r="O1227" i="2"/>
  <c r="Q1227" i="2"/>
  <c r="R1227" i="2"/>
  <c r="S1227" i="2"/>
  <c r="T1227" i="2"/>
  <c r="W1227" i="2"/>
  <c r="X1227" i="2" s="1"/>
  <c r="Y1227" i="2"/>
  <c r="AA1227" i="2"/>
  <c r="D1228" i="2"/>
  <c r="G1228" i="2"/>
  <c r="K1228" i="2"/>
  <c r="L1228" i="2" s="1"/>
  <c r="M1228" i="2" s="1"/>
  <c r="N1228" i="2" s="1"/>
  <c r="O1228" i="2"/>
  <c r="Q1228" i="2"/>
  <c r="R1228" i="2"/>
  <c r="S1228" i="2"/>
  <c r="T1228" i="2"/>
  <c r="W1228" i="2"/>
  <c r="Z1228" i="2" s="1"/>
  <c r="Y1228" i="2"/>
  <c r="AA1228" i="2"/>
  <c r="D1229" i="2"/>
  <c r="G1229" i="2"/>
  <c r="K1229" i="2"/>
  <c r="L1229" i="2" s="1"/>
  <c r="M1229" i="2" s="1"/>
  <c r="N1229" i="2" s="1"/>
  <c r="O1229" i="2"/>
  <c r="Q1229" i="2"/>
  <c r="R1229" i="2"/>
  <c r="S1229" i="2"/>
  <c r="T1229" i="2"/>
  <c r="W1229" i="2"/>
  <c r="Z1229" i="2" s="1"/>
  <c r="Y1229" i="2"/>
  <c r="AA1229" i="2"/>
  <c r="D1230" i="2"/>
  <c r="G1230" i="2"/>
  <c r="K1230" i="2"/>
  <c r="L1230" i="2" s="1"/>
  <c r="M1230" i="2" s="1"/>
  <c r="N1230" i="2" s="1"/>
  <c r="O1230" i="2"/>
  <c r="Q1230" i="2"/>
  <c r="R1230" i="2"/>
  <c r="S1230" i="2"/>
  <c r="T1230" i="2"/>
  <c r="W1230" i="2"/>
  <c r="Z1230" i="2" s="1"/>
  <c r="Y1230" i="2"/>
  <c r="AA1230" i="2"/>
  <c r="D1231" i="2"/>
  <c r="G1231" i="2"/>
  <c r="K1231" i="2"/>
  <c r="L1231" i="2" s="1"/>
  <c r="M1231" i="2" s="1"/>
  <c r="N1231" i="2" s="1"/>
  <c r="O1231" i="2"/>
  <c r="Q1231" i="2"/>
  <c r="R1231" i="2"/>
  <c r="S1231" i="2"/>
  <c r="T1231" i="2"/>
  <c r="W1231" i="2"/>
  <c r="X1231" i="2" s="1"/>
  <c r="Y1231" i="2"/>
  <c r="AA1231" i="2"/>
  <c r="O1184" i="2"/>
  <c r="O1183" i="2"/>
  <c r="O1182" i="2"/>
  <c r="Z1197" i="2" l="1"/>
  <c r="P1210" i="2"/>
  <c r="P1206" i="2"/>
  <c r="P1198" i="2"/>
  <c r="P1205" i="2"/>
  <c r="P1222" i="2"/>
  <c r="P1200" i="2"/>
  <c r="P1199" i="2"/>
  <c r="P1226" i="2"/>
  <c r="P1221" i="2"/>
  <c r="P1216" i="2"/>
  <c r="P1197" i="2"/>
  <c r="P1212" i="2"/>
  <c r="P1202" i="2"/>
  <c r="P1201" i="2"/>
  <c r="P1224" i="2"/>
  <c r="P1214" i="2"/>
  <c r="P1213" i="2"/>
  <c r="P1208" i="2"/>
  <c r="P1196" i="2"/>
  <c r="P1228" i="2"/>
  <c r="P1218" i="2"/>
  <c r="P1217" i="2"/>
  <c r="P1230" i="2"/>
  <c r="P1229" i="2"/>
  <c r="P1225" i="2"/>
  <c r="P1220" i="2"/>
  <c r="P1209" i="2"/>
  <c r="P1204" i="2"/>
  <c r="P1227" i="2"/>
  <c r="P1219" i="2"/>
  <c r="P1211" i="2"/>
  <c r="P1203" i="2"/>
  <c r="P1231" i="2"/>
  <c r="P1223" i="2"/>
  <c r="P1215" i="2"/>
  <c r="P1207" i="2"/>
  <c r="L21" i="21"/>
  <c r="M21" i="21" s="1"/>
  <c r="L6" i="21"/>
  <c r="L8" i="21"/>
  <c r="L28" i="21"/>
  <c r="M28" i="21" s="1"/>
  <c r="L23" i="21"/>
  <c r="M23" i="21" s="1"/>
  <c r="L31" i="21"/>
  <c r="M31" i="21" s="1"/>
  <c r="L11" i="21"/>
  <c r="L9" i="21"/>
  <c r="L25" i="21"/>
  <c r="M25" i="21" s="1"/>
  <c r="L30" i="21"/>
  <c r="M30" i="21" s="1"/>
  <c r="L17" i="21"/>
  <c r="M17" i="21" s="1"/>
  <c r="L13" i="21"/>
  <c r="L22" i="21"/>
  <c r="M22" i="21" s="1"/>
  <c r="L15" i="21"/>
  <c r="M15" i="21" s="1"/>
  <c r="L7" i="21"/>
  <c r="L4" i="21"/>
  <c r="L3" i="21"/>
  <c r="X1212" i="2"/>
  <c r="X1224" i="2"/>
  <c r="X1228" i="2"/>
  <c r="X1220" i="2"/>
  <c r="X1197" i="2"/>
  <c r="Y1197" i="2" s="1"/>
  <c r="X1198" i="2"/>
  <c r="X1230" i="2"/>
  <c r="X1216" i="2"/>
  <c r="X1208" i="2"/>
  <c r="X1204" i="2"/>
  <c r="X1200" i="2"/>
  <c r="X1229" i="2"/>
  <c r="Z1226" i="2"/>
  <c r="X1222" i="2"/>
  <c r="Z1218" i="2"/>
  <c r="X1214" i="2"/>
  <c r="Z1210" i="2"/>
  <c r="X1206" i="2"/>
  <c r="Z1202" i="2"/>
  <c r="Z1231" i="2"/>
  <c r="Z1227" i="2"/>
  <c r="X1225" i="2"/>
  <c r="Z1223" i="2"/>
  <c r="X1221" i="2"/>
  <c r="Z1219" i="2"/>
  <c r="X1217" i="2"/>
  <c r="Z1215" i="2"/>
  <c r="X1213" i="2"/>
  <c r="Z1211" i="2"/>
  <c r="X1209" i="2"/>
  <c r="Z1207" i="2"/>
  <c r="X1205" i="2"/>
  <c r="Z1203" i="2"/>
  <c r="X1201" i="2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O1180" i="2"/>
  <c r="K1180" i="2"/>
  <c r="O1179" i="2"/>
  <c r="O1177" i="2" l="1"/>
  <c r="O1175" i="2"/>
  <c r="O1174" i="2"/>
  <c r="O1173" i="2"/>
  <c r="O1172" i="2"/>
  <c r="O1171" i="2"/>
  <c r="O1169" i="2"/>
  <c r="O1167" i="2" l="1"/>
  <c r="K1167" i="2"/>
  <c r="O1166" i="2"/>
  <c r="O1165" i="2" l="1"/>
  <c r="O1163" i="2"/>
  <c r="O1162" i="2"/>
  <c r="O1161" i="2"/>
  <c r="O1158" i="2" l="1"/>
  <c r="O1157" i="2"/>
  <c r="O1111" i="2" l="1"/>
  <c r="O1110" i="2"/>
  <c r="T1195" i="2" l="1"/>
  <c r="S1195" i="2"/>
  <c r="T1194" i="2"/>
  <c r="S1194" i="2"/>
  <c r="T1193" i="2"/>
  <c r="S1193" i="2"/>
  <c r="T1192" i="2"/>
  <c r="S1192" i="2"/>
  <c r="T1191" i="2"/>
  <c r="S1191" i="2"/>
  <c r="T1190" i="2"/>
  <c r="S1190" i="2"/>
  <c r="T1189" i="2"/>
  <c r="S1189" i="2"/>
  <c r="T1188" i="2"/>
  <c r="S1188" i="2"/>
  <c r="T1187" i="2"/>
  <c r="S1187" i="2"/>
  <c r="T1186" i="2"/>
  <c r="S1186" i="2"/>
  <c r="T1185" i="2"/>
  <c r="S1185" i="2"/>
  <c r="T1184" i="2"/>
  <c r="S1184" i="2"/>
  <c r="T1183" i="2"/>
  <c r="S1183" i="2"/>
  <c r="T1182" i="2"/>
  <c r="S1182" i="2"/>
  <c r="T1181" i="2"/>
  <c r="S1181" i="2"/>
  <c r="T1180" i="2"/>
  <c r="S1180" i="2"/>
  <c r="T1179" i="2"/>
  <c r="S1179" i="2"/>
  <c r="T1178" i="2"/>
  <c r="S1178" i="2"/>
  <c r="T1177" i="2"/>
  <c r="S1177" i="2"/>
  <c r="T1176" i="2"/>
  <c r="S1176" i="2"/>
  <c r="T1175" i="2"/>
  <c r="S1175" i="2"/>
  <c r="T1174" i="2"/>
  <c r="S1174" i="2"/>
  <c r="T1173" i="2"/>
  <c r="S1173" i="2"/>
  <c r="T1172" i="2"/>
  <c r="S1172" i="2"/>
  <c r="T1171" i="2"/>
  <c r="S1171" i="2"/>
  <c r="T1170" i="2"/>
  <c r="S1170" i="2"/>
  <c r="T1169" i="2"/>
  <c r="S1169" i="2"/>
  <c r="T1168" i="2"/>
  <c r="S1168" i="2"/>
  <c r="T1167" i="2"/>
  <c r="S1167" i="2"/>
  <c r="T1166" i="2"/>
  <c r="S1166" i="2"/>
  <c r="T1165" i="2"/>
  <c r="S1165" i="2"/>
  <c r="T1164" i="2"/>
  <c r="S1164" i="2"/>
  <c r="T1163" i="2"/>
  <c r="S1163" i="2"/>
  <c r="T1162" i="2"/>
  <c r="S1162" i="2"/>
  <c r="T1161" i="2"/>
  <c r="S1161" i="2"/>
  <c r="T1160" i="2"/>
  <c r="S1160" i="2"/>
  <c r="T1159" i="2"/>
  <c r="S1159" i="2"/>
  <c r="T1158" i="2"/>
  <c r="S1158" i="2"/>
  <c r="T1157" i="2"/>
  <c r="S1157" i="2"/>
  <c r="T1156" i="2"/>
  <c r="S1156" i="2"/>
  <c r="O1156" i="2"/>
  <c r="T1155" i="2" l="1"/>
  <c r="S1155" i="2"/>
  <c r="T1154" i="2" l="1"/>
  <c r="S1154" i="2"/>
  <c r="O1154" i="2" l="1"/>
  <c r="O1153" i="2"/>
  <c r="O1152" i="2"/>
  <c r="O1145" i="2" l="1"/>
  <c r="L1142" i="2" l="1"/>
  <c r="O1141" i="2" l="1"/>
  <c r="O1139" i="2"/>
  <c r="K1139" i="2"/>
  <c r="O1138" i="2"/>
  <c r="O1140" i="2"/>
  <c r="AA1134" i="2"/>
  <c r="W1134" i="2"/>
  <c r="T1134" i="2"/>
  <c r="S1134" i="2"/>
  <c r="R1134" i="2"/>
  <c r="Q1134" i="2"/>
  <c r="O1134" i="2"/>
  <c r="L1134" i="2"/>
  <c r="M1134" i="2" s="1"/>
  <c r="N1134" i="2" s="1"/>
  <c r="G1134" i="2"/>
  <c r="D1134" i="2"/>
  <c r="P1134" i="2" l="1"/>
  <c r="Z1134" i="2"/>
  <c r="X1134" i="2"/>
  <c r="Y1134" i="2" s="1"/>
  <c r="O1133" i="2"/>
  <c r="O1132" i="2"/>
  <c r="AA1195" i="2"/>
  <c r="W1195" i="2"/>
  <c r="AA1194" i="2"/>
  <c r="W1194" i="2"/>
  <c r="X1194" i="2" s="1"/>
  <c r="AA1193" i="2"/>
  <c r="W1193" i="2"/>
  <c r="X1193" i="2" s="1"/>
  <c r="AA1192" i="2"/>
  <c r="W1192" i="2"/>
  <c r="AA1191" i="2"/>
  <c r="W1191" i="2"/>
  <c r="AA1190" i="2"/>
  <c r="W1190" i="2"/>
  <c r="AA1189" i="2"/>
  <c r="W1189" i="2"/>
  <c r="X1189" i="2" s="1"/>
  <c r="AA1188" i="2"/>
  <c r="W1188" i="2"/>
  <c r="AA1187" i="2"/>
  <c r="W1187" i="2"/>
  <c r="AA1186" i="2"/>
  <c r="W1186" i="2"/>
  <c r="X1186" i="2" s="1"/>
  <c r="AA1185" i="2"/>
  <c r="W1185" i="2"/>
  <c r="X1185" i="2" s="1"/>
  <c r="AA1184" i="2"/>
  <c r="W1184" i="2"/>
  <c r="AA1183" i="2"/>
  <c r="W1183" i="2"/>
  <c r="X1183" i="2" s="1"/>
  <c r="AA1182" i="2"/>
  <c r="W1182" i="2"/>
  <c r="X1182" i="2" s="1"/>
  <c r="AA1181" i="2"/>
  <c r="W1181" i="2"/>
  <c r="X1181" i="2" s="1"/>
  <c r="AA1180" i="2"/>
  <c r="W1180" i="2"/>
  <c r="AA1179" i="2"/>
  <c r="W1179" i="2"/>
  <c r="X1179" i="2" s="1"/>
  <c r="AA1178" i="2"/>
  <c r="W1178" i="2"/>
  <c r="X1178" i="2" s="1"/>
  <c r="Y1178" i="2" s="1"/>
  <c r="AA1177" i="2"/>
  <c r="W1177" i="2"/>
  <c r="X1177" i="2" s="1"/>
  <c r="AA1176" i="2"/>
  <c r="W1176" i="2"/>
  <c r="AA1175" i="2"/>
  <c r="W1175" i="2"/>
  <c r="X1175" i="2" s="1"/>
  <c r="AA1174" i="2"/>
  <c r="W1174" i="2"/>
  <c r="X1174" i="2" s="1"/>
  <c r="AA1173" i="2"/>
  <c r="W1173" i="2"/>
  <c r="X1173" i="2" s="1"/>
  <c r="AA1172" i="2"/>
  <c r="W1172" i="2"/>
  <c r="AA1171" i="2"/>
  <c r="W1171" i="2"/>
  <c r="X1171" i="2" s="1"/>
  <c r="AA1170" i="2"/>
  <c r="W1170" i="2"/>
  <c r="AA1169" i="2"/>
  <c r="W1169" i="2"/>
  <c r="X1169" i="2" s="1"/>
  <c r="AA1168" i="2"/>
  <c r="W1168" i="2"/>
  <c r="AA1167" i="2"/>
  <c r="W1167" i="2"/>
  <c r="X1167" i="2" s="1"/>
  <c r="AA1166" i="2"/>
  <c r="W1166" i="2"/>
  <c r="AA1165" i="2"/>
  <c r="W1165" i="2"/>
  <c r="X1165" i="2" s="1"/>
  <c r="AA1164" i="2"/>
  <c r="W1164" i="2"/>
  <c r="AA1163" i="2"/>
  <c r="W1163" i="2"/>
  <c r="X1163" i="2" s="1"/>
  <c r="AA1162" i="2"/>
  <c r="W1162" i="2"/>
  <c r="AA1161" i="2"/>
  <c r="W1161" i="2"/>
  <c r="X1161" i="2" s="1"/>
  <c r="AA1160" i="2"/>
  <c r="W1160" i="2"/>
  <c r="AA1159" i="2"/>
  <c r="W1159" i="2"/>
  <c r="X1159" i="2" s="1"/>
  <c r="AA1158" i="2"/>
  <c r="W1158" i="2"/>
  <c r="AA1157" i="2"/>
  <c r="W1157" i="2"/>
  <c r="X1157" i="2" s="1"/>
  <c r="AA1156" i="2"/>
  <c r="W1156" i="2"/>
  <c r="AA1155" i="2"/>
  <c r="W1155" i="2"/>
  <c r="X1155" i="2" s="1"/>
  <c r="AA1154" i="2"/>
  <c r="W1154" i="2"/>
  <c r="X1154" i="2" s="1"/>
  <c r="R1195" i="2"/>
  <c r="Q1195" i="2"/>
  <c r="K1195" i="2"/>
  <c r="L1195" i="2" s="1"/>
  <c r="M1195" i="2" s="1"/>
  <c r="N1195" i="2" s="1"/>
  <c r="R1194" i="2"/>
  <c r="Q1194" i="2"/>
  <c r="K1194" i="2"/>
  <c r="L1194" i="2" s="1"/>
  <c r="M1194" i="2" s="1"/>
  <c r="N1194" i="2" s="1"/>
  <c r="R1193" i="2"/>
  <c r="Q1193" i="2"/>
  <c r="K1193" i="2"/>
  <c r="L1193" i="2" s="1"/>
  <c r="M1193" i="2" s="1"/>
  <c r="N1193" i="2" s="1"/>
  <c r="R1192" i="2"/>
  <c r="Q1192" i="2"/>
  <c r="K1192" i="2"/>
  <c r="L1192" i="2" s="1"/>
  <c r="M1192" i="2" s="1"/>
  <c r="N1192" i="2" s="1"/>
  <c r="R1191" i="2"/>
  <c r="Q1191" i="2"/>
  <c r="K1191" i="2"/>
  <c r="L1191" i="2" s="1"/>
  <c r="M1191" i="2" s="1"/>
  <c r="N1191" i="2" s="1"/>
  <c r="R1190" i="2"/>
  <c r="Q1190" i="2"/>
  <c r="K1190" i="2"/>
  <c r="L1190" i="2" s="1"/>
  <c r="M1190" i="2" s="1"/>
  <c r="N1190" i="2" s="1"/>
  <c r="R1189" i="2"/>
  <c r="Q1189" i="2"/>
  <c r="O1189" i="2"/>
  <c r="K1189" i="2"/>
  <c r="L1189" i="2" s="1"/>
  <c r="M1189" i="2" s="1"/>
  <c r="N1189" i="2" s="1"/>
  <c r="R1188" i="2"/>
  <c r="Q1188" i="2"/>
  <c r="O1188" i="2"/>
  <c r="K1188" i="2"/>
  <c r="L1188" i="2" s="1"/>
  <c r="M1188" i="2" s="1"/>
  <c r="N1188" i="2" s="1"/>
  <c r="R1187" i="2"/>
  <c r="Q1187" i="2"/>
  <c r="K1187" i="2"/>
  <c r="L1187" i="2" s="1"/>
  <c r="M1187" i="2" s="1"/>
  <c r="N1187" i="2" s="1"/>
  <c r="R1186" i="2"/>
  <c r="Q1186" i="2"/>
  <c r="K1186" i="2"/>
  <c r="L1186" i="2" s="1"/>
  <c r="M1186" i="2" s="1"/>
  <c r="N1186" i="2" s="1"/>
  <c r="R1185" i="2"/>
  <c r="Q1185" i="2"/>
  <c r="K1185" i="2"/>
  <c r="L1185" i="2" s="1"/>
  <c r="M1185" i="2" s="1"/>
  <c r="N1185" i="2" s="1"/>
  <c r="R1184" i="2"/>
  <c r="Q1184" i="2"/>
  <c r="K1184" i="2"/>
  <c r="L1184" i="2" s="1"/>
  <c r="M1184" i="2" s="1"/>
  <c r="N1184" i="2" s="1"/>
  <c r="R1183" i="2"/>
  <c r="Q1183" i="2"/>
  <c r="K1183" i="2"/>
  <c r="L1183" i="2" s="1"/>
  <c r="M1183" i="2" s="1"/>
  <c r="N1183" i="2" s="1"/>
  <c r="R1182" i="2"/>
  <c r="Q1182" i="2"/>
  <c r="K1182" i="2"/>
  <c r="L1182" i="2" s="1"/>
  <c r="M1182" i="2" s="1"/>
  <c r="N1182" i="2" s="1"/>
  <c r="R1181" i="2"/>
  <c r="Q1181" i="2"/>
  <c r="O1181" i="2"/>
  <c r="K1181" i="2"/>
  <c r="L1181" i="2" s="1"/>
  <c r="M1181" i="2" s="1"/>
  <c r="N1181" i="2" s="1"/>
  <c r="R1180" i="2"/>
  <c r="Q1180" i="2"/>
  <c r="L1180" i="2"/>
  <c r="M1180" i="2" s="1"/>
  <c r="N1180" i="2" s="1"/>
  <c r="R1179" i="2"/>
  <c r="Q1179" i="2"/>
  <c r="L1179" i="2"/>
  <c r="M1179" i="2" s="1"/>
  <c r="N1179" i="2" s="1"/>
  <c r="R1178" i="2"/>
  <c r="Q1178" i="2"/>
  <c r="L1178" i="2"/>
  <c r="M1178" i="2" s="1"/>
  <c r="N1178" i="2" s="1"/>
  <c r="R1177" i="2"/>
  <c r="Q1177" i="2"/>
  <c r="K1177" i="2"/>
  <c r="R1176" i="2"/>
  <c r="Q1176" i="2"/>
  <c r="O1176" i="2"/>
  <c r="L1176" i="2"/>
  <c r="M1176" i="2" s="1"/>
  <c r="N1176" i="2" s="1"/>
  <c r="R1175" i="2"/>
  <c r="Q1175" i="2"/>
  <c r="K1175" i="2"/>
  <c r="L1175" i="2" s="1"/>
  <c r="M1175" i="2" s="1"/>
  <c r="N1175" i="2" s="1"/>
  <c r="R1174" i="2"/>
  <c r="Q1174" i="2"/>
  <c r="K1174" i="2"/>
  <c r="L1174" i="2" s="1"/>
  <c r="M1174" i="2" s="1"/>
  <c r="N1174" i="2" s="1"/>
  <c r="R1173" i="2"/>
  <c r="Q1173" i="2"/>
  <c r="K1173" i="2"/>
  <c r="L1173" i="2" s="1"/>
  <c r="M1173" i="2" s="1"/>
  <c r="N1173" i="2" s="1"/>
  <c r="R1172" i="2"/>
  <c r="Q1172" i="2"/>
  <c r="L1172" i="2"/>
  <c r="M1172" i="2" s="1"/>
  <c r="N1172" i="2" s="1"/>
  <c r="R1171" i="2"/>
  <c r="Q1171" i="2"/>
  <c r="K1171" i="2"/>
  <c r="L1171" i="2" s="1"/>
  <c r="M1171" i="2" s="1"/>
  <c r="N1171" i="2" s="1"/>
  <c r="R1170" i="2"/>
  <c r="Q1170" i="2"/>
  <c r="O1170" i="2"/>
  <c r="L1170" i="2"/>
  <c r="M1170" i="2" s="1"/>
  <c r="N1170" i="2" s="1"/>
  <c r="R1169" i="2"/>
  <c r="Q1169" i="2"/>
  <c r="K1169" i="2"/>
  <c r="L1169" i="2" s="1"/>
  <c r="M1169" i="2" s="1"/>
  <c r="N1169" i="2" s="1"/>
  <c r="R1168" i="2"/>
  <c r="Q1168" i="2"/>
  <c r="O1168" i="2"/>
  <c r="L1168" i="2"/>
  <c r="M1168" i="2" s="1"/>
  <c r="N1168" i="2" s="1"/>
  <c r="R1167" i="2"/>
  <c r="Q1167" i="2"/>
  <c r="L1167" i="2"/>
  <c r="M1167" i="2" s="1"/>
  <c r="N1167" i="2" s="1"/>
  <c r="R1166" i="2"/>
  <c r="Q1166" i="2"/>
  <c r="K1166" i="2"/>
  <c r="L1166" i="2" s="1"/>
  <c r="M1166" i="2" s="1"/>
  <c r="N1166" i="2" s="1"/>
  <c r="R1165" i="2"/>
  <c r="Q1165" i="2"/>
  <c r="K1165" i="2"/>
  <c r="R1164" i="2"/>
  <c r="Q1164" i="2"/>
  <c r="O1164" i="2"/>
  <c r="K1164" i="2"/>
  <c r="L1164" i="2" s="1"/>
  <c r="M1164" i="2" s="1"/>
  <c r="N1164" i="2" s="1"/>
  <c r="R1163" i="2"/>
  <c r="Q1163" i="2"/>
  <c r="K1163" i="2"/>
  <c r="L1163" i="2" s="1"/>
  <c r="M1163" i="2" s="1"/>
  <c r="N1163" i="2" s="1"/>
  <c r="R1162" i="2"/>
  <c r="Q1162" i="2"/>
  <c r="K1162" i="2"/>
  <c r="L1162" i="2" s="1"/>
  <c r="M1162" i="2" s="1"/>
  <c r="N1162" i="2" s="1"/>
  <c r="R1161" i="2"/>
  <c r="Q1161" i="2"/>
  <c r="K1161" i="2"/>
  <c r="L1161" i="2" s="1"/>
  <c r="M1161" i="2" s="1"/>
  <c r="N1161" i="2" s="1"/>
  <c r="R1160" i="2"/>
  <c r="Q1160" i="2"/>
  <c r="O1160" i="2"/>
  <c r="L1160" i="2"/>
  <c r="M1160" i="2" s="1"/>
  <c r="N1160" i="2" s="1"/>
  <c r="R1159" i="2"/>
  <c r="Q1159" i="2"/>
  <c r="O1159" i="2"/>
  <c r="K1159" i="2"/>
  <c r="L1159" i="2" s="1"/>
  <c r="M1159" i="2" s="1"/>
  <c r="N1159" i="2" s="1"/>
  <c r="R1158" i="2"/>
  <c r="Q1158" i="2"/>
  <c r="K1158" i="2"/>
  <c r="L1158" i="2" s="1"/>
  <c r="M1158" i="2" s="1"/>
  <c r="N1158" i="2" s="1"/>
  <c r="R1157" i="2"/>
  <c r="Q1157" i="2"/>
  <c r="K1157" i="2"/>
  <c r="L1157" i="2" s="1"/>
  <c r="M1157" i="2" s="1"/>
  <c r="N1157" i="2" s="1"/>
  <c r="R1156" i="2"/>
  <c r="Q1156" i="2"/>
  <c r="K1156" i="2"/>
  <c r="L1156" i="2" s="1"/>
  <c r="M1156" i="2" s="1"/>
  <c r="N1156" i="2" s="1"/>
  <c r="R1155" i="2"/>
  <c r="Q1155" i="2"/>
  <c r="O1155" i="2"/>
  <c r="L1155" i="2"/>
  <c r="M1155" i="2" s="1"/>
  <c r="N1155" i="2" s="1"/>
  <c r="R1154" i="2"/>
  <c r="Q1154" i="2"/>
  <c r="K1154" i="2"/>
  <c r="L1154" i="2" s="1"/>
  <c r="M1154" i="2" s="1"/>
  <c r="N1154" i="2" s="1"/>
  <c r="G1195" i="2"/>
  <c r="D1195" i="2"/>
  <c r="G1194" i="2"/>
  <c r="D1194" i="2"/>
  <c r="G1193" i="2"/>
  <c r="D1193" i="2"/>
  <c r="G1192" i="2"/>
  <c r="D1192" i="2"/>
  <c r="G1191" i="2"/>
  <c r="D1191" i="2"/>
  <c r="G1190" i="2"/>
  <c r="D1190" i="2"/>
  <c r="G1189" i="2"/>
  <c r="D1189" i="2"/>
  <c r="G1188" i="2"/>
  <c r="D1188" i="2"/>
  <c r="G1187" i="2"/>
  <c r="D1187" i="2"/>
  <c r="G1186" i="2"/>
  <c r="D1186" i="2"/>
  <c r="G1185" i="2"/>
  <c r="D1185" i="2"/>
  <c r="G1184" i="2"/>
  <c r="D1184" i="2"/>
  <c r="G1183" i="2"/>
  <c r="D1183" i="2"/>
  <c r="G1182" i="2"/>
  <c r="D1182" i="2"/>
  <c r="G1181" i="2"/>
  <c r="D1181" i="2"/>
  <c r="G1180" i="2"/>
  <c r="D1180" i="2"/>
  <c r="G1179" i="2"/>
  <c r="D1179" i="2"/>
  <c r="G1178" i="2"/>
  <c r="G1177" i="2"/>
  <c r="D1177" i="2"/>
  <c r="G1176" i="2"/>
  <c r="D1176" i="2"/>
  <c r="G1175" i="2"/>
  <c r="D1175" i="2"/>
  <c r="G1174" i="2"/>
  <c r="D1174" i="2"/>
  <c r="G1173" i="2"/>
  <c r="D1173" i="2"/>
  <c r="G1172" i="2"/>
  <c r="D1172" i="2"/>
  <c r="G1171" i="2"/>
  <c r="D1171" i="2"/>
  <c r="G1170" i="2"/>
  <c r="D1170" i="2"/>
  <c r="G1169" i="2"/>
  <c r="D1169" i="2"/>
  <c r="G1168" i="2"/>
  <c r="D1168" i="2"/>
  <c r="G1167" i="2"/>
  <c r="D1167" i="2"/>
  <c r="G1166" i="2"/>
  <c r="D1166" i="2"/>
  <c r="G1165" i="2"/>
  <c r="D1165" i="2"/>
  <c r="G1164" i="2"/>
  <c r="D1164" i="2"/>
  <c r="G1163" i="2"/>
  <c r="D1163" i="2"/>
  <c r="G1162" i="2"/>
  <c r="D1162" i="2"/>
  <c r="G1161" i="2"/>
  <c r="D1161" i="2"/>
  <c r="G1160" i="2"/>
  <c r="D1160" i="2"/>
  <c r="G1159" i="2"/>
  <c r="D1159" i="2"/>
  <c r="G1158" i="2"/>
  <c r="D1158" i="2"/>
  <c r="G1157" i="2"/>
  <c r="D1157" i="2"/>
  <c r="G1156" i="2"/>
  <c r="D1156" i="2"/>
  <c r="G1155" i="2"/>
  <c r="D1155" i="2"/>
  <c r="G1154" i="2"/>
  <c r="D1154" i="2"/>
  <c r="O1128" i="2"/>
  <c r="D1138" i="2"/>
  <c r="G1138" i="2"/>
  <c r="K1138" i="2"/>
  <c r="L1138" i="2" s="1"/>
  <c r="M1138" i="2" s="1"/>
  <c r="N1138" i="2" s="1"/>
  <c r="Q1138" i="2"/>
  <c r="R1138" i="2"/>
  <c r="S1138" i="2"/>
  <c r="T1138" i="2"/>
  <c r="W1138" i="2"/>
  <c r="AA1138" i="2"/>
  <c r="D1139" i="2"/>
  <c r="G1139" i="2"/>
  <c r="L1139" i="2"/>
  <c r="M1139" i="2" s="1"/>
  <c r="N1139" i="2" s="1"/>
  <c r="Q1139" i="2"/>
  <c r="R1139" i="2"/>
  <c r="S1139" i="2"/>
  <c r="T1139" i="2"/>
  <c r="W1139" i="2"/>
  <c r="AA1139" i="2"/>
  <c r="D1140" i="2"/>
  <c r="G1140" i="2"/>
  <c r="K1140" i="2"/>
  <c r="L1140" i="2" s="1"/>
  <c r="M1140" i="2" s="1"/>
  <c r="N1140" i="2" s="1"/>
  <c r="P1140" i="2" s="1"/>
  <c r="Q1140" i="2"/>
  <c r="R1140" i="2"/>
  <c r="S1140" i="2"/>
  <c r="T1140" i="2"/>
  <c r="W1140" i="2"/>
  <c r="AA1140" i="2"/>
  <c r="D1141" i="2"/>
  <c r="G1141" i="2"/>
  <c r="K1141" i="2"/>
  <c r="L1141" i="2" s="1"/>
  <c r="M1141" i="2" s="1"/>
  <c r="N1141" i="2" s="1"/>
  <c r="Q1141" i="2"/>
  <c r="R1141" i="2"/>
  <c r="S1141" i="2"/>
  <c r="T1141" i="2"/>
  <c r="W1141" i="2"/>
  <c r="X1141" i="2" s="1"/>
  <c r="AA1141" i="2"/>
  <c r="D1142" i="2"/>
  <c r="G1142" i="2"/>
  <c r="M1142" i="2"/>
  <c r="N1142" i="2" s="1"/>
  <c r="Q1142" i="2"/>
  <c r="R1142" i="2"/>
  <c r="S1142" i="2"/>
  <c r="T1142" i="2"/>
  <c r="W1142" i="2"/>
  <c r="X1142" i="2" s="1"/>
  <c r="Y1142" i="2" s="1"/>
  <c r="AA1142" i="2"/>
  <c r="D1143" i="2"/>
  <c r="G1143" i="2"/>
  <c r="K1143" i="2"/>
  <c r="L1143" i="2" s="1"/>
  <c r="M1143" i="2" s="1"/>
  <c r="N1143" i="2" s="1"/>
  <c r="O1143" i="2"/>
  <c r="Q1143" i="2"/>
  <c r="R1143" i="2"/>
  <c r="S1143" i="2"/>
  <c r="T1143" i="2"/>
  <c r="W1143" i="2"/>
  <c r="AA1143" i="2"/>
  <c r="D1144" i="2"/>
  <c r="G1144" i="2"/>
  <c r="K1144" i="2"/>
  <c r="L1144" i="2" s="1"/>
  <c r="M1144" i="2" s="1"/>
  <c r="N1144" i="2" s="1"/>
  <c r="O1144" i="2"/>
  <c r="Q1144" i="2"/>
  <c r="R1144" i="2"/>
  <c r="S1144" i="2"/>
  <c r="T1144" i="2"/>
  <c r="W1144" i="2"/>
  <c r="AA1144" i="2"/>
  <c r="D1145" i="2"/>
  <c r="G1145" i="2"/>
  <c r="K1145" i="2"/>
  <c r="L1145" i="2" s="1"/>
  <c r="M1145" i="2" s="1"/>
  <c r="N1145" i="2" s="1"/>
  <c r="Q1145" i="2"/>
  <c r="R1145" i="2"/>
  <c r="S1145" i="2"/>
  <c r="T1145" i="2"/>
  <c r="W1145" i="2"/>
  <c r="X1145" i="2" s="1"/>
  <c r="AA1145" i="2"/>
  <c r="D1146" i="2"/>
  <c r="G1146" i="2"/>
  <c r="K1146" i="2"/>
  <c r="L1146" i="2" s="1"/>
  <c r="M1146" i="2" s="1"/>
  <c r="N1146" i="2" s="1"/>
  <c r="O1146" i="2"/>
  <c r="Q1146" i="2"/>
  <c r="R1146" i="2"/>
  <c r="S1146" i="2"/>
  <c r="T1146" i="2"/>
  <c r="W1146" i="2"/>
  <c r="AA1146" i="2"/>
  <c r="D1147" i="2"/>
  <c r="G1147" i="2"/>
  <c r="K1147" i="2"/>
  <c r="L1147" i="2" s="1"/>
  <c r="M1147" i="2" s="1"/>
  <c r="N1147" i="2" s="1"/>
  <c r="O1147" i="2"/>
  <c r="Q1147" i="2"/>
  <c r="R1147" i="2"/>
  <c r="S1147" i="2"/>
  <c r="T1147" i="2"/>
  <c r="W1147" i="2"/>
  <c r="AA1147" i="2"/>
  <c r="D1148" i="2"/>
  <c r="G1148" i="2"/>
  <c r="K1148" i="2"/>
  <c r="L1148" i="2" s="1"/>
  <c r="M1148" i="2" s="1"/>
  <c r="N1148" i="2" s="1"/>
  <c r="O1148" i="2"/>
  <c r="Q1148" i="2"/>
  <c r="R1148" i="2"/>
  <c r="S1148" i="2"/>
  <c r="T1148" i="2"/>
  <c r="W1148" i="2"/>
  <c r="AA1148" i="2"/>
  <c r="D1149" i="2"/>
  <c r="G1149" i="2"/>
  <c r="K1149" i="2"/>
  <c r="L1149" i="2" s="1"/>
  <c r="M1149" i="2" s="1"/>
  <c r="N1149" i="2" s="1"/>
  <c r="O1149" i="2"/>
  <c r="Q1149" i="2"/>
  <c r="R1149" i="2"/>
  <c r="S1149" i="2"/>
  <c r="T1149" i="2"/>
  <c r="W1149" i="2"/>
  <c r="X1149" i="2" s="1"/>
  <c r="AA1149" i="2"/>
  <c r="D1150" i="2"/>
  <c r="G1150" i="2"/>
  <c r="K1150" i="2"/>
  <c r="L1150" i="2" s="1"/>
  <c r="M1150" i="2" s="1"/>
  <c r="N1150" i="2" s="1"/>
  <c r="O1150" i="2"/>
  <c r="Q1150" i="2"/>
  <c r="R1150" i="2"/>
  <c r="S1150" i="2"/>
  <c r="T1150" i="2"/>
  <c r="W1150" i="2"/>
  <c r="X1150" i="2" s="1"/>
  <c r="AA1150" i="2"/>
  <c r="D1151" i="2"/>
  <c r="G1151" i="2"/>
  <c r="K1151" i="2"/>
  <c r="L1151" i="2" s="1"/>
  <c r="M1151" i="2" s="1"/>
  <c r="N1151" i="2" s="1"/>
  <c r="O1151" i="2"/>
  <c r="Q1151" i="2"/>
  <c r="R1151" i="2"/>
  <c r="S1151" i="2"/>
  <c r="T1151" i="2"/>
  <c r="W1151" i="2"/>
  <c r="AA1151" i="2"/>
  <c r="D1152" i="2"/>
  <c r="G1152" i="2"/>
  <c r="K1152" i="2"/>
  <c r="L1152" i="2" s="1"/>
  <c r="M1152" i="2" s="1"/>
  <c r="N1152" i="2" s="1"/>
  <c r="Q1152" i="2"/>
  <c r="R1152" i="2"/>
  <c r="S1152" i="2"/>
  <c r="T1152" i="2"/>
  <c r="W1152" i="2"/>
  <c r="AA1152" i="2"/>
  <c r="D1153" i="2"/>
  <c r="G1153" i="2"/>
  <c r="K1153" i="2"/>
  <c r="L1153" i="2" s="1"/>
  <c r="M1153" i="2" s="1"/>
  <c r="N1153" i="2" s="1"/>
  <c r="Q1153" i="2"/>
  <c r="R1153" i="2"/>
  <c r="S1153" i="2"/>
  <c r="T1153" i="2"/>
  <c r="W1153" i="2"/>
  <c r="X1153" i="2" s="1"/>
  <c r="AA1153" i="2"/>
  <c r="O1127" i="2"/>
  <c r="O1121" i="2"/>
  <c r="L1165" i="2" l="1"/>
  <c r="M1165" i="2" s="1"/>
  <c r="N1165" i="2" s="1"/>
  <c r="P1165" i="2" s="1"/>
  <c r="L1177" i="2"/>
  <c r="M1177" i="2" s="1"/>
  <c r="N1177" i="2" s="1"/>
  <c r="P1177" i="2" s="1"/>
  <c r="P1187" i="2"/>
  <c r="P1191" i="2"/>
  <c r="P1150" i="2"/>
  <c r="P1170" i="2"/>
  <c r="P1144" i="2"/>
  <c r="P1149" i="2"/>
  <c r="P1172" i="2"/>
  <c r="P1174" i="2"/>
  <c r="P1176" i="2"/>
  <c r="P1178" i="2"/>
  <c r="P1186" i="2"/>
  <c r="P1152" i="2"/>
  <c r="P1188" i="2"/>
  <c r="P1190" i="2"/>
  <c r="P1192" i="2"/>
  <c r="P1194" i="2"/>
  <c r="P1171" i="2"/>
  <c r="P1175" i="2"/>
  <c r="P1141" i="2"/>
  <c r="P1142" i="2"/>
  <c r="P1148" i="2"/>
  <c r="P1145" i="2"/>
  <c r="P1154" i="2"/>
  <c r="P1155" i="2"/>
  <c r="P1156" i="2"/>
  <c r="P1157" i="2"/>
  <c r="P1158" i="2"/>
  <c r="P1159" i="2"/>
  <c r="P1160" i="2"/>
  <c r="P1161" i="2"/>
  <c r="P1162" i="2"/>
  <c r="P1163" i="2"/>
  <c r="P1164" i="2"/>
  <c r="P1179" i="2"/>
  <c r="P1180" i="2"/>
  <c r="P1195" i="2"/>
  <c r="P1166" i="2"/>
  <c r="P1167" i="2"/>
  <c r="P1168" i="2"/>
  <c r="P1182" i="2"/>
  <c r="P1183" i="2"/>
  <c r="P1184" i="2"/>
  <c r="P1153" i="2"/>
  <c r="P1151" i="2"/>
  <c r="P1143" i="2"/>
  <c r="P1146" i="2"/>
  <c r="P1147" i="2"/>
  <c r="P1169" i="2"/>
  <c r="P1173" i="2"/>
  <c r="P1181" i="2"/>
  <c r="P1185" i="2"/>
  <c r="P1189" i="2"/>
  <c r="P1193" i="2"/>
  <c r="P1139" i="2"/>
  <c r="X1187" i="2"/>
  <c r="X1190" i="2"/>
  <c r="X1191" i="2"/>
  <c r="X1195" i="2"/>
  <c r="P1138" i="2"/>
  <c r="X1156" i="2"/>
  <c r="X1158" i="2"/>
  <c r="X1160" i="2"/>
  <c r="X1162" i="2"/>
  <c r="X1164" i="2"/>
  <c r="X1166" i="2"/>
  <c r="X1168" i="2"/>
  <c r="X1170" i="2"/>
  <c r="X1172" i="2"/>
  <c r="X1176" i="2"/>
  <c r="X1180" i="2"/>
  <c r="X1184" i="2"/>
  <c r="X1188" i="2"/>
  <c r="X1192" i="2"/>
  <c r="Z1178" i="2"/>
  <c r="X1148" i="2"/>
  <c r="X1151" i="2"/>
  <c r="X1147" i="2"/>
  <c r="X1143" i="2"/>
  <c r="X1139" i="2"/>
  <c r="X1146" i="2"/>
  <c r="Z1142" i="2"/>
  <c r="X1140" i="2"/>
  <c r="X1138" i="2"/>
  <c r="X1152" i="2"/>
  <c r="X1144" i="2"/>
  <c r="O1118" i="2"/>
  <c r="O1117" i="2"/>
  <c r="O1116" i="2"/>
  <c r="G1116" i="2"/>
  <c r="O1115" i="2"/>
  <c r="K1115" i="2"/>
  <c r="O1114" i="2"/>
  <c r="O1113" i="2"/>
  <c r="O1106" i="2" l="1"/>
  <c r="O1105" i="2"/>
  <c r="O1104" i="2" l="1"/>
  <c r="O1102" i="2"/>
  <c r="O1101" i="2"/>
  <c r="O1100" i="2"/>
  <c r="O1099" i="2" l="1"/>
  <c r="O1097" i="2"/>
  <c r="O1095" i="2"/>
  <c r="O1094" i="2"/>
  <c r="O1092" i="2" l="1"/>
  <c r="O1091" i="2" l="1"/>
  <c r="O1090" i="2"/>
  <c r="O1089" i="2"/>
  <c r="O1088" i="2"/>
  <c r="D1115" i="2"/>
  <c r="G1115" i="2"/>
  <c r="L1115" i="2"/>
  <c r="M1115" i="2" s="1"/>
  <c r="N1115" i="2" s="1"/>
  <c r="Q1115" i="2"/>
  <c r="R1115" i="2"/>
  <c r="S1115" i="2"/>
  <c r="T1115" i="2"/>
  <c r="W1115" i="2"/>
  <c r="X1115" i="2" s="1"/>
  <c r="AA1115" i="2"/>
  <c r="D1116" i="2"/>
  <c r="K1116" i="2"/>
  <c r="Q1116" i="2"/>
  <c r="R1116" i="2"/>
  <c r="S1116" i="2"/>
  <c r="T1116" i="2"/>
  <c r="W1116" i="2"/>
  <c r="AA1116" i="2"/>
  <c r="D1117" i="2"/>
  <c r="G1117" i="2"/>
  <c r="K1117" i="2"/>
  <c r="L1117" i="2" s="1"/>
  <c r="M1117" i="2" s="1"/>
  <c r="N1117" i="2" s="1"/>
  <c r="Q1117" i="2"/>
  <c r="R1117" i="2"/>
  <c r="S1117" i="2"/>
  <c r="T1117" i="2"/>
  <c r="W1117" i="2"/>
  <c r="AA1117" i="2"/>
  <c r="D1118" i="2"/>
  <c r="G1118" i="2"/>
  <c r="K1118" i="2"/>
  <c r="L1118" i="2" s="1"/>
  <c r="M1118" i="2" s="1"/>
  <c r="N1118" i="2" s="1"/>
  <c r="Q1118" i="2"/>
  <c r="R1118" i="2"/>
  <c r="S1118" i="2"/>
  <c r="T1118" i="2"/>
  <c r="W1118" i="2"/>
  <c r="X1118" i="2" s="1"/>
  <c r="AA1118" i="2"/>
  <c r="D1119" i="2"/>
  <c r="G1119" i="2"/>
  <c r="K1119" i="2"/>
  <c r="L1119" i="2" s="1"/>
  <c r="M1119" i="2" s="1"/>
  <c r="N1119" i="2" s="1"/>
  <c r="O1119" i="2"/>
  <c r="Q1119" i="2"/>
  <c r="R1119" i="2"/>
  <c r="S1119" i="2"/>
  <c r="T1119" i="2"/>
  <c r="W1119" i="2"/>
  <c r="X1119" i="2" s="1"/>
  <c r="AA1119" i="2"/>
  <c r="D1120" i="2"/>
  <c r="G1120" i="2"/>
  <c r="K1120" i="2"/>
  <c r="L1120" i="2" s="1"/>
  <c r="M1120" i="2" s="1"/>
  <c r="N1120" i="2" s="1"/>
  <c r="O1120" i="2"/>
  <c r="Q1120" i="2"/>
  <c r="R1120" i="2"/>
  <c r="S1120" i="2"/>
  <c r="T1120" i="2"/>
  <c r="W1120" i="2"/>
  <c r="X1120" i="2" s="1"/>
  <c r="AA1120" i="2"/>
  <c r="D1121" i="2"/>
  <c r="G1121" i="2"/>
  <c r="K1121" i="2"/>
  <c r="L1121" i="2" s="1"/>
  <c r="M1121" i="2" s="1"/>
  <c r="N1121" i="2" s="1"/>
  <c r="Q1121" i="2"/>
  <c r="R1121" i="2"/>
  <c r="S1121" i="2"/>
  <c r="T1121" i="2"/>
  <c r="W1121" i="2"/>
  <c r="AA1121" i="2"/>
  <c r="D1122" i="2"/>
  <c r="G1122" i="2"/>
  <c r="K1122" i="2"/>
  <c r="L1122" i="2" s="1"/>
  <c r="M1122" i="2" s="1"/>
  <c r="N1122" i="2" s="1"/>
  <c r="O1122" i="2"/>
  <c r="Q1122" i="2"/>
  <c r="R1122" i="2"/>
  <c r="S1122" i="2"/>
  <c r="T1122" i="2"/>
  <c r="W1122" i="2"/>
  <c r="X1122" i="2" s="1"/>
  <c r="AA1122" i="2"/>
  <c r="D1123" i="2"/>
  <c r="G1123" i="2"/>
  <c r="K1123" i="2"/>
  <c r="L1123" i="2" s="1"/>
  <c r="M1123" i="2" s="1"/>
  <c r="N1123" i="2" s="1"/>
  <c r="O1123" i="2"/>
  <c r="Q1123" i="2"/>
  <c r="R1123" i="2"/>
  <c r="S1123" i="2"/>
  <c r="T1123" i="2"/>
  <c r="W1123" i="2"/>
  <c r="X1123" i="2" s="1"/>
  <c r="AA1123" i="2"/>
  <c r="D1124" i="2"/>
  <c r="G1124" i="2"/>
  <c r="L1124" i="2"/>
  <c r="M1124" i="2" s="1"/>
  <c r="N1124" i="2" s="1"/>
  <c r="O1124" i="2"/>
  <c r="Q1124" i="2"/>
  <c r="R1124" i="2"/>
  <c r="S1124" i="2"/>
  <c r="T1124" i="2"/>
  <c r="W1124" i="2"/>
  <c r="X1124" i="2" s="1"/>
  <c r="AA1124" i="2"/>
  <c r="D1125" i="2"/>
  <c r="G1125" i="2"/>
  <c r="L1125" i="2"/>
  <c r="M1125" i="2" s="1"/>
  <c r="N1125" i="2" s="1"/>
  <c r="O1125" i="2"/>
  <c r="Q1125" i="2"/>
  <c r="R1125" i="2"/>
  <c r="S1125" i="2"/>
  <c r="T1125" i="2"/>
  <c r="W1125" i="2"/>
  <c r="AA1125" i="2"/>
  <c r="D1126" i="2"/>
  <c r="G1126" i="2"/>
  <c r="K1126" i="2"/>
  <c r="L1126" i="2" s="1"/>
  <c r="M1126" i="2" s="1"/>
  <c r="N1126" i="2" s="1"/>
  <c r="O1126" i="2"/>
  <c r="Q1126" i="2"/>
  <c r="R1126" i="2"/>
  <c r="S1126" i="2"/>
  <c r="T1126" i="2"/>
  <c r="W1126" i="2"/>
  <c r="X1126" i="2" s="1"/>
  <c r="AA1126" i="2"/>
  <c r="D1127" i="2"/>
  <c r="G1127" i="2"/>
  <c r="K1127" i="2"/>
  <c r="L1127" i="2" s="1"/>
  <c r="M1127" i="2" s="1"/>
  <c r="N1127" i="2" s="1"/>
  <c r="Q1127" i="2"/>
  <c r="R1127" i="2"/>
  <c r="S1127" i="2"/>
  <c r="T1127" i="2"/>
  <c r="W1127" i="2"/>
  <c r="X1127" i="2" s="1"/>
  <c r="AA1127" i="2"/>
  <c r="D1128" i="2"/>
  <c r="G1128" i="2"/>
  <c r="K1128" i="2"/>
  <c r="Q1128" i="2"/>
  <c r="R1128" i="2"/>
  <c r="S1128" i="2"/>
  <c r="T1128" i="2"/>
  <c r="W1128" i="2"/>
  <c r="AA1128" i="2"/>
  <c r="D1129" i="2"/>
  <c r="G1129" i="2"/>
  <c r="K1129" i="2"/>
  <c r="L1129" i="2" s="1"/>
  <c r="M1129" i="2" s="1"/>
  <c r="N1129" i="2" s="1"/>
  <c r="O1129" i="2"/>
  <c r="Q1129" i="2"/>
  <c r="R1129" i="2"/>
  <c r="S1129" i="2"/>
  <c r="T1129" i="2"/>
  <c r="W1129" i="2"/>
  <c r="AA1129" i="2"/>
  <c r="D1130" i="2"/>
  <c r="G1130" i="2"/>
  <c r="K1130" i="2"/>
  <c r="L1130" i="2" s="1"/>
  <c r="M1130" i="2" s="1"/>
  <c r="N1130" i="2" s="1"/>
  <c r="O1130" i="2"/>
  <c r="Q1130" i="2"/>
  <c r="R1130" i="2"/>
  <c r="S1130" i="2"/>
  <c r="T1130" i="2"/>
  <c r="W1130" i="2"/>
  <c r="X1130" i="2" s="1"/>
  <c r="AA1130" i="2"/>
  <c r="D1131" i="2"/>
  <c r="G1131" i="2"/>
  <c r="K1131" i="2"/>
  <c r="M11" i="21" s="1"/>
  <c r="O1131" i="2"/>
  <c r="Q1131" i="2"/>
  <c r="R1131" i="2"/>
  <c r="S1131" i="2"/>
  <c r="T1131" i="2"/>
  <c r="W1131" i="2"/>
  <c r="X1131" i="2" s="1"/>
  <c r="AA1131" i="2"/>
  <c r="D1132" i="2"/>
  <c r="G1132" i="2"/>
  <c r="K1132" i="2"/>
  <c r="L1132" i="2" s="1"/>
  <c r="M1132" i="2" s="1"/>
  <c r="N1132" i="2" s="1"/>
  <c r="Q1132" i="2"/>
  <c r="R1132" i="2"/>
  <c r="S1132" i="2"/>
  <c r="T1132" i="2"/>
  <c r="W1132" i="2"/>
  <c r="AA1132" i="2"/>
  <c r="D1133" i="2"/>
  <c r="G1133" i="2"/>
  <c r="L1133" i="2"/>
  <c r="M1133" i="2" s="1"/>
  <c r="N1133" i="2" s="1"/>
  <c r="Q1133" i="2"/>
  <c r="R1133" i="2"/>
  <c r="S1133" i="2"/>
  <c r="T1133" i="2"/>
  <c r="W1133" i="2"/>
  <c r="AA1133" i="2"/>
  <c r="D1135" i="2"/>
  <c r="G1135" i="2"/>
  <c r="K1135" i="2"/>
  <c r="M10" i="21" s="1"/>
  <c r="O1135" i="2"/>
  <c r="Q1135" i="2"/>
  <c r="R1135" i="2"/>
  <c r="S1135" i="2"/>
  <c r="T1135" i="2"/>
  <c r="W1135" i="2"/>
  <c r="X1135" i="2" s="1"/>
  <c r="AA1135" i="2"/>
  <c r="D1136" i="2"/>
  <c r="G1136" i="2"/>
  <c r="K1136" i="2"/>
  <c r="L1136" i="2" s="1"/>
  <c r="M1136" i="2" s="1"/>
  <c r="N1136" i="2" s="1"/>
  <c r="O1136" i="2"/>
  <c r="Q1136" i="2"/>
  <c r="R1136" i="2"/>
  <c r="S1136" i="2"/>
  <c r="T1136" i="2"/>
  <c r="W1136" i="2"/>
  <c r="X1136" i="2" s="1"/>
  <c r="AA1136" i="2"/>
  <c r="D1137" i="2"/>
  <c r="G1137" i="2"/>
  <c r="K1137" i="2"/>
  <c r="L1137" i="2" s="1"/>
  <c r="M1137" i="2" s="1"/>
  <c r="N1137" i="2" s="1"/>
  <c r="O1137" i="2"/>
  <c r="Q1137" i="2"/>
  <c r="R1137" i="2"/>
  <c r="S1137" i="2"/>
  <c r="T1137" i="2"/>
  <c r="W1137" i="2"/>
  <c r="AA1137" i="2"/>
  <c r="D1096" i="2"/>
  <c r="G1096" i="2"/>
  <c r="L1096" i="2"/>
  <c r="M1096" i="2" s="1"/>
  <c r="N1096" i="2" s="1"/>
  <c r="Q1096" i="2"/>
  <c r="R1096" i="2"/>
  <c r="S1096" i="2"/>
  <c r="T1096" i="2"/>
  <c r="W1096" i="2"/>
  <c r="X1096" i="2" s="1"/>
  <c r="AA1096" i="2"/>
  <c r="D1097" i="2"/>
  <c r="G1097" i="2"/>
  <c r="K1097" i="2"/>
  <c r="Q1097" i="2"/>
  <c r="R1097" i="2"/>
  <c r="S1097" i="2"/>
  <c r="T1097" i="2"/>
  <c r="W1097" i="2"/>
  <c r="AA1097" i="2"/>
  <c r="D1098" i="2"/>
  <c r="G1098" i="2"/>
  <c r="K1098" i="2"/>
  <c r="L1098" i="2" s="1"/>
  <c r="M1098" i="2" s="1"/>
  <c r="N1098" i="2" s="1"/>
  <c r="O1098" i="2"/>
  <c r="Q1098" i="2"/>
  <c r="R1098" i="2"/>
  <c r="S1098" i="2"/>
  <c r="T1098" i="2"/>
  <c r="W1098" i="2"/>
  <c r="AA1098" i="2"/>
  <c r="D1099" i="2"/>
  <c r="G1099" i="2"/>
  <c r="K1099" i="2"/>
  <c r="L1099" i="2" s="1"/>
  <c r="M1099" i="2" s="1"/>
  <c r="N1099" i="2" s="1"/>
  <c r="Q1099" i="2"/>
  <c r="R1099" i="2"/>
  <c r="S1099" i="2"/>
  <c r="T1099" i="2"/>
  <c r="W1099" i="2"/>
  <c r="X1099" i="2" s="1"/>
  <c r="AA1099" i="2"/>
  <c r="D1100" i="2"/>
  <c r="G1100" i="2"/>
  <c r="K1100" i="2"/>
  <c r="L1100" i="2" s="1"/>
  <c r="M1100" i="2" s="1"/>
  <c r="N1100" i="2" s="1"/>
  <c r="Q1100" i="2"/>
  <c r="R1100" i="2"/>
  <c r="S1100" i="2"/>
  <c r="T1100" i="2"/>
  <c r="W1100" i="2"/>
  <c r="X1100" i="2" s="1"/>
  <c r="AA1100" i="2"/>
  <c r="D1101" i="2"/>
  <c r="G1101" i="2"/>
  <c r="K1101" i="2"/>
  <c r="L1101" i="2" s="1"/>
  <c r="M1101" i="2" s="1"/>
  <c r="N1101" i="2" s="1"/>
  <c r="Q1101" i="2"/>
  <c r="R1101" i="2"/>
  <c r="S1101" i="2"/>
  <c r="T1101" i="2"/>
  <c r="W1101" i="2"/>
  <c r="AA1101" i="2"/>
  <c r="D1102" i="2"/>
  <c r="G1102" i="2"/>
  <c r="K1102" i="2"/>
  <c r="L1102" i="2" s="1"/>
  <c r="M1102" i="2" s="1"/>
  <c r="N1102" i="2" s="1"/>
  <c r="Q1102" i="2"/>
  <c r="R1102" i="2"/>
  <c r="S1102" i="2"/>
  <c r="T1102" i="2"/>
  <c r="W1102" i="2"/>
  <c r="AA1102" i="2"/>
  <c r="D1103" i="2"/>
  <c r="G1103" i="2"/>
  <c r="L1103" i="2"/>
  <c r="M1103" i="2" s="1"/>
  <c r="N1103" i="2" s="1"/>
  <c r="Q1103" i="2"/>
  <c r="R1103" i="2"/>
  <c r="S1103" i="2"/>
  <c r="T1103" i="2"/>
  <c r="W1103" i="2"/>
  <c r="X1103" i="2" s="1"/>
  <c r="Y1103" i="2" s="1"/>
  <c r="AA1103" i="2"/>
  <c r="D1104" i="2"/>
  <c r="G1104" i="2"/>
  <c r="K1104" i="2"/>
  <c r="L1104" i="2" s="1"/>
  <c r="M1104" i="2" s="1"/>
  <c r="N1104" i="2" s="1"/>
  <c r="Q1104" i="2"/>
  <c r="R1104" i="2"/>
  <c r="S1104" i="2"/>
  <c r="T1104" i="2"/>
  <c r="W1104" i="2"/>
  <c r="X1104" i="2" s="1"/>
  <c r="AA1104" i="2"/>
  <c r="D1105" i="2"/>
  <c r="G1105" i="2"/>
  <c r="L1105" i="2"/>
  <c r="M1105" i="2" s="1"/>
  <c r="N1105" i="2" s="1"/>
  <c r="Q1105" i="2"/>
  <c r="R1105" i="2"/>
  <c r="S1105" i="2"/>
  <c r="T1105" i="2"/>
  <c r="W1105" i="2"/>
  <c r="AA1105" i="2"/>
  <c r="D1106" i="2"/>
  <c r="G1106" i="2"/>
  <c r="K1106" i="2"/>
  <c r="Q1106" i="2"/>
  <c r="R1106" i="2"/>
  <c r="S1106" i="2"/>
  <c r="T1106" i="2"/>
  <c r="W1106" i="2"/>
  <c r="AA1106" i="2"/>
  <c r="D1107" i="2"/>
  <c r="G1107" i="2"/>
  <c r="K1107" i="2"/>
  <c r="L1107" i="2" s="1"/>
  <c r="M1107" i="2" s="1"/>
  <c r="N1107" i="2" s="1"/>
  <c r="O1107" i="2"/>
  <c r="Q1107" i="2"/>
  <c r="R1107" i="2"/>
  <c r="S1107" i="2"/>
  <c r="T1107" i="2"/>
  <c r="W1107" i="2"/>
  <c r="X1107" i="2" s="1"/>
  <c r="AA1107" i="2"/>
  <c r="D1108" i="2"/>
  <c r="G1108" i="2"/>
  <c r="K1108" i="2"/>
  <c r="L1108" i="2" s="1"/>
  <c r="M1108" i="2" s="1"/>
  <c r="N1108" i="2" s="1"/>
  <c r="O1108" i="2"/>
  <c r="Q1108" i="2"/>
  <c r="R1108" i="2"/>
  <c r="S1108" i="2"/>
  <c r="T1108" i="2"/>
  <c r="W1108" i="2"/>
  <c r="X1108" i="2" s="1"/>
  <c r="AA1108" i="2"/>
  <c r="D1109" i="2"/>
  <c r="G1109" i="2"/>
  <c r="K1109" i="2"/>
  <c r="L1109" i="2" s="1"/>
  <c r="M1109" i="2" s="1"/>
  <c r="N1109" i="2" s="1"/>
  <c r="O1109" i="2"/>
  <c r="Q1109" i="2"/>
  <c r="R1109" i="2"/>
  <c r="S1109" i="2"/>
  <c r="T1109" i="2"/>
  <c r="W1109" i="2"/>
  <c r="X1109" i="2" s="1"/>
  <c r="AA1109" i="2"/>
  <c r="D1110" i="2"/>
  <c r="G1110" i="2"/>
  <c r="K1110" i="2"/>
  <c r="Q1110" i="2"/>
  <c r="R1110" i="2"/>
  <c r="S1110" i="2"/>
  <c r="T1110" i="2"/>
  <c r="W1110" i="2"/>
  <c r="AA1110" i="2"/>
  <c r="D1111" i="2"/>
  <c r="G1111" i="2"/>
  <c r="K1111" i="2"/>
  <c r="L1111" i="2" s="1"/>
  <c r="M1111" i="2" s="1"/>
  <c r="N1111" i="2" s="1"/>
  <c r="Q1111" i="2"/>
  <c r="R1111" i="2"/>
  <c r="S1111" i="2"/>
  <c r="T1111" i="2"/>
  <c r="W1111" i="2"/>
  <c r="X1111" i="2" s="1"/>
  <c r="AA1111" i="2"/>
  <c r="D1112" i="2"/>
  <c r="G1112" i="2"/>
  <c r="K1112" i="2"/>
  <c r="L1112" i="2" s="1"/>
  <c r="M1112" i="2" s="1"/>
  <c r="N1112" i="2" s="1"/>
  <c r="O1112" i="2"/>
  <c r="Q1112" i="2"/>
  <c r="R1112" i="2"/>
  <c r="S1112" i="2"/>
  <c r="T1112" i="2"/>
  <c r="W1112" i="2"/>
  <c r="X1112" i="2" s="1"/>
  <c r="AA1112" i="2"/>
  <c r="D1113" i="2"/>
  <c r="G1113" i="2"/>
  <c r="K1113" i="2"/>
  <c r="L1113" i="2" s="1"/>
  <c r="M1113" i="2" s="1"/>
  <c r="N1113" i="2" s="1"/>
  <c r="Q1113" i="2"/>
  <c r="R1113" i="2"/>
  <c r="S1113" i="2"/>
  <c r="T1113" i="2"/>
  <c r="W1113" i="2"/>
  <c r="AA1113" i="2"/>
  <c r="D1114" i="2"/>
  <c r="G1114" i="2"/>
  <c r="K1114" i="2"/>
  <c r="L1114" i="2" s="1"/>
  <c r="M1114" i="2" s="1"/>
  <c r="N1114" i="2" s="1"/>
  <c r="Q1114" i="2"/>
  <c r="R1114" i="2"/>
  <c r="S1114" i="2"/>
  <c r="T1114" i="2"/>
  <c r="W1114" i="2"/>
  <c r="AA1114" i="2"/>
  <c r="O1087" i="2"/>
  <c r="K1087" i="2"/>
  <c r="L1131" i="2" l="1"/>
  <c r="M1131" i="2" s="1"/>
  <c r="N1131" i="2" s="1"/>
  <c r="P1131" i="2" s="1"/>
  <c r="L1116" i="2"/>
  <c r="M1116" i="2" s="1"/>
  <c r="N1116" i="2" s="1"/>
  <c r="P1116" i="2" s="1"/>
  <c r="L1106" i="2"/>
  <c r="M1106" i="2" s="1"/>
  <c r="N1106" i="2" s="1"/>
  <c r="P1106" i="2" s="1"/>
  <c r="L1110" i="2"/>
  <c r="M1110" i="2" s="1"/>
  <c r="N1110" i="2" s="1"/>
  <c r="P1110" i="2" s="1"/>
  <c r="L1097" i="2"/>
  <c r="M1097" i="2" s="1"/>
  <c r="N1097" i="2" s="1"/>
  <c r="P1097" i="2" s="1"/>
  <c r="L1135" i="2"/>
  <c r="M1135" i="2" s="1"/>
  <c r="N1135" i="2" s="1"/>
  <c r="P1135" i="2" s="1"/>
  <c r="L1128" i="2"/>
  <c r="M1128" i="2" s="1"/>
  <c r="N1128" i="2" s="1"/>
  <c r="P1128" i="2" s="1"/>
  <c r="P1115" i="2"/>
  <c r="P1107" i="2"/>
  <c r="P1137" i="2"/>
  <c r="P1112" i="2"/>
  <c r="P1111" i="2"/>
  <c r="P1108" i="2"/>
  <c r="P1103" i="2"/>
  <c r="P1113" i="2"/>
  <c r="P1130" i="2"/>
  <c r="P1124" i="2"/>
  <c r="P1109" i="2"/>
  <c r="P1100" i="2"/>
  <c r="P1099" i="2"/>
  <c r="P1126" i="2"/>
  <c r="P1125" i="2"/>
  <c r="P1127" i="2"/>
  <c r="P1122" i="2"/>
  <c r="P1123" i="2"/>
  <c r="P1118" i="2"/>
  <c r="P1104" i="2"/>
  <c r="P1101" i="2"/>
  <c r="P1132" i="2"/>
  <c r="P1114" i="2"/>
  <c r="P1098" i="2"/>
  <c r="P1129" i="2"/>
  <c r="P1119" i="2"/>
  <c r="P1105" i="2"/>
  <c r="P1102" i="2"/>
  <c r="P1136" i="2"/>
  <c r="P1133" i="2"/>
  <c r="P1120" i="2"/>
  <c r="P1117" i="2"/>
  <c r="P1121" i="2"/>
  <c r="X1116" i="2"/>
  <c r="X1105" i="2"/>
  <c r="X1110" i="2"/>
  <c r="X1102" i="2"/>
  <c r="X1101" i="2"/>
  <c r="X1132" i="2"/>
  <c r="X1125" i="2"/>
  <c r="X1113" i="2"/>
  <c r="P1096" i="2"/>
  <c r="X1137" i="2"/>
  <c r="X1121" i="2"/>
  <c r="X1106" i="2"/>
  <c r="X1097" i="2"/>
  <c r="X1133" i="2"/>
  <c r="X1128" i="2"/>
  <c r="X1117" i="2"/>
  <c r="X1114" i="2"/>
  <c r="X1098" i="2"/>
  <c r="X1129" i="2"/>
  <c r="Z1103" i="2"/>
  <c r="O1086" i="2"/>
  <c r="O1085" i="2"/>
  <c r="O1084" i="2"/>
  <c r="O1083" i="2"/>
  <c r="O1082" i="2"/>
  <c r="O1081" i="2"/>
  <c r="O1080" i="2"/>
  <c r="O1079" i="2" l="1"/>
  <c r="O1078" i="2" l="1"/>
  <c r="O1077" i="2"/>
  <c r="O1074" i="2" l="1"/>
  <c r="O1073" i="2"/>
  <c r="O1072" i="2"/>
  <c r="O1071" i="2"/>
  <c r="O1070" i="2"/>
  <c r="O1069" i="2"/>
  <c r="O1068" i="2"/>
  <c r="O1067" i="2"/>
  <c r="O1066" i="2"/>
  <c r="O1065" i="2"/>
  <c r="O1064" i="2"/>
  <c r="O1063" i="2" l="1"/>
  <c r="O1062" i="2"/>
  <c r="O1061" i="2"/>
  <c r="O1057" i="2" l="1"/>
  <c r="G1057" i="2"/>
  <c r="O1056" i="2"/>
  <c r="O1055" i="2"/>
  <c r="O1054" i="2"/>
  <c r="O1053" i="2" l="1"/>
  <c r="O1052" i="2"/>
  <c r="O1051" i="2"/>
  <c r="O1050" i="2"/>
  <c r="O1049" i="2"/>
  <c r="X1044" i="2"/>
  <c r="X1043" i="2"/>
  <c r="O956" i="2" l="1"/>
  <c r="O1042" i="2"/>
  <c r="O1041" i="2"/>
  <c r="O1040" i="2"/>
  <c r="O1039" i="2"/>
  <c r="O1038" i="2"/>
  <c r="O1037" i="2"/>
  <c r="O1036" i="2"/>
  <c r="O1035" i="2"/>
  <c r="O1034" i="2"/>
  <c r="J858" i="2" l="1"/>
  <c r="J733" i="2"/>
  <c r="AA886" i="2" l="1"/>
  <c r="W886" i="2"/>
  <c r="R886" i="2"/>
  <c r="Q886" i="2"/>
  <c r="O886" i="2"/>
  <c r="K886" i="2"/>
  <c r="L886" i="2" s="1"/>
  <c r="M886" i="2" s="1"/>
  <c r="N886" i="2" s="1"/>
  <c r="G886" i="2"/>
  <c r="D886" i="2"/>
  <c r="P886" i="2" l="1"/>
  <c r="X886" i="2"/>
  <c r="O1032" i="2"/>
  <c r="L1032" i="2"/>
  <c r="M1032" i="2" s="1"/>
  <c r="N1032" i="2" s="1"/>
  <c r="P1032" i="2" l="1"/>
  <c r="K40" i="1"/>
  <c r="I150" i="1"/>
  <c r="I26" i="21" s="1"/>
  <c r="H26" i="21" l="1"/>
  <c r="L26" i="21" s="1"/>
  <c r="M26" i="21" s="1"/>
  <c r="J26" i="21"/>
  <c r="O1033" i="2"/>
  <c r="K1031" i="2" l="1"/>
  <c r="O1031" i="2"/>
  <c r="M1031" i="2"/>
  <c r="N1031" i="2" s="1"/>
  <c r="I1030" i="2"/>
  <c r="P1031" i="2" l="1"/>
  <c r="O889" i="2" l="1"/>
  <c r="O973" i="2" l="1"/>
  <c r="O1024" i="2" l="1"/>
  <c r="O1021" i="2" l="1"/>
  <c r="O910" i="2" l="1"/>
  <c r="K992" i="2" l="1"/>
  <c r="O992" i="2" l="1"/>
  <c r="O1016" i="2" l="1"/>
  <c r="O1014" i="2" l="1"/>
  <c r="O1012" i="2"/>
  <c r="O1011" i="2"/>
  <c r="K1011" i="2"/>
  <c r="O1010" i="2"/>
  <c r="O1009" i="2"/>
  <c r="O1008" i="2"/>
  <c r="O1007" i="2"/>
  <c r="K1007" i="2"/>
  <c r="O1005" i="2" l="1"/>
  <c r="O1003" i="2"/>
  <c r="O1001" i="2"/>
  <c r="O999" i="2"/>
  <c r="O997" i="2"/>
  <c r="K997" i="2"/>
  <c r="O996" i="2"/>
  <c r="K996" i="2"/>
  <c r="O994" i="2"/>
  <c r="K994" i="2"/>
  <c r="O993" i="2"/>
  <c r="O991" i="2"/>
  <c r="O990" i="2"/>
  <c r="D987" i="2"/>
  <c r="O986" i="2"/>
  <c r="O985" i="2"/>
  <c r="O984" i="2"/>
  <c r="K984" i="2"/>
  <c r="O983" i="2"/>
  <c r="O982" i="2"/>
  <c r="K982" i="2"/>
  <c r="G922" i="2"/>
  <c r="O978" i="2"/>
  <c r="K978" i="2"/>
  <c r="O977" i="2"/>
  <c r="K977" i="2"/>
  <c r="O976" i="2"/>
  <c r="O975" i="2"/>
  <c r="O895" i="2" l="1"/>
  <c r="O971" i="2"/>
  <c r="O969" i="2"/>
  <c r="O968" i="2"/>
  <c r="O966" i="2"/>
  <c r="O965" i="2"/>
  <c r="O964" i="2"/>
  <c r="O963" i="2"/>
  <c r="O962" i="2"/>
  <c r="K962" i="2"/>
  <c r="O961" i="2"/>
  <c r="O960" i="2"/>
  <c r="O959" i="2"/>
  <c r="O958" i="2"/>
  <c r="O957" i="2"/>
  <c r="O955" i="2"/>
  <c r="O954" i="2"/>
  <c r="G954" i="2"/>
  <c r="O953" i="2"/>
  <c r="O952" i="2"/>
  <c r="O951" i="2"/>
  <c r="O950" i="2"/>
  <c r="O948" i="2"/>
  <c r="O808" i="2"/>
  <c r="K586" i="2"/>
  <c r="O946" i="2"/>
  <c r="O945" i="2"/>
  <c r="O944" i="2"/>
  <c r="AA937" i="2"/>
  <c r="W937" i="2"/>
  <c r="X937" i="2" s="1"/>
  <c r="T937" i="2"/>
  <c r="S937" i="2"/>
  <c r="R937" i="2"/>
  <c r="Q937" i="2"/>
  <c r="O937" i="2"/>
  <c r="K937" i="2"/>
  <c r="M937" i="2" s="1"/>
  <c r="N937" i="2" s="1"/>
  <c r="G937" i="2"/>
  <c r="D937" i="2"/>
  <c r="AA934" i="2"/>
  <c r="W934" i="2"/>
  <c r="T934" i="2"/>
  <c r="S934" i="2"/>
  <c r="R934" i="2"/>
  <c r="Q934" i="2"/>
  <c r="O934" i="2"/>
  <c r="K934" i="2"/>
  <c r="L934" i="2" s="1"/>
  <c r="M934" i="2" s="1"/>
  <c r="N934" i="2" s="1"/>
  <c r="D934" i="2"/>
  <c r="G934" i="2"/>
  <c r="P934" i="2" l="1"/>
  <c r="P937" i="2"/>
  <c r="X934" i="2"/>
  <c r="O943" i="2"/>
  <c r="K943" i="2"/>
  <c r="O942" i="2"/>
  <c r="O941" i="2"/>
  <c r="D953" i="2"/>
  <c r="G953" i="2"/>
  <c r="L953" i="2"/>
  <c r="M953" i="2" s="1"/>
  <c r="N953" i="2" s="1"/>
  <c r="Q953" i="2"/>
  <c r="R953" i="2"/>
  <c r="S953" i="2"/>
  <c r="T953" i="2"/>
  <c r="W953" i="2"/>
  <c r="X953" i="2" s="1"/>
  <c r="Y953" i="2" s="1"/>
  <c r="AA953" i="2"/>
  <c r="D954" i="2"/>
  <c r="L954" i="2"/>
  <c r="M954" i="2" s="1"/>
  <c r="N954" i="2" s="1"/>
  <c r="Q954" i="2"/>
  <c r="R954" i="2"/>
  <c r="S954" i="2"/>
  <c r="T954" i="2"/>
  <c r="W954" i="2"/>
  <c r="AA954" i="2"/>
  <c r="D955" i="2"/>
  <c r="G955" i="2"/>
  <c r="K955" i="2"/>
  <c r="L955" i="2" s="1"/>
  <c r="M955" i="2" s="1"/>
  <c r="N955" i="2" s="1"/>
  <c r="Q955" i="2"/>
  <c r="R955" i="2"/>
  <c r="S955" i="2"/>
  <c r="T955" i="2"/>
  <c r="W955" i="2"/>
  <c r="AA955" i="2"/>
  <c r="D956" i="2"/>
  <c r="G956" i="2"/>
  <c r="K956" i="2"/>
  <c r="L956" i="2" s="1"/>
  <c r="M956" i="2" s="1"/>
  <c r="N956" i="2" s="1"/>
  <c r="Q956" i="2"/>
  <c r="R956" i="2"/>
  <c r="S956" i="2"/>
  <c r="T956" i="2"/>
  <c r="W956" i="2"/>
  <c r="AA956" i="2"/>
  <c r="D957" i="2"/>
  <c r="G957" i="2"/>
  <c r="K957" i="2"/>
  <c r="L957" i="2" s="1"/>
  <c r="M957" i="2" s="1"/>
  <c r="N957" i="2" s="1"/>
  <c r="Q957" i="2"/>
  <c r="R957" i="2"/>
  <c r="S957" i="2"/>
  <c r="T957" i="2"/>
  <c r="W957" i="2"/>
  <c r="AA957" i="2"/>
  <c r="D958" i="2"/>
  <c r="G958" i="2"/>
  <c r="K958" i="2"/>
  <c r="L958" i="2" s="1"/>
  <c r="M958" i="2" s="1"/>
  <c r="N958" i="2" s="1"/>
  <c r="Q958" i="2"/>
  <c r="R958" i="2"/>
  <c r="S958" i="2"/>
  <c r="T958" i="2"/>
  <c r="W958" i="2"/>
  <c r="AA958" i="2"/>
  <c r="D959" i="2"/>
  <c r="G959" i="2"/>
  <c r="K959" i="2"/>
  <c r="L959" i="2" s="1"/>
  <c r="M959" i="2" s="1"/>
  <c r="N959" i="2" s="1"/>
  <c r="Q959" i="2"/>
  <c r="R959" i="2"/>
  <c r="S959" i="2"/>
  <c r="T959" i="2"/>
  <c r="W959" i="2"/>
  <c r="AA959" i="2"/>
  <c r="D960" i="2"/>
  <c r="G960" i="2"/>
  <c r="K960" i="2"/>
  <c r="L960" i="2" s="1"/>
  <c r="M960" i="2" s="1"/>
  <c r="N960" i="2" s="1"/>
  <c r="Q960" i="2"/>
  <c r="R960" i="2"/>
  <c r="S960" i="2"/>
  <c r="T960" i="2"/>
  <c r="W960" i="2"/>
  <c r="AA960" i="2"/>
  <c r="D961" i="2"/>
  <c r="G961" i="2"/>
  <c r="K961" i="2"/>
  <c r="L961" i="2" s="1"/>
  <c r="M961" i="2" s="1"/>
  <c r="N961" i="2" s="1"/>
  <c r="Q961" i="2"/>
  <c r="R961" i="2"/>
  <c r="S961" i="2"/>
  <c r="T961" i="2"/>
  <c r="W961" i="2"/>
  <c r="AA961" i="2"/>
  <c r="D962" i="2"/>
  <c r="G962" i="2"/>
  <c r="L962" i="2"/>
  <c r="M962" i="2" s="1"/>
  <c r="N962" i="2" s="1"/>
  <c r="Q962" i="2"/>
  <c r="R962" i="2"/>
  <c r="S962" i="2"/>
  <c r="T962" i="2"/>
  <c r="W962" i="2"/>
  <c r="AA962" i="2"/>
  <c r="D963" i="2"/>
  <c r="G963" i="2"/>
  <c r="K963" i="2"/>
  <c r="L963" i="2" s="1"/>
  <c r="M963" i="2" s="1"/>
  <c r="N963" i="2" s="1"/>
  <c r="Q963" i="2"/>
  <c r="R963" i="2"/>
  <c r="S963" i="2"/>
  <c r="T963" i="2"/>
  <c r="W963" i="2"/>
  <c r="AA963" i="2"/>
  <c r="D964" i="2"/>
  <c r="G964" i="2"/>
  <c r="K964" i="2"/>
  <c r="L964" i="2" s="1"/>
  <c r="M964" i="2" s="1"/>
  <c r="N964" i="2" s="1"/>
  <c r="Q964" i="2"/>
  <c r="R964" i="2"/>
  <c r="S964" i="2"/>
  <c r="T964" i="2"/>
  <c r="W964" i="2"/>
  <c r="AA964" i="2"/>
  <c r="D965" i="2"/>
  <c r="G965" i="2"/>
  <c r="K965" i="2"/>
  <c r="L965" i="2" s="1"/>
  <c r="M965" i="2" s="1"/>
  <c r="N965" i="2" s="1"/>
  <c r="Q965" i="2"/>
  <c r="R965" i="2"/>
  <c r="S965" i="2"/>
  <c r="T965" i="2"/>
  <c r="W965" i="2"/>
  <c r="X965" i="2" s="1"/>
  <c r="AA965" i="2"/>
  <c r="D966" i="2"/>
  <c r="G966" i="2"/>
  <c r="K966" i="2"/>
  <c r="L966" i="2" s="1"/>
  <c r="M966" i="2" s="1"/>
  <c r="N966" i="2" s="1"/>
  <c r="Q966" i="2"/>
  <c r="R966" i="2"/>
  <c r="S966" i="2"/>
  <c r="T966" i="2"/>
  <c r="W966" i="2"/>
  <c r="AA966" i="2"/>
  <c r="D967" i="2"/>
  <c r="G967" i="2"/>
  <c r="K967" i="2"/>
  <c r="L967" i="2" s="1"/>
  <c r="M967" i="2" s="1"/>
  <c r="N967" i="2" s="1"/>
  <c r="O967" i="2"/>
  <c r="Q967" i="2"/>
  <c r="R967" i="2"/>
  <c r="S967" i="2"/>
  <c r="T967" i="2"/>
  <c r="W967" i="2"/>
  <c r="AA967" i="2"/>
  <c r="D968" i="2"/>
  <c r="G968" i="2"/>
  <c r="K968" i="2"/>
  <c r="L968" i="2" s="1"/>
  <c r="M968" i="2" s="1"/>
  <c r="N968" i="2" s="1"/>
  <c r="Q968" i="2"/>
  <c r="R968" i="2"/>
  <c r="S968" i="2"/>
  <c r="T968" i="2"/>
  <c r="W968" i="2"/>
  <c r="X968" i="2" s="1"/>
  <c r="AA968" i="2"/>
  <c r="D969" i="2"/>
  <c r="G969" i="2"/>
  <c r="K969" i="2"/>
  <c r="L969" i="2" s="1"/>
  <c r="M969" i="2" s="1"/>
  <c r="N969" i="2" s="1"/>
  <c r="Q969" i="2"/>
  <c r="R969" i="2"/>
  <c r="S969" i="2"/>
  <c r="T969" i="2"/>
  <c r="W969" i="2"/>
  <c r="X969" i="2" s="1"/>
  <c r="AA969" i="2"/>
  <c r="D970" i="2"/>
  <c r="G970" i="2"/>
  <c r="K970" i="2"/>
  <c r="L970" i="2" s="1"/>
  <c r="M970" i="2" s="1"/>
  <c r="N970" i="2" s="1"/>
  <c r="O970" i="2"/>
  <c r="Q970" i="2"/>
  <c r="R970" i="2"/>
  <c r="S970" i="2"/>
  <c r="T970" i="2"/>
  <c r="W970" i="2"/>
  <c r="AA970" i="2"/>
  <c r="D971" i="2"/>
  <c r="G971" i="2"/>
  <c r="L971" i="2"/>
  <c r="M971" i="2" s="1"/>
  <c r="N971" i="2" s="1"/>
  <c r="Q971" i="2"/>
  <c r="R971" i="2"/>
  <c r="S971" i="2"/>
  <c r="T971" i="2"/>
  <c r="W971" i="2"/>
  <c r="AA971" i="2"/>
  <c r="D972" i="2"/>
  <c r="G972" i="2"/>
  <c r="L972" i="2"/>
  <c r="M972" i="2" s="1"/>
  <c r="N972" i="2" s="1"/>
  <c r="O972" i="2"/>
  <c r="Q972" i="2"/>
  <c r="R972" i="2"/>
  <c r="S972" i="2"/>
  <c r="T972" i="2"/>
  <c r="W972" i="2"/>
  <c r="X972" i="2" s="1"/>
  <c r="AA972" i="2"/>
  <c r="D973" i="2"/>
  <c r="G973" i="2"/>
  <c r="L973" i="2"/>
  <c r="M973" i="2" s="1"/>
  <c r="N973" i="2" s="1"/>
  <c r="Q973" i="2"/>
  <c r="R973" i="2"/>
  <c r="S973" i="2"/>
  <c r="T973" i="2"/>
  <c r="W973" i="2"/>
  <c r="X973" i="2" s="1"/>
  <c r="Y973" i="2" s="1"/>
  <c r="AA973" i="2"/>
  <c r="D974" i="2"/>
  <c r="G974" i="2"/>
  <c r="K974" i="2"/>
  <c r="L974" i="2" s="1"/>
  <c r="M974" i="2" s="1"/>
  <c r="N974" i="2" s="1"/>
  <c r="O974" i="2"/>
  <c r="Q974" i="2"/>
  <c r="R974" i="2"/>
  <c r="S974" i="2"/>
  <c r="T974" i="2"/>
  <c r="W974" i="2"/>
  <c r="AA974" i="2"/>
  <c r="D975" i="2"/>
  <c r="G975" i="2"/>
  <c r="K975" i="2"/>
  <c r="Q975" i="2"/>
  <c r="R975" i="2"/>
  <c r="S975" i="2"/>
  <c r="T975" i="2"/>
  <c r="W975" i="2"/>
  <c r="AA975" i="2"/>
  <c r="D976" i="2"/>
  <c r="G976" i="2"/>
  <c r="K976" i="2"/>
  <c r="L976" i="2" s="1"/>
  <c r="M976" i="2" s="1"/>
  <c r="N976" i="2" s="1"/>
  <c r="Q976" i="2"/>
  <c r="R976" i="2"/>
  <c r="S976" i="2"/>
  <c r="T976" i="2"/>
  <c r="W976" i="2"/>
  <c r="X976" i="2" s="1"/>
  <c r="AA976" i="2"/>
  <c r="D977" i="2"/>
  <c r="G977" i="2"/>
  <c r="L977" i="2"/>
  <c r="M977" i="2" s="1"/>
  <c r="N977" i="2" s="1"/>
  <c r="Q977" i="2"/>
  <c r="R977" i="2"/>
  <c r="S977" i="2"/>
  <c r="T977" i="2"/>
  <c r="W977" i="2"/>
  <c r="AA977" i="2"/>
  <c r="D978" i="2"/>
  <c r="G978" i="2"/>
  <c r="L978" i="2"/>
  <c r="M978" i="2" s="1"/>
  <c r="N978" i="2" s="1"/>
  <c r="Q978" i="2"/>
  <c r="R978" i="2"/>
  <c r="S978" i="2"/>
  <c r="T978" i="2"/>
  <c r="W978" i="2"/>
  <c r="AA978" i="2"/>
  <c r="D979" i="2"/>
  <c r="G979" i="2"/>
  <c r="K979" i="2"/>
  <c r="L979" i="2" s="1"/>
  <c r="M979" i="2" s="1"/>
  <c r="N979" i="2" s="1"/>
  <c r="O979" i="2"/>
  <c r="Q979" i="2"/>
  <c r="R979" i="2"/>
  <c r="S979" i="2"/>
  <c r="T979" i="2"/>
  <c r="W979" i="2"/>
  <c r="AA979" i="2"/>
  <c r="D980" i="2"/>
  <c r="G980" i="2"/>
  <c r="K980" i="2"/>
  <c r="L980" i="2" s="1"/>
  <c r="M980" i="2" s="1"/>
  <c r="N980" i="2" s="1"/>
  <c r="O980" i="2"/>
  <c r="Q980" i="2"/>
  <c r="R980" i="2"/>
  <c r="S980" i="2"/>
  <c r="T980" i="2"/>
  <c r="W980" i="2"/>
  <c r="X980" i="2" s="1"/>
  <c r="AA980" i="2"/>
  <c r="D981" i="2"/>
  <c r="G981" i="2"/>
  <c r="L981" i="2"/>
  <c r="M981" i="2" s="1"/>
  <c r="N981" i="2" s="1"/>
  <c r="Q981" i="2"/>
  <c r="R981" i="2"/>
  <c r="S981" i="2"/>
  <c r="T981" i="2"/>
  <c r="W981" i="2"/>
  <c r="X981" i="2" s="1"/>
  <c r="AA981" i="2"/>
  <c r="D982" i="2"/>
  <c r="G982" i="2"/>
  <c r="L982" i="2"/>
  <c r="M982" i="2" s="1"/>
  <c r="N982" i="2" s="1"/>
  <c r="Q982" i="2"/>
  <c r="R982" i="2"/>
  <c r="S982" i="2"/>
  <c r="T982" i="2"/>
  <c r="W982" i="2"/>
  <c r="AA982" i="2"/>
  <c r="D983" i="2"/>
  <c r="G983" i="2"/>
  <c r="K983" i="2"/>
  <c r="L983" i="2" s="1"/>
  <c r="M983" i="2" s="1"/>
  <c r="N983" i="2" s="1"/>
  <c r="Q983" i="2"/>
  <c r="R983" i="2"/>
  <c r="S983" i="2"/>
  <c r="T983" i="2"/>
  <c r="W983" i="2"/>
  <c r="X983" i="2" s="1"/>
  <c r="AA983" i="2"/>
  <c r="D984" i="2"/>
  <c r="G984" i="2"/>
  <c r="L984" i="2"/>
  <c r="M984" i="2" s="1"/>
  <c r="N984" i="2" s="1"/>
  <c r="Q984" i="2"/>
  <c r="R984" i="2"/>
  <c r="S984" i="2"/>
  <c r="T984" i="2"/>
  <c r="W984" i="2"/>
  <c r="X984" i="2" s="1"/>
  <c r="AA984" i="2"/>
  <c r="D985" i="2"/>
  <c r="G985" i="2"/>
  <c r="L985" i="2"/>
  <c r="M985" i="2" s="1"/>
  <c r="N985" i="2" s="1"/>
  <c r="Q985" i="2"/>
  <c r="R985" i="2"/>
  <c r="S985" i="2"/>
  <c r="T985" i="2"/>
  <c r="W985" i="2"/>
  <c r="X985" i="2" s="1"/>
  <c r="Y985" i="2" s="1"/>
  <c r="AA985" i="2"/>
  <c r="D986" i="2"/>
  <c r="G986" i="2"/>
  <c r="L986" i="2"/>
  <c r="M986" i="2" s="1"/>
  <c r="N986" i="2" s="1"/>
  <c r="Q986" i="2"/>
  <c r="R986" i="2"/>
  <c r="S986" i="2"/>
  <c r="T986" i="2"/>
  <c r="W986" i="2"/>
  <c r="AA986" i="2"/>
  <c r="G987" i="2"/>
  <c r="L987" i="2"/>
  <c r="M987" i="2" s="1"/>
  <c r="N987" i="2" s="1"/>
  <c r="O987" i="2"/>
  <c r="Q987" i="2"/>
  <c r="R987" i="2"/>
  <c r="S987" i="2"/>
  <c r="T987" i="2"/>
  <c r="W987" i="2"/>
  <c r="X987" i="2" s="1"/>
  <c r="AA987" i="2"/>
  <c r="D988" i="2"/>
  <c r="G988" i="2"/>
  <c r="L988" i="2"/>
  <c r="M988" i="2" s="1"/>
  <c r="N988" i="2" s="1"/>
  <c r="O988" i="2"/>
  <c r="Q988" i="2"/>
  <c r="R988" i="2"/>
  <c r="S988" i="2"/>
  <c r="T988" i="2"/>
  <c r="W988" i="2"/>
  <c r="X988" i="2" s="1"/>
  <c r="AA988" i="2"/>
  <c r="D989" i="2"/>
  <c r="G989" i="2"/>
  <c r="L989" i="2"/>
  <c r="M989" i="2" s="1"/>
  <c r="N989" i="2" s="1"/>
  <c r="F20" i="21" s="1"/>
  <c r="O989" i="2"/>
  <c r="Q989" i="2"/>
  <c r="R989" i="2"/>
  <c r="S989" i="2"/>
  <c r="T989" i="2"/>
  <c r="W989" i="2"/>
  <c r="X989" i="2" s="1"/>
  <c r="AA989" i="2"/>
  <c r="D990" i="2"/>
  <c r="G990" i="2"/>
  <c r="K990" i="2"/>
  <c r="Q990" i="2"/>
  <c r="R990" i="2"/>
  <c r="S990" i="2"/>
  <c r="T990" i="2"/>
  <c r="W990" i="2"/>
  <c r="AA990" i="2"/>
  <c r="D991" i="2"/>
  <c r="G991" i="2"/>
  <c r="K991" i="2"/>
  <c r="Q991" i="2"/>
  <c r="R991" i="2"/>
  <c r="S991" i="2"/>
  <c r="T991" i="2"/>
  <c r="W991" i="2"/>
  <c r="X991" i="2" s="1"/>
  <c r="AA991" i="2"/>
  <c r="D992" i="2"/>
  <c r="G992" i="2"/>
  <c r="L992" i="2"/>
  <c r="M992" i="2" s="1"/>
  <c r="N992" i="2" s="1"/>
  <c r="Q992" i="2"/>
  <c r="R992" i="2"/>
  <c r="S992" i="2"/>
  <c r="T992" i="2"/>
  <c r="W992" i="2"/>
  <c r="X992" i="2" s="1"/>
  <c r="AA992" i="2"/>
  <c r="D993" i="2"/>
  <c r="G993" i="2"/>
  <c r="K993" i="2"/>
  <c r="Q993" i="2"/>
  <c r="R993" i="2"/>
  <c r="S993" i="2"/>
  <c r="T993" i="2"/>
  <c r="W993" i="2"/>
  <c r="AA993" i="2"/>
  <c r="D994" i="2"/>
  <c r="G994" i="2"/>
  <c r="L994" i="2"/>
  <c r="M994" i="2" s="1"/>
  <c r="N994" i="2" s="1"/>
  <c r="Q994" i="2"/>
  <c r="R994" i="2"/>
  <c r="S994" i="2"/>
  <c r="T994" i="2"/>
  <c r="W994" i="2"/>
  <c r="AA994" i="2"/>
  <c r="D995" i="2"/>
  <c r="G995" i="2"/>
  <c r="K995" i="2"/>
  <c r="L995" i="2" s="1"/>
  <c r="M995" i="2" s="1"/>
  <c r="N995" i="2" s="1"/>
  <c r="O995" i="2"/>
  <c r="Q995" i="2"/>
  <c r="R995" i="2"/>
  <c r="S995" i="2"/>
  <c r="T995" i="2"/>
  <c r="W995" i="2"/>
  <c r="X995" i="2" s="1"/>
  <c r="AA995" i="2"/>
  <c r="D996" i="2"/>
  <c r="G996" i="2"/>
  <c r="L996" i="2"/>
  <c r="M996" i="2" s="1"/>
  <c r="N996" i="2" s="1"/>
  <c r="Q996" i="2"/>
  <c r="R996" i="2"/>
  <c r="S996" i="2"/>
  <c r="T996" i="2"/>
  <c r="W996" i="2"/>
  <c r="X996" i="2" s="1"/>
  <c r="AA996" i="2"/>
  <c r="D997" i="2"/>
  <c r="G997" i="2"/>
  <c r="L997" i="2"/>
  <c r="M997" i="2" s="1"/>
  <c r="N997" i="2" s="1"/>
  <c r="Q997" i="2"/>
  <c r="R997" i="2"/>
  <c r="S997" i="2"/>
  <c r="T997" i="2"/>
  <c r="W997" i="2"/>
  <c r="AA997" i="2"/>
  <c r="D998" i="2"/>
  <c r="G998" i="2"/>
  <c r="L998" i="2"/>
  <c r="M998" i="2" s="1"/>
  <c r="N998" i="2" s="1"/>
  <c r="O998" i="2"/>
  <c r="Q998" i="2"/>
  <c r="R998" i="2"/>
  <c r="S998" i="2"/>
  <c r="T998" i="2"/>
  <c r="W998" i="2"/>
  <c r="AA998" i="2"/>
  <c r="D999" i="2"/>
  <c r="G999" i="2"/>
  <c r="L999" i="2"/>
  <c r="M999" i="2" s="1"/>
  <c r="N999" i="2" s="1"/>
  <c r="Q999" i="2"/>
  <c r="R999" i="2"/>
  <c r="S999" i="2"/>
  <c r="T999" i="2"/>
  <c r="W999" i="2"/>
  <c r="AA999" i="2"/>
  <c r="D1000" i="2"/>
  <c r="G1000" i="2"/>
  <c r="K1000" i="2"/>
  <c r="L1000" i="2" s="1"/>
  <c r="M1000" i="2" s="1"/>
  <c r="N1000" i="2" s="1"/>
  <c r="O1000" i="2"/>
  <c r="Q1000" i="2"/>
  <c r="R1000" i="2"/>
  <c r="S1000" i="2"/>
  <c r="T1000" i="2"/>
  <c r="W1000" i="2"/>
  <c r="X1000" i="2" s="1"/>
  <c r="AA1000" i="2"/>
  <c r="D1001" i="2"/>
  <c r="G1001" i="2"/>
  <c r="K1001" i="2"/>
  <c r="L1001" i="2" s="1"/>
  <c r="M1001" i="2" s="1"/>
  <c r="N1001" i="2" s="1"/>
  <c r="Q1001" i="2"/>
  <c r="R1001" i="2"/>
  <c r="S1001" i="2"/>
  <c r="T1001" i="2"/>
  <c r="W1001" i="2"/>
  <c r="AA1001" i="2"/>
  <c r="D1002" i="2"/>
  <c r="G1002" i="2"/>
  <c r="K1002" i="2"/>
  <c r="L1002" i="2" s="1"/>
  <c r="M1002" i="2" s="1"/>
  <c r="N1002" i="2" s="1"/>
  <c r="O1002" i="2"/>
  <c r="Q1002" i="2"/>
  <c r="R1002" i="2"/>
  <c r="S1002" i="2"/>
  <c r="T1002" i="2"/>
  <c r="W1002" i="2"/>
  <c r="AA1002" i="2"/>
  <c r="D1003" i="2"/>
  <c r="G1003" i="2"/>
  <c r="L1003" i="2"/>
  <c r="M1003" i="2" s="1"/>
  <c r="N1003" i="2" s="1"/>
  <c r="Q1003" i="2"/>
  <c r="R1003" i="2"/>
  <c r="S1003" i="2"/>
  <c r="T1003" i="2"/>
  <c r="W1003" i="2"/>
  <c r="X1003" i="2" s="1"/>
  <c r="AA1003" i="2"/>
  <c r="D1004" i="2"/>
  <c r="G1004" i="2"/>
  <c r="L1004" i="2"/>
  <c r="M1004" i="2" s="1"/>
  <c r="N1004" i="2" s="1"/>
  <c r="Z1143" i="2" s="1"/>
  <c r="Q1004" i="2"/>
  <c r="R1004" i="2"/>
  <c r="S1004" i="2"/>
  <c r="T1004" i="2"/>
  <c r="W1004" i="2"/>
  <c r="X1004" i="2" s="1"/>
  <c r="AA1004" i="2"/>
  <c r="D1005" i="2"/>
  <c r="G1005" i="2"/>
  <c r="K1005" i="2"/>
  <c r="Q1005" i="2"/>
  <c r="R1005" i="2"/>
  <c r="S1005" i="2"/>
  <c r="T1005" i="2"/>
  <c r="W1005" i="2"/>
  <c r="X1005" i="2" s="1"/>
  <c r="AA1005" i="2"/>
  <c r="D1006" i="2"/>
  <c r="G1006" i="2"/>
  <c r="K1006" i="2"/>
  <c r="L1006" i="2" s="1"/>
  <c r="M1006" i="2" s="1"/>
  <c r="N1006" i="2" s="1"/>
  <c r="O1006" i="2"/>
  <c r="Q1006" i="2"/>
  <c r="R1006" i="2"/>
  <c r="S1006" i="2"/>
  <c r="T1006" i="2"/>
  <c r="W1006" i="2"/>
  <c r="AA1006" i="2"/>
  <c r="D1007" i="2"/>
  <c r="G1007" i="2"/>
  <c r="L1007" i="2"/>
  <c r="M1007" i="2" s="1"/>
  <c r="N1007" i="2" s="1"/>
  <c r="Q1007" i="2"/>
  <c r="R1007" i="2"/>
  <c r="S1007" i="2"/>
  <c r="T1007" i="2"/>
  <c r="W1007" i="2"/>
  <c r="AA1007" i="2"/>
  <c r="D1008" i="2"/>
  <c r="G1008" i="2"/>
  <c r="K1008" i="2"/>
  <c r="Q1008" i="2"/>
  <c r="R1008" i="2"/>
  <c r="S1008" i="2"/>
  <c r="T1008" i="2"/>
  <c r="W1008" i="2"/>
  <c r="X1008" i="2" s="1"/>
  <c r="AA1008" i="2"/>
  <c r="D1009" i="2"/>
  <c r="G1009" i="2"/>
  <c r="K1009" i="2"/>
  <c r="Q1009" i="2"/>
  <c r="R1009" i="2"/>
  <c r="S1009" i="2"/>
  <c r="T1009" i="2"/>
  <c r="W1009" i="2"/>
  <c r="AA1009" i="2"/>
  <c r="D1010" i="2"/>
  <c r="G1010" i="2"/>
  <c r="L1010" i="2"/>
  <c r="M1010" i="2" s="1"/>
  <c r="N1010" i="2" s="1"/>
  <c r="Q1010" i="2"/>
  <c r="R1010" i="2"/>
  <c r="S1010" i="2"/>
  <c r="T1010" i="2"/>
  <c r="W1010" i="2"/>
  <c r="X1010" i="2" s="1"/>
  <c r="AA1010" i="2"/>
  <c r="D1011" i="2"/>
  <c r="G1011" i="2"/>
  <c r="L1011" i="2"/>
  <c r="M1011" i="2" s="1"/>
  <c r="N1011" i="2" s="1"/>
  <c r="Q1011" i="2"/>
  <c r="R1011" i="2"/>
  <c r="S1011" i="2"/>
  <c r="T1011" i="2"/>
  <c r="W1011" i="2"/>
  <c r="AA1011" i="2"/>
  <c r="D1012" i="2"/>
  <c r="G1012" i="2"/>
  <c r="L1012" i="2"/>
  <c r="M1012" i="2" s="1"/>
  <c r="N1012" i="2" s="1"/>
  <c r="Q1012" i="2"/>
  <c r="R1012" i="2"/>
  <c r="S1012" i="2"/>
  <c r="T1012" i="2"/>
  <c r="W1012" i="2"/>
  <c r="X1012" i="2" s="1"/>
  <c r="AA1012" i="2"/>
  <c r="D1013" i="2"/>
  <c r="G1013" i="2"/>
  <c r="K1013" i="2"/>
  <c r="L1013" i="2" s="1"/>
  <c r="M1013" i="2" s="1"/>
  <c r="N1013" i="2" s="1"/>
  <c r="O1013" i="2"/>
  <c r="Q1013" i="2"/>
  <c r="R1013" i="2"/>
  <c r="S1013" i="2"/>
  <c r="T1013" i="2"/>
  <c r="W1013" i="2"/>
  <c r="AA1013" i="2"/>
  <c r="D1014" i="2"/>
  <c r="G1014" i="2"/>
  <c r="L1014" i="2"/>
  <c r="M1014" i="2" s="1"/>
  <c r="N1014" i="2" s="1"/>
  <c r="Q1014" i="2"/>
  <c r="R1014" i="2"/>
  <c r="S1014" i="2"/>
  <c r="T1014" i="2"/>
  <c r="W1014" i="2"/>
  <c r="X1014" i="2" s="1"/>
  <c r="Y1014" i="2" s="1"/>
  <c r="AA1014" i="2"/>
  <c r="D1015" i="2"/>
  <c r="G1015" i="2"/>
  <c r="L1015" i="2"/>
  <c r="M1015" i="2" s="1"/>
  <c r="N1015" i="2" s="1"/>
  <c r="O1015" i="2"/>
  <c r="Q1015" i="2"/>
  <c r="R1015" i="2"/>
  <c r="S1015" i="2"/>
  <c r="T1015" i="2"/>
  <c r="W1015" i="2"/>
  <c r="AA1015" i="2"/>
  <c r="D1016" i="2"/>
  <c r="G1016" i="2"/>
  <c r="K1016" i="2"/>
  <c r="L1016" i="2" s="1"/>
  <c r="M1016" i="2" s="1"/>
  <c r="N1016" i="2" s="1"/>
  <c r="Q1016" i="2"/>
  <c r="R1016" i="2"/>
  <c r="S1016" i="2"/>
  <c r="T1016" i="2"/>
  <c r="W1016" i="2"/>
  <c r="X1016" i="2" s="1"/>
  <c r="AA1016" i="2"/>
  <c r="D1017" i="2"/>
  <c r="G1017" i="2"/>
  <c r="K1017" i="2"/>
  <c r="O1017" i="2"/>
  <c r="Q1017" i="2"/>
  <c r="R1017" i="2"/>
  <c r="S1017" i="2"/>
  <c r="T1017" i="2"/>
  <c r="W1017" i="2"/>
  <c r="AA1017" i="2"/>
  <c r="D1018" i="2"/>
  <c r="G1018" i="2"/>
  <c r="K1018" i="2"/>
  <c r="L1018" i="2" s="1"/>
  <c r="M1018" i="2" s="1"/>
  <c r="N1018" i="2" s="1"/>
  <c r="O1018" i="2"/>
  <c r="Q1018" i="2"/>
  <c r="R1018" i="2"/>
  <c r="S1018" i="2"/>
  <c r="T1018" i="2"/>
  <c r="W1018" i="2"/>
  <c r="X1018" i="2" s="1"/>
  <c r="AA1018" i="2"/>
  <c r="D1019" i="2"/>
  <c r="G1019" i="2"/>
  <c r="K1019" i="2"/>
  <c r="L1019" i="2" s="1"/>
  <c r="M1019" i="2" s="1"/>
  <c r="N1019" i="2" s="1"/>
  <c r="O1019" i="2"/>
  <c r="Q1019" i="2"/>
  <c r="R1019" i="2"/>
  <c r="S1019" i="2"/>
  <c r="T1019" i="2"/>
  <c r="W1019" i="2"/>
  <c r="AA1019" i="2"/>
  <c r="D1020" i="2"/>
  <c r="G1020" i="2"/>
  <c r="L1020" i="2"/>
  <c r="M1020" i="2" s="1"/>
  <c r="N1020" i="2" s="1"/>
  <c r="O1020" i="2"/>
  <c r="Q1020" i="2"/>
  <c r="R1020" i="2"/>
  <c r="S1020" i="2"/>
  <c r="T1020" i="2"/>
  <c r="W1020" i="2"/>
  <c r="AA1020" i="2"/>
  <c r="D1021" i="2"/>
  <c r="G1021" i="2"/>
  <c r="L1021" i="2"/>
  <c r="M1021" i="2" s="1"/>
  <c r="N1021" i="2" s="1"/>
  <c r="Q1021" i="2"/>
  <c r="R1021" i="2"/>
  <c r="S1021" i="2"/>
  <c r="T1021" i="2"/>
  <c r="W1021" i="2"/>
  <c r="AA1021" i="2"/>
  <c r="D1022" i="2"/>
  <c r="G1022" i="2"/>
  <c r="L1022" i="2"/>
  <c r="M1022" i="2" s="1"/>
  <c r="N1022" i="2" s="1"/>
  <c r="O1022" i="2"/>
  <c r="Q1022" i="2"/>
  <c r="R1022" i="2"/>
  <c r="S1022" i="2"/>
  <c r="T1022" i="2"/>
  <c r="W1022" i="2"/>
  <c r="AA1022" i="2"/>
  <c r="D1023" i="2"/>
  <c r="G1023" i="2"/>
  <c r="L1023" i="2"/>
  <c r="M1023" i="2" s="1"/>
  <c r="N1023" i="2" s="1"/>
  <c r="Q1023" i="2"/>
  <c r="R1023" i="2"/>
  <c r="S1023" i="2"/>
  <c r="T1023" i="2"/>
  <c r="W1023" i="2"/>
  <c r="AA1023" i="2"/>
  <c r="D1024" i="2"/>
  <c r="G1024" i="2"/>
  <c r="L1024" i="2"/>
  <c r="M1024" i="2" s="1"/>
  <c r="N1024" i="2" s="1"/>
  <c r="Q1024" i="2"/>
  <c r="R1024" i="2"/>
  <c r="S1024" i="2"/>
  <c r="T1024" i="2"/>
  <c r="W1024" i="2"/>
  <c r="X1024" i="2" s="1"/>
  <c r="Y1024" i="2" s="1"/>
  <c r="AA1024" i="2"/>
  <c r="D1025" i="2"/>
  <c r="G1025" i="2"/>
  <c r="L1025" i="2"/>
  <c r="M1025" i="2" s="1"/>
  <c r="N1025" i="2" s="1"/>
  <c r="O1025" i="2"/>
  <c r="Q1025" i="2"/>
  <c r="R1025" i="2"/>
  <c r="S1025" i="2"/>
  <c r="T1025" i="2"/>
  <c r="W1025" i="2"/>
  <c r="AA1025" i="2"/>
  <c r="D1026" i="2"/>
  <c r="G1026" i="2"/>
  <c r="L1026" i="2"/>
  <c r="M1026" i="2" s="1"/>
  <c r="N1026" i="2" s="1"/>
  <c r="O1026" i="2"/>
  <c r="Q1026" i="2"/>
  <c r="R1026" i="2"/>
  <c r="S1026" i="2"/>
  <c r="T1026" i="2"/>
  <c r="W1026" i="2"/>
  <c r="X1026" i="2" s="1"/>
  <c r="AA1026" i="2"/>
  <c r="D1027" i="2"/>
  <c r="G1027" i="2"/>
  <c r="L1027" i="2"/>
  <c r="M1027" i="2" s="1"/>
  <c r="N1027" i="2" s="1"/>
  <c r="O1027" i="2"/>
  <c r="Q1027" i="2"/>
  <c r="R1027" i="2"/>
  <c r="S1027" i="2"/>
  <c r="T1027" i="2"/>
  <c r="W1027" i="2"/>
  <c r="AA1027" i="2"/>
  <c r="D1028" i="2"/>
  <c r="G1028" i="2"/>
  <c r="L1028" i="2"/>
  <c r="M1028" i="2" s="1"/>
  <c r="N1028" i="2" s="1"/>
  <c r="O1028" i="2"/>
  <c r="Q1028" i="2"/>
  <c r="R1028" i="2"/>
  <c r="S1028" i="2"/>
  <c r="T1028" i="2"/>
  <c r="W1028" i="2"/>
  <c r="AA1028" i="2"/>
  <c r="D1029" i="2"/>
  <c r="G1029" i="2"/>
  <c r="L1029" i="2"/>
  <c r="M1029" i="2" s="1"/>
  <c r="N1029" i="2" s="1"/>
  <c r="O1029" i="2"/>
  <c r="Q1029" i="2"/>
  <c r="R1029" i="2"/>
  <c r="S1029" i="2"/>
  <c r="T1029" i="2"/>
  <c r="W1029" i="2"/>
  <c r="AA1029" i="2"/>
  <c r="D1030" i="2"/>
  <c r="G1030" i="2"/>
  <c r="L1030" i="2"/>
  <c r="M1030" i="2" s="1"/>
  <c r="N1030" i="2" s="1"/>
  <c r="O1030" i="2"/>
  <c r="Q1030" i="2"/>
  <c r="R1030" i="2"/>
  <c r="S1030" i="2"/>
  <c r="T1030" i="2"/>
  <c r="W1030" i="2"/>
  <c r="X1030" i="2" s="1"/>
  <c r="AA1030" i="2"/>
  <c r="D1031" i="2"/>
  <c r="G1031" i="2"/>
  <c r="Q1031" i="2"/>
  <c r="R1031" i="2"/>
  <c r="S1031" i="2"/>
  <c r="T1031" i="2"/>
  <c r="W1031" i="2"/>
  <c r="AA1031" i="2"/>
  <c r="D1032" i="2"/>
  <c r="G1032" i="2"/>
  <c r="Q1032" i="2"/>
  <c r="R1032" i="2"/>
  <c r="S1032" i="2"/>
  <c r="T1032" i="2"/>
  <c r="W1032" i="2"/>
  <c r="X1032" i="2" s="1"/>
  <c r="AA1032" i="2"/>
  <c r="D1033" i="2"/>
  <c r="G1033" i="2"/>
  <c r="K1033" i="2"/>
  <c r="L1033" i="2" s="1"/>
  <c r="M1033" i="2" s="1"/>
  <c r="N1033" i="2" s="1"/>
  <c r="P1033" i="2" s="1"/>
  <c r="Q1033" i="2"/>
  <c r="R1033" i="2"/>
  <c r="S1033" i="2"/>
  <c r="T1033" i="2"/>
  <c r="W1033" i="2"/>
  <c r="AA1033" i="2"/>
  <c r="D1034" i="2"/>
  <c r="G1034" i="2"/>
  <c r="K1034" i="2"/>
  <c r="Q1034" i="2"/>
  <c r="R1034" i="2"/>
  <c r="S1034" i="2"/>
  <c r="T1034" i="2"/>
  <c r="W1034" i="2"/>
  <c r="AA1034" i="2"/>
  <c r="D1035" i="2"/>
  <c r="G1035" i="2"/>
  <c r="K1035" i="2"/>
  <c r="L1035" i="2" s="1"/>
  <c r="M1035" i="2" s="1"/>
  <c r="N1035" i="2" s="1"/>
  <c r="Q1035" i="2"/>
  <c r="R1035" i="2"/>
  <c r="S1035" i="2"/>
  <c r="T1035" i="2"/>
  <c r="W1035" i="2"/>
  <c r="X1035" i="2" s="1"/>
  <c r="AA1035" i="2"/>
  <c r="D1036" i="2"/>
  <c r="G1036" i="2"/>
  <c r="K1036" i="2"/>
  <c r="L1036" i="2" s="1"/>
  <c r="M1036" i="2" s="1"/>
  <c r="N1036" i="2" s="1"/>
  <c r="Q1036" i="2"/>
  <c r="R1036" i="2"/>
  <c r="S1036" i="2"/>
  <c r="T1036" i="2"/>
  <c r="W1036" i="2"/>
  <c r="X1036" i="2" s="1"/>
  <c r="AA1036" i="2"/>
  <c r="D1037" i="2"/>
  <c r="G1037" i="2"/>
  <c r="K1037" i="2"/>
  <c r="L1037" i="2" s="1"/>
  <c r="M1037" i="2" s="1"/>
  <c r="N1037" i="2" s="1"/>
  <c r="Q1037" i="2"/>
  <c r="R1037" i="2"/>
  <c r="S1037" i="2"/>
  <c r="T1037" i="2"/>
  <c r="W1037" i="2"/>
  <c r="AA1037" i="2"/>
  <c r="D1038" i="2"/>
  <c r="G1038" i="2"/>
  <c r="K1038" i="2"/>
  <c r="L1038" i="2" s="1"/>
  <c r="M1038" i="2" s="1"/>
  <c r="N1038" i="2" s="1"/>
  <c r="Q1038" i="2"/>
  <c r="R1038" i="2"/>
  <c r="S1038" i="2"/>
  <c r="T1038" i="2"/>
  <c r="W1038" i="2"/>
  <c r="X1038" i="2" s="1"/>
  <c r="AA1038" i="2"/>
  <c r="D1039" i="2"/>
  <c r="G1039" i="2"/>
  <c r="K1039" i="2"/>
  <c r="Q1039" i="2"/>
  <c r="R1039" i="2"/>
  <c r="S1039" i="2"/>
  <c r="T1039" i="2"/>
  <c r="W1039" i="2"/>
  <c r="X1039" i="2" s="1"/>
  <c r="AA1039" i="2"/>
  <c r="D1040" i="2"/>
  <c r="G1040" i="2"/>
  <c r="K1040" i="2"/>
  <c r="L1040" i="2" s="1"/>
  <c r="M1040" i="2" s="1"/>
  <c r="N1040" i="2" s="1"/>
  <c r="Q1040" i="2"/>
  <c r="R1040" i="2"/>
  <c r="S1040" i="2"/>
  <c r="T1040" i="2"/>
  <c r="W1040" i="2"/>
  <c r="X1040" i="2" s="1"/>
  <c r="AA1040" i="2"/>
  <c r="D1041" i="2"/>
  <c r="G1041" i="2"/>
  <c r="K1041" i="2"/>
  <c r="L1041" i="2" s="1"/>
  <c r="M1041" i="2" s="1"/>
  <c r="N1041" i="2" s="1"/>
  <c r="Q1041" i="2"/>
  <c r="R1041" i="2"/>
  <c r="S1041" i="2"/>
  <c r="T1041" i="2"/>
  <c r="W1041" i="2"/>
  <c r="AA1041" i="2"/>
  <c r="D1042" i="2"/>
  <c r="G1042" i="2"/>
  <c r="K1042" i="2"/>
  <c r="Q1042" i="2"/>
  <c r="R1042" i="2"/>
  <c r="S1042" i="2"/>
  <c r="T1042" i="2"/>
  <c r="W1042" i="2"/>
  <c r="AA1042" i="2"/>
  <c r="D1043" i="2"/>
  <c r="G1043" i="2"/>
  <c r="L1043" i="2"/>
  <c r="M1043" i="2" s="1"/>
  <c r="N1043" i="2" s="1"/>
  <c r="Q1043" i="2"/>
  <c r="R1043" i="2"/>
  <c r="S1043" i="2"/>
  <c r="T1043" i="2"/>
  <c r="W1043" i="2"/>
  <c r="Y1043" i="2" s="1"/>
  <c r="AA1043" i="2"/>
  <c r="D1044" i="2"/>
  <c r="G1044" i="2"/>
  <c r="L1044" i="2"/>
  <c r="M1044" i="2" s="1"/>
  <c r="N1044" i="2" s="1"/>
  <c r="Q1044" i="2"/>
  <c r="R1044" i="2"/>
  <c r="S1044" i="2"/>
  <c r="T1044" i="2"/>
  <c r="W1044" i="2"/>
  <c r="Y1044" i="2" s="1"/>
  <c r="AA1044" i="2"/>
  <c r="D1045" i="2"/>
  <c r="G1045" i="2"/>
  <c r="L1045" i="2"/>
  <c r="M1045" i="2" s="1"/>
  <c r="N1045" i="2" s="1"/>
  <c r="Z1185" i="2" s="1"/>
  <c r="Q1045" i="2"/>
  <c r="R1045" i="2"/>
  <c r="S1045" i="2"/>
  <c r="T1045" i="2"/>
  <c r="W1045" i="2"/>
  <c r="AA1045" i="2"/>
  <c r="D1046" i="2"/>
  <c r="G1046" i="2"/>
  <c r="L1046" i="2"/>
  <c r="M1046" i="2" s="1"/>
  <c r="N1046" i="2" s="1"/>
  <c r="Q1046" i="2"/>
  <c r="R1046" i="2"/>
  <c r="S1046" i="2"/>
  <c r="T1046" i="2"/>
  <c r="W1046" i="2"/>
  <c r="X1046" i="2" s="1"/>
  <c r="Y1046" i="2" s="1"/>
  <c r="AA1046" i="2"/>
  <c r="D1047" i="2"/>
  <c r="G1047" i="2"/>
  <c r="L1047" i="2"/>
  <c r="M1047" i="2" s="1"/>
  <c r="N1047" i="2" s="1"/>
  <c r="Q1047" i="2"/>
  <c r="R1047" i="2"/>
  <c r="S1047" i="2"/>
  <c r="T1047" i="2"/>
  <c r="W1047" i="2"/>
  <c r="X1047" i="2" s="1"/>
  <c r="Y1047" i="2" s="1"/>
  <c r="AA1047" i="2"/>
  <c r="D1048" i="2"/>
  <c r="G1048" i="2"/>
  <c r="L1048" i="2"/>
  <c r="M1048" i="2" s="1"/>
  <c r="N1048" i="2" s="1"/>
  <c r="Q1048" i="2"/>
  <c r="R1048" i="2"/>
  <c r="S1048" i="2"/>
  <c r="T1048" i="2"/>
  <c r="W1048" i="2"/>
  <c r="AA1048" i="2"/>
  <c r="D1049" i="2"/>
  <c r="G1049" i="2"/>
  <c r="K1049" i="2"/>
  <c r="L1049" i="2" s="1"/>
  <c r="M1049" i="2" s="1"/>
  <c r="N1049" i="2" s="1"/>
  <c r="Q1049" i="2"/>
  <c r="R1049" i="2"/>
  <c r="S1049" i="2"/>
  <c r="T1049" i="2"/>
  <c r="W1049" i="2"/>
  <c r="AA1049" i="2"/>
  <c r="D1050" i="2"/>
  <c r="G1050" i="2"/>
  <c r="K1050" i="2"/>
  <c r="L1050" i="2" s="1"/>
  <c r="M1050" i="2" s="1"/>
  <c r="N1050" i="2" s="1"/>
  <c r="Q1050" i="2"/>
  <c r="R1050" i="2"/>
  <c r="S1050" i="2"/>
  <c r="T1050" i="2"/>
  <c r="W1050" i="2"/>
  <c r="AA1050" i="2"/>
  <c r="D1051" i="2"/>
  <c r="G1051" i="2"/>
  <c r="K1051" i="2"/>
  <c r="L1051" i="2" s="1"/>
  <c r="M1051" i="2" s="1"/>
  <c r="N1051" i="2" s="1"/>
  <c r="Q1051" i="2"/>
  <c r="R1051" i="2"/>
  <c r="S1051" i="2"/>
  <c r="T1051" i="2"/>
  <c r="W1051" i="2"/>
  <c r="X1051" i="2" s="1"/>
  <c r="AA1051" i="2"/>
  <c r="D1052" i="2"/>
  <c r="G1052" i="2"/>
  <c r="L1052" i="2"/>
  <c r="M1052" i="2" s="1"/>
  <c r="N1052" i="2" s="1"/>
  <c r="Q1052" i="2"/>
  <c r="R1052" i="2"/>
  <c r="S1052" i="2"/>
  <c r="T1052" i="2"/>
  <c r="W1052" i="2"/>
  <c r="X1052" i="2" s="1"/>
  <c r="AA1052" i="2"/>
  <c r="D1053" i="2"/>
  <c r="G1053" i="2"/>
  <c r="K1053" i="2"/>
  <c r="Q1053" i="2"/>
  <c r="R1053" i="2"/>
  <c r="S1053" i="2"/>
  <c r="T1053" i="2"/>
  <c r="W1053" i="2"/>
  <c r="AA1053" i="2"/>
  <c r="D1054" i="2"/>
  <c r="G1054" i="2"/>
  <c r="K1054" i="2"/>
  <c r="Q1054" i="2"/>
  <c r="R1054" i="2"/>
  <c r="S1054" i="2"/>
  <c r="T1054" i="2"/>
  <c r="W1054" i="2"/>
  <c r="X1054" i="2" s="1"/>
  <c r="AA1054" i="2"/>
  <c r="D1055" i="2"/>
  <c r="G1055" i="2"/>
  <c r="K1055" i="2"/>
  <c r="Q1055" i="2"/>
  <c r="R1055" i="2"/>
  <c r="S1055" i="2"/>
  <c r="T1055" i="2"/>
  <c r="W1055" i="2"/>
  <c r="X1055" i="2" s="1"/>
  <c r="AA1055" i="2"/>
  <c r="D1056" i="2"/>
  <c r="G1056" i="2"/>
  <c r="K1056" i="2"/>
  <c r="Q1056" i="2"/>
  <c r="R1056" i="2"/>
  <c r="S1056" i="2"/>
  <c r="T1056" i="2"/>
  <c r="W1056" i="2"/>
  <c r="AA1056" i="2"/>
  <c r="D1057" i="2"/>
  <c r="K1057" i="2"/>
  <c r="L1057" i="2" s="1"/>
  <c r="M1057" i="2" s="1"/>
  <c r="N1057" i="2" s="1"/>
  <c r="Q1057" i="2"/>
  <c r="R1057" i="2"/>
  <c r="S1057" i="2"/>
  <c r="T1057" i="2"/>
  <c r="W1057" i="2"/>
  <c r="AA1057" i="2"/>
  <c r="D1058" i="2"/>
  <c r="G1058" i="2"/>
  <c r="L1058" i="2"/>
  <c r="M1058" i="2" s="1"/>
  <c r="N1058" i="2" s="1"/>
  <c r="Q1058" i="2"/>
  <c r="R1058" i="2"/>
  <c r="S1058" i="2"/>
  <c r="T1058" i="2"/>
  <c r="W1058" i="2"/>
  <c r="AA1058" i="2"/>
  <c r="D1059" i="2"/>
  <c r="G1059" i="2"/>
  <c r="L1059" i="2"/>
  <c r="M1059" i="2" s="1"/>
  <c r="N1059" i="2" s="1"/>
  <c r="Q1059" i="2"/>
  <c r="R1059" i="2"/>
  <c r="S1059" i="2"/>
  <c r="T1059" i="2"/>
  <c r="W1059" i="2"/>
  <c r="AA1059" i="2"/>
  <c r="D1060" i="2"/>
  <c r="G1060" i="2"/>
  <c r="L1060" i="2"/>
  <c r="M1060" i="2" s="1"/>
  <c r="N1060" i="2" s="1"/>
  <c r="Q1060" i="2"/>
  <c r="R1060" i="2"/>
  <c r="S1060" i="2"/>
  <c r="T1060" i="2"/>
  <c r="W1060" i="2"/>
  <c r="X1060" i="2" s="1"/>
  <c r="Y1060" i="2" s="1"/>
  <c r="AA1060" i="2"/>
  <c r="D1061" i="2"/>
  <c r="G1061" i="2"/>
  <c r="L1061" i="2"/>
  <c r="M1061" i="2" s="1"/>
  <c r="N1061" i="2" s="1"/>
  <c r="Q1061" i="2"/>
  <c r="R1061" i="2"/>
  <c r="S1061" i="2"/>
  <c r="T1061" i="2"/>
  <c r="W1061" i="2"/>
  <c r="AA1061" i="2"/>
  <c r="D1062" i="2"/>
  <c r="G1062" i="2"/>
  <c r="K1062" i="2"/>
  <c r="L1062" i="2" s="1"/>
  <c r="M1062" i="2" s="1"/>
  <c r="N1062" i="2" s="1"/>
  <c r="Q1062" i="2"/>
  <c r="R1062" i="2"/>
  <c r="S1062" i="2"/>
  <c r="T1062" i="2"/>
  <c r="W1062" i="2"/>
  <c r="X1062" i="2" s="1"/>
  <c r="AA1062" i="2"/>
  <c r="D1063" i="2"/>
  <c r="G1063" i="2"/>
  <c r="K1063" i="2"/>
  <c r="L1063" i="2" s="1"/>
  <c r="M1063" i="2" s="1"/>
  <c r="N1063" i="2" s="1"/>
  <c r="Q1063" i="2"/>
  <c r="R1063" i="2"/>
  <c r="S1063" i="2"/>
  <c r="T1063" i="2"/>
  <c r="W1063" i="2"/>
  <c r="X1063" i="2" s="1"/>
  <c r="AA1063" i="2"/>
  <c r="D1064" i="2"/>
  <c r="G1064" i="2"/>
  <c r="K1064" i="2"/>
  <c r="L1064" i="2" s="1"/>
  <c r="M1064" i="2" s="1"/>
  <c r="N1064" i="2" s="1"/>
  <c r="Q1064" i="2"/>
  <c r="R1064" i="2"/>
  <c r="S1064" i="2"/>
  <c r="T1064" i="2"/>
  <c r="W1064" i="2"/>
  <c r="AA1064" i="2"/>
  <c r="D1065" i="2"/>
  <c r="G1065" i="2"/>
  <c r="K1065" i="2"/>
  <c r="L1065" i="2" s="1"/>
  <c r="M1065" i="2" s="1"/>
  <c r="N1065" i="2" s="1"/>
  <c r="Q1065" i="2"/>
  <c r="R1065" i="2"/>
  <c r="S1065" i="2"/>
  <c r="T1065" i="2"/>
  <c r="W1065" i="2"/>
  <c r="AA1065" i="2"/>
  <c r="D1066" i="2"/>
  <c r="G1066" i="2"/>
  <c r="K1066" i="2"/>
  <c r="Q1066" i="2"/>
  <c r="R1066" i="2"/>
  <c r="S1066" i="2"/>
  <c r="T1066" i="2"/>
  <c r="W1066" i="2"/>
  <c r="AA1066" i="2"/>
  <c r="D1067" i="2"/>
  <c r="G1067" i="2"/>
  <c r="K1067" i="2"/>
  <c r="Q1067" i="2"/>
  <c r="R1067" i="2"/>
  <c r="S1067" i="2"/>
  <c r="T1067" i="2"/>
  <c r="W1067" i="2"/>
  <c r="AA1067" i="2"/>
  <c r="D1068" i="2"/>
  <c r="G1068" i="2"/>
  <c r="K1068" i="2"/>
  <c r="L1068" i="2" s="1"/>
  <c r="M1068" i="2" s="1"/>
  <c r="N1068" i="2" s="1"/>
  <c r="Q1068" i="2"/>
  <c r="R1068" i="2"/>
  <c r="S1068" i="2"/>
  <c r="T1068" i="2"/>
  <c r="W1068" i="2"/>
  <c r="X1068" i="2" s="1"/>
  <c r="AA1068" i="2"/>
  <c r="D1069" i="2"/>
  <c r="G1069" i="2"/>
  <c r="K1069" i="2"/>
  <c r="L1069" i="2" s="1"/>
  <c r="M1069" i="2" s="1"/>
  <c r="N1069" i="2" s="1"/>
  <c r="Q1069" i="2"/>
  <c r="R1069" i="2"/>
  <c r="S1069" i="2"/>
  <c r="T1069" i="2"/>
  <c r="W1069" i="2"/>
  <c r="AA1069" i="2"/>
  <c r="D1070" i="2"/>
  <c r="G1070" i="2"/>
  <c r="K1070" i="2"/>
  <c r="L1070" i="2" s="1"/>
  <c r="M1070" i="2" s="1"/>
  <c r="N1070" i="2" s="1"/>
  <c r="Q1070" i="2"/>
  <c r="R1070" i="2"/>
  <c r="S1070" i="2"/>
  <c r="T1070" i="2"/>
  <c r="W1070" i="2"/>
  <c r="X1070" i="2" s="1"/>
  <c r="AA1070" i="2"/>
  <c r="D1071" i="2"/>
  <c r="G1071" i="2"/>
  <c r="K1071" i="2"/>
  <c r="L1071" i="2" s="1"/>
  <c r="M1071" i="2" s="1"/>
  <c r="N1071" i="2" s="1"/>
  <c r="Q1071" i="2"/>
  <c r="R1071" i="2"/>
  <c r="S1071" i="2"/>
  <c r="T1071" i="2"/>
  <c r="W1071" i="2"/>
  <c r="X1071" i="2" s="1"/>
  <c r="AA1071" i="2"/>
  <c r="D1072" i="2"/>
  <c r="G1072" i="2"/>
  <c r="K1072" i="2"/>
  <c r="L1072" i="2" s="1"/>
  <c r="M1072" i="2" s="1"/>
  <c r="N1072" i="2" s="1"/>
  <c r="Q1072" i="2"/>
  <c r="R1072" i="2"/>
  <c r="S1072" i="2"/>
  <c r="T1072" i="2"/>
  <c r="W1072" i="2"/>
  <c r="AA1072" i="2"/>
  <c r="D1073" i="2"/>
  <c r="G1073" i="2"/>
  <c r="K1073" i="2"/>
  <c r="L1073" i="2" s="1"/>
  <c r="M1073" i="2" s="1"/>
  <c r="N1073" i="2" s="1"/>
  <c r="Q1073" i="2"/>
  <c r="R1073" i="2"/>
  <c r="S1073" i="2"/>
  <c r="T1073" i="2"/>
  <c r="W1073" i="2"/>
  <c r="AA1073" i="2"/>
  <c r="D1074" i="2"/>
  <c r="G1074" i="2"/>
  <c r="K1074" i="2"/>
  <c r="Q1074" i="2"/>
  <c r="R1074" i="2"/>
  <c r="S1074" i="2"/>
  <c r="T1074" i="2"/>
  <c r="W1074" i="2"/>
  <c r="AA1074" i="2"/>
  <c r="D1075" i="2"/>
  <c r="G1075" i="2"/>
  <c r="K1075" i="2"/>
  <c r="M13" i="21" s="1"/>
  <c r="O1075" i="2"/>
  <c r="Q1075" i="2"/>
  <c r="R1075" i="2"/>
  <c r="S1075" i="2"/>
  <c r="T1075" i="2"/>
  <c r="W1075" i="2"/>
  <c r="AA1075" i="2"/>
  <c r="D1076" i="2"/>
  <c r="G1076" i="2"/>
  <c r="K1076" i="2"/>
  <c r="M12" i="21" s="1"/>
  <c r="O1076" i="2"/>
  <c r="Q1076" i="2"/>
  <c r="R1076" i="2"/>
  <c r="S1076" i="2"/>
  <c r="T1076" i="2"/>
  <c r="W1076" i="2"/>
  <c r="X1076" i="2" s="1"/>
  <c r="AA1076" i="2"/>
  <c r="D1077" i="2"/>
  <c r="G1077" i="2"/>
  <c r="K1077" i="2"/>
  <c r="L1077" i="2" s="1"/>
  <c r="M1077" i="2" s="1"/>
  <c r="N1077" i="2" s="1"/>
  <c r="Q1077" i="2"/>
  <c r="R1077" i="2"/>
  <c r="S1077" i="2"/>
  <c r="T1077" i="2"/>
  <c r="W1077" i="2"/>
  <c r="AA1077" i="2"/>
  <c r="D1078" i="2"/>
  <c r="G1078" i="2"/>
  <c r="K1078" i="2"/>
  <c r="L1078" i="2" s="1"/>
  <c r="M1078" i="2" s="1"/>
  <c r="N1078" i="2" s="1"/>
  <c r="Q1078" i="2"/>
  <c r="R1078" i="2"/>
  <c r="S1078" i="2"/>
  <c r="T1078" i="2"/>
  <c r="W1078" i="2"/>
  <c r="X1078" i="2" s="1"/>
  <c r="AA1078" i="2"/>
  <c r="D1079" i="2"/>
  <c r="G1079" i="2"/>
  <c r="K1079" i="2"/>
  <c r="Q1079" i="2"/>
  <c r="R1079" i="2"/>
  <c r="S1079" i="2"/>
  <c r="T1079" i="2"/>
  <c r="W1079" i="2"/>
  <c r="X1079" i="2" s="1"/>
  <c r="AA1079" i="2"/>
  <c r="D1080" i="2"/>
  <c r="G1080" i="2"/>
  <c r="L1080" i="2"/>
  <c r="M1080" i="2" s="1"/>
  <c r="N1080" i="2" s="1"/>
  <c r="Q1080" i="2"/>
  <c r="R1080" i="2"/>
  <c r="S1080" i="2"/>
  <c r="T1080" i="2"/>
  <c r="W1080" i="2"/>
  <c r="AA1080" i="2"/>
  <c r="D1081" i="2"/>
  <c r="G1081" i="2"/>
  <c r="K1081" i="2"/>
  <c r="L1081" i="2" s="1"/>
  <c r="M1081" i="2" s="1"/>
  <c r="N1081" i="2" s="1"/>
  <c r="Q1081" i="2"/>
  <c r="R1081" i="2"/>
  <c r="S1081" i="2"/>
  <c r="T1081" i="2"/>
  <c r="W1081" i="2"/>
  <c r="AA1081" i="2"/>
  <c r="D1082" i="2"/>
  <c r="G1082" i="2"/>
  <c r="K1082" i="2"/>
  <c r="L1082" i="2" s="1"/>
  <c r="M1082" i="2" s="1"/>
  <c r="N1082" i="2" s="1"/>
  <c r="Q1082" i="2"/>
  <c r="R1082" i="2"/>
  <c r="S1082" i="2"/>
  <c r="T1082" i="2"/>
  <c r="W1082" i="2"/>
  <c r="AA1082" i="2"/>
  <c r="D1083" i="2"/>
  <c r="G1083" i="2"/>
  <c r="K1083" i="2"/>
  <c r="L1083" i="2" s="1"/>
  <c r="M1083" i="2" s="1"/>
  <c r="N1083" i="2" s="1"/>
  <c r="Q1083" i="2"/>
  <c r="R1083" i="2"/>
  <c r="S1083" i="2"/>
  <c r="T1083" i="2"/>
  <c r="W1083" i="2"/>
  <c r="AA1083" i="2"/>
  <c r="D1084" i="2"/>
  <c r="G1084" i="2"/>
  <c r="K1084" i="2"/>
  <c r="L1084" i="2" s="1"/>
  <c r="M1084" i="2" s="1"/>
  <c r="N1084" i="2" s="1"/>
  <c r="Q1084" i="2"/>
  <c r="R1084" i="2"/>
  <c r="S1084" i="2"/>
  <c r="T1084" i="2"/>
  <c r="W1084" i="2"/>
  <c r="AA1084" i="2"/>
  <c r="D1085" i="2"/>
  <c r="G1085" i="2"/>
  <c r="K1085" i="2"/>
  <c r="L1085" i="2" s="1"/>
  <c r="M1085" i="2" s="1"/>
  <c r="N1085" i="2" s="1"/>
  <c r="Q1085" i="2"/>
  <c r="R1085" i="2"/>
  <c r="S1085" i="2"/>
  <c r="T1085" i="2"/>
  <c r="W1085" i="2"/>
  <c r="AA1085" i="2"/>
  <c r="D1086" i="2"/>
  <c r="G1086" i="2"/>
  <c r="L1086" i="2"/>
  <c r="M1086" i="2" s="1"/>
  <c r="N1086" i="2" s="1"/>
  <c r="Q1086" i="2"/>
  <c r="R1086" i="2"/>
  <c r="S1086" i="2"/>
  <c r="T1086" i="2"/>
  <c r="W1086" i="2"/>
  <c r="X1086" i="2" s="1"/>
  <c r="AA1086" i="2"/>
  <c r="D1087" i="2"/>
  <c r="G1087" i="2"/>
  <c r="L1087" i="2"/>
  <c r="M1087" i="2" s="1"/>
  <c r="N1087" i="2" s="1"/>
  <c r="Q1087" i="2"/>
  <c r="R1087" i="2"/>
  <c r="S1087" i="2"/>
  <c r="T1087" i="2"/>
  <c r="W1087" i="2"/>
  <c r="X1087" i="2" s="1"/>
  <c r="AA1087" i="2"/>
  <c r="D1088" i="2"/>
  <c r="G1088" i="2"/>
  <c r="L1088" i="2"/>
  <c r="M1088" i="2" s="1"/>
  <c r="N1088" i="2" s="1"/>
  <c r="Q1088" i="2"/>
  <c r="R1088" i="2"/>
  <c r="S1088" i="2"/>
  <c r="T1088" i="2"/>
  <c r="W1088" i="2"/>
  <c r="X1088" i="2" s="1"/>
  <c r="AA1088" i="2"/>
  <c r="D1089" i="2"/>
  <c r="G1089" i="2"/>
  <c r="K1089" i="2"/>
  <c r="L1089" i="2" s="1"/>
  <c r="M1089" i="2" s="1"/>
  <c r="N1089" i="2" s="1"/>
  <c r="Q1089" i="2"/>
  <c r="R1089" i="2"/>
  <c r="S1089" i="2"/>
  <c r="T1089" i="2"/>
  <c r="W1089" i="2"/>
  <c r="AA1089" i="2"/>
  <c r="D1090" i="2"/>
  <c r="G1090" i="2"/>
  <c r="K1090" i="2"/>
  <c r="L1090" i="2" s="1"/>
  <c r="M1090" i="2" s="1"/>
  <c r="N1090" i="2" s="1"/>
  <c r="Q1090" i="2"/>
  <c r="R1090" i="2"/>
  <c r="S1090" i="2"/>
  <c r="T1090" i="2"/>
  <c r="W1090" i="2"/>
  <c r="AA1090" i="2"/>
  <c r="D1091" i="2"/>
  <c r="G1091" i="2"/>
  <c r="K1091" i="2"/>
  <c r="L1091" i="2" s="1"/>
  <c r="M1091" i="2" s="1"/>
  <c r="N1091" i="2" s="1"/>
  <c r="Q1091" i="2"/>
  <c r="R1091" i="2"/>
  <c r="S1091" i="2"/>
  <c r="T1091" i="2"/>
  <c r="W1091" i="2"/>
  <c r="AA1091" i="2"/>
  <c r="D1092" i="2"/>
  <c r="G1092" i="2"/>
  <c r="K1092" i="2"/>
  <c r="L1092" i="2" s="1"/>
  <c r="M1092" i="2" s="1"/>
  <c r="N1092" i="2" s="1"/>
  <c r="Q1092" i="2"/>
  <c r="R1092" i="2"/>
  <c r="S1092" i="2"/>
  <c r="T1092" i="2"/>
  <c r="W1092" i="2"/>
  <c r="AA1092" i="2"/>
  <c r="D1093" i="2"/>
  <c r="G1093" i="2"/>
  <c r="K1093" i="2"/>
  <c r="L1093" i="2" s="1"/>
  <c r="M1093" i="2" s="1"/>
  <c r="N1093" i="2" s="1"/>
  <c r="O1093" i="2"/>
  <c r="Q1093" i="2"/>
  <c r="R1093" i="2"/>
  <c r="S1093" i="2"/>
  <c r="T1093" i="2"/>
  <c r="W1093" i="2"/>
  <c r="AA1093" i="2"/>
  <c r="D1094" i="2"/>
  <c r="G1094" i="2"/>
  <c r="K1094" i="2"/>
  <c r="L1094" i="2" s="1"/>
  <c r="M1094" i="2" s="1"/>
  <c r="N1094" i="2" s="1"/>
  <c r="Q1094" i="2"/>
  <c r="R1094" i="2"/>
  <c r="S1094" i="2"/>
  <c r="T1094" i="2"/>
  <c r="W1094" i="2"/>
  <c r="AA1094" i="2"/>
  <c r="D1095" i="2"/>
  <c r="G1095" i="2"/>
  <c r="K1095" i="2"/>
  <c r="L1095" i="2" s="1"/>
  <c r="M1095" i="2" s="1"/>
  <c r="N1095" i="2" s="1"/>
  <c r="Q1095" i="2"/>
  <c r="R1095" i="2"/>
  <c r="S1095" i="2"/>
  <c r="T1095" i="2"/>
  <c r="W1095" i="2"/>
  <c r="X1095" i="2" s="1"/>
  <c r="AA1095" i="2"/>
  <c r="O940" i="2"/>
  <c r="O939" i="2"/>
  <c r="O938" i="2"/>
  <c r="O936" i="2"/>
  <c r="O935" i="2"/>
  <c r="O933" i="2"/>
  <c r="K933" i="2"/>
  <c r="O932" i="2"/>
  <c r="K932" i="2"/>
  <c r="O931" i="2"/>
  <c r="K931" i="2"/>
  <c r="O930" i="2"/>
  <c r="O928" i="2"/>
  <c r="O927" i="2"/>
  <c r="O919" i="2"/>
  <c r="O20" i="21" l="1"/>
  <c r="P20" i="21" s="1"/>
  <c r="O22" i="21"/>
  <c r="P22" i="21" s="1"/>
  <c r="F22" i="21"/>
  <c r="O27" i="21"/>
  <c r="P27" i="21" s="1"/>
  <c r="F27" i="21"/>
  <c r="O19" i="21"/>
  <c r="P19" i="21" s="1"/>
  <c r="F19" i="21"/>
  <c r="O21" i="21"/>
  <c r="P21" i="21" s="1"/>
  <c r="F21" i="21"/>
  <c r="O18" i="21"/>
  <c r="P18" i="21" s="1"/>
  <c r="F18" i="21"/>
  <c r="O31" i="21"/>
  <c r="P31" i="21" s="1"/>
  <c r="F31" i="21"/>
  <c r="O30" i="21"/>
  <c r="P30" i="21" s="1"/>
  <c r="F30" i="21"/>
  <c r="O26" i="21"/>
  <c r="P26" i="21" s="1"/>
  <c r="F26" i="21"/>
  <c r="O25" i="21"/>
  <c r="P25" i="21" s="1"/>
  <c r="F25" i="21"/>
  <c r="O24" i="21"/>
  <c r="P24" i="21" s="1"/>
  <c r="F24" i="21"/>
  <c r="O23" i="21"/>
  <c r="P23" i="21" s="1"/>
  <c r="F23" i="21"/>
  <c r="O29" i="21"/>
  <c r="P29" i="21" s="1"/>
  <c r="F29" i="21"/>
  <c r="L1056" i="2"/>
  <c r="M1056" i="2" s="1"/>
  <c r="N1056" i="2" s="1"/>
  <c r="M68" i="3"/>
  <c r="L1017" i="2"/>
  <c r="M1017" i="2" s="1"/>
  <c r="N1017" i="2" s="1"/>
  <c r="P1017" i="2" s="1"/>
  <c r="L1079" i="2"/>
  <c r="M1079" i="2" s="1"/>
  <c r="N1079" i="2" s="1"/>
  <c r="L1039" i="2"/>
  <c r="M1039" i="2" s="1"/>
  <c r="N1039" i="2" s="1"/>
  <c r="P1039" i="2" s="1"/>
  <c r="M61" i="3"/>
  <c r="L991" i="2"/>
  <c r="M991" i="2" s="1"/>
  <c r="N991" i="2" s="1"/>
  <c r="P991" i="2" s="1"/>
  <c r="L1055" i="2"/>
  <c r="M1055" i="2" s="1"/>
  <c r="N1055" i="2" s="1"/>
  <c r="L1054" i="2"/>
  <c r="M1054" i="2" s="1"/>
  <c r="N1054" i="2" s="1"/>
  <c r="P1054" i="2" s="1"/>
  <c r="L1009" i="2"/>
  <c r="M1009" i="2" s="1"/>
  <c r="N1009" i="2" s="1"/>
  <c r="P1009" i="2" s="1"/>
  <c r="L990" i="2"/>
  <c r="M990" i="2" s="1"/>
  <c r="N990" i="2" s="1"/>
  <c r="P990" i="2" s="1"/>
  <c r="L1074" i="2"/>
  <c r="M1074" i="2" s="1"/>
  <c r="N1074" i="2" s="1"/>
  <c r="L1066" i="2"/>
  <c r="M1066" i="2" s="1"/>
  <c r="N1066" i="2" s="1"/>
  <c r="L1053" i="2"/>
  <c r="M1053" i="2" s="1"/>
  <c r="N1053" i="2" s="1"/>
  <c r="P1053" i="2" s="1"/>
  <c r="L1008" i="2"/>
  <c r="M1008" i="2" s="1"/>
  <c r="N1008" i="2" s="1"/>
  <c r="L975" i="2"/>
  <c r="M975" i="2" s="1"/>
  <c r="N975" i="2" s="1"/>
  <c r="P975" i="2" s="1"/>
  <c r="L1076" i="2"/>
  <c r="M1076" i="2" s="1"/>
  <c r="N1076" i="2" s="1"/>
  <c r="P1076" i="2" s="1"/>
  <c r="L1075" i="2"/>
  <c r="M1075" i="2" s="1"/>
  <c r="N1075" i="2" s="1"/>
  <c r="P1075" i="2" s="1"/>
  <c r="L1067" i="2"/>
  <c r="M1067" i="2" s="1"/>
  <c r="N1067" i="2" s="1"/>
  <c r="L1042" i="2"/>
  <c r="M1042" i="2" s="1"/>
  <c r="N1042" i="2" s="1"/>
  <c r="P1042" i="2" s="1"/>
  <c r="L1034" i="2"/>
  <c r="M1034" i="2" s="1"/>
  <c r="N1034" i="2" s="1"/>
  <c r="P1034" i="2" s="1"/>
  <c r="L1005" i="2"/>
  <c r="M1005" i="2" s="1"/>
  <c r="N1005" i="2" s="1"/>
  <c r="P1005" i="2" s="1"/>
  <c r="L993" i="2"/>
  <c r="M993" i="2" s="1"/>
  <c r="N993" i="2" s="1"/>
  <c r="Y1004" i="2"/>
  <c r="Y1143" i="2"/>
  <c r="Z1048" i="2"/>
  <c r="Z1045" i="2"/>
  <c r="Y1030" i="2"/>
  <c r="Y972" i="2"/>
  <c r="Z1028" i="2"/>
  <c r="P1025" i="2"/>
  <c r="Z1022" i="2"/>
  <c r="Z1020" i="2"/>
  <c r="Z999" i="2"/>
  <c r="Z998" i="2"/>
  <c r="Y989" i="2"/>
  <c r="Y987" i="2"/>
  <c r="Y988" i="2"/>
  <c r="Z971" i="2"/>
  <c r="P1002" i="2"/>
  <c r="P998" i="2"/>
  <c r="P1090" i="2"/>
  <c r="P1011" i="2"/>
  <c r="P963" i="2"/>
  <c r="P955" i="2"/>
  <c r="Z954" i="2"/>
  <c r="X1080" i="2"/>
  <c r="X1007" i="2"/>
  <c r="P1043" i="2"/>
  <c r="P964" i="2"/>
  <c r="P956" i="2"/>
  <c r="P1066" i="2"/>
  <c r="P1016" i="2"/>
  <c r="P1012" i="2"/>
  <c r="X1072" i="2"/>
  <c r="X954" i="2"/>
  <c r="Y954" i="2" s="1"/>
  <c r="P1018" i="2"/>
  <c r="Z1030" i="2"/>
  <c r="P997" i="2"/>
  <c r="P980" i="2"/>
  <c r="P976" i="2"/>
  <c r="X974" i="2"/>
  <c r="P1026" i="2"/>
  <c r="P1022" i="2"/>
  <c r="P1074" i="2"/>
  <c r="P1072" i="2"/>
  <c r="P1059" i="2"/>
  <c r="P1038" i="2"/>
  <c r="P1028" i="2"/>
  <c r="P1024" i="2"/>
  <c r="P996" i="2"/>
  <c r="P988" i="2"/>
  <c r="P1067" i="2"/>
  <c r="P1037" i="2"/>
  <c r="P1027" i="2"/>
  <c r="P1019" i="2"/>
  <c r="P1003" i="2"/>
  <c r="X997" i="2"/>
  <c r="P982" i="2"/>
  <c r="P981" i="2"/>
  <c r="P977" i="2"/>
  <c r="P971" i="2"/>
  <c r="P965" i="2"/>
  <c r="P961" i="2"/>
  <c r="P957" i="2"/>
  <c r="P1091" i="2"/>
  <c r="P1094" i="2"/>
  <c r="P1057" i="2"/>
  <c r="P983" i="2"/>
  <c r="P978" i="2"/>
  <c r="P973" i="2"/>
  <c r="P972" i="2"/>
  <c r="P968" i="2"/>
  <c r="P967" i="2"/>
  <c r="P966" i="2"/>
  <c r="P1082" i="2"/>
  <c r="P1083" i="2"/>
  <c r="P1095" i="2"/>
  <c r="X1092" i="2"/>
  <c r="P1088" i="2"/>
  <c r="P1064" i="2"/>
  <c r="P1058" i="2"/>
  <c r="P1015" i="2"/>
  <c r="P1001" i="2"/>
  <c r="P995" i="2"/>
  <c r="Z989" i="2"/>
  <c r="P989" i="2"/>
  <c r="P979" i="2"/>
  <c r="P1055" i="2"/>
  <c r="P1030" i="2"/>
  <c r="P1020" i="2"/>
  <c r="P999" i="2"/>
  <c r="P993" i="2"/>
  <c r="P992" i="2"/>
  <c r="P986" i="2"/>
  <c r="Z985" i="2"/>
  <c r="P985" i="2"/>
  <c r="P984" i="2"/>
  <c r="P969" i="2"/>
  <c r="P959" i="2"/>
  <c r="P1062" i="2"/>
  <c r="P1061" i="2"/>
  <c r="P1060" i="2"/>
  <c r="P1063" i="2"/>
  <c r="P1056" i="2"/>
  <c r="P1050" i="2"/>
  <c r="P1040" i="2"/>
  <c r="P1021" i="2"/>
  <c r="P1014" i="2"/>
  <c r="P1000" i="2"/>
  <c r="P994" i="2"/>
  <c r="P987" i="2"/>
  <c r="P960" i="2"/>
  <c r="Z973" i="2"/>
  <c r="Z953" i="2"/>
  <c r="P953" i="2"/>
  <c r="P1093" i="2"/>
  <c r="P1089" i="2"/>
  <c r="P1081" i="2"/>
  <c r="P1041" i="2"/>
  <c r="P1010" i="2"/>
  <c r="P1008" i="2"/>
  <c r="P1007" i="2"/>
  <c r="P1006" i="2"/>
  <c r="P1004" i="2"/>
  <c r="X993" i="2"/>
  <c r="X982" i="2"/>
  <c r="X977" i="2"/>
  <c r="P974" i="2"/>
  <c r="P970" i="2"/>
  <c r="P958" i="2"/>
  <c r="P954" i="2"/>
  <c r="P1092" i="2"/>
  <c r="P1087" i="2"/>
  <c r="P1086" i="2"/>
  <c r="P1084" i="2"/>
  <c r="P1080" i="2"/>
  <c r="P1073" i="2"/>
  <c r="P1065" i="2"/>
  <c r="P1085" i="2"/>
  <c r="P1077" i="2"/>
  <c r="P1069" i="2"/>
  <c r="P1023" i="2"/>
  <c r="P1079" i="2"/>
  <c r="P1078" i="2"/>
  <c r="P1071" i="2"/>
  <c r="P1070" i="2"/>
  <c r="P1068" i="2"/>
  <c r="P1047" i="2"/>
  <c r="P1046" i="2"/>
  <c r="P1044" i="2"/>
  <c r="P1051" i="2"/>
  <c r="P1048" i="2"/>
  <c r="P1045" i="2"/>
  <c r="P1035" i="2"/>
  <c r="P1052" i="2"/>
  <c r="P1049" i="2"/>
  <c r="P1036" i="2"/>
  <c r="P1029" i="2"/>
  <c r="X1022" i="2"/>
  <c r="Y1022" i="2" s="1"/>
  <c r="P1013" i="2"/>
  <c r="Z1014" i="2"/>
  <c r="X962" i="2"/>
  <c r="X961" i="2"/>
  <c r="X1064" i="2"/>
  <c r="X1056" i="2"/>
  <c r="X1006" i="2"/>
  <c r="X999" i="2"/>
  <c r="X1084" i="2"/>
  <c r="X1028" i="2"/>
  <c r="X1020" i="2"/>
  <c r="Y1020" i="2" s="1"/>
  <c r="X1001" i="2"/>
  <c r="X986" i="2"/>
  <c r="X963" i="2"/>
  <c r="X957" i="2"/>
  <c r="Z1044" i="2"/>
  <c r="Z1024" i="2"/>
  <c r="X1048" i="2"/>
  <c r="Y1048" i="2" s="1"/>
  <c r="Z988" i="2"/>
  <c r="X970" i="2"/>
  <c r="X959" i="2"/>
  <c r="Z1060" i="2"/>
  <c r="Z1026" i="2"/>
  <c r="Z987" i="2"/>
  <c r="X1002" i="2"/>
  <c r="X998" i="2"/>
  <c r="Y998" i="2" s="1"/>
  <c r="X966" i="2"/>
  <c r="Z1047" i="2"/>
  <c r="Z1004" i="2"/>
  <c r="X994" i="2"/>
  <c r="X990" i="2"/>
  <c r="X978" i="2"/>
  <c r="Z972" i="2"/>
  <c r="X958" i="2"/>
  <c r="X955" i="2"/>
  <c r="X1089" i="2"/>
  <c r="X1093" i="2"/>
  <c r="X1083" i="2"/>
  <c r="X1082" i="2"/>
  <c r="X1067" i="2"/>
  <c r="X1066" i="2"/>
  <c r="X1065" i="2"/>
  <c r="X1094" i="2"/>
  <c r="X1081" i="2"/>
  <c r="X1091" i="2"/>
  <c r="X1090" i="2"/>
  <c r="X1075" i="2"/>
  <c r="X1074" i="2"/>
  <c r="X1059" i="2"/>
  <c r="Y1059" i="2" s="1"/>
  <c r="Z1059" i="2"/>
  <c r="Z1058" i="2"/>
  <c r="X1058" i="2"/>
  <c r="Y1058" i="2" s="1"/>
  <c r="X1073" i="2"/>
  <c r="X1057" i="2"/>
  <c r="Z1043" i="2"/>
  <c r="X1011" i="2"/>
  <c r="X1050" i="2"/>
  <c r="X1049" i="2"/>
  <c r="Z1046" i="2"/>
  <c r="X1042" i="2"/>
  <c r="X1041" i="2"/>
  <c r="X1034" i="2"/>
  <c r="X1033" i="2"/>
  <c r="X1019" i="2"/>
  <c r="X1085" i="2"/>
  <c r="X1077" i="2"/>
  <c r="X1069" i="2"/>
  <c r="X1061" i="2"/>
  <c r="X1053" i="2"/>
  <c r="X1045" i="2"/>
  <c r="X1037" i="2"/>
  <c r="X1031" i="2"/>
  <c r="X1029" i="2"/>
  <c r="X1027" i="2"/>
  <c r="Z1027" i="2"/>
  <c r="Z1025" i="2"/>
  <c r="X1025" i="2"/>
  <c r="Y1025" i="2" s="1"/>
  <c r="X1023" i="2"/>
  <c r="Y1023" i="2" s="1"/>
  <c r="Z1023" i="2"/>
  <c r="Z1021" i="2"/>
  <c r="X1021" i="2"/>
  <c r="Y1021" i="2" s="1"/>
  <c r="X1015" i="2"/>
  <c r="Y1015" i="2" s="1"/>
  <c r="Z1015" i="2"/>
  <c r="X956" i="2"/>
  <c r="X1017" i="2"/>
  <c r="X1013" i="2"/>
  <c r="X1009" i="2"/>
  <c r="X979" i="2"/>
  <c r="X971" i="2"/>
  <c r="P962" i="2"/>
  <c r="X960" i="2"/>
  <c r="X964" i="2"/>
  <c r="X975" i="2"/>
  <c r="X967" i="2"/>
  <c r="O915" i="2"/>
  <c r="K915" i="2"/>
  <c r="O914" i="2"/>
  <c r="K914" i="2"/>
  <c r="Y1045" i="2" l="1"/>
  <c r="Y1185" i="2"/>
  <c r="Y1027" i="2"/>
  <c r="Y1028" i="2"/>
  <c r="Y1026" i="2"/>
  <c r="Y971" i="2"/>
  <c r="Y999" i="2"/>
  <c r="O913" i="2"/>
  <c r="O912" i="2"/>
  <c r="O911" i="2"/>
  <c r="O905" i="2"/>
  <c r="O902" i="2" l="1"/>
  <c r="O899" i="2" l="1"/>
  <c r="O897" i="2" l="1"/>
  <c r="O896" i="2" l="1"/>
  <c r="K896" i="2"/>
  <c r="K895" i="2"/>
  <c r="O894" i="2"/>
  <c r="O893" i="2"/>
  <c r="K893" i="2"/>
  <c r="O888" i="2"/>
  <c r="O884" i="2" l="1"/>
  <c r="K884" i="2"/>
  <c r="O882" i="2"/>
  <c r="O880" i="2"/>
  <c r="O879" i="2"/>
  <c r="O878" i="2"/>
  <c r="O877" i="2"/>
  <c r="O876" i="2"/>
  <c r="O875" i="2"/>
  <c r="O873" i="2" l="1"/>
  <c r="O872" i="2"/>
  <c r="O871" i="2"/>
  <c r="O870" i="2"/>
  <c r="O869" i="2"/>
  <c r="O865" i="2"/>
  <c r="O864" i="2"/>
  <c r="O863" i="2"/>
  <c r="O862" i="2"/>
  <c r="O861" i="2"/>
  <c r="O860" i="2" l="1"/>
  <c r="O854" i="2" l="1"/>
  <c r="O853" i="2" l="1"/>
  <c r="L853" i="2"/>
  <c r="O852" i="2"/>
  <c r="O851" i="2"/>
  <c r="O850" i="2"/>
  <c r="D863" i="2"/>
  <c r="G863" i="2"/>
  <c r="L863" i="2"/>
  <c r="M863" i="2" s="1"/>
  <c r="N863" i="2" s="1"/>
  <c r="P863" i="2" s="1"/>
  <c r="Q863" i="2"/>
  <c r="R863" i="2"/>
  <c r="S863" i="2"/>
  <c r="T863" i="2"/>
  <c r="W863" i="2"/>
  <c r="X863" i="2" s="1"/>
  <c r="AA863" i="2"/>
  <c r="D864" i="2"/>
  <c r="G864" i="2"/>
  <c r="L864" i="2"/>
  <c r="M864" i="2" s="1"/>
  <c r="N864" i="2" s="1"/>
  <c r="Q864" i="2"/>
  <c r="R864" i="2"/>
  <c r="S864" i="2"/>
  <c r="T864" i="2"/>
  <c r="W864" i="2"/>
  <c r="X864" i="2" s="1"/>
  <c r="AA864" i="2"/>
  <c r="D865" i="2"/>
  <c r="G865" i="2"/>
  <c r="L865" i="2"/>
  <c r="M865" i="2" s="1"/>
  <c r="N865" i="2" s="1"/>
  <c r="Q865" i="2"/>
  <c r="R865" i="2"/>
  <c r="S865" i="2"/>
  <c r="T865" i="2"/>
  <c r="W865" i="2"/>
  <c r="AA865" i="2"/>
  <c r="D866" i="2"/>
  <c r="G866" i="2"/>
  <c r="K866" i="2"/>
  <c r="O866" i="2"/>
  <c r="Q866" i="2"/>
  <c r="R866" i="2"/>
  <c r="S866" i="2"/>
  <c r="T866" i="2"/>
  <c r="W866" i="2"/>
  <c r="X866" i="2" s="1"/>
  <c r="AA866" i="2"/>
  <c r="D867" i="2"/>
  <c r="G867" i="2"/>
  <c r="K867" i="2"/>
  <c r="L867" i="2" s="1"/>
  <c r="M867" i="2" s="1"/>
  <c r="N867" i="2" s="1"/>
  <c r="O867" i="2"/>
  <c r="Q867" i="2"/>
  <c r="R867" i="2"/>
  <c r="S867" i="2"/>
  <c r="T867" i="2"/>
  <c r="W867" i="2"/>
  <c r="X867" i="2" s="1"/>
  <c r="AA867" i="2"/>
  <c r="D868" i="2"/>
  <c r="G868" i="2"/>
  <c r="K868" i="2"/>
  <c r="L868" i="2" s="1"/>
  <c r="M868" i="2" s="1"/>
  <c r="N868" i="2" s="1"/>
  <c r="O868" i="2"/>
  <c r="Q868" i="2"/>
  <c r="R868" i="2"/>
  <c r="S868" i="2"/>
  <c r="T868" i="2"/>
  <c r="W868" i="2"/>
  <c r="AA868" i="2"/>
  <c r="D869" i="2"/>
  <c r="G869" i="2"/>
  <c r="L869" i="2"/>
  <c r="M869" i="2" s="1"/>
  <c r="N869" i="2" s="1"/>
  <c r="Q869" i="2"/>
  <c r="R869" i="2"/>
  <c r="S869" i="2"/>
  <c r="T869" i="2"/>
  <c r="W869" i="2"/>
  <c r="AA869" i="2"/>
  <c r="D870" i="2"/>
  <c r="G870" i="2"/>
  <c r="L870" i="2"/>
  <c r="M870" i="2" s="1"/>
  <c r="N870" i="2" s="1"/>
  <c r="Q870" i="2"/>
  <c r="R870" i="2"/>
  <c r="S870" i="2"/>
  <c r="T870" i="2"/>
  <c r="W870" i="2"/>
  <c r="X870" i="2" s="1"/>
  <c r="AA870" i="2"/>
  <c r="D871" i="2"/>
  <c r="G871" i="2"/>
  <c r="L871" i="2"/>
  <c r="M871" i="2" s="1"/>
  <c r="N871" i="2" s="1"/>
  <c r="Q871" i="2"/>
  <c r="R871" i="2"/>
  <c r="S871" i="2"/>
  <c r="T871" i="2"/>
  <c r="W871" i="2"/>
  <c r="X871" i="2" s="1"/>
  <c r="AA871" i="2"/>
  <c r="D872" i="2"/>
  <c r="G872" i="2"/>
  <c r="K872" i="2"/>
  <c r="Q872" i="2"/>
  <c r="R872" i="2"/>
  <c r="S872" i="2"/>
  <c r="T872" i="2"/>
  <c r="W872" i="2"/>
  <c r="AA872" i="2"/>
  <c r="D873" i="2"/>
  <c r="G873" i="2"/>
  <c r="L873" i="2"/>
  <c r="M873" i="2" s="1"/>
  <c r="N873" i="2" s="1"/>
  <c r="Q873" i="2"/>
  <c r="R873" i="2"/>
  <c r="S873" i="2"/>
  <c r="T873" i="2"/>
  <c r="W873" i="2"/>
  <c r="AA873" i="2"/>
  <c r="D874" i="2"/>
  <c r="G874" i="2"/>
  <c r="K874" i="2"/>
  <c r="L874" i="2" s="1"/>
  <c r="M874" i="2" s="1"/>
  <c r="N874" i="2" s="1"/>
  <c r="O874" i="2"/>
  <c r="Q874" i="2"/>
  <c r="R874" i="2"/>
  <c r="S874" i="2"/>
  <c r="T874" i="2"/>
  <c r="W874" i="2"/>
  <c r="X874" i="2" s="1"/>
  <c r="AA874" i="2"/>
  <c r="D875" i="2"/>
  <c r="G875" i="2"/>
  <c r="K875" i="2"/>
  <c r="L875" i="2" s="1"/>
  <c r="M875" i="2" s="1"/>
  <c r="N875" i="2" s="1"/>
  <c r="Q875" i="2"/>
  <c r="R875" i="2"/>
  <c r="S875" i="2"/>
  <c r="T875" i="2"/>
  <c r="W875" i="2"/>
  <c r="X875" i="2" s="1"/>
  <c r="AA875" i="2"/>
  <c r="D876" i="2"/>
  <c r="G876" i="2"/>
  <c r="K876" i="2"/>
  <c r="L876" i="2" s="1"/>
  <c r="M876" i="2" s="1"/>
  <c r="N876" i="2" s="1"/>
  <c r="Q876" i="2"/>
  <c r="R876" i="2"/>
  <c r="S876" i="2"/>
  <c r="T876" i="2"/>
  <c r="W876" i="2"/>
  <c r="AA876" i="2"/>
  <c r="D877" i="2"/>
  <c r="G877" i="2"/>
  <c r="K877" i="2"/>
  <c r="L877" i="2" s="1"/>
  <c r="M877" i="2" s="1"/>
  <c r="N877" i="2" s="1"/>
  <c r="Q877" i="2"/>
  <c r="R877" i="2"/>
  <c r="S877" i="2"/>
  <c r="T877" i="2"/>
  <c r="W877" i="2"/>
  <c r="AA877" i="2"/>
  <c r="D878" i="2"/>
  <c r="G878" i="2"/>
  <c r="K878" i="2"/>
  <c r="L878" i="2" s="1"/>
  <c r="M878" i="2" s="1"/>
  <c r="N878" i="2" s="1"/>
  <c r="Q878" i="2"/>
  <c r="R878" i="2"/>
  <c r="S878" i="2"/>
  <c r="T878" i="2"/>
  <c r="W878" i="2"/>
  <c r="X878" i="2" s="1"/>
  <c r="AA878" i="2"/>
  <c r="D879" i="2"/>
  <c r="G879" i="2"/>
  <c r="K879" i="2"/>
  <c r="L879" i="2" s="1"/>
  <c r="M879" i="2" s="1"/>
  <c r="N879" i="2" s="1"/>
  <c r="Q879" i="2"/>
  <c r="R879" i="2"/>
  <c r="S879" i="2"/>
  <c r="T879" i="2"/>
  <c r="W879" i="2"/>
  <c r="X879" i="2" s="1"/>
  <c r="AA879" i="2"/>
  <c r="D880" i="2"/>
  <c r="G880" i="2"/>
  <c r="L880" i="2"/>
  <c r="M880" i="2" s="1"/>
  <c r="N880" i="2" s="1"/>
  <c r="Q880" i="2"/>
  <c r="R880" i="2"/>
  <c r="S880" i="2"/>
  <c r="T880" i="2"/>
  <c r="W880" i="2"/>
  <c r="X880" i="2" s="1"/>
  <c r="AA880" i="2"/>
  <c r="D881" i="2"/>
  <c r="G881" i="2"/>
  <c r="L881" i="2"/>
  <c r="M881" i="2" s="1"/>
  <c r="N881" i="2" s="1"/>
  <c r="O881" i="2"/>
  <c r="Q881" i="2"/>
  <c r="R881" i="2"/>
  <c r="S881" i="2"/>
  <c r="T881" i="2"/>
  <c r="W881" i="2"/>
  <c r="AA881" i="2"/>
  <c r="D882" i="2"/>
  <c r="G882" i="2"/>
  <c r="K882" i="2"/>
  <c r="Q882" i="2"/>
  <c r="R882" i="2"/>
  <c r="S882" i="2"/>
  <c r="T882" i="2"/>
  <c r="W882" i="2"/>
  <c r="AA882" i="2"/>
  <c r="D883" i="2"/>
  <c r="G883" i="2"/>
  <c r="K883" i="2"/>
  <c r="L883" i="2" s="1"/>
  <c r="M883" i="2" s="1"/>
  <c r="N883" i="2" s="1"/>
  <c r="O883" i="2"/>
  <c r="Q883" i="2"/>
  <c r="R883" i="2"/>
  <c r="S883" i="2"/>
  <c r="T883" i="2"/>
  <c r="W883" i="2"/>
  <c r="X883" i="2" s="1"/>
  <c r="AA883" i="2"/>
  <c r="D884" i="2"/>
  <c r="G884" i="2"/>
  <c r="L884" i="2"/>
  <c r="M884" i="2" s="1"/>
  <c r="N884" i="2" s="1"/>
  <c r="Q884" i="2"/>
  <c r="R884" i="2"/>
  <c r="S884" i="2"/>
  <c r="T884" i="2"/>
  <c r="W884" i="2"/>
  <c r="AA884" i="2"/>
  <c r="D885" i="2"/>
  <c r="G885" i="2"/>
  <c r="K885" i="2"/>
  <c r="L885" i="2" s="1"/>
  <c r="M885" i="2" s="1"/>
  <c r="N885" i="2" s="1"/>
  <c r="O885" i="2"/>
  <c r="Q885" i="2"/>
  <c r="R885" i="2"/>
  <c r="S885" i="2"/>
  <c r="T885" i="2"/>
  <c r="W885" i="2"/>
  <c r="AA885" i="2"/>
  <c r="S886" i="2"/>
  <c r="T886" i="2"/>
  <c r="D887" i="2"/>
  <c r="G887" i="2"/>
  <c r="L887" i="2"/>
  <c r="M887" i="2" s="1"/>
  <c r="N887" i="2" s="1"/>
  <c r="O887" i="2"/>
  <c r="Q887" i="2"/>
  <c r="R887" i="2"/>
  <c r="S887" i="2"/>
  <c r="T887" i="2"/>
  <c r="W887" i="2"/>
  <c r="AA887" i="2"/>
  <c r="D888" i="2"/>
  <c r="G888" i="2"/>
  <c r="L888" i="2"/>
  <c r="M888" i="2" s="1"/>
  <c r="N888" i="2" s="1"/>
  <c r="Q888" i="2"/>
  <c r="R888" i="2"/>
  <c r="S888" i="2"/>
  <c r="T888" i="2"/>
  <c r="W888" i="2"/>
  <c r="X888" i="2" s="1"/>
  <c r="AA888" i="2"/>
  <c r="D889" i="2"/>
  <c r="G889" i="2"/>
  <c r="L889" i="2"/>
  <c r="M889" i="2" s="1"/>
  <c r="N889" i="2" s="1"/>
  <c r="Q889" i="2"/>
  <c r="R889" i="2"/>
  <c r="S889" i="2"/>
  <c r="T889" i="2"/>
  <c r="W889" i="2"/>
  <c r="AA889" i="2"/>
  <c r="D890" i="2"/>
  <c r="G890" i="2"/>
  <c r="K890" i="2"/>
  <c r="L890" i="2" s="1"/>
  <c r="M890" i="2" s="1"/>
  <c r="N890" i="2" s="1"/>
  <c r="O890" i="2"/>
  <c r="Q890" i="2"/>
  <c r="R890" i="2"/>
  <c r="S890" i="2"/>
  <c r="T890" i="2"/>
  <c r="W890" i="2"/>
  <c r="AA890" i="2"/>
  <c r="D891" i="2"/>
  <c r="G891" i="2"/>
  <c r="K891" i="2"/>
  <c r="L891" i="2" s="1"/>
  <c r="M891" i="2" s="1"/>
  <c r="N891" i="2" s="1"/>
  <c r="O891" i="2"/>
  <c r="Q891" i="2"/>
  <c r="R891" i="2"/>
  <c r="S891" i="2"/>
  <c r="T891" i="2"/>
  <c r="W891" i="2"/>
  <c r="X891" i="2" s="1"/>
  <c r="AA891" i="2"/>
  <c r="D892" i="2"/>
  <c r="G892" i="2"/>
  <c r="L892" i="2"/>
  <c r="M892" i="2" s="1"/>
  <c r="N892" i="2" s="1"/>
  <c r="O892" i="2"/>
  <c r="Q892" i="2"/>
  <c r="R892" i="2"/>
  <c r="S892" i="2"/>
  <c r="T892" i="2"/>
  <c r="W892" i="2"/>
  <c r="AA892" i="2"/>
  <c r="D893" i="2"/>
  <c r="G893" i="2"/>
  <c r="L893" i="2"/>
  <c r="M893" i="2" s="1"/>
  <c r="N893" i="2" s="1"/>
  <c r="Q893" i="2"/>
  <c r="R893" i="2"/>
  <c r="S893" i="2"/>
  <c r="T893" i="2"/>
  <c r="W893" i="2"/>
  <c r="AA893" i="2"/>
  <c r="D894" i="2"/>
  <c r="G894" i="2"/>
  <c r="L894" i="2"/>
  <c r="M894" i="2" s="1"/>
  <c r="N894" i="2" s="1"/>
  <c r="Q894" i="2"/>
  <c r="R894" i="2"/>
  <c r="S894" i="2"/>
  <c r="T894" i="2"/>
  <c r="W894" i="2"/>
  <c r="AA894" i="2"/>
  <c r="D895" i="2"/>
  <c r="G895" i="2"/>
  <c r="L895" i="2"/>
  <c r="M895" i="2" s="1"/>
  <c r="N895" i="2" s="1"/>
  <c r="Q895" i="2"/>
  <c r="R895" i="2"/>
  <c r="S895" i="2"/>
  <c r="T895" i="2"/>
  <c r="W895" i="2"/>
  <c r="AA895" i="2"/>
  <c r="D896" i="2"/>
  <c r="G896" i="2"/>
  <c r="L896" i="2"/>
  <c r="M896" i="2" s="1"/>
  <c r="N896" i="2" s="1"/>
  <c r="Q896" i="2"/>
  <c r="R896" i="2"/>
  <c r="S896" i="2"/>
  <c r="T896" i="2"/>
  <c r="W896" i="2"/>
  <c r="X896" i="2" s="1"/>
  <c r="AA896" i="2"/>
  <c r="D897" i="2"/>
  <c r="G897" i="2"/>
  <c r="L897" i="2"/>
  <c r="M897" i="2" s="1"/>
  <c r="N897" i="2" s="1"/>
  <c r="Q897" i="2"/>
  <c r="R897" i="2"/>
  <c r="S897" i="2"/>
  <c r="T897" i="2"/>
  <c r="W897" i="2"/>
  <c r="AA897" i="2"/>
  <c r="D898" i="2"/>
  <c r="G898" i="2"/>
  <c r="L898" i="2"/>
  <c r="M898" i="2" s="1"/>
  <c r="N898" i="2" s="1"/>
  <c r="Q898" i="2"/>
  <c r="R898" i="2"/>
  <c r="S898" i="2"/>
  <c r="T898" i="2"/>
  <c r="W898" i="2"/>
  <c r="AA898" i="2"/>
  <c r="D899" i="2"/>
  <c r="G899" i="2"/>
  <c r="L899" i="2"/>
  <c r="M899" i="2" s="1"/>
  <c r="N899" i="2" s="1"/>
  <c r="Q899" i="2"/>
  <c r="R899" i="2"/>
  <c r="S899" i="2"/>
  <c r="T899" i="2"/>
  <c r="W899" i="2"/>
  <c r="X899" i="2" s="1"/>
  <c r="AA899" i="2"/>
  <c r="D900" i="2"/>
  <c r="G900" i="2"/>
  <c r="K900" i="2"/>
  <c r="L900" i="2" s="1"/>
  <c r="M900" i="2" s="1"/>
  <c r="N900" i="2" s="1"/>
  <c r="O900" i="2"/>
  <c r="Q900" i="2"/>
  <c r="R900" i="2"/>
  <c r="S900" i="2"/>
  <c r="T900" i="2"/>
  <c r="W900" i="2"/>
  <c r="AA900" i="2"/>
  <c r="D901" i="2"/>
  <c r="G901" i="2"/>
  <c r="L901" i="2"/>
  <c r="M901" i="2" s="1"/>
  <c r="N901" i="2" s="1"/>
  <c r="O901" i="2"/>
  <c r="Q901" i="2"/>
  <c r="R901" i="2"/>
  <c r="S901" i="2"/>
  <c r="T901" i="2"/>
  <c r="W901" i="2"/>
  <c r="AA901" i="2"/>
  <c r="D902" i="2"/>
  <c r="G902" i="2"/>
  <c r="K902" i="2"/>
  <c r="L902" i="2" s="1"/>
  <c r="M902" i="2" s="1"/>
  <c r="N902" i="2" s="1"/>
  <c r="Q902" i="2"/>
  <c r="R902" i="2"/>
  <c r="S902" i="2"/>
  <c r="T902" i="2"/>
  <c r="W902" i="2"/>
  <c r="AA902" i="2"/>
  <c r="D903" i="2"/>
  <c r="G903" i="2"/>
  <c r="L903" i="2"/>
  <c r="M903" i="2" s="1"/>
  <c r="N903" i="2" s="1"/>
  <c r="O903" i="2"/>
  <c r="Q903" i="2"/>
  <c r="R903" i="2"/>
  <c r="S903" i="2"/>
  <c r="T903" i="2"/>
  <c r="W903" i="2"/>
  <c r="AA903" i="2"/>
  <c r="D904" i="2"/>
  <c r="G904" i="2"/>
  <c r="K904" i="2"/>
  <c r="L904" i="2" s="1"/>
  <c r="M904" i="2" s="1"/>
  <c r="N904" i="2" s="1"/>
  <c r="O904" i="2"/>
  <c r="Q904" i="2"/>
  <c r="R904" i="2"/>
  <c r="S904" i="2"/>
  <c r="T904" i="2"/>
  <c r="W904" i="2"/>
  <c r="X904" i="2" s="1"/>
  <c r="AA904" i="2"/>
  <c r="D905" i="2"/>
  <c r="G905" i="2"/>
  <c r="K905" i="2"/>
  <c r="L905" i="2" s="1"/>
  <c r="M905" i="2" s="1"/>
  <c r="N905" i="2" s="1"/>
  <c r="Q905" i="2"/>
  <c r="R905" i="2"/>
  <c r="S905" i="2"/>
  <c r="T905" i="2"/>
  <c r="W905" i="2"/>
  <c r="AA905" i="2"/>
  <c r="D906" i="2"/>
  <c r="G906" i="2"/>
  <c r="L906" i="2"/>
  <c r="M906" i="2" s="1"/>
  <c r="N906" i="2" s="1"/>
  <c r="O906" i="2"/>
  <c r="Q906" i="2"/>
  <c r="R906" i="2"/>
  <c r="S906" i="2"/>
  <c r="T906" i="2"/>
  <c r="W906" i="2"/>
  <c r="AA906" i="2"/>
  <c r="D907" i="2"/>
  <c r="G907" i="2"/>
  <c r="K907" i="2"/>
  <c r="L907" i="2" s="1"/>
  <c r="M907" i="2" s="1"/>
  <c r="N907" i="2" s="1"/>
  <c r="O907" i="2"/>
  <c r="Q907" i="2"/>
  <c r="R907" i="2"/>
  <c r="S907" i="2"/>
  <c r="T907" i="2"/>
  <c r="W907" i="2"/>
  <c r="X907" i="2" s="1"/>
  <c r="AA907" i="2"/>
  <c r="D908" i="2"/>
  <c r="G908" i="2"/>
  <c r="K908" i="2"/>
  <c r="M5" i="21" s="1"/>
  <c r="O908" i="2"/>
  <c r="Q908" i="2"/>
  <c r="R908" i="2"/>
  <c r="S908" i="2"/>
  <c r="T908" i="2"/>
  <c r="W908" i="2"/>
  <c r="AA908" i="2"/>
  <c r="D909" i="2"/>
  <c r="G909" i="2"/>
  <c r="K909" i="2"/>
  <c r="L909" i="2" s="1"/>
  <c r="M909" i="2" s="1"/>
  <c r="N909" i="2" s="1"/>
  <c r="O909" i="2"/>
  <c r="Q909" i="2"/>
  <c r="R909" i="2"/>
  <c r="S909" i="2"/>
  <c r="T909" i="2"/>
  <c r="W909" i="2"/>
  <c r="AA909" i="2"/>
  <c r="D910" i="2"/>
  <c r="G910" i="2"/>
  <c r="L910" i="2"/>
  <c r="M910" i="2" s="1"/>
  <c r="N910" i="2" s="1"/>
  <c r="Q910" i="2"/>
  <c r="R910" i="2"/>
  <c r="S910" i="2"/>
  <c r="T910" i="2"/>
  <c r="W910" i="2"/>
  <c r="AA910" i="2"/>
  <c r="D911" i="2"/>
  <c r="G911" i="2"/>
  <c r="M911" i="2"/>
  <c r="N911" i="2" s="1"/>
  <c r="Q911" i="2"/>
  <c r="R911" i="2"/>
  <c r="S911" i="2"/>
  <c r="T911" i="2"/>
  <c r="W911" i="2"/>
  <c r="AA911" i="2"/>
  <c r="D912" i="2"/>
  <c r="G912" i="2"/>
  <c r="L912" i="2"/>
  <c r="M912" i="2" s="1"/>
  <c r="N912" i="2" s="1"/>
  <c r="Q912" i="2"/>
  <c r="R912" i="2"/>
  <c r="S912" i="2"/>
  <c r="T912" i="2"/>
  <c r="W912" i="2"/>
  <c r="AA912" i="2"/>
  <c r="D913" i="2"/>
  <c r="G913" i="2"/>
  <c r="K913" i="2"/>
  <c r="Q913" i="2"/>
  <c r="R913" i="2"/>
  <c r="S913" i="2"/>
  <c r="T913" i="2"/>
  <c r="W913" i="2"/>
  <c r="AA913" i="2"/>
  <c r="D914" i="2"/>
  <c r="G914" i="2"/>
  <c r="L914" i="2"/>
  <c r="M914" i="2" s="1"/>
  <c r="N914" i="2" s="1"/>
  <c r="Q914" i="2"/>
  <c r="R914" i="2"/>
  <c r="S914" i="2"/>
  <c r="T914" i="2"/>
  <c r="W914" i="2"/>
  <c r="AA914" i="2"/>
  <c r="D915" i="2"/>
  <c r="G915" i="2"/>
  <c r="L915" i="2"/>
  <c r="M915" i="2" s="1"/>
  <c r="N915" i="2" s="1"/>
  <c r="Q915" i="2"/>
  <c r="R915" i="2"/>
  <c r="S915" i="2"/>
  <c r="T915" i="2"/>
  <c r="W915" i="2"/>
  <c r="X915" i="2" s="1"/>
  <c r="AA915" i="2"/>
  <c r="D916" i="2"/>
  <c r="G916" i="2"/>
  <c r="K916" i="2"/>
  <c r="L916" i="2" s="1"/>
  <c r="M916" i="2" s="1"/>
  <c r="N916" i="2" s="1"/>
  <c r="O916" i="2"/>
  <c r="Q916" i="2"/>
  <c r="R916" i="2"/>
  <c r="S916" i="2"/>
  <c r="T916" i="2"/>
  <c r="W916" i="2"/>
  <c r="AA916" i="2"/>
  <c r="D917" i="2"/>
  <c r="G917" i="2"/>
  <c r="K917" i="2"/>
  <c r="M9" i="21" s="1"/>
  <c r="O917" i="2"/>
  <c r="Q917" i="2"/>
  <c r="R917" i="2"/>
  <c r="S917" i="2"/>
  <c r="T917" i="2"/>
  <c r="W917" i="2"/>
  <c r="AA917" i="2"/>
  <c r="D918" i="2"/>
  <c r="G918" i="2"/>
  <c r="L918" i="2"/>
  <c r="M918" i="2" s="1"/>
  <c r="N918" i="2" s="1"/>
  <c r="O918" i="2"/>
  <c r="Q918" i="2"/>
  <c r="R918" i="2"/>
  <c r="S918" i="2"/>
  <c r="T918" i="2"/>
  <c r="W918" i="2"/>
  <c r="AA918" i="2"/>
  <c r="D919" i="2"/>
  <c r="G919" i="2"/>
  <c r="L919" i="2"/>
  <c r="M919" i="2" s="1"/>
  <c r="N919" i="2" s="1"/>
  <c r="Q919" i="2"/>
  <c r="R919" i="2"/>
  <c r="S919" i="2"/>
  <c r="T919" i="2"/>
  <c r="W919" i="2"/>
  <c r="AA919" i="2"/>
  <c r="D920" i="2"/>
  <c r="G920" i="2"/>
  <c r="K920" i="2"/>
  <c r="L920" i="2" s="1"/>
  <c r="M920" i="2" s="1"/>
  <c r="N920" i="2" s="1"/>
  <c r="O920" i="2"/>
  <c r="Q920" i="2"/>
  <c r="R920" i="2"/>
  <c r="S920" i="2"/>
  <c r="T920" i="2"/>
  <c r="W920" i="2"/>
  <c r="AA920" i="2"/>
  <c r="D921" i="2"/>
  <c r="G921" i="2"/>
  <c r="K921" i="2"/>
  <c r="L921" i="2" s="1"/>
  <c r="M921" i="2" s="1"/>
  <c r="N921" i="2" s="1"/>
  <c r="O921" i="2"/>
  <c r="Q921" i="2"/>
  <c r="R921" i="2"/>
  <c r="S921" i="2"/>
  <c r="T921" i="2"/>
  <c r="W921" i="2"/>
  <c r="AA921" i="2"/>
  <c r="D922" i="2"/>
  <c r="K922" i="2"/>
  <c r="L922" i="2" s="1"/>
  <c r="M922" i="2" s="1"/>
  <c r="N922" i="2" s="1"/>
  <c r="O922" i="2"/>
  <c r="Q922" i="2"/>
  <c r="R922" i="2"/>
  <c r="S922" i="2"/>
  <c r="T922" i="2"/>
  <c r="W922" i="2"/>
  <c r="AA922" i="2"/>
  <c r="D923" i="2"/>
  <c r="G923" i="2"/>
  <c r="L923" i="2"/>
  <c r="M923" i="2" s="1"/>
  <c r="N923" i="2" s="1"/>
  <c r="O923" i="2"/>
  <c r="Q923" i="2"/>
  <c r="R923" i="2"/>
  <c r="S923" i="2"/>
  <c r="T923" i="2"/>
  <c r="W923" i="2"/>
  <c r="AA923" i="2"/>
  <c r="D924" i="2"/>
  <c r="G924" i="2"/>
  <c r="L924" i="2"/>
  <c r="M924" i="2" s="1"/>
  <c r="N924" i="2" s="1"/>
  <c r="Q924" i="2"/>
  <c r="R924" i="2"/>
  <c r="S924" i="2"/>
  <c r="T924" i="2"/>
  <c r="W924" i="2"/>
  <c r="AA924" i="2"/>
  <c r="D925" i="2"/>
  <c r="G925" i="2"/>
  <c r="L925" i="2"/>
  <c r="M925" i="2" s="1"/>
  <c r="N925" i="2" s="1"/>
  <c r="Q925" i="2"/>
  <c r="R925" i="2"/>
  <c r="S925" i="2"/>
  <c r="T925" i="2"/>
  <c r="W925" i="2"/>
  <c r="AA925" i="2"/>
  <c r="D926" i="2"/>
  <c r="G926" i="2"/>
  <c r="L926" i="2"/>
  <c r="M926" i="2" s="1"/>
  <c r="N926" i="2" s="1"/>
  <c r="Q926" i="2"/>
  <c r="R926" i="2"/>
  <c r="S926" i="2"/>
  <c r="T926" i="2"/>
  <c r="W926" i="2"/>
  <c r="AA926" i="2"/>
  <c r="D927" i="2"/>
  <c r="G927" i="2"/>
  <c r="K927" i="2"/>
  <c r="L927" i="2" s="1"/>
  <c r="M927" i="2" s="1"/>
  <c r="N927" i="2" s="1"/>
  <c r="Q927" i="2"/>
  <c r="R927" i="2"/>
  <c r="S927" i="2"/>
  <c r="T927" i="2"/>
  <c r="W927" i="2"/>
  <c r="AA927" i="2"/>
  <c r="D928" i="2"/>
  <c r="G928" i="2"/>
  <c r="K928" i="2"/>
  <c r="L928" i="2" s="1"/>
  <c r="M928" i="2" s="1"/>
  <c r="N928" i="2" s="1"/>
  <c r="Q928" i="2"/>
  <c r="R928" i="2"/>
  <c r="S928" i="2"/>
  <c r="T928" i="2"/>
  <c r="W928" i="2"/>
  <c r="X928" i="2" s="1"/>
  <c r="AA928" i="2"/>
  <c r="S929" i="2"/>
  <c r="T929" i="2"/>
  <c r="D930" i="2"/>
  <c r="G930" i="2"/>
  <c r="L930" i="2"/>
  <c r="M930" i="2" s="1"/>
  <c r="N930" i="2" s="1"/>
  <c r="Q930" i="2"/>
  <c r="R930" i="2"/>
  <c r="S930" i="2"/>
  <c r="T930" i="2"/>
  <c r="W930" i="2"/>
  <c r="AA930" i="2"/>
  <c r="D931" i="2"/>
  <c r="G931" i="2"/>
  <c r="L931" i="2"/>
  <c r="M931" i="2" s="1"/>
  <c r="N931" i="2" s="1"/>
  <c r="Q931" i="2"/>
  <c r="R931" i="2"/>
  <c r="S931" i="2"/>
  <c r="T931" i="2"/>
  <c r="W931" i="2"/>
  <c r="AA931" i="2"/>
  <c r="D932" i="2"/>
  <c r="G932" i="2"/>
  <c r="L932" i="2"/>
  <c r="M932" i="2" s="1"/>
  <c r="N932" i="2" s="1"/>
  <c r="Q932" i="2"/>
  <c r="R932" i="2"/>
  <c r="S932" i="2"/>
  <c r="T932" i="2"/>
  <c r="W932" i="2"/>
  <c r="X932" i="2" s="1"/>
  <c r="AA932" i="2"/>
  <c r="D933" i="2"/>
  <c r="G933" i="2"/>
  <c r="L933" i="2"/>
  <c r="M933" i="2" s="1"/>
  <c r="N933" i="2" s="1"/>
  <c r="Q933" i="2"/>
  <c r="R933" i="2"/>
  <c r="S933" i="2"/>
  <c r="T933" i="2"/>
  <c r="W933" i="2"/>
  <c r="AA933" i="2"/>
  <c r="D935" i="2"/>
  <c r="G935" i="2"/>
  <c r="L935" i="2"/>
  <c r="M935" i="2" s="1"/>
  <c r="N935" i="2" s="1"/>
  <c r="Q935" i="2"/>
  <c r="R935" i="2"/>
  <c r="S935" i="2"/>
  <c r="T935" i="2"/>
  <c r="W935" i="2"/>
  <c r="AA935" i="2"/>
  <c r="D936" i="2"/>
  <c r="G936" i="2"/>
  <c r="L936" i="2"/>
  <c r="M936" i="2" s="1"/>
  <c r="N936" i="2" s="1"/>
  <c r="Q936" i="2"/>
  <c r="R936" i="2"/>
  <c r="S936" i="2"/>
  <c r="T936" i="2"/>
  <c r="W936" i="2"/>
  <c r="X936" i="2" s="1"/>
  <c r="AA936" i="2"/>
  <c r="D938" i="2"/>
  <c r="G938" i="2"/>
  <c r="L938" i="2"/>
  <c r="M938" i="2" s="1"/>
  <c r="N938" i="2" s="1"/>
  <c r="Q938" i="2"/>
  <c r="R938" i="2"/>
  <c r="S938" i="2"/>
  <c r="T938" i="2"/>
  <c r="W938" i="2"/>
  <c r="AA938" i="2"/>
  <c r="D939" i="2"/>
  <c r="G939" i="2"/>
  <c r="L939" i="2"/>
  <c r="M939" i="2" s="1"/>
  <c r="N939" i="2" s="1"/>
  <c r="Q939" i="2"/>
  <c r="R939" i="2"/>
  <c r="S939" i="2"/>
  <c r="T939" i="2"/>
  <c r="W939" i="2"/>
  <c r="AA939" i="2"/>
  <c r="D940" i="2"/>
  <c r="G940" i="2"/>
  <c r="L940" i="2"/>
  <c r="M940" i="2" s="1"/>
  <c r="N940" i="2" s="1"/>
  <c r="Q940" i="2"/>
  <c r="R940" i="2"/>
  <c r="S940" i="2"/>
  <c r="T940" i="2"/>
  <c r="W940" i="2"/>
  <c r="X940" i="2" s="1"/>
  <c r="AA940" i="2"/>
  <c r="D941" i="2"/>
  <c r="G941" i="2"/>
  <c r="L941" i="2"/>
  <c r="M941" i="2" s="1"/>
  <c r="N941" i="2" s="1"/>
  <c r="Q941" i="2"/>
  <c r="R941" i="2"/>
  <c r="S941" i="2"/>
  <c r="T941" i="2"/>
  <c r="W941" i="2"/>
  <c r="AA941" i="2"/>
  <c r="D942" i="2"/>
  <c r="G942" i="2"/>
  <c r="K942" i="2"/>
  <c r="L942" i="2" s="1"/>
  <c r="M942" i="2" s="1"/>
  <c r="N942" i="2" s="1"/>
  <c r="Q942" i="2"/>
  <c r="R942" i="2"/>
  <c r="S942" i="2"/>
  <c r="T942" i="2"/>
  <c r="W942" i="2"/>
  <c r="AA942" i="2"/>
  <c r="D943" i="2"/>
  <c r="G943" i="2"/>
  <c r="L943" i="2"/>
  <c r="M943" i="2" s="1"/>
  <c r="N943" i="2" s="1"/>
  <c r="Q943" i="2"/>
  <c r="R943" i="2"/>
  <c r="S943" i="2"/>
  <c r="T943" i="2"/>
  <c r="W943" i="2"/>
  <c r="X943" i="2" s="1"/>
  <c r="AA943" i="2"/>
  <c r="D944" i="2"/>
  <c r="G944" i="2"/>
  <c r="K944" i="2"/>
  <c r="Q944" i="2"/>
  <c r="R944" i="2"/>
  <c r="S944" i="2"/>
  <c r="T944" i="2"/>
  <c r="W944" i="2"/>
  <c r="AA944" i="2"/>
  <c r="D945" i="2"/>
  <c r="G945" i="2"/>
  <c r="K945" i="2"/>
  <c r="L945" i="2" s="1"/>
  <c r="M945" i="2" s="1"/>
  <c r="N945" i="2" s="1"/>
  <c r="Q945" i="2"/>
  <c r="R945" i="2"/>
  <c r="S945" i="2"/>
  <c r="T945" i="2"/>
  <c r="W945" i="2"/>
  <c r="AA945" i="2"/>
  <c r="D946" i="2"/>
  <c r="G946" i="2"/>
  <c r="K946" i="2"/>
  <c r="L946" i="2" s="1"/>
  <c r="M946" i="2" s="1"/>
  <c r="N946" i="2" s="1"/>
  <c r="Q946" i="2"/>
  <c r="R946" i="2"/>
  <c r="S946" i="2"/>
  <c r="T946" i="2"/>
  <c r="W946" i="2"/>
  <c r="X946" i="2" s="1"/>
  <c r="AA946" i="2"/>
  <c r="D947" i="2"/>
  <c r="G947" i="2"/>
  <c r="K947" i="2"/>
  <c r="L947" i="2" s="1"/>
  <c r="M947" i="2" s="1"/>
  <c r="N947" i="2" s="1"/>
  <c r="O947" i="2"/>
  <c r="Q947" i="2"/>
  <c r="R947" i="2"/>
  <c r="S947" i="2"/>
  <c r="T947" i="2"/>
  <c r="W947" i="2"/>
  <c r="X947" i="2" s="1"/>
  <c r="AA947" i="2"/>
  <c r="D948" i="2"/>
  <c r="G948" i="2"/>
  <c r="K948" i="2"/>
  <c r="L948" i="2" s="1"/>
  <c r="M948" i="2" s="1"/>
  <c r="N948" i="2" s="1"/>
  <c r="Q948" i="2"/>
  <c r="R948" i="2"/>
  <c r="S948" i="2"/>
  <c r="T948" i="2"/>
  <c r="W948" i="2"/>
  <c r="AA948" i="2"/>
  <c r="D949" i="2"/>
  <c r="G949" i="2"/>
  <c r="K949" i="2"/>
  <c r="M7" i="21" s="1"/>
  <c r="O949" i="2"/>
  <c r="Q949" i="2"/>
  <c r="R949" i="2"/>
  <c r="S949" i="2"/>
  <c r="T949" i="2"/>
  <c r="W949" i="2"/>
  <c r="AA949" i="2"/>
  <c r="D950" i="2"/>
  <c r="G950" i="2"/>
  <c r="L950" i="2"/>
  <c r="M950" i="2" s="1"/>
  <c r="N950" i="2" s="1"/>
  <c r="Q950" i="2"/>
  <c r="R950" i="2"/>
  <c r="S950" i="2"/>
  <c r="T950" i="2"/>
  <c r="W950" i="2"/>
  <c r="AA950" i="2"/>
  <c r="D951" i="2"/>
  <c r="G951" i="2"/>
  <c r="L951" i="2"/>
  <c r="M951" i="2" s="1"/>
  <c r="N951" i="2" s="1"/>
  <c r="Q951" i="2"/>
  <c r="R951" i="2"/>
  <c r="S951" i="2"/>
  <c r="T951" i="2"/>
  <c r="W951" i="2"/>
  <c r="X951" i="2" s="1"/>
  <c r="AA951" i="2"/>
  <c r="D952" i="2"/>
  <c r="G952" i="2"/>
  <c r="L952" i="2"/>
  <c r="M952" i="2" s="1"/>
  <c r="N952" i="2" s="1"/>
  <c r="Q952" i="2"/>
  <c r="R952" i="2"/>
  <c r="S952" i="2"/>
  <c r="T952" i="2"/>
  <c r="W952" i="2"/>
  <c r="AA952" i="2"/>
  <c r="O15" i="21" l="1"/>
  <c r="P15" i="21" s="1"/>
  <c r="F15" i="21"/>
  <c r="M8" i="21"/>
  <c r="O28" i="21"/>
  <c r="P28" i="21" s="1"/>
  <c r="F28" i="21"/>
  <c r="L913" i="2"/>
  <c r="M913" i="2" s="1"/>
  <c r="N913" i="2" s="1"/>
  <c r="P913" i="2" s="1"/>
  <c r="M14" i="21"/>
  <c r="L949" i="2"/>
  <c r="M949" i="2" s="1"/>
  <c r="N949" i="2" s="1"/>
  <c r="M49" i="3"/>
  <c r="L882" i="2"/>
  <c r="M882" i="2" s="1"/>
  <c r="N882" i="2" s="1"/>
  <c r="P882" i="2" s="1"/>
  <c r="L908" i="2"/>
  <c r="M908" i="2" s="1"/>
  <c r="N908" i="2" s="1"/>
  <c r="P908" i="2" s="1"/>
  <c r="M47" i="3"/>
  <c r="L872" i="2"/>
  <c r="M872" i="2" s="1"/>
  <c r="N872" i="2" s="1"/>
  <c r="P872" i="2" s="1"/>
  <c r="M66" i="3"/>
  <c r="L917" i="2"/>
  <c r="M917" i="2" s="1"/>
  <c r="N917" i="2" s="1"/>
  <c r="P917" i="2" s="1"/>
  <c r="L866" i="2"/>
  <c r="M866" i="2" s="1"/>
  <c r="N866" i="2" s="1"/>
  <c r="M50" i="3"/>
  <c r="L944" i="2"/>
  <c r="M944" i="2" s="1"/>
  <c r="N944" i="2" s="1"/>
  <c r="P944" i="2" s="1"/>
  <c r="M63" i="3"/>
  <c r="Z986" i="2"/>
  <c r="Z952" i="2"/>
  <c r="Z950" i="2"/>
  <c r="Z938" i="2"/>
  <c r="Z898" i="2"/>
  <c r="Z865" i="2"/>
  <c r="Z873" i="2"/>
  <c r="P873" i="2"/>
  <c r="P869" i="2"/>
  <c r="P880" i="2"/>
  <c r="P865" i="2"/>
  <c r="P915" i="2"/>
  <c r="P920" i="2"/>
  <c r="P900" i="2"/>
  <c r="P907" i="2"/>
  <c r="P902" i="2"/>
  <c r="P949" i="2"/>
  <c r="P918" i="2"/>
  <c r="P875" i="2"/>
  <c r="P948" i="2"/>
  <c r="P922" i="2"/>
  <c r="P910" i="2"/>
  <c r="X908" i="2"/>
  <c r="P951" i="2"/>
  <c r="P950" i="2"/>
  <c r="P919" i="2"/>
  <c r="P914" i="2"/>
  <c r="P909" i="2"/>
  <c r="P881" i="2"/>
  <c r="P874" i="2"/>
  <c r="P870" i="2"/>
  <c r="P866" i="2"/>
  <c r="P933" i="2"/>
  <c r="P943" i="2"/>
  <c r="P942" i="2"/>
  <c r="P938" i="2"/>
  <c r="P930" i="2"/>
  <c r="X952" i="2"/>
  <c r="P926" i="2"/>
  <c r="P916" i="2"/>
  <c r="P906" i="2"/>
  <c r="P892" i="2"/>
  <c r="P868" i="2"/>
  <c r="P864" i="2"/>
  <c r="P939" i="2"/>
  <c r="P928" i="2"/>
  <c r="P927" i="2"/>
  <c r="P911" i="2"/>
  <c r="P935" i="2"/>
  <c r="P940" i="2"/>
  <c r="P936" i="2"/>
  <c r="P932" i="2"/>
  <c r="X930" i="2"/>
  <c r="P924" i="2"/>
  <c r="P912" i="2"/>
  <c r="P905" i="2"/>
  <c r="P898" i="2"/>
  <c r="P887" i="2"/>
  <c r="P884" i="2"/>
  <c r="P867" i="2"/>
  <c r="P931" i="2"/>
  <c r="P923" i="2"/>
  <c r="P941" i="2"/>
  <c r="P945" i="2"/>
  <c r="P925" i="2"/>
  <c r="P904" i="2"/>
  <c r="P901" i="2"/>
  <c r="P897" i="2"/>
  <c r="P952" i="2"/>
  <c r="P947" i="2"/>
  <c r="P946" i="2"/>
  <c r="P895" i="2"/>
  <c r="P894" i="2"/>
  <c r="P891" i="2"/>
  <c r="P890" i="2"/>
  <c r="P888" i="2"/>
  <c r="P885" i="2"/>
  <c r="P878" i="2"/>
  <c r="P877" i="2"/>
  <c r="P876" i="2"/>
  <c r="P871" i="2"/>
  <c r="P903" i="2"/>
  <c r="P899" i="2"/>
  <c r="P896" i="2"/>
  <c r="P893" i="2"/>
  <c r="P889" i="2"/>
  <c r="P879" i="2"/>
  <c r="X938" i="2"/>
  <c r="X949" i="2"/>
  <c r="X942" i="2"/>
  <c r="X950" i="2"/>
  <c r="X920" i="2"/>
  <c r="X941" i="2"/>
  <c r="X924" i="2"/>
  <c r="Z936" i="2"/>
  <c r="X948" i="2"/>
  <c r="X916" i="2"/>
  <c r="Z951" i="2"/>
  <c r="X944" i="2"/>
  <c r="X926" i="2"/>
  <c r="X922" i="2"/>
  <c r="X912" i="2"/>
  <c r="X900" i="2"/>
  <c r="X892" i="2"/>
  <c r="X884" i="2"/>
  <c r="X876" i="2"/>
  <c r="X872" i="2"/>
  <c r="X868" i="2"/>
  <c r="X877" i="2"/>
  <c r="Z863" i="2"/>
  <c r="P921" i="2"/>
  <c r="X919" i="2"/>
  <c r="X918" i="2"/>
  <c r="X903" i="2"/>
  <c r="X902" i="2"/>
  <c r="X887" i="2"/>
  <c r="X939" i="2"/>
  <c r="Z939" i="2"/>
  <c r="X935" i="2"/>
  <c r="Z935" i="2"/>
  <c r="X933" i="2"/>
  <c r="X931" i="2"/>
  <c r="X917" i="2"/>
  <c r="Z901" i="2"/>
  <c r="X901" i="2"/>
  <c r="Y901" i="2" s="1"/>
  <c r="X885" i="2"/>
  <c r="P883" i="2"/>
  <c r="X945" i="2"/>
  <c r="X927" i="2"/>
  <c r="X911" i="2"/>
  <c r="X910" i="2"/>
  <c r="X895" i="2"/>
  <c r="X894" i="2"/>
  <c r="X923" i="2"/>
  <c r="X909" i="2"/>
  <c r="X893" i="2"/>
  <c r="X925" i="2"/>
  <c r="X921" i="2"/>
  <c r="X914" i="2"/>
  <c r="X913" i="2"/>
  <c r="X906" i="2"/>
  <c r="X905" i="2"/>
  <c r="X898" i="2"/>
  <c r="Y898" i="2" s="1"/>
  <c r="X897" i="2"/>
  <c r="X890" i="2"/>
  <c r="X889" i="2"/>
  <c r="X882" i="2"/>
  <c r="X881" i="2"/>
  <c r="X865" i="2"/>
  <c r="X873" i="2"/>
  <c r="X869" i="2"/>
  <c r="O846" i="2"/>
  <c r="Y986" i="2" l="1"/>
  <c r="Y873" i="2"/>
  <c r="Y950" i="2"/>
  <c r="Y951" i="2"/>
  <c r="Y952" i="2"/>
  <c r="Y939" i="2"/>
  <c r="Y935" i="2"/>
  <c r="Y865" i="2"/>
  <c r="Y936" i="2"/>
  <c r="Y938" i="2"/>
  <c r="Y863" i="2"/>
  <c r="O844" i="2"/>
  <c r="O843" i="2"/>
  <c r="O842" i="2"/>
  <c r="K842" i="2"/>
  <c r="O841" i="2"/>
  <c r="K841" i="2"/>
  <c r="O840" i="2"/>
  <c r="K840" i="2"/>
  <c r="D839" i="2"/>
  <c r="O839" i="2"/>
  <c r="O838" i="2"/>
  <c r="O836" i="2"/>
  <c r="K836" i="2"/>
  <c r="O833" i="2"/>
  <c r="O832" i="2"/>
  <c r="K832" i="2"/>
  <c r="O831" i="2" l="1"/>
  <c r="K831" i="2"/>
  <c r="O830" i="2"/>
  <c r="K830" i="2"/>
  <c r="O828" i="2"/>
  <c r="K828" i="2"/>
  <c r="O826" i="2"/>
  <c r="O824" i="2" l="1"/>
  <c r="K824" i="2"/>
  <c r="O820" i="2"/>
  <c r="O819" i="2"/>
  <c r="O818" i="2"/>
  <c r="O816" i="2"/>
  <c r="O815" i="2"/>
  <c r="K815" i="2"/>
  <c r="D815" i="2"/>
  <c r="O814" i="2" l="1"/>
  <c r="O813" i="2"/>
  <c r="O812" i="2"/>
  <c r="O811" i="2"/>
  <c r="O809" i="2"/>
  <c r="R33" i="2" l="1"/>
  <c r="O805" i="2" l="1"/>
  <c r="O803" i="2" l="1"/>
  <c r="K803" i="2"/>
  <c r="O802" i="2"/>
  <c r="K802" i="2"/>
  <c r="O801" i="2"/>
  <c r="K801" i="2"/>
  <c r="O800" i="2"/>
  <c r="O799" i="2"/>
  <c r="O798" i="2"/>
  <c r="O797" i="2"/>
  <c r="O796" i="2"/>
  <c r="D849" i="2"/>
  <c r="G849" i="2"/>
  <c r="K849" i="2"/>
  <c r="L849" i="2" s="1"/>
  <c r="M849" i="2" s="1"/>
  <c r="N849" i="2" s="1"/>
  <c r="O849" i="2"/>
  <c r="Q849" i="2"/>
  <c r="R849" i="2"/>
  <c r="S849" i="2"/>
  <c r="T849" i="2"/>
  <c r="W849" i="2"/>
  <c r="X849" i="2" s="1"/>
  <c r="AA849" i="2"/>
  <c r="D850" i="2"/>
  <c r="G850" i="2"/>
  <c r="K850" i="2"/>
  <c r="L850" i="2" s="1"/>
  <c r="M850" i="2" s="1"/>
  <c r="N850" i="2" s="1"/>
  <c r="Q850" i="2"/>
  <c r="R850" i="2"/>
  <c r="S850" i="2"/>
  <c r="T850" i="2"/>
  <c r="W850" i="2"/>
  <c r="AA850" i="2"/>
  <c r="D851" i="2"/>
  <c r="G851" i="2"/>
  <c r="K851" i="2"/>
  <c r="L851" i="2" s="1"/>
  <c r="M851" i="2" s="1"/>
  <c r="N851" i="2" s="1"/>
  <c r="Q851" i="2"/>
  <c r="R851" i="2"/>
  <c r="S851" i="2"/>
  <c r="T851" i="2"/>
  <c r="W851" i="2"/>
  <c r="AA851" i="2"/>
  <c r="D852" i="2"/>
  <c r="G852" i="2"/>
  <c r="L852" i="2"/>
  <c r="M852" i="2" s="1"/>
  <c r="N852" i="2" s="1"/>
  <c r="Z1201" i="2" s="1"/>
  <c r="Q852" i="2"/>
  <c r="R852" i="2"/>
  <c r="S852" i="2"/>
  <c r="T852" i="2"/>
  <c r="W852" i="2"/>
  <c r="X852" i="2" s="1"/>
  <c r="AA852" i="2"/>
  <c r="D853" i="2"/>
  <c r="G853" i="2"/>
  <c r="M853" i="2"/>
  <c r="N853" i="2" s="1"/>
  <c r="Q853" i="2"/>
  <c r="R853" i="2"/>
  <c r="S853" i="2"/>
  <c r="T853" i="2"/>
  <c r="W853" i="2"/>
  <c r="AA853" i="2"/>
  <c r="D854" i="2"/>
  <c r="G854" i="2"/>
  <c r="L854" i="2"/>
  <c r="M854" i="2" s="1"/>
  <c r="N854" i="2" s="1"/>
  <c r="Q854" i="2"/>
  <c r="R854" i="2"/>
  <c r="S854" i="2"/>
  <c r="T854" i="2"/>
  <c r="W854" i="2"/>
  <c r="AA854" i="2"/>
  <c r="D855" i="2"/>
  <c r="G855" i="2"/>
  <c r="K855" i="2"/>
  <c r="L855" i="2" s="1"/>
  <c r="M855" i="2" s="1"/>
  <c r="N855" i="2" s="1"/>
  <c r="O855" i="2"/>
  <c r="Q855" i="2"/>
  <c r="R855" i="2"/>
  <c r="S855" i="2"/>
  <c r="T855" i="2"/>
  <c r="W855" i="2"/>
  <c r="AA855" i="2"/>
  <c r="D856" i="2"/>
  <c r="G856" i="2"/>
  <c r="K856" i="2"/>
  <c r="L856" i="2" s="1"/>
  <c r="M856" i="2" s="1"/>
  <c r="N856" i="2" s="1"/>
  <c r="O856" i="2"/>
  <c r="Q856" i="2"/>
  <c r="R856" i="2"/>
  <c r="S856" i="2"/>
  <c r="T856" i="2"/>
  <c r="W856" i="2"/>
  <c r="X856" i="2" s="1"/>
  <c r="AA856" i="2"/>
  <c r="D857" i="2"/>
  <c r="G857" i="2"/>
  <c r="L857" i="2"/>
  <c r="M857" i="2" s="1"/>
  <c r="N857" i="2" s="1"/>
  <c r="O857" i="2"/>
  <c r="Q857" i="2"/>
  <c r="R857" i="2"/>
  <c r="S857" i="2"/>
  <c r="T857" i="2"/>
  <c r="W857" i="2"/>
  <c r="X857" i="2" s="1"/>
  <c r="AA857" i="2"/>
  <c r="D858" i="2"/>
  <c r="G858" i="2"/>
  <c r="K858" i="2"/>
  <c r="L858" i="2" s="1"/>
  <c r="M858" i="2" s="1"/>
  <c r="N858" i="2" s="1"/>
  <c r="O858" i="2"/>
  <c r="Q858" i="2"/>
  <c r="R858" i="2"/>
  <c r="S858" i="2"/>
  <c r="T858" i="2"/>
  <c r="W858" i="2"/>
  <c r="AA858" i="2"/>
  <c r="D859" i="2"/>
  <c r="G859" i="2"/>
  <c r="K859" i="2"/>
  <c r="M6" i="21" s="1"/>
  <c r="O859" i="2"/>
  <c r="Q859" i="2"/>
  <c r="R859" i="2"/>
  <c r="S859" i="2"/>
  <c r="T859" i="2"/>
  <c r="W859" i="2"/>
  <c r="AA859" i="2"/>
  <c r="D860" i="2"/>
  <c r="G860" i="2"/>
  <c r="K860" i="2"/>
  <c r="Q860" i="2"/>
  <c r="R860" i="2"/>
  <c r="S860" i="2"/>
  <c r="T860" i="2"/>
  <c r="W860" i="2"/>
  <c r="X860" i="2" s="1"/>
  <c r="AA860" i="2"/>
  <c r="D861" i="2"/>
  <c r="G861" i="2"/>
  <c r="L861" i="2"/>
  <c r="M861" i="2" s="1"/>
  <c r="N861" i="2" s="1"/>
  <c r="Q861" i="2"/>
  <c r="R861" i="2"/>
  <c r="S861" i="2"/>
  <c r="T861" i="2"/>
  <c r="W861" i="2"/>
  <c r="X861" i="2" s="1"/>
  <c r="AA861" i="2"/>
  <c r="D862" i="2"/>
  <c r="G862" i="2"/>
  <c r="L862" i="2"/>
  <c r="M862" i="2" s="1"/>
  <c r="N862" i="2" s="1"/>
  <c r="Q862" i="2"/>
  <c r="R862" i="2"/>
  <c r="S862" i="2"/>
  <c r="T862" i="2"/>
  <c r="W862" i="2"/>
  <c r="AA862" i="2"/>
  <c r="D838" i="2"/>
  <c r="G838" i="2"/>
  <c r="L838" i="2"/>
  <c r="M838" i="2" s="1"/>
  <c r="N838" i="2" s="1"/>
  <c r="Q838" i="2"/>
  <c r="R838" i="2"/>
  <c r="S838" i="2"/>
  <c r="T838" i="2"/>
  <c r="W838" i="2"/>
  <c r="X838" i="2" s="1"/>
  <c r="AA838" i="2"/>
  <c r="G839" i="2"/>
  <c r="L839" i="2"/>
  <c r="M839" i="2" s="1"/>
  <c r="N839" i="2" s="1"/>
  <c r="Q839" i="2"/>
  <c r="R839" i="2"/>
  <c r="S839" i="2"/>
  <c r="T839" i="2"/>
  <c r="W839" i="2"/>
  <c r="AA839" i="2"/>
  <c r="D840" i="2"/>
  <c r="G840" i="2"/>
  <c r="L840" i="2"/>
  <c r="M840" i="2" s="1"/>
  <c r="N840" i="2" s="1"/>
  <c r="Q840" i="2"/>
  <c r="R840" i="2"/>
  <c r="S840" i="2"/>
  <c r="T840" i="2"/>
  <c r="W840" i="2"/>
  <c r="AA840" i="2"/>
  <c r="D841" i="2"/>
  <c r="G841" i="2"/>
  <c r="L841" i="2"/>
  <c r="M841" i="2" s="1"/>
  <c r="N841" i="2" s="1"/>
  <c r="Q841" i="2"/>
  <c r="R841" i="2"/>
  <c r="S841" i="2"/>
  <c r="T841" i="2"/>
  <c r="W841" i="2"/>
  <c r="AA841" i="2"/>
  <c r="D842" i="2"/>
  <c r="G842" i="2"/>
  <c r="L842" i="2"/>
  <c r="M842" i="2" s="1"/>
  <c r="N842" i="2" s="1"/>
  <c r="Q842" i="2"/>
  <c r="R842" i="2"/>
  <c r="S842" i="2"/>
  <c r="T842" i="2"/>
  <c r="W842" i="2"/>
  <c r="X842" i="2" s="1"/>
  <c r="AA842" i="2"/>
  <c r="D843" i="2"/>
  <c r="G843" i="2"/>
  <c r="K843" i="2"/>
  <c r="L843" i="2" s="1"/>
  <c r="M843" i="2" s="1"/>
  <c r="N843" i="2" s="1"/>
  <c r="Q843" i="2"/>
  <c r="R843" i="2"/>
  <c r="S843" i="2"/>
  <c r="T843" i="2"/>
  <c r="W843" i="2"/>
  <c r="X843" i="2" s="1"/>
  <c r="AA843" i="2"/>
  <c r="D844" i="2"/>
  <c r="G844" i="2"/>
  <c r="K844" i="2"/>
  <c r="L844" i="2" s="1"/>
  <c r="M844" i="2" s="1"/>
  <c r="N844" i="2" s="1"/>
  <c r="Q844" i="2"/>
  <c r="R844" i="2"/>
  <c r="S844" i="2"/>
  <c r="T844" i="2"/>
  <c r="W844" i="2"/>
  <c r="AA844" i="2"/>
  <c r="D845" i="2"/>
  <c r="G845" i="2"/>
  <c r="K845" i="2"/>
  <c r="L845" i="2" s="1"/>
  <c r="M845" i="2" s="1"/>
  <c r="N845" i="2" s="1"/>
  <c r="O845" i="2"/>
  <c r="Q845" i="2"/>
  <c r="R845" i="2"/>
  <c r="S845" i="2"/>
  <c r="T845" i="2"/>
  <c r="W845" i="2"/>
  <c r="X845" i="2" s="1"/>
  <c r="AA845" i="2"/>
  <c r="D846" i="2"/>
  <c r="G846" i="2"/>
  <c r="K846" i="2"/>
  <c r="Q846" i="2"/>
  <c r="R846" i="2"/>
  <c r="S846" i="2"/>
  <c r="T846" i="2"/>
  <c r="W846" i="2"/>
  <c r="X846" i="2" s="1"/>
  <c r="AA846" i="2"/>
  <c r="D847" i="2"/>
  <c r="G847" i="2"/>
  <c r="K847" i="2"/>
  <c r="L847" i="2" s="1"/>
  <c r="M847" i="2" s="1"/>
  <c r="N847" i="2" s="1"/>
  <c r="O847" i="2"/>
  <c r="Q847" i="2"/>
  <c r="R847" i="2"/>
  <c r="S847" i="2"/>
  <c r="T847" i="2"/>
  <c r="W847" i="2"/>
  <c r="AA847" i="2"/>
  <c r="D848" i="2"/>
  <c r="G848" i="2"/>
  <c r="K848" i="2"/>
  <c r="L848" i="2" s="1"/>
  <c r="M848" i="2" s="1"/>
  <c r="N848" i="2" s="1"/>
  <c r="O848" i="2"/>
  <c r="Q848" i="2"/>
  <c r="R848" i="2"/>
  <c r="S848" i="2"/>
  <c r="T848" i="2"/>
  <c r="W848" i="2"/>
  <c r="AA848" i="2"/>
  <c r="D823" i="2"/>
  <c r="G823" i="2"/>
  <c r="K823" i="2"/>
  <c r="L823" i="2" s="1"/>
  <c r="M823" i="2" s="1"/>
  <c r="N823" i="2" s="1"/>
  <c r="O823" i="2"/>
  <c r="Q823" i="2"/>
  <c r="R823" i="2"/>
  <c r="S823" i="2"/>
  <c r="T823" i="2"/>
  <c r="W823" i="2"/>
  <c r="X823" i="2" s="1"/>
  <c r="AA823" i="2"/>
  <c r="D824" i="2"/>
  <c r="G824" i="2"/>
  <c r="L824" i="2"/>
  <c r="M824" i="2" s="1"/>
  <c r="N824" i="2" s="1"/>
  <c r="Q824" i="2"/>
  <c r="R824" i="2"/>
  <c r="S824" i="2"/>
  <c r="T824" i="2"/>
  <c r="W824" i="2"/>
  <c r="AA824" i="2"/>
  <c r="D825" i="2"/>
  <c r="G825" i="2"/>
  <c r="K825" i="2"/>
  <c r="L825" i="2" s="1"/>
  <c r="M825" i="2" s="1"/>
  <c r="N825" i="2" s="1"/>
  <c r="O825" i="2"/>
  <c r="Q825" i="2"/>
  <c r="R825" i="2"/>
  <c r="S825" i="2"/>
  <c r="T825" i="2"/>
  <c r="W825" i="2"/>
  <c r="AA825" i="2"/>
  <c r="D826" i="2"/>
  <c r="G826" i="2"/>
  <c r="L826" i="2"/>
  <c r="M826" i="2" s="1"/>
  <c r="N826" i="2" s="1"/>
  <c r="Q826" i="2"/>
  <c r="R826" i="2"/>
  <c r="S826" i="2"/>
  <c r="T826" i="2"/>
  <c r="W826" i="2"/>
  <c r="X826" i="2" s="1"/>
  <c r="AA826" i="2"/>
  <c r="D827" i="2"/>
  <c r="G827" i="2"/>
  <c r="K827" i="2"/>
  <c r="L827" i="2" s="1"/>
  <c r="M827" i="2" s="1"/>
  <c r="N827" i="2" s="1"/>
  <c r="O827" i="2"/>
  <c r="Q827" i="2"/>
  <c r="R827" i="2"/>
  <c r="S827" i="2"/>
  <c r="T827" i="2"/>
  <c r="W827" i="2"/>
  <c r="X827" i="2" s="1"/>
  <c r="AA827" i="2"/>
  <c r="D828" i="2"/>
  <c r="G828" i="2"/>
  <c r="L828" i="2"/>
  <c r="M828" i="2" s="1"/>
  <c r="N828" i="2" s="1"/>
  <c r="Q828" i="2"/>
  <c r="R828" i="2"/>
  <c r="S828" i="2"/>
  <c r="T828" i="2"/>
  <c r="W828" i="2"/>
  <c r="X828" i="2" s="1"/>
  <c r="AA828" i="2"/>
  <c r="D829" i="2"/>
  <c r="G829" i="2"/>
  <c r="L829" i="2"/>
  <c r="M829" i="2" s="1"/>
  <c r="N829" i="2" s="1"/>
  <c r="Q829" i="2"/>
  <c r="R829" i="2"/>
  <c r="S829" i="2"/>
  <c r="T829" i="2"/>
  <c r="W829" i="2"/>
  <c r="AA829" i="2"/>
  <c r="D830" i="2"/>
  <c r="G830" i="2"/>
  <c r="L830" i="2"/>
  <c r="M830" i="2" s="1"/>
  <c r="N830" i="2" s="1"/>
  <c r="Q830" i="2"/>
  <c r="R830" i="2"/>
  <c r="S830" i="2"/>
  <c r="T830" i="2"/>
  <c r="W830" i="2"/>
  <c r="X830" i="2" s="1"/>
  <c r="AA830" i="2"/>
  <c r="D831" i="2"/>
  <c r="G831" i="2"/>
  <c r="L831" i="2"/>
  <c r="M831" i="2" s="1"/>
  <c r="N831" i="2" s="1"/>
  <c r="Q831" i="2"/>
  <c r="R831" i="2"/>
  <c r="S831" i="2"/>
  <c r="T831" i="2"/>
  <c r="W831" i="2"/>
  <c r="X831" i="2" s="1"/>
  <c r="AA831" i="2"/>
  <c r="D832" i="2"/>
  <c r="G832" i="2"/>
  <c r="L832" i="2"/>
  <c r="M832" i="2" s="1"/>
  <c r="N832" i="2" s="1"/>
  <c r="Q832" i="2"/>
  <c r="R832" i="2"/>
  <c r="S832" i="2"/>
  <c r="T832" i="2"/>
  <c r="W832" i="2"/>
  <c r="AA832" i="2"/>
  <c r="D833" i="2"/>
  <c r="G833" i="2"/>
  <c r="L833" i="2"/>
  <c r="M833" i="2" s="1"/>
  <c r="N833" i="2" s="1"/>
  <c r="Q833" i="2"/>
  <c r="R833" i="2"/>
  <c r="S833" i="2"/>
  <c r="T833" i="2"/>
  <c r="W833" i="2"/>
  <c r="AA833" i="2"/>
  <c r="D834" i="2"/>
  <c r="G834" i="2"/>
  <c r="L834" i="2"/>
  <c r="M834" i="2" s="1"/>
  <c r="N834" i="2" s="1"/>
  <c r="O834" i="2"/>
  <c r="Q834" i="2"/>
  <c r="R834" i="2"/>
  <c r="S834" i="2"/>
  <c r="T834" i="2"/>
  <c r="W834" i="2"/>
  <c r="X834" i="2" s="1"/>
  <c r="AA834" i="2"/>
  <c r="D835" i="2"/>
  <c r="G835" i="2"/>
  <c r="K835" i="2"/>
  <c r="L835" i="2" s="1"/>
  <c r="M835" i="2" s="1"/>
  <c r="N835" i="2" s="1"/>
  <c r="O835" i="2"/>
  <c r="Q835" i="2"/>
  <c r="R835" i="2"/>
  <c r="S835" i="2"/>
  <c r="T835" i="2"/>
  <c r="W835" i="2"/>
  <c r="X835" i="2" s="1"/>
  <c r="AA835" i="2"/>
  <c r="D836" i="2"/>
  <c r="G836" i="2"/>
  <c r="L836" i="2"/>
  <c r="M836" i="2" s="1"/>
  <c r="N836" i="2" s="1"/>
  <c r="Q836" i="2"/>
  <c r="R836" i="2"/>
  <c r="S836" i="2"/>
  <c r="T836" i="2"/>
  <c r="W836" i="2"/>
  <c r="X836" i="2" s="1"/>
  <c r="AA836" i="2"/>
  <c r="D837" i="2"/>
  <c r="G837" i="2"/>
  <c r="K837" i="2"/>
  <c r="O837" i="2"/>
  <c r="Q837" i="2"/>
  <c r="R837" i="2"/>
  <c r="S837" i="2"/>
  <c r="T837" i="2"/>
  <c r="W837" i="2"/>
  <c r="AA837" i="2"/>
  <c r="D807" i="2"/>
  <c r="G807" i="2"/>
  <c r="L807" i="2"/>
  <c r="M807" i="2" s="1"/>
  <c r="N807" i="2" s="1"/>
  <c r="Q807" i="2"/>
  <c r="R807" i="2"/>
  <c r="S807" i="2"/>
  <c r="T807" i="2"/>
  <c r="W807" i="2"/>
  <c r="X807" i="2" s="1"/>
  <c r="Y807" i="2" s="1"/>
  <c r="AA807" i="2"/>
  <c r="D808" i="2"/>
  <c r="G808" i="2"/>
  <c r="K808" i="2"/>
  <c r="L808" i="2" s="1"/>
  <c r="M808" i="2" s="1"/>
  <c r="N808" i="2" s="1"/>
  <c r="Q808" i="2"/>
  <c r="R808" i="2"/>
  <c r="S808" i="2"/>
  <c r="T808" i="2"/>
  <c r="W808" i="2"/>
  <c r="AA808" i="2"/>
  <c r="D809" i="2"/>
  <c r="G809" i="2"/>
  <c r="L809" i="2"/>
  <c r="M809" i="2" s="1"/>
  <c r="N809" i="2" s="1"/>
  <c r="Q809" i="2"/>
  <c r="R809" i="2"/>
  <c r="S809" i="2"/>
  <c r="T809" i="2"/>
  <c r="W809" i="2"/>
  <c r="AA809" i="2"/>
  <c r="D810" i="2"/>
  <c r="G810" i="2"/>
  <c r="L810" i="2"/>
  <c r="M810" i="2" s="1"/>
  <c r="N810" i="2" s="1"/>
  <c r="Z1081" i="2" s="1"/>
  <c r="Q810" i="2"/>
  <c r="R810" i="2"/>
  <c r="S810" i="2"/>
  <c r="T810" i="2"/>
  <c r="W810" i="2"/>
  <c r="X810" i="2" s="1"/>
  <c r="AA810" i="2"/>
  <c r="D811" i="2"/>
  <c r="G811" i="2"/>
  <c r="K811" i="2"/>
  <c r="L811" i="2" s="1"/>
  <c r="M811" i="2" s="1"/>
  <c r="N811" i="2" s="1"/>
  <c r="Q811" i="2"/>
  <c r="R811" i="2"/>
  <c r="S811" i="2"/>
  <c r="T811" i="2"/>
  <c r="W811" i="2"/>
  <c r="X811" i="2" s="1"/>
  <c r="AA811" i="2"/>
  <c r="D812" i="2"/>
  <c r="G812" i="2"/>
  <c r="L812" i="2"/>
  <c r="M812" i="2" s="1"/>
  <c r="N812" i="2" s="1"/>
  <c r="Q812" i="2"/>
  <c r="R812" i="2"/>
  <c r="S812" i="2"/>
  <c r="T812" i="2"/>
  <c r="W812" i="2"/>
  <c r="AA812" i="2"/>
  <c r="D813" i="2"/>
  <c r="G813" i="2"/>
  <c r="K813" i="2"/>
  <c r="L813" i="2" s="1"/>
  <c r="M813" i="2" s="1"/>
  <c r="N813" i="2" s="1"/>
  <c r="Q813" i="2"/>
  <c r="R813" i="2"/>
  <c r="S813" i="2"/>
  <c r="T813" i="2"/>
  <c r="W813" i="2"/>
  <c r="AA813" i="2"/>
  <c r="D814" i="2"/>
  <c r="G814" i="2"/>
  <c r="K814" i="2"/>
  <c r="L814" i="2" s="1"/>
  <c r="M814" i="2" s="1"/>
  <c r="N814" i="2" s="1"/>
  <c r="Q814" i="2"/>
  <c r="R814" i="2"/>
  <c r="S814" i="2"/>
  <c r="T814" i="2"/>
  <c r="W814" i="2"/>
  <c r="X814" i="2" s="1"/>
  <c r="AA814" i="2"/>
  <c r="G815" i="2"/>
  <c r="L815" i="2"/>
  <c r="Q815" i="2"/>
  <c r="R815" i="2"/>
  <c r="S815" i="2"/>
  <c r="T815" i="2"/>
  <c r="W815" i="2"/>
  <c r="AA815" i="2"/>
  <c r="D816" i="2"/>
  <c r="G816" i="2"/>
  <c r="L816" i="2"/>
  <c r="M816" i="2" s="1"/>
  <c r="N816" i="2" s="1"/>
  <c r="Q816" i="2"/>
  <c r="R816" i="2"/>
  <c r="S816" i="2"/>
  <c r="T816" i="2"/>
  <c r="W816" i="2"/>
  <c r="AA816" i="2"/>
  <c r="D817" i="2"/>
  <c r="G817" i="2"/>
  <c r="L817" i="2"/>
  <c r="M817" i="2" s="1"/>
  <c r="N817" i="2" s="1"/>
  <c r="O817" i="2"/>
  <c r="Q817" i="2"/>
  <c r="R817" i="2"/>
  <c r="S817" i="2"/>
  <c r="T817" i="2"/>
  <c r="W817" i="2"/>
  <c r="AA817" i="2"/>
  <c r="D818" i="2"/>
  <c r="G818" i="2"/>
  <c r="K818" i="2"/>
  <c r="L818" i="2" s="1"/>
  <c r="M818" i="2" s="1"/>
  <c r="N818" i="2" s="1"/>
  <c r="Q818" i="2"/>
  <c r="R818" i="2"/>
  <c r="S818" i="2"/>
  <c r="T818" i="2"/>
  <c r="W818" i="2"/>
  <c r="X818" i="2" s="1"/>
  <c r="AA818" i="2"/>
  <c r="D819" i="2"/>
  <c r="G819" i="2"/>
  <c r="K819" i="2"/>
  <c r="Q819" i="2"/>
  <c r="R819" i="2"/>
  <c r="S819" i="2"/>
  <c r="T819" i="2"/>
  <c r="W819" i="2"/>
  <c r="X819" i="2" s="1"/>
  <c r="AA819" i="2"/>
  <c r="D820" i="2"/>
  <c r="G820" i="2"/>
  <c r="L820" i="2"/>
  <c r="M820" i="2" s="1"/>
  <c r="N820" i="2" s="1"/>
  <c r="Q820" i="2"/>
  <c r="R820" i="2"/>
  <c r="S820" i="2"/>
  <c r="T820" i="2"/>
  <c r="W820" i="2"/>
  <c r="AA820" i="2"/>
  <c r="D821" i="2"/>
  <c r="G821" i="2"/>
  <c r="K821" i="2"/>
  <c r="L821" i="2" s="1"/>
  <c r="M821" i="2" s="1"/>
  <c r="N821" i="2" s="1"/>
  <c r="O821" i="2"/>
  <c r="Q821" i="2"/>
  <c r="R821" i="2"/>
  <c r="S821" i="2"/>
  <c r="T821" i="2"/>
  <c r="W821" i="2"/>
  <c r="AA821" i="2"/>
  <c r="D822" i="2"/>
  <c r="G822" i="2"/>
  <c r="K822" i="2"/>
  <c r="L822" i="2" s="1"/>
  <c r="M822" i="2" s="1"/>
  <c r="N822" i="2" s="1"/>
  <c r="O822" i="2"/>
  <c r="Q822" i="2"/>
  <c r="R822" i="2"/>
  <c r="S822" i="2"/>
  <c r="T822" i="2"/>
  <c r="W822" i="2"/>
  <c r="X822" i="2" s="1"/>
  <c r="AA822" i="2"/>
  <c r="Z1200" i="2" l="1"/>
  <c r="L819" i="2"/>
  <c r="M819" i="2" s="1"/>
  <c r="N819" i="2" s="1"/>
  <c r="M58" i="3"/>
  <c r="L860" i="2"/>
  <c r="M860" i="2" s="1"/>
  <c r="N860" i="2" s="1"/>
  <c r="P860" i="2" s="1"/>
  <c r="L859" i="2"/>
  <c r="M859" i="2" s="1"/>
  <c r="N859" i="2" s="1"/>
  <c r="P859" i="2" s="1"/>
  <c r="M48" i="3"/>
  <c r="L846" i="2"/>
  <c r="M846" i="2" s="1"/>
  <c r="N846" i="2" s="1"/>
  <c r="P846" i="2" s="1"/>
  <c r="M59" i="3"/>
  <c r="Z1172" i="2"/>
  <c r="Y810" i="2"/>
  <c r="Y1081" i="2"/>
  <c r="L837" i="2"/>
  <c r="M837" i="2" s="1"/>
  <c r="N837" i="2" s="1"/>
  <c r="P837" i="2" s="1"/>
  <c r="Z940" i="2"/>
  <c r="Z941" i="2"/>
  <c r="Z862" i="2"/>
  <c r="Z853" i="2"/>
  <c r="Z839" i="2"/>
  <c r="Z829" i="2"/>
  <c r="M815" i="2"/>
  <c r="N815" i="2" s="1"/>
  <c r="P815" i="2" s="1"/>
  <c r="P845" i="2"/>
  <c r="P841" i="2"/>
  <c r="P843" i="2"/>
  <c r="P839" i="2"/>
  <c r="P819" i="2"/>
  <c r="P858" i="2"/>
  <c r="P828" i="2"/>
  <c r="P855" i="2"/>
  <c r="P852" i="2"/>
  <c r="P822" i="2"/>
  <c r="P821" i="2"/>
  <c r="P836" i="2"/>
  <c r="P825" i="2"/>
  <c r="P814" i="2"/>
  <c r="X817" i="2"/>
  <c r="X816" i="2"/>
  <c r="X815" i="2"/>
  <c r="P808" i="2"/>
  <c r="Z807" i="2"/>
  <c r="P835" i="2"/>
  <c r="P834" i="2"/>
  <c r="P830" i="2"/>
  <c r="P824" i="2"/>
  <c r="X847" i="2"/>
  <c r="X809" i="2"/>
  <c r="P848" i="2"/>
  <c r="P853" i="2"/>
  <c r="P809" i="2"/>
  <c r="P831" i="2"/>
  <c r="P829" i="2"/>
  <c r="P827" i="2"/>
  <c r="P826" i="2"/>
  <c r="X824" i="2"/>
  <c r="P844" i="2"/>
  <c r="X839" i="2"/>
  <c r="Y839" i="2" s="1"/>
  <c r="X862" i="2"/>
  <c r="Y862" i="2" s="1"/>
  <c r="P807" i="2"/>
  <c r="P810" i="2"/>
  <c r="P812" i="2"/>
  <c r="P811" i="2"/>
  <c r="P832" i="2"/>
  <c r="P818" i="2"/>
  <c r="P817" i="2"/>
  <c r="P816" i="2"/>
  <c r="P813" i="2"/>
  <c r="P847" i="2"/>
  <c r="P840" i="2"/>
  <c r="P861" i="2"/>
  <c r="P857" i="2"/>
  <c r="P856" i="2"/>
  <c r="P851" i="2"/>
  <c r="P850" i="2"/>
  <c r="X850" i="2"/>
  <c r="X808" i="2"/>
  <c r="X832" i="2"/>
  <c r="P823" i="2"/>
  <c r="X841" i="2"/>
  <c r="P838" i="2"/>
  <c r="P862" i="2"/>
  <c r="Z861" i="2"/>
  <c r="X858" i="2"/>
  <c r="X853" i="2"/>
  <c r="Y1200" i="2" s="1"/>
  <c r="P820" i="2"/>
  <c r="X820" i="2"/>
  <c r="X812" i="2"/>
  <c r="P833" i="2"/>
  <c r="P842" i="2"/>
  <c r="P854" i="2"/>
  <c r="P849" i="2"/>
  <c r="X821" i="2"/>
  <c r="X813" i="2"/>
  <c r="X854" i="2"/>
  <c r="Z852" i="2"/>
  <c r="X859" i="2"/>
  <c r="X855" i="2"/>
  <c r="X851" i="2"/>
  <c r="X848" i="2"/>
  <c r="X844" i="2"/>
  <c r="X840" i="2"/>
  <c r="X837" i="2"/>
  <c r="X833" i="2"/>
  <c r="X829" i="2"/>
  <c r="Y829" i="2" s="1"/>
  <c r="X825" i="2"/>
  <c r="Z810" i="2"/>
  <c r="O793" i="2"/>
  <c r="O792" i="2"/>
  <c r="O791" i="2"/>
  <c r="O788" i="2"/>
  <c r="K788" i="2"/>
  <c r="Y1201" i="2" l="1"/>
  <c r="Y941" i="2"/>
  <c r="Y1172" i="2"/>
  <c r="Y940" i="2"/>
  <c r="Y853" i="2"/>
  <c r="Y861" i="2"/>
  <c r="Y852" i="2"/>
  <c r="O783" i="2"/>
  <c r="O780" i="2" l="1"/>
  <c r="K780" i="2"/>
  <c r="O775" i="2" l="1"/>
  <c r="O774" i="2"/>
  <c r="O773" i="2"/>
  <c r="O772" i="2"/>
  <c r="O771" i="2"/>
  <c r="O770" i="2"/>
  <c r="O769" i="2"/>
  <c r="O768" i="2"/>
  <c r="O764" i="2" l="1"/>
  <c r="O765" i="2"/>
  <c r="O763" i="2"/>
  <c r="O761" i="2" l="1"/>
  <c r="K761" i="2"/>
  <c r="O760" i="2"/>
  <c r="B88" i="3" l="1"/>
  <c r="D88" i="3"/>
  <c r="E88" i="3"/>
  <c r="G88" i="3"/>
  <c r="I88" i="3"/>
  <c r="J88" i="3" l="1"/>
  <c r="H88" i="3"/>
  <c r="L88" i="3" s="1"/>
  <c r="M88" i="3" s="1"/>
  <c r="L177" i="2" l="1"/>
  <c r="M177" i="2" s="1"/>
  <c r="N177" i="2" s="1"/>
  <c r="P177" i="2" s="1"/>
  <c r="O751" i="2" l="1"/>
  <c r="K751" i="2"/>
  <c r="O750" i="2"/>
  <c r="K750" i="2"/>
  <c r="O749" i="2"/>
  <c r="K749" i="2"/>
  <c r="O748" i="2"/>
  <c r="O743" i="2"/>
  <c r="O742" i="2"/>
  <c r="O741" i="2"/>
  <c r="K741" i="2"/>
  <c r="O740" i="2"/>
  <c r="K740" i="2"/>
  <c r="O739" i="2"/>
  <c r="K739" i="2"/>
  <c r="O738" i="2"/>
  <c r="K738" i="2"/>
  <c r="O737" i="2"/>
  <c r="K737" i="2"/>
  <c r="O736" i="2"/>
  <c r="K736" i="2"/>
  <c r="O747" i="2"/>
  <c r="O746" i="2"/>
  <c r="D744" i="2" l="1"/>
  <c r="G744" i="2"/>
  <c r="L744" i="2"/>
  <c r="N744" i="2" s="1"/>
  <c r="Q744" i="2"/>
  <c r="R744" i="2"/>
  <c r="S744" i="2"/>
  <c r="T744" i="2"/>
  <c r="W744" i="2"/>
  <c r="X744" i="2" s="1"/>
  <c r="Y744" i="2" s="1"/>
  <c r="AA744" i="2"/>
  <c r="D745" i="2"/>
  <c r="G745" i="2"/>
  <c r="L745" i="2"/>
  <c r="M745" i="2" s="1"/>
  <c r="N745" i="2" s="1"/>
  <c r="Z1199" i="2" s="1"/>
  <c r="Q745" i="2"/>
  <c r="R745" i="2"/>
  <c r="S745" i="2"/>
  <c r="T745" i="2"/>
  <c r="W745" i="2"/>
  <c r="X745" i="2"/>
  <c r="Y1199" i="2" s="1"/>
  <c r="AA745" i="2"/>
  <c r="D746" i="2"/>
  <c r="G746" i="2"/>
  <c r="L746" i="2"/>
  <c r="M746" i="2" s="1"/>
  <c r="N746" i="2" s="1"/>
  <c r="Q746" i="2"/>
  <c r="R746" i="2"/>
  <c r="S746" i="2"/>
  <c r="T746" i="2"/>
  <c r="W746" i="2"/>
  <c r="AA746" i="2"/>
  <c r="D747" i="2"/>
  <c r="G747" i="2"/>
  <c r="L747" i="2"/>
  <c r="M747" i="2" s="1"/>
  <c r="N747" i="2" s="1"/>
  <c r="P747" i="2" s="1"/>
  <c r="Q747" i="2"/>
  <c r="R747" i="2"/>
  <c r="S747" i="2"/>
  <c r="T747" i="2"/>
  <c r="W747" i="2"/>
  <c r="AA747" i="2"/>
  <c r="D748" i="2"/>
  <c r="G748" i="2"/>
  <c r="L748" i="2"/>
  <c r="M748" i="2" s="1"/>
  <c r="N748" i="2" s="1"/>
  <c r="P748" i="2" s="1"/>
  <c r="Q748" i="2"/>
  <c r="R748" i="2"/>
  <c r="S748" i="2"/>
  <c r="T748" i="2"/>
  <c r="W748" i="2"/>
  <c r="X748" i="2" s="1"/>
  <c r="AA748" i="2"/>
  <c r="D749" i="2"/>
  <c r="G749" i="2"/>
  <c r="L749" i="2"/>
  <c r="M749" i="2" s="1"/>
  <c r="N749" i="2" s="1"/>
  <c r="Q749" i="2"/>
  <c r="R749" i="2"/>
  <c r="S749" i="2"/>
  <c r="T749" i="2"/>
  <c r="W749" i="2"/>
  <c r="X749" i="2" s="1"/>
  <c r="AA749" i="2"/>
  <c r="D750" i="2"/>
  <c r="G750" i="2"/>
  <c r="L750" i="2"/>
  <c r="M750" i="2" s="1"/>
  <c r="N750" i="2" s="1"/>
  <c r="Q750" i="2"/>
  <c r="R750" i="2"/>
  <c r="S750" i="2"/>
  <c r="T750" i="2"/>
  <c r="W750" i="2"/>
  <c r="AA750" i="2"/>
  <c r="D751" i="2"/>
  <c r="G751" i="2"/>
  <c r="L751" i="2"/>
  <c r="M751" i="2" s="1"/>
  <c r="N751" i="2" s="1"/>
  <c r="Q751" i="2"/>
  <c r="R751" i="2"/>
  <c r="S751" i="2"/>
  <c r="T751" i="2"/>
  <c r="W751" i="2"/>
  <c r="AA751" i="2"/>
  <c r="D752" i="2"/>
  <c r="G752" i="2"/>
  <c r="K752" i="2"/>
  <c r="L752" i="2" s="1"/>
  <c r="M752" i="2" s="1"/>
  <c r="N752" i="2" s="1"/>
  <c r="O752" i="2"/>
  <c r="Q752" i="2"/>
  <c r="R752" i="2"/>
  <c r="S752" i="2"/>
  <c r="T752" i="2"/>
  <c r="W752" i="2"/>
  <c r="AA752" i="2"/>
  <c r="D753" i="2"/>
  <c r="G753" i="2"/>
  <c r="Q753" i="2"/>
  <c r="R753" i="2"/>
  <c r="S753" i="2"/>
  <c r="T753" i="2"/>
  <c r="W753" i="2"/>
  <c r="AA753" i="2"/>
  <c r="D754" i="2"/>
  <c r="G754" i="2"/>
  <c r="K754" i="2"/>
  <c r="L754" i="2" s="1"/>
  <c r="M754" i="2" s="1"/>
  <c r="N754" i="2" s="1"/>
  <c r="O754" i="2"/>
  <c r="Q754" i="2"/>
  <c r="R754" i="2"/>
  <c r="S754" i="2"/>
  <c r="T754" i="2"/>
  <c r="W754" i="2"/>
  <c r="AA754" i="2"/>
  <c r="D755" i="2"/>
  <c r="G755" i="2"/>
  <c r="K755" i="2"/>
  <c r="L755" i="2" s="1"/>
  <c r="M755" i="2" s="1"/>
  <c r="N755" i="2" s="1"/>
  <c r="O755" i="2"/>
  <c r="Q755" i="2"/>
  <c r="R755" i="2"/>
  <c r="S755" i="2"/>
  <c r="T755" i="2"/>
  <c r="W755" i="2"/>
  <c r="X755" i="2" s="1"/>
  <c r="AA755" i="2"/>
  <c r="D756" i="2"/>
  <c r="G756" i="2"/>
  <c r="K756" i="2"/>
  <c r="L756" i="2" s="1"/>
  <c r="M756" i="2" s="1"/>
  <c r="N756" i="2" s="1"/>
  <c r="O756" i="2"/>
  <c r="Q756" i="2"/>
  <c r="R756" i="2"/>
  <c r="S756" i="2"/>
  <c r="T756" i="2"/>
  <c r="W756" i="2"/>
  <c r="X756" i="2" s="1"/>
  <c r="AA756" i="2"/>
  <c r="D757" i="2"/>
  <c r="G757" i="2"/>
  <c r="K757" i="2"/>
  <c r="L757" i="2" s="1"/>
  <c r="M757" i="2" s="1"/>
  <c r="N757" i="2" s="1"/>
  <c r="O757" i="2"/>
  <c r="Q757" i="2"/>
  <c r="R757" i="2"/>
  <c r="S757" i="2"/>
  <c r="T757" i="2"/>
  <c r="W757" i="2"/>
  <c r="AA757" i="2"/>
  <c r="D758" i="2"/>
  <c r="G758" i="2"/>
  <c r="K758" i="2"/>
  <c r="L758" i="2" s="1"/>
  <c r="M758" i="2" s="1"/>
  <c r="N758" i="2" s="1"/>
  <c r="O758" i="2"/>
  <c r="Q758" i="2"/>
  <c r="R758" i="2"/>
  <c r="S758" i="2"/>
  <c r="T758" i="2"/>
  <c r="W758" i="2"/>
  <c r="AA758" i="2"/>
  <c r="D759" i="2"/>
  <c r="G759" i="2"/>
  <c r="K759" i="2"/>
  <c r="L759" i="2" s="1"/>
  <c r="M759" i="2" s="1"/>
  <c r="N759" i="2" s="1"/>
  <c r="O759" i="2"/>
  <c r="Q759" i="2"/>
  <c r="R759" i="2"/>
  <c r="S759" i="2"/>
  <c r="T759" i="2"/>
  <c r="W759" i="2"/>
  <c r="X759" i="2" s="1"/>
  <c r="AA759" i="2"/>
  <c r="D760" i="2"/>
  <c r="G760" i="2"/>
  <c r="L760" i="2"/>
  <c r="M760" i="2" s="1"/>
  <c r="N760" i="2" s="1"/>
  <c r="Q760" i="2"/>
  <c r="R760" i="2"/>
  <c r="S760" i="2"/>
  <c r="T760" i="2"/>
  <c r="W760" i="2"/>
  <c r="X760" i="2" s="1"/>
  <c r="AA760" i="2"/>
  <c r="D761" i="2"/>
  <c r="G761" i="2"/>
  <c r="L761" i="2"/>
  <c r="M761" i="2" s="1"/>
  <c r="N761" i="2" s="1"/>
  <c r="Q761" i="2"/>
  <c r="R761" i="2"/>
  <c r="S761" i="2"/>
  <c r="T761" i="2"/>
  <c r="W761" i="2"/>
  <c r="AA761" i="2"/>
  <c r="D762" i="2"/>
  <c r="G762" i="2"/>
  <c r="L762" i="2"/>
  <c r="M762" i="2" s="1"/>
  <c r="N762" i="2" s="1"/>
  <c r="Q762" i="2"/>
  <c r="R762" i="2"/>
  <c r="S762" i="2"/>
  <c r="T762" i="2"/>
  <c r="W762" i="2"/>
  <c r="AA762" i="2"/>
  <c r="D763" i="2"/>
  <c r="G763" i="2"/>
  <c r="L763" i="2"/>
  <c r="M763" i="2" s="1"/>
  <c r="N763" i="2" s="1"/>
  <c r="Q763" i="2"/>
  <c r="R763" i="2"/>
  <c r="S763" i="2"/>
  <c r="T763" i="2"/>
  <c r="W763" i="2"/>
  <c r="X763" i="2" s="1"/>
  <c r="AA763" i="2"/>
  <c r="D764" i="2"/>
  <c r="G764" i="2"/>
  <c r="L764" i="2"/>
  <c r="M764" i="2" s="1"/>
  <c r="N764" i="2" s="1"/>
  <c r="Q764" i="2"/>
  <c r="R764" i="2"/>
  <c r="S764" i="2"/>
  <c r="T764" i="2"/>
  <c r="W764" i="2"/>
  <c r="X764" i="2" s="1"/>
  <c r="AA764" i="2"/>
  <c r="D765" i="2"/>
  <c r="G765" i="2"/>
  <c r="L765" i="2"/>
  <c r="M765" i="2" s="1"/>
  <c r="N765" i="2" s="1"/>
  <c r="Q765" i="2"/>
  <c r="R765" i="2"/>
  <c r="S765" i="2"/>
  <c r="T765" i="2"/>
  <c r="W765" i="2"/>
  <c r="AA765" i="2"/>
  <c r="D766" i="2"/>
  <c r="G766" i="2"/>
  <c r="K766" i="2"/>
  <c r="L766" i="2" s="1"/>
  <c r="M766" i="2" s="1"/>
  <c r="N766" i="2" s="1"/>
  <c r="O766" i="2"/>
  <c r="Q766" i="2"/>
  <c r="R766" i="2"/>
  <c r="S766" i="2"/>
  <c r="T766" i="2"/>
  <c r="W766" i="2"/>
  <c r="AA766" i="2"/>
  <c r="D767" i="2"/>
  <c r="G767" i="2"/>
  <c r="K767" i="2"/>
  <c r="L767" i="2" s="1"/>
  <c r="M767" i="2" s="1"/>
  <c r="N767" i="2" s="1"/>
  <c r="O767" i="2"/>
  <c r="Q767" i="2"/>
  <c r="R767" i="2"/>
  <c r="S767" i="2"/>
  <c r="T767" i="2"/>
  <c r="W767" i="2"/>
  <c r="X767" i="2" s="1"/>
  <c r="AA767" i="2"/>
  <c r="D768" i="2"/>
  <c r="G768" i="2"/>
  <c r="K768" i="2"/>
  <c r="L768" i="2" s="1"/>
  <c r="M768" i="2" s="1"/>
  <c r="N768" i="2" s="1"/>
  <c r="Q768" i="2"/>
  <c r="R768" i="2"/>
  <c r="S768" i="2"/>
  <c r="T768" i="2"/>
  <c r="W768" i="2"/>
  <c r="X768" i="2" s="1"/>
  <c r="AA768" i="2"/>
  <c r="D769" i="2"/>
  <c r="G769" i="2"/>
  <c r="K769" i="2"/>
  <c r="L769" i="2" s="1"/>
  <c r="M769" i="2" s="1"/>
  <c r="N769" i="2" s="1"/>
  <c r="Q769" i="2"/>
  <c r="R769" i="2"/>
  <c r="S769" i="2"/>
  <c r="T769" i="2"/>
  <c r="W769" i="2"/>
  <c r="AA769" i="2"/>
  <c r="D770" i="2"/>
  <c r="G770" i="2"/>
  <c r="K770" i="2"/>
  <c r="L770" i="2" s="1"/>
  <c r="M770" i="2" s="1"/>
  <c r="N770" i="2" s="1"/>
  <c r="Q770" i="2"/>
  <c r="R770" i="2"/>
  <c r="S770" i="2"/>
  <c r="T770" i="2"/>
  <c r="W770" i="2"/>
  <c r="AA770" i="2"/>
  <c r="D771" i="2"/>
  <c r="G771" i="2"/>
  <c r="K771" i="2"/>
  <c r="L771" i="2" s="1"/>
  <c r="M771" i="2" s="1"/>
  <c r="N771" i="2" s="1"/>
  <c r="Q771" i="2"/>
  <c r="R771" i="2"/>
  <c r="S771" i="2"/>
  <c r="T771" i="2"/>
  <c r="W771" i="2"/>
  <c r="X771" i="2" s="1"/>
  <c r="AA771" i="2"/>
  <c r="D772" i="2"/>
  <c r="G772" i="2"/>
  <c r="K772" i="2"/>
  <c r="L772" i="2" s="1"/>
  <c r="M772" i="2" s="1"/>
  <c r="N772" i="2" s="1"/>
  <c r="Q772" i="2"/>
  <c r="R772" i="2"/>
  <c r="S772" i="2"/>
  <c r="T772" i="2"/>
  <c r="W772" i="2"/>
  <c r="AA772" i="2"/>
  <c r="D773" i="2"/>
  <c r="G773" i="2"/>
  <c r="K773" i="2"/>
  <c r="L773" i="2" s="1"/>
  <c r="M773" i="2" s="1"/>
  <c r="N773" i="2" s="1"/>
  <c r="Q773" i="2"/>
  <c r="R773" i="2"/>
  <c r="S773" i="2"/>
  <c r="T773" i="2"/>
  <c r="W773" i="2"/>
  <c r="AA773" i="2"/>
  <c r="D774" i="2"/>
  <c r="G774" i="2"/>
  <c r="K774" i="2"/>
  <c r="L774" i="2" s="1"/>
  <c r="M774" i="2" s="1"/>
  <c r="N774" i="2" s="1"/>
  <c r="Q774" i="2"/>
  <c r="R774" i="2"/>
  <c r="S774" i="2"/>
  <c r="T774" i="2"/>
  <c r="W774" i="2"/>
  <c r="AA774" i="2"/>
  <c r="D775" i="2"/>
  <c r="G775" i="2"/>
  <c r="K775" i="2"/>
  <c r="L775" i="2" s="1"/>
  <c r="M775" i="2" s="1"/>
  <c r="N775" i="2" s="1"/>
  <c r="Q775" i="2"/>
  <c r="R775" i="2"/>
  <c r="S775" i="2"/>
  <c r="T775" i="2"/>
  <c r="W775" i="2"/>
  <c r="X775" i="2" s="1"/>
  <c r="AA775" i="2"/>
  <c r="D776" i="2"/>
  <c r="G776" i="2"/>
  <c r="L776" i="2"/>
  <c r="M776" i="2" s="1"/>
  <c r="N776" i="2" s="1"/>
  <c r="Q776" i="2"/>
  <c r="R776" i="2"/>
  <c r="S776" i="2"/>
  <c r="T776" i="2"/>
  <c r="W776" i="2"/>
  <c r="X776" i="2" s="1"/>
  <c r="AA776" i="2"/>
  <c r="D777" i="2"/>
  <c r="G777" i="2"/>
  <c r="K777" i="2"/>
  <c r="L777" i="2" s="1"/>
  <c r="M777" i="2" s="1"/>
  <c r="N777" i="2" s="1"/>
  <c r="O777" i="2"/>
  <c r="Q777" i="2"/>
  <c r="R777" i="2"/>
  <c r="S777" i="2"/>
  <c r="T777" i="2"/>
  <c r="W777" i="2"/>
  <c r="AA777" i="2"/>
  <c r="D778" i="2"/>
  <c r="G778" i="2"/>
  <c r="K778" i="2"/>
  <c r="L778" i="2" s="1"/>
  <c r="M778" i="2" s="1"/>
  <c r="N778" i="2" s="1"/>
  <c r="O778" i="2"/>
  <c r="Q778" i="2"/>
  <c r="R778" i="2"/>
  <c r="S778" i="2"/>
  <c r="T778" i="2"/>
  <c r="W778" i="2"/>
  <c r="AA778" i="2"/>
  <c r="D779" i="2"/>
  <c r="G779" i="2"/>
  <c r="K779" i="2"/>
  <c r="L779" i="2" s="1"/>
  <c r="M779" i="2" s="1"/>
  <c r="N779" i="2" s="1"/>
  <c r="O779" i="2"/>
  <c r="Q779" i="2"/>
  <c r="R779" i="2"/>
  <c r="S779" i="2"/>
  <c r="T779" i="2"/>
  <c r="W779" i="2"/>
  <c r="X779" i="2" s="1"/>
  <c r="AA779" i="2"/>
  <c r="D780" i="2"/>
  <c r="G780" i="2"/>
  <c r="L780" i="2"/>
  <c r="M780" i="2" s="1"/>
  <c r="N780" i="2" s="1"/>
  <c r="Q780" i="2"/>
  <c r="R780" i="2"/>
  <c r="S780" i="2"/>
  <c r="T780" i="2"/>
  <c r="W780" i="2"/>
  <c r="AA780" i="2"/>
  <c r="D781" i="2"/>
  <c r="G781" i="2"/>
  <c r="K781" i="2"/>
  <c r="L781" i="2" s="1"/>
  <c r="M781" i="2" s="1"/>
  <c r="N781" i="2" s="1"/>
  <c r="O781" i="2"/>
  <c r="Q781" i="2"/>
  <c r="R781" i="2"/>
  <c r="S781" i="2"/>
  <c r="T781" i="2"/>
  <c r="W781" i="2"/>
  <c r="AA781" i="2"/>
  <c r="D782" i="2"/>
  <c r="G782" i="2"/>
  <c r="L782" i="2"/>
  <c r="M782" i="2" s="1"/>
  <c r="N782" i="2" s="1"/>
  <c r="Q782" i="2"/>
  <c r="R782" i="2"/>
  <c r="S782" i="2"/>
  <c r="T782" i="2"/>
  <c r="W782" i="2"/>
  <c r="AA782" i="2"/>
  <c r="D783" i="2"/>
  <c r="G783" i="2"/>
  <c r="L783" i="2"/>
  <c r="M783" i="2" s="1"/>
  <c r="N783" i="2" s="1"/>
  <c r="Q783" i="2"/>
  <c r="R783" i="2"/>
  <c r="S783" i="2"/>
  <c r="T783" i="2"/>
  <c r="W783" i="2"/>
  <c r="X783" i="2" s="1"/>
  <c r="AA783" i="2"/>
  <c r="D784" i="2"/>
  <c r="G784" i="2"/>
  <c r="K784" i="2"/>
  <c r="L784" i="2" s="1"/>
  <c r="M784" i="2" s="1"/>
  <c r="N784" i="2" s="1"/>
  <c r="O784" i="2"/>
  <c r="Q784" i="2"/>
  <c r="R784" i="2"/>
  <c r="S784" i="2"/>
  <c r="T784" i="2"/>
  <c r="W784" i="2"/>
  <c r="X784" i="2" s="1"/>
  <c r="AA784" i="2"/>
  <c r="D785" i="2"/>
  <c r="G785" i="2"/>
  <c r="K785" i="2"/>
  <c r="L785" i="2" s="1"/>
  <c r="M785" i="2" s="1"/>
  <c r="N785" i="2" s="1"/>
  <c r="O785" i="2"/>
  <c r="Q785" i="2"/>
  <c r="R785" i="2"/>
  <c r="S785" i="2"/>
  <c r="T785" i="2"/>
  <c r="W785" i="2"/>
  <c r="AA785" i="2"/>
  <c r="D786" i="2"/>
  <c r="G786" i="2"/>
  <c r="K786" i="2"/>
  <c r="L786" i="2" s="1"/>
  <c r="M786" i="2" s="1"/>
  <c r="N786" i="2" s="1"/>
  <c r="O786" i="2"/>
  <c r="Q786" i="2"/>
  <c r="R786" i="2"/>
  <c r="S786" i="2"/>
  <c r="T786" i="2"/>
  <c r="W786" i="2"/>
  <c r="X786" i="2" s="1"/>
  <c r="AA786" i="2"/>
  <c r="D787" i="2"/>
  <c r="G787" i="2"/>
  <c r="K787" i="2"/>
  <c r="L787" i="2" s="1"/>
  <c r="M787" i="2" s="1"/>
  <c r="N787" i="2" s="1"/>
  <c r="O787" i="2"/>
  <c r="Q787" i="2"/>
  <c r="R787" i="2"/>
  <c r="S787" i="2"/>
  <c r="T787" i="2"/>
  <c r="W787" i="2"/>
  <c r="X787" i="2" s="1"/>
  <c r="AA787" i="2"/>
  <c r="D788" i="2"/>
  <c r="G788" i="2"/>
  <c r="L788" i="2"/>
  <c r="M788" i="2" s="1"/>
  <c r="N788" i="2" s="1"/>
  <c r="Q788" i="2"/>
  <c r="R788" i="2"/>
  <c r="S788" i="2"/>
  <c r="T788" i="2"/>
  <c r="W788" i="2"/>
  <c r="AA788" i="2"/>
  <c r="D789" i="2"/>
  <c r="G789" i="2"/>
  <c r="K789" i="2"/>
  <c r="L789" i="2" s="1"/>
  <c r="M789" i="2" s="1"/>
  <c r="N789" i="2" s="1"/>
  <c r="O789" i="2"/>
  <c r="Q789" i="2"/>
  <c r="R789" i="2"/>
  <c r="S789" i="2"/>
  <c r="T789" i="2"/>
  <c r="W789" i="2"/>
  <c r="AA789" i="2"/>
  <c r="D790" i="2"/>
  <c r="G790" i="2"/>
  <c r="K790" i="2"/>
  <c r="L790" i="2" s="1"/>
  <c r="M790" i="2" s="1"/>
  <c r="N790" i="2" s="1"/>
  <c r="O790" i="2"/>
  <c r="Q790" i="2"/>
  <c r="R790" i="2"/>
  <c r="S790" i="2"/>
  <c r="T790" i="2"/>
  <c r="W790" i="2"/>
  <c r="AA790" i="2"/>
  <c r="D791" i="2"/>
  <c r="G791" i="2"/>
  <c r="K791" i="2"/>
  <c r="Q791" i="2"/>
  <c r="R791" i="2"/>
  <c r="S791" i="2"/>
  <c r="T791" i="2"/>
  <c r="W791" i="2"/>
  <c r="X791" i="2" s="1"/>
  <c r="AA791" i="2"/>
  <c r="D792" i="2"/>
  <c r="G792" i="2"/>
  <c r="K792" i="2"/>
  <c r="Q792" i="2"/>
  <c r="R792" i="2"/>
  <c r="S792" i="2"/>
  <c r="T792" i="2"/>
  <c r="W792" i="2"/>
  <c r="AA792" i="2"/>
  <c r="D793" i="2"/>
  <c r="G793" i="2"/>
  <c r="K793" i="2"/>
  <c r="L793" i="2" s="1"/>
  <c r="M793" i="2" s="1"/>
  <c r="N793" i="2" s="1"/>
  <c r="Q793" i="2"/>
  <c r="R793" i="2"/>
  <c r="S793" i="2"/>
  <c r="T793" i="2"/>
  <c r="W793" i="2"/>
  <c r="AA793" i="2"/>
  <c r="D794" i="2"/>
  <c r="G794" i="2"/>
  <c r="K794" i="2"/>
  <c r="O794" i="2"/>
  <c r="Q794" i="2"/>
  <c r="R794" i="2"/>
  <c r="S794" i="2"/>
  <c r="T794" i="2"/>
  <c r="W794" i="2"/>
  <c r="X794" i="2" s="1"/>
  <c r="AA794" i="2"/>
  <c r="D795" i="2"/>
  <c r="G795" i="2"/>
  <c r="K795" i="2"/>
  <c r="L795" i="2" s="1"/>
  <c r="M795" i="2" s="1"/>
  <c r="N795" i="2" s="1"/>
  <c r="O795" i="2"/>
  <c r="Q795" i="2"/>
  <c r="R795" i="2"/>
  <c r="S795" i="2"/>
  <c r="T795" i="2"/>
  <c r="W795" i="2"/>
  <c r="X795" i="2" s="1"/>
  <c r="AA795" i="2"/>
  <c r="D796" i="2"/>
  <c r="G796" i="2"/>
  <c r="L796" i="2"/>
  <c r="M796" i="2" s="1"/>
  <c r="N796" i="2" s="1"/>
  <c r="Q796" i="2"/>
  <c r="R796" i="2"/>
  <c r="S796" i="2"/>
  <c r="T796" i="2"/>
  <c r="W796" i="2"/>
  <c r="AA796" i="2"/>
  <c r="D797" i="2"/>
  <c r="G797" i="2"/>
  <c r="L797" i="2"/>
  <c r="M797" i="2" s="1"/>
  <c r="N797" i="2" s="1"/>
  <c r="Q797" i="2"/>
  <c r="R797" i="2"/>
  <c r="S797" i="2"/>
  <c r="T797" i="2"/>
  <c r="W797" i="2"/>
  <c r="AA797" i="2"/>
  <c r="D798" i="2"/>
  <c r="G798" i="2"/>
  <c r="L798" i="2"/>
  <c r="M798" i="2" s="1"/>
  <c r="N798" i="2" s="1"/>
  <c r="Q798" i="2"/>
  <c r="R798" i="2"/>
  <c r="S798" i="2"/>
  <c r="T798" i="2"/>
  <c r="W798" i="2"/>
  <c r="AA798" i="2"/>
  <c r="D799" i="2"/>
  <c r="G799" i="2"/>
  <c r="L799" i="2"/>
  <c r="M799" i="2" s="1"/>
  <c r="N799" i="2" s="1"/>
  <c r="Q799" i="2"/>
  <c r="R799" i="2"/>
  <c r="S799" i="2"/>
  <c r="T799" i="2"/>
  <c r="W799" i="2"/>
  <c r="X799" i="2" s="1"/>
  <c r="AA799" i="2"/>
  <c r="D800" i="2"/>
  <c r="G800" i="2"/>
  <c r="L800" i="2"/>
  <c r="M800" i="2" s="1"/>
  <c r="N800" i="2" s="1"/>
  <c r="Q800" i="2"/>
  <c r="R800" i="2"/>
  <c r="S800" i="2"/>
  <c r="T800" i="2"/>
  <c r="W800" i="2"/>
  <c r="AA800" i="2"/>
  <c r="D801" i="2"/>
  <c r="G801" i="2"/>
  <c r="L801" i="2"/>
  <c r="M801" i="2" s="1"/>
  <c r="N801" i="2" s="1"/>
  <c r="Q801" i="2"/>
  <c r="R801" i="2"/>
  <c r="S801" i="2"/>
  <c r="T801" i="2"/>
  <c r="W801" i="2"/>
  <c r="X801" i="2" s="1"/>
  <c r="AA801" i="2"/>
  <c r="D802" i="2"/>
  <c r="G802" i="2"/>
  <c r="L802" i="2"/>
  <c r="M802" i="2" s="1"/>
  <c r="N802" i="2" s="1"/>
  <c r="Q802" i="2"/>
  <c r="R802" i="2"/>
  <c r="S802" i="2"/>
  <c r="T802" i="2"/>
  <c r="W802" i="2"/>
  <c r="X802" i="2" s="1"/>
  <c r="AA802" i="2"/>
  <c r="D803" i="2"/>
  <c r="G803" i="2"/>
  <c r="L803" i="2"/>
  <c r="M803" i="2" s="1"/>
  <c r="N803" i="2" s="1"/>
  <c r="Q803" i="2"/>
  <c r="R803" i="2"/>
  <c r="S803" i="2"/>
  <c r="T803" i="2"/>
  <c r="W803" i="2"/>
  <c r="X803" i="2" s="1"/>
  <c r="AA803" i="2"/>
  <c r="D804" i="2"/>
  <c r="G804" i="2"/>
  <c r="K804" i="2"/>
  <c r="L804" i="2" s="1"/>
  <c r="M804" i="2" s="1"/>
  <c r="N804" i="2" s="1"/>
  <c r="O804" i="2"/>
  <c r="Q804" i="2"/>
  <c r="R804" i="2"/>
  <c r="S804" i="2"/>
  <c r="T804" i="2"/>
  <c r="W804" i="2"/>
  <c r="AA804" i="2"/>
  <c r="D805" i="2"/>
  <c r="G805" i="2"/>
  <c r="L805" i="2"/>
  <c r="M805" i="2" s="1"/>
  <c r="N805" i="2" s="1"/>
  <c r="Q805" i="2"/>
  <c r="R805" i="2"/>
  <c r="S805" i="2"/>
  <c r="T805" i="2"/>
  <c r="W805" i="2"/>
  <c r="AA805" i="2"/>
  <c r="D806" i="2"/>
  <c r="G806" i="2"/>
  <c r="K806" i="2"/>
  <c r="L806" i="2" s="1"/>
  <c r="M806" i="2" s="1"/>
  <c r="N806" i="2" s="1"/>
  <c r="O806" i="2"/>
  <c r="Q806" i="2"/>
  <c r="R806" i="2"/>
  <c r="S806" i="2"/>
  <c r="T806" i="2"/>
  <c r="W806" i="2"/>
  <c r="X806" i="2" s="1"/>
  <c r="AA806" i="2"/>
  <c r="O732" i="2"/>
  <c r="O731" i="2"/>
  <c r="Z1190" i="2" l="1"/>
  <c r="Z1191" i="2"/>
  <c r="Z1192" i="2"/>
  <c r="O16" i="21"/>
  <c r="P16" i="21" s="1"/>
  <c r="F16" i="21"/>
  <c r="O14" i="21"/>
  <c r="P14" i="21" s="1"/>
  <c r="F14" i="21"/>
  <c r="Y1162" i="2"/>
  <c r="L792" i="2"/>
  <c r="M792" i="2" s="1"/>
  <c r="N792" i="2" s="1"/>
  <c r="P792" i="2" s="1"/>
  <c r="L791" i="2"/>
  <c r="M791" i="2" s="1"/>
  <c r="N791" i="2" s="1"/>
  <c r="P791" i="2" s="1"/>
  <c r="M60" i="3"/>
  <c r="L794" i="2"/>
  <c r="M794" i="2" s="1"/>
  <c r="N794" i="2" s="1"/>
  <c r="P794" i="2" s="1"/>
  <c r="Z1157" i="2"/>
  <c r="Z1162" i="2"/>
  <c r="Y776" i="2"/>
  <c r="Y1157" i="2"/>
  <c r="P745" i="2"/>
  <c r="Z1156" i="2"/>
  <c r="Y745" i="2"/>
  <c r="Y1156" i="2"/>
  <c r="Z782" i="2"/>
  <c r="Z762" i="2"/>
  <c r="Z765" i="2"/>
  <c r="L753" i="2"/>
  <c r="M753" i="2" s="1"/>
  <c r="N753" i="2" s="1"/>
  <c r="P775" i="2"/>
  <c r="P767" i="2"/>
  <c r="P759" i="2"/>
  <c r="P774" i="2"/>
  <c r="P797" i="2"/>
  <c r="P802" i="2"/>
  <c r="P779" i="2"/>
  <c r="P771" i="2"/>
  <c r="P766" i="2"/>
  <c r="P758" i="2"/>
  <c r="P789" i="2"/>
  <c r="P786" i="2"/>
  <c r="P781" i="2"/>
  <c r="P806" i="2"/>
  <c r="P801" i="2"/>
  <c r="P796" i="2"/>
  <c r="P770" i="2"/>
  <c r="P785" i="2"/>
  <c r="P780" i="2"/>
  <c r="P790" i="2"/>
  <c r="P805" i="2"/>
  <c r="P795" i="2"/>
  <c r="P754" i="2"/>
  <c r="P798" i="2"/>
  <c r="P782" i="2"/>
  <c r="P777" i="2"/>
  <c r="P772" i="2"/>
  <c r="P768" i="2"/>
  <c r="P755" i="2"/>
  <c r="P751" i="2"/>
  <c r="P750" i="2"/>
  <c r="P787" i="2"/>
  <c r="P804" i="2"/>
  <c r="P799" i="2"/>
  <c r="P793" i="2"/>
  <c r="P788" i="2"/>
  <c r="P783" i="2"/>
  <c r="P778" i="2"/>
  <c r="P773" i="2"/>
  <c r="P764" i="2"/>
  <c r="P763" i="2"/>
  <c r="P762" i="2"/>
  <c r="P761" i="2"/>
  <c r="P756" i="2"/>
  <c r="P752" i="2"/>
  <c r="P757" i="2"/>
  <c r="P803" i="2"/>
  <c r="P776" i="2"/>
  <c r="P800" i="2"/>
  <c r="P784" i="2"/>
  <c r="P769" i="2"/>
  <c r="P765" i="2"/>
  <c r="P760" i="2"/>
  <c r="Z745" i="2"/>
  <c r="P749" i="2"/>
  <c r="P746" i="2"/>
  <c r="X797" i="2"/>
  <c r="X772" i="2"/>
  <c r="X757" i="2"/>
  <c r="X800" i="2"/>
  <c r="X781" i="2"/>
  <c r="P744" i="2"/>
  <c r="Z744" i="2"/>
  <c r="X804" i="2"/>
  <c r="X792" i="2"/>
  <c r="X789" i="2"/>
  <c r="Z764" i="2"/>
  <c r="X752" i="2"/>
  <c r="X798" i="2"/>
  <c r="X796" i="2"/>
  <c r="X790" i="2"/>
  <c r="X788" i="2"/>
  <c r="X782" i="2"/>
  <c r="Y782" i="2" s="1"/>
  <c r="X780" i="2"/>
  <c r="X777" i="2"/>
  <c r="Z776" i="2"/>
  <c r="X774" i="2"/>
  <c r="X753" i="2"/>
  <c r="Y1132" i="2" s="1"/>
  <c r="X750" i="2"/>
  <c r="X746" i="2"/>
  <c r="X805" i="2"/>
  <c r="Z783" i="2"/>
  <c r="X773" i="2"/>
  <c r="X769" i="2"/>
  <c r="X765" i="2"/>
  <c r="Y783" i="2" s="1"/>
  <c r="X761" i="2"/>
  <c r="X751" i="2"/>
  <c r="X778" i="2"/>
  <c r="X770" i="2"/>
  <c r="Z763" i="2"/>
  <c r="X762" i="2"/>
  <c r="X754" i="2"/>
  <c r="X747" i="2"/>
  <c r="Y747" i="2" s="1"/>
  <c r="Z747" i="2"/>
  <c r="X793" i="2"/>
  <c r="X785" i="2"/>
  <c r="X766" i="2"/>
  <c r="X758" i="2"/>
  <c r="B69" i="3"/>
  <c r="D69" i="3"/>
  <c r="E69" i="3"/>
  <c r="G69" i="3"/>
  <c r="I69" i="3"/>
  <c r="L65" i="3"/>
  <c r="M65" i="3" s="1"/>
  <c r="B87" i="3"/>
  <c r="D87" i="3"/>
  <c r="E87" i="3"/>
  <c r="G87" i="3"/>
  <c r="I87" i="3"/>
  <c r="B81" i="3"/>
  <c r="D81" i="3"/>
  <c r="E81" i="3"/>
  <c r="G81" i="3"/>
  <c r="I81" i="3"/>
  <c r="B83" i="3"/>
  <c r="D83" i="3"/>
  <c r="E83" i="3"/>
  <c r="G83" i="3"/>
  <c r="I83" i="3"/>
  <c r="B74" i="3"/>
  <c r="D74" i="3"/>
  <c r="E74" i="3"/>
  <c r="G74" i="3"/>
  <c r="I74" i="3"/>
  <c r="B56" i="3"/>
  <c r="D56" i="3"/>
  <c r="E56" i="3"/>
  <c r="G56" i="3"/>
  <c r="I56" i="3"/>
  <c r="B78" i="3"/>
  <c r="D78" i="3"/>
  <c r="E78" i="3"/>
  <c r="G78" i="3"/>
  <c r="I78" i="3"/>
  <c r="Y1192" i="2" l="1"/>
  <c r="Y1191" i="2"/>
  <c r="Y762" i="2"/>
  <c r="Y1190" i="2"/>
  <c r="Z1132" i="2"/>
  <c r="F88" i="3"/>
  <c r="O88" i="3"/>
  <c r="P88" i="3" s="1"/>
  <c r="Z753" i="2"/>
  <c r="Z1067" i="2"/>
  <c r="Y753" i="2"/>
  <c r="Y1067" i="2"/>
  <c r="Y765" i="2"/>
  <c r="Y763" i="2"/>
  <c r="Y764" i="2"/>
  <c r="P753" i="2"/>
  <c r="H74" i="3"/>
  <c r="L74" i="3" s="1"/>
  <c r="M74" i="3" s="1"/>
  <c r="H69" i="3"/>
  <c r="L69" i="3" s="1"/>
  <c r="M69" i="3" s="1"/>
  <c r="J69" i="3"/>
  <c r="J56" i="3"/>
  <c r="J83" i="3"/>
  <c r="H83" i="3"/>
  <c r="L83" i="3" s="1"/>
  <c r="M83" i="3" s="1"/>
  <c r="J81" i="3"/>
  <c r="H81" i="3"/>
  <c r="L81" i="3" s="1"/>
  <c r="M81" i="3" s="1"/>
  <c r="H56" i="3"/>
  <c r="L56" i="3" s="1"/>
  <c r="M56" i="3" s="1"/>
  <c r="H78" i="3"/>
  <c r="L78" i="3" s="1"/>
  <c r="M78" i="3" s="1"/>
  <c r="J74" i="3"/>
  <c r="J78" i="3"/>
  <c r="J87" i="3"/>
  <c r="H87" i="3"/>
  <c r="L87" i="3" s="1"/>
  <c r="M87" i="3" s="1"/>
  <c r="I6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3" i="3"/>
  <c r="K3" i="3"/>
  <c r="B89" i="3"/>
  <c r="D89" i="3"/>
  <c r="E89" i="3"/>
  <c r="G89" i="3"/>
  <c r="I89" i="3"/>
  <c r="B86" i="3"/>
  <c r="D86" i="3"/>
  <c r="E86" i="3"/>
  <c r="G86" i="3"/>
  <c r="I86" i="3"/>
  <c r="B52" i="3"/>
  <c r="D52" i="3"/>
  <c r="E52" i="3"/>
  <c r="G52" i="3"/>
  <c r="I52" i="3"/>
  <c r="B53" i="3"/>
  <c r="D53" i="3"/>
  <c r="E53" i="3"/>
  <c r="G53" i="3"/>
  <c r="I53" i="3"/>
  <c r="B84" i="3"/>
  <c r="D84" i="3"/>
  <c r="E84" i="3"/>
  <c r="G84" i="3"/>
  <c r="I84" i="3"/>
  <c r="B79" i="3"/>
  <c r="D79" i="3"/>
  <c r="E79" i="3"/>
  <c r="G79" i="3"/>
  <c r="I79" i="3"/>
  <c r="B71" i="3"/>
  <c r="D71" i="3"/>
  <c r="E71" i="3"/>
  <c r="G71" i="3"/>
  <c r="I71" i="3"/>
  <c r="B70" i="3"/>
  <c r="D70" i="3"/>
  <c r="E70" i="3"/>
  <c r="G70" i="3"/>
  <c r="I70" i="3"/>
  <c r="B76" i="3"/>
  <c r="D76" i="3"/>
  <c r="E76" i="3"/>
  <c r="G76" i="3"/>
  <c r="I76" i="3"/>
  <c r="B80" i="3"/>
  <c r="D80" i="3"/>
  <c r="E80" i="3"/>
  <c r="G80" i="3"/>
  <c r="I80" i="3"/>
  <c r="B51" i="3"/>
  <c r="D51" i="3"/>
  <c r="E51" i="3"/>
  <c r="G51" i="3"/>
  <c r="I51" i="3"/>
  <c r="B62" i="3"/>
  <c r="D62" i="3"/>
  <c r="E62" i="3"/>
  <c r="G62" i="3"/>
  <c r="I62" i="3"/>
  <c r="B67" i="3"/>
  <c r="D67" i="3"/>
  <c r="E67" i="3"/>
  <c r="G67" i="3"/>
  <c r="I67" i="3"/>
  <c r="B75" i="3"/>
  <c r="D75" i="3"/>
  <c r="E75" i="3"/>
  <c r="G75" i="3"/>
  <c r="I75" i="3"/>
  <c r="B61" i="3"/>
  <c r="D61" i="3"/>
  <c r="E61" i="3"/>
  <c r="G61" i="3"/>
  <c r="I61" i="3"/>
  <c r="B65" i="3"/>
  <c r="D65" i="3"/>
  <c r="E65" i="3"/>
  <c r="G65" i="3"/>
  <c r="I65" i="3"/>
  <c r="B85" i="3"/>
  <c r="D85" i="3"/>
  <c r="E85" i="3"/>
  <c r="G85" i="3"/>
  <c r="I85" i="3"/>
  <c r="B82" i="3"/>
  <c r="D82" i="3"/>
  <c r="E82" i="3"/>
  <c r="G82" i="3"/>
  <c r="I82" i="3"/>
  <c r="B91" i="3"/>
  <c r="D91" i="3"/>
  <c r="E91" i="3"/>
  <c r="G91" i="3"/>
  <c r="I91" i="3"/>
  <c r="B73" i="3"/>
  <c r="D73" i="3"/>
  <c r="E73" i="3"/>
  <c r="G73" i="3"/>
  <c r="I73" i="3"/>
  <c r="B72" i="3"/>
  <c r="D72" i="3"/>
  <c r="E72" i="3"/>
  <c r="G72" i="3"/>
  <c r="I72" i="3"/>
  <c r="B90" i="3"/>
  <c r="D90" i="3"/>
  <c r="E90" i="3"/>
  <c r="G90" i="3"/>
  <c r="I90" i="3"/>
  <c r="B54" i="3"/>
  <c r="D54" i="3"/>
  <c r="E54" i="3"/>
  <c r="G54" i="3"/>
  <c r="I54" i="3"/>
  <c r="B55" i="3"/>
  <c r="D55" i="3"/>
  <c r="E55" i="3"/>
  <c r="G55" i="3"/>
  <c r="I55" i="3"/>
  <c r="B77" i="3"/>
  <c r="D77" i="3"/>
  <c r="E77" i="3"/>
  <c r="G77" i="3"/>
  <c r="I77" i="3"/>
  <c r="B64" i="3"/>
  <c r="D64" i="3"/>
  <c r="E64" i="3"/>
  <c r="G64" i="3"/>
  <c r="I64" i="3"/>
  <c r="J73" i="3" l="1"/>
  <c r="J75" i="3"/>
  <c r="J79" i="3"/>
  <c r="J55" i="3"/>
  <c r="J65" i="3"/>
  <c r="J80" i="3"/>
  <c r="J86" i="3"/>
  <c r="J64" i="3"/>
  <c r="J90" i="3"/>
  <c r="J82" i="3"/>
  <c r="J61" i="3"/>
  <c r="J70" i="3"/>
  <c r="J53" i="3"/>
  <c r="J77" i="3"/>
  <c r="J54" i="3"/>
  <c r="J72" i="3"/>
  <c r="H91" i="3"/>
  <c r="L91" i="3" s="1"/>
  <c r="M91" i="3" s="1"/>
  <c r="J85" i="3"/>
  <c r="J51" i="3"/>
  <c r="J84" i="3"/>
  <c r="J52" i="3"/>
  <c r="J89" i="3"/>
  <c r="H85" i="3"/>
  <c r="L85" i="3" s="1"/>
  <c r="M85" i="3" s="1"/>
  <c r="H55" i="3"/>
  <c r="L55" i="3" s="1"/>
  <c r="M55" i="3" s="1"/>
  <c r="J67" i="3"/>
  <c r="J62" i="3"/>
  <c r="H76" i="3"/>
  <c r="L76" i="3" s="1"/>
  <c r="M76" i="3" s="1"/>
  <c r="J71" i="3"/>
  <c r="H79" i="3"/>
  <c r="L79" i="3" s="1"/>
  <c r="M79" i="3" s="1"/>
  <c r="H86" i="3"/>
  <c r="L86" i="3" s="1"/>
  <c r="M86" i="3" s="1"/>
  <c r="H82" i="3"/>
  <c r="L82" i="3" s="1"/>
  <c r="M82" i="3" s="1"/>
  <c r="J91" i="3"/>
  <c r="H77" i="3"/>
  <c r="L77" i="3" s="1"/>
  <c r="M77" i="3" s="1"/>
  <c r="H71" i="3"/>
  <c r="L71" i="3" s="1"/>
  <c r="M71" i="3" s="1"/>
  <c r="J76" i="3"/>
  <c r="H62" i="3"/>
  <c r="L62" i="3" s="1"/>
  <c r="M62" i="3" s="1"/>
  <c r="H70" i="3"/>
  <c r="L70" i="3" s="1"/>
  <c r="M70" i="3" s="1"/>
  <c r="H52" i="3"/>
  <c r="L52" i="3" s="1"/>
  <c r="M52" i="3" s="1"/>
  <c r="H67" i="3"/>
  <c r="L67" i="3" s="1"/>
  <c r="M67" i="3" s="1"/>
  <c r="H53" i="3"/>
  <c r="L53" i="3" s="1"/>
  <c r="M53" i="3" s="1"/>
  <c r="H75" i="3"/>
  <c r="L75" i="3" s="1"/>
  <c r="M75" i="3" s="1"/>
  <c r="H80" i="3"/>
  <c r="L80" i="3" s="1"/>
  <c r="M80" i="3" s="1"/>
  <c r="H84" i="3"/>
  <c r="L84" i="3" s="1"/>
  <c r="M84" i="3" s="1"/>
  <c r="H89" i="3"/>
  <c r="L89" i="3" s="1"/>
  <c r="M89" i="3" s="1"/>
  <c r="H64" i="3"/>
  <c r="L64" i="3" s="1"/>
  <c r="M64" i="3" s="1"/>
  <c r="H51" i="3"/>
  <c r="L51" i="3" s="1"/>
  <c r="M51" i="3" s="1"/>
  <c r="H54" i="3"/>
  <c r="L54" i="3" s="1"/>
  <c r="M54" i="3" s="1"/>
  <c r="H90" i="3"/>
  <c r="L90" i="3" s="1"/>
  <c r="M90" i="3" s="1"/>
  <c r="H72" i="3"/>
  <c r="L72" i="3" s="1"/>
  <c r="M72" i="3" s="1"/>
  <c r="H73" i="3"/>
  <c r="L73" i="3" s="1"/>
  <c r="M73" i="3" s="1"/>
  <c r="O725" i="2"/>
  <c r="O724" i="2"/>
  <c r="O723" i="2"/>
  <c r="O722" i="2"/>
  <c r="O712" i="2" l="1"/>
  <c r="O709" i="2"/>
  <c r="K709" i="2"/>
  <c r="B63" i="3" l="1"/>
  <c r="D63" i="3"/>
  <c r="E63" i="3"/>
  <c r="G63" i="3"/>
  <c r="I63" i="3"/>
  <c r="J63" i="3" l="1"/>
  <c r="O705" i="2"/>
  <c r="O704" i="2"/>
  <c r="D694" i="2"/>
  <c r="O700" i="2" l="1"/>
  <c r="O691" i="2" l="1"/>
  <c r="K691" i="2"/>
  <c r="O686" i="2" l="1"/>
  <c r="K686" i="2"/>
  <c r="O685" i="2" l="1"/>
  <c r="O682" i="2" l="1"/>
  <c r="K682" i="2"/>
  <c r="O681" i="2"/>
  <c r="K677" i="2" l="1"/>
  <c r="L677" i="2" s="1"/>
  <c r="M677" i="2" s="1"/>
  <c r="N677" i="2" s="1"/>
  <c r="O671" i="2"/>
  <c r="K671" i="2"/>
  <c r="O670" i="2"/>
  <c r="O669" i="2"/>
  <c r="D727" i="2"/>
  <c r="G727" i="2"/>
  <c r="L727" i="2"/>
  <c r="M727" i="2" s="1"/>
  <c r="N727" i="2" s="1"/>
  <c r="Z1198" i="2" s="1"/>
  <c r="Q727" i="2"/>
  <c r="R727" i="2"/>
  <c r="S727" i="2"/>
  <c r="T727" i="2"/>
  <c r="W727" i="2"/>
  <c r="X727" i="2" s="1"/>
  <c r="Y1198" i="2" s="1"/>
  <c r="AA727" i="2"/>
  <c r="D728" i="2"/>
  <c r="G728" i="2"/>
  <c r="L728" i="2"/>
  <c r="M728" i="2" s="1"/>
  <c r="N728" i="2" s="1"/>
  <c r="Q728" i="2"/>
  <c r="R728" i="2"/>
  <c r="S728" i="2"/>
  <c r="T728" i="2"/>
  <c r="W728" i="2"/>
  <c r="AA728" i="2"/>
  <c r="D729" i="2"/>
  <c r="G729" i="2"/>
  <c r="L729" i="2"/>
  <c r="M729" i="2" s="1"/>
  <c r="N729" i="2" s="1"/>
  <c r="Q729" i="2"/>
  <c r="R729" i="2"/>
  <c r="S729" i="2"/>
  <c r="T729" i="2"/>
  <c r="W729" i="2"/>
  <c r="AA729" i="2"/>
  <c r="D730" i="2"/>
  <c r="G730" i="2"/>
  <c r="L730" i="2"/>
  <c r="M730" i="2" s="1"/>
  <c r="N730" i="2" s="1"/>
  <c r="Z1161" i="2" s="1"/>
  <c r="Q730" i="2"/>
  <c r="R730" i="2"/>
  <c r="S730" i="2"/>
  <c r="T730" i="2"/>
  <c r="W730" i="2"/>
  <c r="X730" i="2" s="1"/>
  <c r="Y1161" i="2" s="1"/>
  <c r="AA730" i="2"/>
  <c r="D731" i="2"/>
  <c r="G731" i="2"/>
  <c r="K731" i="2"/>
  <c r="L731" i="2" s="1"/>
  <c r="M731" i="2" s="1"/>
  <c r="N731" i="2" s="1"/>
  <c r="Q731" i="2"/>
  <c r="R731" i="2"/>
  <c r="S731" i="2"/>
  <c r="T731" i="2"/>
  <c r="W731" i="2"/>
  <c r="X731" i="2" s="1"/>
  <c r="AA731" i="2"/>
  <c r="D732" i="2"/>
  <c r="G732" i="2"/>
  <c r="L732" i="2"/>
  <c r="M732" i="2" s="1"/>
  <c r="N732" i="2" s="1"/>
  <c r="Q732" i="2"/>
  <c r="R732" i="2"/>
  <c r="S732" i="2"/>
  <c r="T732" i="2"/>
  <c r="W732" i="2"/>
  <c r="X732" i="2" s="1"/>
  <c r="AA732" i="2"/>
  <c r="D733" i="2"/>
  <c r="G733" i="2"/>
  <c r="K733" i="2"/>
  <c r="M46" i="3" s="1"/>
  <c r="O733" i="2"/>
  <c r="Q733" i="2"/>
  <c r="R733" i="2"/>
  <c r="S733" i="2"/>
  <c r="T733" i="2"/>
  <c r="W733" i="2"/>
  <c r="AA733" i="2"/>
  <c r="D734" i="2"/>
  <c r="G734" i="2"/>
  <c r="K734" i="2"/>
  <c r="O734" i="2"/>
  <c r="Q734" i="2"/>
  <c r="R734" i="2"/>
  <c r="S734" i="2"/>
  <c r="T734" i="2"/>
  <c r="W734" i="2"/>
  <c r="X734" i="2" s="1"/>
  <c r="AA734" i="2"/>
  <c r="D735" i="2"/>
  <c r="G735" i="2"/>
  <c r="K735" i="2"/>
  <c r="L735" i="2" s="1"/>
  <c r="M735" i="2" s="1"/>
  <c r="N735" i="2" s="1"/>
  <c r="O735" i="2"/>
  <c r="Q735" i="2"/>
  <c r="R735" i="2"/>
  <c r="S735" i="2"/>
  <c r="T735" i="2"/>
  <c r="W735" i="2"/>
  <c r="X735" i="2" s="1"/>
  <c r="AA735" i="2"/>
  <c r="D736" i="2"/>
  <c r="G736" i="2"/>
  <c r="L736" i="2"/>
  <c r="M736" i="2" s="1"/>
  <c r="N736" i="2" s="1"/>
  <c r="Q736" i="2"/>
  <c r="R736" i="2"/>
  <c r="S736" i="2"/>
  <c r="T736" i="2"/>
  <c r="W736" i="2"/>
  <c r="X736" i="2" s="1"/>
  <c r="AA736" i="2"/>
  <c r="D737" i="2"/>
  <c r="G737" i="2"/>
  <c r="L737" i="2"/>
  <c r="M737" i="2" s="1"/>
  <c r="N737" i="2" s="1"/>
  <c r="Q737" i="2"/>
  <c r="R737" i="2"/>
  <c r="S737" i="2"/>
  <c r="T737" i="2"/>
  <c r="W737" i="2"/>
  <c r="AA737" i="2"/>
  <c r="D738" i="2"/>
  <c r="G738" i="2"/>
  <c r="L738" i="2"/>
  <c r="M738" i="2" s="1"/>
  <c r="N738" i="2" s="1"/>
  <c r="Q738" i="2"/>
  <c r="R738" i="2"/>
  <c r="S738" i="2"/>
  <c r="T738" i="2"/>
  <c r="W738" i="2"/>
  <c r="X738" i="2" s="1"/>
  <c r="AA738" i="2"/>
  <c r="D739" i="2"/>
  <c r="G739" i="2"/>
  <c r="L739" i="2"/>
  <c r="M739" i="2" s="1"/>
  <c r="N739" i="2" s="1"/>
  <c r="Q739" i="2"/>
  <c r="R739" i="2"/>
  <c r="S739" i="2"/>
  <c r="T739" i="2"/>
  <c r="W739" i="2"/>
  <c r="X739" i="2" s="1"/>
  <c r="AA739" i="2"/>
  <c r="D740" i="2"/>
  <c r="G740" i="2"/>
  <c r="L740" i="2"/>
  <c r="M740" i="2" s="1"/>
  <c r="N740" i="2" s="1"/>
  <c r="Q740" i="2"/>
  <c r="R740" i="2"/>
  <c r="S740" i="2"/>
  <c r="T740" i="2"/>
  <c r="W740" i="2"/>
  <c r="AA740" i="2"/>
  <c r="D741" i="2"/>
  <c r="G741" i="2"/>
  <c r="L741" i="2"/>
  <c r="M741" i="2" s="1"/>
  <c r="N741" i="2" s="1"/>
  <c r="Q741" i="2"/>
  <c r="R741" i="2"/>
  <c r="S741" i="2"/>
  <c r="T741" i="2"/>
  <c r="W741" i="2"/>
  <c r="AA741" i="2"/>
  <c r="D742" i="2"/>
  <c r="G742" i="2"/>
  <c r="L742" i="2"/>
  <c r="M742" i="2" s="1"/>
  <c r="N742" i="2" s="1"/>
  <c r="Q742" i="2"/>
  <c r="R742" i="2"/>
  <c r="S742" i="2"/>
  <c r="T742" i="2"/>
  <c r="W742" i="2"/>
  <c r="X742" i="2" s="1"/>
  <c r="AA742" i="2"/>
  <c r="D743" i="2"/>
  <c r="G743" i="2"/>
  <c r="L743" i="2"/>
  <c r="M743" i="2" s="1"/>
  <c r="N743" i="2" s="1"/>
  <c r="Q743" i="2"/>
  <c r="R743" i="2"/>
  <c r="S743" i="2"/>
  <c r="T743" i="2"/>
  <c r="W743" i="2"/>
  <c r="X743" i="2" s="1"/>
  <c r="AA743" i="2"/>
  <c r="D709" i="2"/>
  <c r="G709" i="2"/>
  <c r="L709" i="2"/>
  <c r="M709" i="2" s="1"/>
  <c r="N709" i="2" s="1"/>
  <c r="Q709" i="2"/>
  <c r="R709" i="2"/>
  <c r="S709" i="2"/>
  <c r="T709" i="2"/>
  <c r="W709" i="2"/>
  <c r="X709" i="2" s="1"/>
  <c r="AA709" i="2"/>
  <c r="D710" i="2"/>
  <c r="G710" i="2"/>
  <c r="L710" i="2"/>
  <c r="M710" i="2" s="1"/>
  <c r="N710" i="2" s="1"/>
  <c r="O710" i="2"/>
  <c r="Q710" i="2"/>
  <c r="R710" i="2"/>
  <c r="S710" i="2"/>
  <c r="T710" i="2"/>
  <c r="W710" i="2"/>
  <c r="X710" i="2" s="1"/>
  <c r="AA710" i="2"/>
  <c r="D711" i="2"/>
  <c r="G711" i="2"/>
  <c r="L711" i="2"/>
  <c r="M711" i="2" s="1"/>
  <c r="N711" i="2" s="1"/>
  <c r="Q711" i="2"/>
  <c r="R711" i="2"/>
  <c r="S711" i="2"/>
  <c r="T711" i="2"/>
  <c r="W711" i="2"/>
  <c r="AA711" i="2"/>
  <c r="D712" i="2"/>
  <c r="G712" i="2"/>
  <c r="K712" i="2"/>
  <c r="L712" i="2" s="1"/>
  <c r="M712" i="2" s="1"/>
  <c r="N712" i="2" s="1"/>
  <c r="Q712" i="2"/>
  <c r="R712" i="2"/>
  <c r="S712" i="2"/>
  <c r="T712" i="2"/>
  <c r="W712" i="2"/>
  <c r="X712" i="2" s="1"/>
  <c r="AA712" i="2"/>
  <c r="D713" i="2"/>
  <c r="G713" i="2"/>
  <c r="L713" i="2"/>
  <c r="M713" i="2" s="1"/>
  <c r="N713" i="2" s="1"/>
  <c r="Q713" i="2"/>
  <c r="R713" i="2"/>
  <c r="S713" i="2"/>
  <c r="T713" i="2"/>
  <c r="W713" i="2"/>
  <c r="X713" i="2" s="1"/>
  <c r="AA713" i="2"/>
  <c r="D714" i="2"/>
  <c r="G714" i="2"/>
  <c r="K714" i="2"/>
  <c r="L714" i="2" s="1"/>
  <c r="M714" i="2" s="1"/>
  <c r="N714" i="2" s="1"/>
  <c r="O714" i="2"/>
  <c r="Q714" i="2"/>
  <c r="R714" i="2"/>
  <c r="S714" i="2"/>
  <c r="T714" i="2"/>
  <c r="W714" i="2"/>
  <c r="X714" i="2" s="1"/>
  <c r="AA714" i="2"/>
  <c r="D715" i="2"/>
  <c r="G715" i="2"/>
  <c r="K715" i="2"/>
  <c r="L715" i="2" s="1"/>
  <c r="M715" i="2" s="1"/>
  <c r="N715" i="2" s="1"/>
  <c r="O715" i="2"/>
  <c r="Q715" i="2"/>
  <c r="R715" i="2"/>
  <c r="S715" i="2"/>
  <c r="T715" i="2"/>
  <c r="W715" i="2"/>
  <c r="AA715" i="2"/>
  <c r="D716" i="2"/>
  <c r="G716" i="2"/>
  <c r="K716" i="2"/>
  <c r="L716" i="2" s="1"/>
  <c r="M716" i="2" s="1"/>
  <c r="N716" i="2" s="1"/>
  <c r="O716" i="2"/>
  <c r="Q716" i="2"/>
  <c r="R716" i="2"/>
  <c r="S716" i="2"/>
  <c r="T716" i="2"/>
  <c r="W716" i="2"/>
  <c r="X716" i="2" s="1"/>
  <c r="AA716" i="2"/>
  <c r="D717" i="2"/>
  <c r="G717" i="2"/>
  <c r="K717" i="2"/>
  <c r="L717" i="2" s="1"/>
  <c r="M717" i="2" s="1"/>
  <c r="N717" i="2" s="1"/>
  <c r="O717" i="2"/>
  <c r="Q717" i="2"/>
  <c r="R717" i="2"/>
  <c r="S717" i="2"/>
  <c r="T717" i="2"/>
  <c r="W717" i="2"/>
  <c r="X717" i="2" s="1"/>
  <c r="AA717" i="2"/>
  <c r="D718" i="2"/>
  <c r="G718" i="2"/>
  <c r="K718" i="2"/>
  <c r="L718" i="2" s="1"/>
  <c r="M718" i="2" s="1"/>
  <c r="N718" i="2" s="1"/>
  <c r="O718" i="2"/>
  <c r="Q718" i="2"/>
  <c r="R718" i="2"/>
  <c r="S718" i="2"/>
  <c r="T718" i="2"/>
  <c r="W718" i="2"/>
  <c r="X718" i="2" s="1"/>
  <c r="AA718" i="2"/>
  <c r="D719" i="2"/>
  <c r="G719" i="2"/>
  <c r="L719" i="2"/>
  <c r="N719" i="2" s="1"/>
  <c r="Q719" i="2"/>
  <c r="R719" i="2"/>
  <c r="S719" i="2"/>
  <c r="T719" i="2"/>
  <c r="W719" i="2"/>
  <c r="AA719" i="2"/>
  <c r="D720" i="2"/>
  <c r="G720" i="2"/>
  <c r="L720" i="2"/>
  <c r="M720" i="2" s="1"/>
  <c r="N720" i="2" s="1"/>
  <c r="Q720" i="2"/>
  <c r="R720" i="2"/>
  <c r="S720" i="2"/>
  <c r="T720" i="2"/>
  <c r="W720" i="2"/>
  <c r="X720" i="2" s="1"/>
  <c r="AA720" i="2"/>
  <c r="D721" i="2"/>
  <c r="G721" i="2"/>
  <c r="L721" i="2"/>
  <c r="M721" i="2" s="1"/>
  <c r="N721" i="2" s="1"/>
  <c r="Q721" i="2"/>
  <c r="R721" i="2"/>
  <c r="S721" i="2"/>
  <c r="T721" i="2"/>
  <c r="W721" i="2"/>
  <c r="X721" i="2" s="1"/>
  <c r="AA721" i="2"/>
  <c r="D722" i="2"/>
  <c r="G722" i="2"/>
  <c r="L722" i="2"/>
  <c r="M722" i="2" s="1"/>
  <c r="N722" i="2" s="1"/>
  <c r="Q722" i="2"/>
  <c r="R722" i="2"/>
  <c r="S722" i="2"/>
  <c r="T722" i="2"/>
  <c r="W722" i="2"/>
  <c r="X722" i="2" s="1"/>
  <c r="AA722" i="2"/>
  <c r="D723" i="2"/>
  <c r="G723" i="2"/>
  <c r="L723" i="2"/>
  <c r="M723" i="2" s="1"/>
  <c r="N723" i="2" s="1"/>
  <c r="Q723" i="2"/>
  <c r="R723" i="2"/>
  <c r="S723" i="2"/>
  <c r="T723" i="2"/>
  <c r="W723" i="2"/>
  <c r="AA723" i="2"/>
  <c r="D724" i="2"/>
  <c r="G724" i="2"/>
  <c r="L724" i="2"/>
  <c r="M724" i="2" s="1"/>
  <c r="N724" i="2" s="1"/>
  <c r="Q724" i="2"/>
  <c r="R724" i="2"/>
  <c r="S724" i="2"/>
  <c r="T724" i="2"/>
  <c r="W724" i="2"/>
  <c r="X724" i="2" s="1"/>
  <c r="AA724" i="2"/>
  <c r="D725" i="2"/>
  <c r="G725" i="2"/>
  <c r="L725" i="2"/>
  <c r="M725" i="2" s="1"/>
  <c r="N725" i="2" s="1"/>
  <c r="Q725" i="2"/>
  <c r="R725" i="2"/>
  <c r="S725" i="2"/>
  <c r="T725" i="2"/>
  <c r="W725" i="2"/>
  <c r="X725" i="2" s="1"/>
  <c r="AA725" i="2"/>
  <c r="D726" i="2"/>
  <c r="G726" i="2"/>
  <c r="L726" i="2"/>
  <c r="M726" i="2" s="1"/>
  <c r="N726" i="2" s="1"/>
  <c r="Q726" i="2"/>
  <c r="R726" i="2"/>
  <c r="S726" i="2"/>
  <c r="T726" i="2"/>
  <c r="W726" i="2"/>
  <c r="X726" i="2" s="1"/>
  <c r="Y726" i="2" s="1"/>
  <c r="AA726" i="2"/>
  <c r="D691" i="2"/>
  <c r="G691" i="2"/>
  <c r="L691" i="2"/>
  <c r="M691" i="2" s="1"/>
  <c r="N691" i="2" s="1"/>
  <c r="Q691" i="2"/>
  <c r="R691" i="2"/>
  <c r="S691" i="2"/>
  <c r="T691" i="2"/>
  <c r="W691" i="2"/>
  <c r="X691" i="2" s="1"/>
  <c r="AA691" i="2"/>
  <c r="D692" i="2"/>
  <c r="G692" i="2"/>
  <c r="L692" i="2"/>
  <c r="M692" i="2" s="1"/>
  <c r="N692" i="2" s="1"/>
  <c r="Q692" i="2"/>
  <c r="R692" i="2"/>
  <c r="S692" i="2"/>
  <c r="T692" i="2"/>
  <c r="W692" i="2"/>
  <c r="AA692" i="2"/>
  <c r="D693" i="2"/>
  <c r="G693" i="2"/>
  <c r="L693" i="2"/>
  <c r="M693" i="2" s="1"/>
  <c r="N693" i="2" s="1"/>
  <c r="Q693" i="2"/>
  <c r="R693" i="2"/>
  <c r="S693" i="2"/>
  <c r="T693" i="2"/>
  <c r="W693" i="2"/>
  <c r="AA693" i="2"/>
  <c r="G694" i="2"/>
  <c r="L694" i="2"/>
  <c r="M694" i="2" s="1"/>
  <c r="N694" i="2" s="1"/>
  <c r="Q694" i="2"/>
  <c r="R694" i="2"/>
  <c r="S694" i="2"/>
  <c r="T694" i="2"/>
  <c r="W694" i="2"/>
  <c r="X694" i="2" s="1"/>
  <c r="AA694" i="2"/>
  <c r="D695" i="2"/>
  <c r="G695" i="2"/>
  <c r="L695" i="2"/>
  <c r="M695" i="2" s="1"/>
  <c r="N695" i="2" s="1"/>
  <c r="Q695" i="2"/>
  <c r="R695" i="2"/>
  <c r="S695" i="2"/>
  <c r="T695" i="2"/>
  <c r="W695" i="2"/>
  <c r="X695" i="2" s="1"/>
  <c r="Y1076" i="2" s="1"/>
  <c r="AA695" i="2"/>
  <c r="D696" i="2"/>
  <c r="G696" i="2"/>
  <c r="L696" i="2"/>
  <c r="N696" i="2" s="1"/>
  <c r="Q696" i="2"/>
  <c r="R696" i="2"/>
  <c r="S696" i="2"/>
  <c r="T696" i="2"/>
  <c r="W696" i="2"/>
  <c r="AA696" i="2"/>
  <c r="D697" i="2"/>
  <c r="G697" i="2"/>
  <c r="L697" i="2"/>
  <c r="M697" i="2" s="1"/>
  <c r="N697" i="2" s="1"/>
  <c r="Q697" i="2"/>
  <c r="R697" i="2"/>
  <c r="S697" i="2"/>
  <c r="T697" i="2"/>
  <c r="W697" i="2"/>
  <c r="AA697" i="2"/>
  <c r="D698" i="2"/>
  <c r="G698" i="2"/>
  <c r="L698" i="2"/>
  <c r="M698" i="2" s="1"/>
  <c r="N698" i="2" s="1"/>
  <c r="Q698" i="2"/>
  <c r="R698" i="2"/>
  <c r="S698" i="2"/>
  <c r="T698" i="2"/>
  <c r="W698" i="2"/>
  <c r="X698" i="2" s="1"/>
  <c r="AA698" i="2"/>
  <c r="D699" i="2"/>
  <c r="G699" i="2"/>
  <c r="L699" i="2"/>
  <c r="M699" i="2" s="1"/>
  <c r="N699" i="2" s="1"/>
  <c r="Q699" i="2"/>
  <c r="R699" i="2"/>
  <c r="S699" i="2"/>
  <c r="T699" i="2"/>
  <c r="W699" i="2"/>
  <c r="X699" i="2" s="1"/>
  <c r="Y1136" i="2" s="1"/>
  <c r="AA699" i="2"/>
  <c r="D700" i="2"/>
  <c r="G700" i="2"/>
  <c r="L700" i="2"/>
  <c r="M700" i="2" s="1"/>
  <c r="N700" i="2" s="1"/>
  <c r="Q700" i="2"/>
  <c r="R700" i="2"/>
  <c r="S700" i="2"/>
  <c r="T700" i="2"/>
  <c r="W700" i="2"/>
  <c r="AA700" i="2"/>
  <c r="D701" i="2"/>
  <c r="G701" i="2"/>
  <c r="L701" i="2"/>
  <c r="M701" i="2" s="1"/>
  <c r="N701" i="2" s="1"/>
  <c r="Z1184" i="2" s="1"/>
  <c r="Q701" i="2"/>
  <c r="R701" i="2"/>
  <c r="S701" i="2"/>
  <c r="T701" i="2"/>
  <c r="W701" i="2"/>
  <c r="AA701" i="2"/>
  <c r="D702" i="2"/>
  <c r="G702" i="2"/>
  <c r="L702" i="2"/>
  <c r="M702" i="2" s="1"/>
  <c r="N702" i="2" s="1"/>
  <c r="Q702" i="2"/>
  <c r="R702" i="2"/>
  <c r="S702" i="2"/>
  <c r="T702" i="2"/>
  <c r="W702" i="2"/>
  <c r="X702" i="2" s="1"/>
  <c r="Y1106" i="2" s="1"/>
  <c r="AA702" i="2"/>
  <c r="D703" i="2"/>
  <c r="G703" i="2"/>
  <c r="L703" i="2"/>
  <c r="M703" i="2" s="1"/>
  <c r="N703" i="2" s="1"/>
  <c r="Q703" i="2"/>
  <c r="R703" i="2"/>
  <c r="S703" i="2"/>
  <c r="T703" i="2"/>
  <c r="W703" i="2"/>
  <c r="X703" i="2" s="1"/>
  <c r="AA703" i="2"/>
  <c r="D704" i="2"/>
  <c r="G704" i="2"/>
  <c r="L704" i="2"/>
  <c r="M704" i="2" s="1"/>
  <c r="N704" i="2" s="1"/>
  <c r="Q704" i="2"/>
  <c r="R704" i="2"/>
  <c r="S704" i="2"/>
  <c r="T704" i="2"/>
  <c r="W704" i="2"/>
  <c r="AA704" i="2"/>
  <c r="D705" i="2"/>
  <c r="G705" i="2"/>
  <c r="L705" i="2"/>
  <c r="M705" i="2" s="1"/>
  <c r="N705" i="2" s="1"/>
  <c r="Q705" i="2"/>
  <c r="R705" i="2"/>
  <c r="S705" i="2"/>
  <c r="T705" i="2"/>
  <c r="W705" i="2"/>
  <c r="AA705" i="2"/>
  <c r="D706" i="2"/>
  <c r="G706" i="2"/>
  <c r="K706" i="2"/>
  <c r="L706" i="2" s="1"/>
  <c r="M706" i="2" s="1"/>
  <c r="N706" i="2" s="1"/>
  <c r="O706" i="2"/>
  <c r="Q706" i="2"/>
  <c r="R706" i="2"/>
  <c r="S706" i="2"/>
  <c r="T706" i="2"/>
  <c r="W706" i="2"/>
  <c r="X706" i="2" s="1"/>
  <c r="AA706" i="2"/>
  <c r="D707" i="2"/>
  <c r="G707" i="2"/>
  <c r="K707" i="2"/>
  <c r="L707" i="2" s="1"/>
  <c r="M707" i="2" s="1"/>
  <c r="N707" i="2" s="1"/>
  <c r="O707" i="2"/>
  <c r="Q707" i="2"/>
  <c r="R707" i="2"/>
  <c r="S707" i="2"/>
  <c r="T707" i="2"/>
  <c r="W707" i="2"/>
  <c r="X707" i="2" s="1"/>
  <c r="AA707" i="2"/>
  <c r="D708" i="2"/>
  <c r="G708" i="2"/>
  <c r="K708" i="2"/>
  <c r="L708" i="2" s="1"/>
  <c r="M708" i="2" s="1"/>
  <c r="N708" i="2" s="1"/>
  <c r="O708" i="2"/>
  <c r="Q708" i="2"/>
  <c r="R708" i="2"/>
  <c r="S708" i="2"/>
  <c r="T708" i="2"/>
  <c r="W708" i="2"/>
  <c r="AA708" i="2"/>
  <c r="D675" i="2"/>
  <c r="G675" i="2"/>
  <c r="L675" i="2"/>
  <c r="M675" i="2" s="1"/>
  <c r="N675" i="2" s="1"/>
  <c r="Q675" i="2"/>
  <c r="R675" i="2"/>
  <c r="S675" i="2"/>
  <c r="T675" i="2"/>
  <c r="W675" i="2"/>
  <c r="X675" i="2" s="1"/>
  <c r="Y675" i="2" s="1"/>
  <c r="AA675" i="2"/>
  <c r="D676" i="2"/>
  <c r="G676" i="2"/>
  <c r="L676" i="2"/>
  <c r="N676" i="2" s="1"/>
  <c r="Q676" i="2"/>
  <c r="R676" i="2"/>
  <c r="S676" i="2"/>
  <c r="T676" i="2"/>
  <c r="W676" i="2"/>
  <c r="X676" i="2" s="1"/>
  <c r="AA676" i="2"/>
  <c r="D677" i="2"/>
  <c r="G677" i="2"/>
  <c r="O677" i="2"/>
  <c r="Q677" i="2"/>
  <c r="R677" i="2"/>
  <c r="S677" i="2"/>
  <c r="T677" i="2"/>
  <c r="W677" i="2"/>
  <c r="AA677" i="2"/>
  <c r="D678" i="2"/>
  <c r="G678" i="2"/>
  <c r="L678" i="2"/>
  <c r="M678" i="2" s="1"/>
  <c r="N678" i="2" s="1"/>
  <c r="Q678" i="2"/>
  <c r="R678" i="2"/>
  <c r="S678" i="2"/>
  <c r="T678" i="2"/>
  <c r="W678" i="2"/>
  <c r="AA678" i="2"/>
  <c r="D679" i="2"/>
  <c r="G679" i="2"/>
  <c r="L679" i="2"/>
  <c r="M679" i="2" s="1"/>
  <c r="N679" i="2" s="1"/>
  <c r="Q679" i="2"/>
  <c r="R679" i="2"/>
  <c r="S679" i="2"/>
  <c r="T679" i="2"/>
  <c r="W679" i="2"/>
  <c r="X679" i="2" s="1"/>
  <c r="AA679" i="2"/>
  <c r="D680" i="2"/>
  <c r="G680" i="2"/>
  <c r="L680" i="2"/>
  <c r="M680" i="2" s="1"/>
  <c r="N680" i="2" s="1"/>
  <c r="Q680" i="2"/>
  <c r="R680" i="2"/>
  <c r="S680" i="2"/>
  <c r="T680" i="2"/>
  <c r="W680" i="2"/>
  <c r="X680" i="2" s="1"/>
  <c r="Y1104" i="2" s="1"/>
  <c r="AA680" i="2"/>
  <c r="D681" i="2"/>
  <c r="G681" i="2"/>
  <c r="K681" i="2"/>
  <c r="L681" i="2" s="1"/>
  <c r="M681" i="2" s="1"/>
  <c r="N681" i="2" s="1"/>
  <c r="Q681" i="2"/>
  <c r="R681" i="2"/>
  <c r="S681" i="2"/>
  <c r="T681" i="2"/>
  <c r="W681" i="2"/>
  <c r="AA681" i="2"/>
  <c r="D682" i="2"/>
  <c r="G682" i="2"/>
  <c r="L682" i="2"/>
  <c r="M682" i="2" s="1"/>
  <c r="N682" i="2" s="1"/>
  <c r="Q682" i="2"/>
  <c r="R682" i="2"/>
  <c r="S682" i="2"/>
  <c r="T682" i="2"/>
  <c r="W682" i="2"/>
  <c r="AA682" i="2"/>
  <c r="D683" i="2"/>
  <c r="G683" i="2"/>
  <c r="L683" i="2"/>
  <c r="M683" i="2" s="1"/>
  <c r="N683" i="2" s="1"/>
  <c r="Q683" i="2"/>
  <c r="R683" i="2"/>
  <c r="S683" i="2"/>
  <c r="T683" i="2"/>
  <c r="W683" i="2"/>
  <c r="X683" i="2" s="1"/>
  <c r="AA683" i="2"/>
  <c r="D684" i="2"/>
  <c r="G684" i="2"/>
  <c r="L684" i="2"/>
  <c r="M684" i="2" s="1"/>
  <c r="N684" i="2" s="1"/>
  <c r="Q684" i="2"/>
  <c r="R684" i="2"/>
  <c r="S684" i="2"/>
  <c r="T684" i="2"/>
  <c r="W684" i="2"/>
  <c r="X684" i="2" s="1"/>
  <c r="Y684" i="2" s="1"/>
  <c r="AA684" i="2"/>
  <c r="D685" i="2"/>
  <c r="G685" i="2"/>
  <c r="L685" i="2"/>
  <c r="M685" i="2" s="1"/>
  <c r="N685" i="2" s="1"/>
  <c r="Q685" i="2"/>
  <c r="R685" i="2"/>
  <c r="S685" i="2"/>
  <c r="T685" i="2"/>
  <c r="W685" i="2"/>
  <c r="X685" i="2" s="1"/>
  <c r="AA685" i="2"/>
  <c r="D686" i="2"/>
  <c r="G686" i="2"/>
  <c r="L686" i="2"/>
  <c r="M686" i="2" s="1"/>
  <c r="N686" i="2" s="1"/>
  <c r="Q686" i="2"/>
  <c r="R686" i="2"/>
  <c r="S686" i="2"/>
  <c r="T686" i="2"/>
  <c r="W686" i="2"/>
  <c r="AA686" i="2"/>
  <c r="D687" i="2"/>
  <c r="G687" i="2"/>
  <c r="K687" i="2"/>
  <c r="L687" i="2" s="1"/>
  <c r="M687" i="2" s="1"/>
  <c r="N687" i="2" s="1"/>
  <c r="O687" i="2"/>
  <c r="Q687" i="2"/>
  <c r="R687" i="2"/>
  <c r="S687" i="2"/>
  <c r="T687" i="2"/>
  <c r="W687" i="2"/>
  <c r="AA687" i="2"/>
  <c r="D688" i="2"/>
  <c r="G688" i="2"/>
  <c r="L688" i="2"/>
  <c r="M688" i="2" s="1"/>
  <c r="N688" i="2" s="1"/>
  <c r="Q688" i="2"/>
  <c r="R688" i="2"/>
  <c r="S688" i="2"/>
  <c r="T688" i="2"/>
  <c r="W688" i="2"/>
  <c r="X688" i="2" s="1"/>
  <c r="AA688" i="2"/>
  <c r="D689" i="2"/>
  <c r="G689" i="2"/>
  <c r="L689" i="2"/>
  <c r="M689" i="2" s="1"/>
  <c r="N689" i="2" s="1"/>
  <c r="Q689" i="2"/>
  <c r="R689" i="2"/>
  <c r="S689" i="2"/>
  <c r="T689" i="2"/>
  <c r="W689" i="2"/>
  <c r="AA689" i="2"/>
  <c r="D690" i="2"/>
  <c r="G690" i="2"/>
  <c r="L690" i="2"/>
  <c r="M690" i="2" s="1"/>
  <c r="N690" i="2" s="1"/>
  <c r="Q690" i="2"/>
  <c r="R690" i="2"/>
  <c r="S690" i="2"/>
  <c r="T690" i="2"/>
  <c r="W690" i="2"/>
  <c r="AA690" i="2"/>
  <c r="O11" i="21" l="1"/>
  <c r="P11" i="21" s="1"/>
  <c r="F11" i="21"/>
  <c r="O12" i="21"/>
  <c r="P12" i="21" s="1"/>
  <c r="F12" i="21"/>
  <c r="O10" i="21"/>
  <c r="P10" i="21" s="1"/>
  <c r="F10" i="21"/>
  <c r="O13" i="21"/>
  <c r="P13" i="21" s="1"/>
  <c r="F13" i="21"/>
  <c r="Z1096" i="2"/>
  <c r="O17" i="21"/>
  <c r="P17" i="21" s="1"/>
  <c r="F17" i="21"/>
  <c r="L734" i="2"/>
  <c r="M734" i="2" s="1"/>
  <c r="N734" i="2" s="1"/>
  <c r="O79" i="3"/>
  <c r="P79" i="3" s="1"/>
  <c r="F79" i="3"/>
  <c r="O90" i="3"/>
  <c r="P90" i="3" s="1"/>
  <c r="F90" i="3"/>
  <c r="Z1076" i="2"/>
  <c r="F54" i="3"/>
  <c r="O54" i="3"/>
  <c r="P54" i="3" s="1"/>
  <c r="O82" i="3"/>
  <c r="P82" i="3" s="1"/>
  <c r="F82" i="3"/>
  <c r="Z1106" i="2"/>
  <c r="O72" i="3"/>
  <c r="P72" i="3" s="1"/>
  <c r="F72" i="3"/>
  <c r="Z1075" i="2"/>
  <c r="O55" i="3"/>
  <c r="P55" i="3" s="1"/>
  <c r="F55" i="3"/>
  <c r="O64" i="3"/>
  <c r="P64" i="3" s="1"/>
  <c r="F64" i="3"/>
  <c r="Z1133" i="2"/>
  <c r="O61" i="3"/>
  <c r="P61" i="3" s="1"/>
  <c r="F61" i="3"/>
  <c r="O76" i="3"/>
  <c r="P76" i="3" s="1"/>
  <c r="F76" i="3"/>
  <c r="Z1104" i="2"/>
  <c r="F70" i="3"/>
  <c r="O70" i="3"/>
  <c r="P70" i="3" s="1"/>
  <c r="O73" i="3"/>
  <c r="P73" i="3" s="1"/>
  <c r="F73" i="3"/>
  <c r="O89" i="3"/>
  <c r="P89" i="3" s="1"/>
  <c r="F89" i="3"/>
  <c r="Z1053" i="2"/>
  <c r="O65" i="3"/>
  <c r="P65" i="3" s="1"/>
  <c r="F65" i="3"/>
  <c r="O81" i="3"/>
  <c r="P81" i="3" s="1"/>
  <c r="F81" i="3"/>
  <c r="Z1177" i="2"/>
  <c r="O71" i="3"/>
  <c r="P71" i="3" s="1"/>
  <c r="F71" i="3"/>
  <c r="Z1163" i="2"/>
  <c r="O85" i="3"/>
  <c r="P85" i="3" s="1"/>
  <c r="F85" i="3"/>
  <c r="Z1009" i="2"/>
  <c r="O77" i="3"/>
  <c r="P77" i="3" s="1"/>
  <c r="F77" i="3"/>
  <c r="Z1165" i="2"/>
  <c r="O84" i="3"/>
  <c r="P84" i="3" s="1"/>
  <c r="F84" i="3"/>
  <c r="Z993" i="2"/>
  <c r="F75" i="3"/>
  <c r="O75" i="3"/>
  <c r="P75" i="3" s="1"/>
  <c r="O53" i="3"/>
  <c r="P53" i="3" s="1"/>
  <c r="F53" i="3"/>
  <c r="O52" i="3"/>
  <c r="P52" i="3" s="1"/>
  <c r="F52" i="3"/>
  <c r="O80" i="3"/>
  <c r="P80" i="3" s="1"/>
  <c r="F80" i="3"/>
  <c r="Z1054" i="2"/>
  <c r="O78" i="3"/>
  <c r="P78" i="3" s="1"/>
  <c r="F78" i="3"/>
  <c r="F86" i="3"/>
  <c r="O86" i="3"/>
  <c r="P86" i="3" s="1"/>
  <c r="Z975" i="2"/>
  <c r="O91" i="3"/>
  <c r="P91" i="3" s="1"/>
  <c r="F91" i="3"/>
  <c r="Z1160" i="2"/>
  <c r="O56" i="3"/>
  <c r="P56" i="3" s="1"/>
  <c r="F56" i="3"/>
  <c r="Y679" i="2"/>
  <c r="Y1177" i="2"/>
  <c r="Z1166" i="2"/>
  <c r="Z1167" i="2"/>
  <c r="Y688" i="2"/>
  <c r="Y1165" i="2"/>
  <c r="Z794" i="2"/>
  <c r="Z1159" i="2"/>
  <c r="Z1140" i="2"/>
  <c r="Z1141" i="2"/>
  <c r="Y727" i="2"/>
  <c r="Y1141" i="2"/>
  <c r="Y1140" i="2"/>
  <c r="Z1066" i="2"/>
  <c r="Z1139" i="2"/>
  <c r="Z1138" i="2"/>
  <c r="Z1136" i="2"/>
  <c r="Y1135" i="2"/>
  <c r="Y1137" i="2"/>
  <c r="Z1137" i="2"/>
  <c r="Z1135" i="2"/>
  <c r="Y1113" i="2"/>
  <c r="Y1133" i="2"/>
  <c r="Z1131" i="2"/>
  <c r="Y699" i="2"/>
  <c r="Y698" i="2"/>
  <c r="Y1131" i="2"/>
  <c r="Y703" i="2"/>
  <c r="Y1118" i="2"/>
  <c r="Y1116" i="2"/>
  <c r="Y1117" i="2"/>
  <c r="Z1117" i="2"/>
  <c r="Z1116" i="2"/>
  <c r="Z1118" i="2"/>
  <c r="Z1039" i="2"/>
  <c r="Z1113" i="2"/>
  <c r="Z1110" i="2"/>
  <c r="Z1111" i="2"/>
  <c r="Z882" i="2"/>
  <c r="Z1102" i="2"/>
  <c r="Z1101" i="2"/>
  <c r="Z1042" i="2"/>
  <c r="Z1099" i="2"/>
  <c r="Y1083" i="2"/>
  <c r="Y1082" i="2"/>
  <c r="Z1055" i="2"/>
  <c r="Z1083" i="2"/>
  <c r="Z1082" i="2"/>
  <c r="Z1034" i="2"/>
  <c r="Z1077" i="2"/>
  <c r="Z1078" i="2"/>
  <c r="Y694" i="2"/>
  <c r="Y1075" i="2"/>
  <c r="Z1016" i="2"/>
  <c r="Z1069" i="2"/>
  <c r="Z1068" i="2"/>
  <c r="Y1069" i="2"/>
  <c r="Y1068" i="2"/>
  <c r="Y683" i="2"/>
  <c r="Y1055" i="2"/>
  <c r="Y676" i="2"/>
  <c r="Y1054" i="2"/>
  <c r="Z860" i="2"/>
  <c r="Z1052" i="2"/>
  <c r="Z1051" i="2"/>
  <c r="Y720" i="2"/>
  <c r="Y1053" i="2"/>
  <c r="Y1005" i="2"/>
  <c r="Y1037" i="2"/>
  <c r="Y721" i="2"/>
  <c r="Y1039" i="2"/>
  <c r="Z1005" i="2"/>
  <c r="Z1037" i="2"/>
  <c r="Y730" i="2"/>
  <c r="Y1016" i="2"/>
  <c r="Y713" i="2"/>
  <c r="Y975" i="2"/>
  <c r="L733" i="2"/>
  <c r="M733" i="2" s="1"/>
  <c r="N733" i="2" s="1"/>
  <c r="P733" i="2" s="1"/>
  <c r="Z728" i="2"/>
  <c r="P675" i="2"/>
  <c r="Z729" i="2"/>
  <c r="P679" i="2"/>
  <c r="Z719" i="2"/>
  <c r="Z711" i="2"/>
  <c r="Z705" i="2"/>
  <c r="Z701" i="2"/>
  <c r="Z704" i="2"/>
  <c r="Z700" i="2"/>
  <c r="Z696" i="2"/>
  <c r="Y695" i="2"/>
  <c r="Z697" i="2"/>
  <c r="Z693" i="2"/>
  <c r="Z692" i="2"/>
  <c r="Z690" i="2"/>
  <c r="Z689" i="2"/>
  <c r="P732" i="2"/>
  <c r="P689" i="2"/>
  <c r="P681" i="2"/>
  <c r="P714" i="2"/>
  <c r="P710" i="2"/>
  <c r="P741" i="2"/>
  <c r="P737" i="2"/>
  <c r="P685" i="2"/>
  <c r="P701" i="2"/>
  <c r="P693" i="2"/>
  <c r="P725" i="2"/>
  <c r="P721" i="2"/>
  <c r="P687" i="2"/>
  <c r="P683" i="2"/>
  <c r="P707" i="2"/>
  <c r="P699" i="2"/>
  <c r="P691" i="2"/>
  <c r="P723" i="2"/>
  <c r="P719" i="2"/>
  <c r="P704" i="2"/>
  <c r="P696" i="2"/>
  <c r="P706" i="2"/>
  <c r="P702" i="2"/>
  <c r="P698" i="2"/>
  <c r="P694" i="2"/>
  <c r="P680" i="2"/>
  <c r="P688" i="2"/>
  <c r="P682" i="2"/>
  <c r="P708" i="2"/>
  <c r="P703" i="2"/>
  <c r="P697" i="2"/>
  <c r="P692" i="2"/>
  <c r="P724" i="2"/>
  <c r="P720" i="2"/>
  <c r="P716" i="2"/>
  <c r="P715" i="2"/>
  <c r="P742" i="2"/>
  <c r="P738" i="2"/>
  <c r="P728" i="2"/>
  <c r="P712" i="2"/>
  <c r="P743" i="2"/>
  <c r="P739" i="2"/>
  <c r="P735" i="2"/>
  <c r="P734" i="2"/>
  <c r="P730" i="2"/>
  <c r="P729" i="2"/>
  <c r="P690" i="2"/>
  <c r="P684" i="2"/>
  <c r="P705" i="2"/>
  <c r="P700" i="2"/>
  <c r="P695" i="2"/>
  <c r="P726" i="2"/>
  <c r="P718" i="2"/>
  <c r="P713" i="2"/>
  <c r="P709" i="2"/>
  <c r="P740" i="2"/>
  <c r="P731" i="2"/>
  <c r="P686" i="2"/>
  <c r="P678" i="2"/>
  <c r="P722" i="2"/>
  <c r="P717" i="2"/>
  <c r="P711" i="2"/>
  <c r="P736" i="2"/>
  <c r="P727" i="2"/>
  <c r="Z678" i="2"/>
  <c r="P677" i="2"/>
  <c r="P676" i="2"/>
  <c r="X729" i="2"/>
  <c r="Y1096" i="2" s="1"/>
  <c r="X696" i="2"/>
  <c r="Y696" i="2" s="1"/>
  <c r="Z695" i="2"/>
  <c r="X681" i="2"/>
  <c r="X677" i="2"/>
  <c r="Z713" i="2"/>
  <c r="Z703" i="2"/>
  <c r="X704" i="2"/>
  <c r="Y704" i="2" s="1"/>
  <c r="Z726" i="2"/>
  <c r="X705" i="2"/>
  <c r="X697" i="2"/>
  <c r="X690" i="2"/>
  <c r="X689" i="2"/>
  <c r="X686" i="2"/>
  <c r="X682" i="2"/>
  <c r="X740" i="2"/>
  <c r="Z685" i="2"/>
  <c r="Z684" i="2"/>
  <c r="Z699" i="2"/>
  <c r="X687" i="2"/>
  <c r="X708" i="2"/>
  <c r="X700" i="2"/>
  <c r="X692" i="2"/>
  <c r="Z721" i="2"/>
  <c r="Z720" i="2"/>
  <c r="X733" i="2"/>
  <c r="X678" i="2"/>
  <c r="Z676" i="2"/>
  <c r="X701" i="2"/>
  <c r="X693" i="2"/>
  <c r="Y693" i="2" s="1"/>
  <c r="X737" i="2"/>
  <c r="Z727" i="2"/>
  <c r="X741" i="2"/>
  <c r="X728" i="2"/>
  <c r="Z730" i="2"/>
  <c r="X723" i="2"/>
  <c r="X719" i="2"/>
  <c r="X715" i="2"/>
  <c r="X711" i="2"/>
  <c r="Z698" i="2"/>
  <c r="Z694" i="2"/>
  <c r="Z688" i="2"/>
  <c r="Z683" i="2"/>
  <c r="Z679" i="2"/>
  <c r="Z675" i="2"/>
  <c r="O664" i="2"/>
  <c r="O663" i="2"/>
  <c r="K663" i="2"/>
  <c r="O662" i="2"/>
  <c r="K662" i="2"/>
  <c r="O661" i="2"/>
  <c r="O660" i="2"/>
  <c r="K660" i="2"/>
  <c r="O659" i="2"/>
  <c r="Y1099" i="2" l="1"/>
  <c r="Y1184" i="2"/>
  <c r="Y1111" i="2"/>
  <c r="Y1167" i="2"/>
  <c r="Y1166" i="2"/>
  <c r="Y1139" i="2"/>
  <c r="Y1163" i="2"/>
  <c r="Y1159" i="2"/>
  <c r="Y1160" i="2"/>
  <c r="Y1138" i="2"/>
  <c r="Y711" i="2"/>
  <c r="Y1110" i="2"/>
  <c r="Y1102" i="2"/>
  <c r="Y1101" i="2"/>
  <c r="Y729" i="2"/>
  <c r="Y1078" i="2"/>
  <c r="Y1077" i="2"/>
  <c r="Y719" i="2"/>
  <c r="Y1066" i="2"/>
  <c r="Y1052" i="2"/>
  <c r="Y1051" i="2"/>
  <c r="Y692" i="2"/>
  <c r="Y1034" i="2"/>
  <c r="Y701" i="2"/>
  <c r="Y1042" i="2"/>
  <c r="Y690" i="2"/>
  <c r="Y1009" i="2"/>
  <c r="Y678" i="2"/>
  <c r="Y993" i="2"/>
  <c r="Y689" i="2"/>
  <c r="Y882" i="2"/>
  <c r="Y697" i="2"/>
  <c r="Y860" i="2"/>
  <c r="Y728" i="2"/>
  <c r="Y794" i="2"/>
  <c r="Y700" i="2"/>
  <c r="Y705" i="2"/>
  <c r="Y685" i="2"/>
  <c r="Z387" i="2"/>
  <c r="G653" i="2" l="1"/>
  <c r="O650" i="2" l="1"/>
  <c r="K650" i="2"/>
  <c r="O647" i="2" l="1"/>
  <c r="O646" i="2"/>
  <c r="K646" i="2"/>
  <c r="G643" i="2" l="1"/>
  <c r="D643" i="2"/>
  <c r="O639" i="2"/>
  <c r="K639" i="2"/>
  <c r="O638" i="2"/>
  <c r="O637" i="2"/>
  <c r="K637" i="2"/>
  <c r="O635" i="2"/>
  <c r="K635" i="2"/>
  <c r="O629" i="2" l="1"/>
  <c r="K629" i="2"/>
  <c r="O626" i="2"/>
  <c r="K626" i="2"/>
  <c r="O625" i="2" l="1"/>
  <c r="K625" i="2"/>
  <c r="L625" i="2" s="1"/>
  <c r="M625" i="2" s="1"/>
  <c r="N625" i="2" s="1"/>
  <c r="O624" i="2"/>
  <c r="K624" i="2"/>
  <c r="L624" i="2" s="1"/>
  <c r="M624" i="2" s="1"/>
  <c r="N624" i="2" s="1"/>
  <c r="O622" i="2"/>
  <c r="O621" i="2"/>
  <c r="K622" i="2"/>
  <c r="L622" i="2" s="1"/>
  <c r="M622" i="2" s="1"/>
  <c r="N622" i="2" s="1"/>
  <c r="K621" i="2"/>
  <c r="L621" i="2" s="1"/>
  <c r="M621" i="2" s="1"/>
  <c r="N621" i="2" s="1"/>
  <c r="O620" i="2"/>
  <c r="K620" i="2"/>
  <c r="L620" i="2" s="1"/>
  <c r="M620" i="2" s="1"/>
  <c r="N620" i="2" s="1"/>
  <c r="O619" i="2"/>
  <c r="O618" i="2"/>
  <c r="O617" i="2"/>
  <c r="K619" i="2"/>
  <c r="L619" i="2" s="1"/>
  <c r="M619" i="2" s="1"/>
  <c r="N619" i="2" s="1"/>
  <c r="K618" i="2"/>
  <c r="L618" i="2" s="1"/>
  <c r="M618" i="2" s="1"/>
  <c r="N618" i="2" s="1"/>
  <c r="K617" i="2"/>
  <c r="L617" i="2" s="1"/>
  <c r="M617" i="2" s="1"/>
  <c r="N617" i="2" s="1"/>
  <c r="O616" i="2"/>
  <c r="K616" i="2"/>
  <c r="L616" i="2" s="1"/>
  <c r="M616" i="2" s="1"/>
  <c r="N616" i="2" s="1"/>
  <c r="O615" i="2"/>
  <c r="K615" i="2"/>
  <c r="L615" i="2" s="1"/>
  <c r="M615" i="2" s="1"/>
  <c r="N615" i="2" s="1"/>
  <c r="O614" i="2"/>
  <c r="K614" i="2"/>
  <c r="L614" i="2" s="1"/>
  <c r="M614" i="2" s="1"/>
  <c r="N614" i="2" s="1"/>
  <c r="O613" i="2"/>
  <c r="K613" i="2"/>
  <c r="O612" i="2"/>
  <c r="K612" i="2"/>
  <c r="O611" i="2"/>
  <c r="K611" i="2"/>
  <c r="O610" i="2"/>
  <c r="K610" i="2"/>
  <c r="O609" i="2"/>
  <c r="K609" i="2"/>
  <c r="O608" i="2"/>
  <c r="D614" i="2"/>
  <c r="G614" i="2"/>
  <c r="Q614" i="2"/>
  <c r="R614" i="2"/>
  <c r="S614" i="2"/>
  <c r="T614" i="2"/>
  <c r="W614" i="2"/>
  <c r="AA614" i="2"/>
  <c r="D615" i="2"/>
  <c r="G615" i="2"/>
  <c r="Q615" i="2"/>
  <c r="R615" i="2"/>
  <c r="S615" i="2"/>
  <c r="T615" i="2"/>
  <c r="W615" i="2"/>
  <c r="AA615" i="2"/>
  <c r="D616" i="2"/>
  <c r="G616" i="2"/>
  <c r="Q616" i="2"/>
  <c r="R616" i="2"/>
  <c r="S616" i="2"/>
  <c r="T616" i="2"/>
  <c r="W616" i="2"/>
  <c r="AA616" i="2"/>
  <c r="D617" i="2"/>
  <c r="G617" i="2"/>
  <c r="Q617" i="2"/>
  <c r="R617" i="2"/>
  <c r="S617" i="2"/>
  <c r="T617" i="2"/>
  <c r="W617" i="2"/>
  <c r="AA617" i="2"/>
  <c r="D618" i="2"/>
  <c r="G618" i="2"/>
  <c r="Q618" i="2"/>
  <c r="R618" i="2"/>
  <c r="S618" i="2"/>
  <c r="T618" i="2"/>
  <c r="W618" i="2"/>
  <c r="AA618" i="2"/>
  <c r="D619" i="2"/>
  <c r="G619" i="2"/>
  <c r="Q619" i="2"/>
  <c r="R619" i="2"/>
  <c r="S619" i="2"/>
  <c r="T619" i="2"/>
  <c r="W619" i="2"/>
  <c r="AA619" i="2"/>
  <c r="D620" i="2"/>
  <c r="G620" i="2"/>
  <c r="Q620" i="2"/>
  <c r="R620" i="2"/>
  <c r="S620" i="2"/>
  <c r="T620" i="2"/>
  <c r="W620" i="2"/>
  <c r="AA620" i="2"/>
  <c r="D621" i="2"/>
  <c r="G621" i="2"/>
  <c r="Q621" i="2"/>
  <c r="R621" i="2"/>
  <c r="S621" i="2"/>
  <c r="T621" i="2"/>
  <c r="W621" i="2"/>
  <c r="AA621" i="2"/>
  <c r="D622" i="2"/>
  <c r="G622" i="2"/>
  <c r="Q622" i="2"/>
  <c r="R622" i="2"/>
  <c r="S622" i="2"/>
  <c r="T622" i="2"/>
  <c r="W622" i="2"/>
  <c r="AA622" i="2"/>
  <c r="D623" i="2"/>
  <c r="G623" i="2"/>
  <c r="L623" i="2"/>
  <c r="M623" i="2" s="1"/>
  <c r="N623" i="2" s="1"/>
  <c r="Z1183" i="2" s="1"/>
  <c r="Q623" i="2"/>
  <c r="R623" i="2"/>
  <c r="S623" i="2"/>
  <c r="T623" i="2"/>
  <c r="W623" i="2"/>
  <c r="AA623" i="2"/>
  <c r="D624" i="2"/>
  <c r="G624" i="2"/>
  <c r="Q624" i="2"/>
  <c r="R624" i="2"/>
  <c r="S624" i="2"/>
  <c r="T624" i="2"/>
  <c r="W624" i="2"/>
  <c r="AA624" i="2"/>
  <c r="D625" i="2"/>
  <c r="G625" i="2"/>
  <c r="Q625" i="2"/>
  <c r="R625" i="2"/>
  <c r="S625" i="2"/>
  <c r="T625" i="2"/>
  <c r="W625" i="2"/>
  <c r="AA625" i="2"/>
  <c r="D626" i="2"/>
  <c r="G626" i="2"/>
  <c r="L626" i="2"/>
  <c r="M626" i="2" s="1"/>
  <c r="N626" i="2" s="1"/>
  <c r="Q626" i="2"/>
  <c r="R626" i="2"/>
  <c r="S626" i="2"/>
  <c r="T626" i="2"/>
  <c r="W626" i="2"/>
  <c r="AA626" i="2"/>
  <c r="D627" i="2"/>
  <c r="G627" i="2"/>
  <c r="K627" i="2"/>
  <c r="O627" i="2"/>
  <c r="Q627" i="2"/>
  <c r="R627" i="2"/>
  <c r="S627" i="2"/>
  <c r="T627" i="2"/>
  <c r="W627" i="2"/>
  <c r="AA627" i="2"/>
  <c r="D628" i="2"/>
  <c r="G628" i="2"/>
  <c r="K628" i="2"/>
  <c r="L628" i="2" s="1"/>
  <c r="M628" i="2" s="1"/>
  <c r="N628" i="2" s="1"/>
  <c r="O628" i="2"/>
  <c r="Q628" i="2"/>
  <c r="R628" i="2"/>
  <c r="S628" i="2"/>
  <c r="T628" i="2"/>
  <c r="W628" i="2"/>
  <c r="AA628" i="2"/>
  <c r="D629" i="2"/>
  <c r="G629" i="2"/>
  <c r="L629" i="2"/>
  <c r="M629" i="2" s="1"/>
  <c r="N629" i="2" s="1"/>
  <c r="Q629" i="2"/>
  <c r="R629" i="2"/>
  <c r="S629" i="2"/>
  <c r="T629" i="2"/>
  <c r="W629" i="2"/>
  <c r="AA629" i="2"/>
  <c r="D630" i="2"/>
  <c r="G630" i="2"/>
  <c r="L630" i="2"/>
  <c r="M630" i="2" s="1"/>
  <c r="N630" i="2" s="1"/>
  <c r="O630" i="2"/>
  <c r="Q630" i="2"/>
  <c r="R630" i="2"/>
  <c r="S630" i="2"/>
  <c r="T630" i="2"/>
  <c r="W630" i="2"/>
  <c r="AA630" i="2"/>
  <c r="D631" i="2"/>
  <c r="G631" i="2"/>
  <c r="K631" i="2"/>
  <c r="L631" i="2" s="1"/>
  <c r="M631" i="2" s="1"/>
  <c r="N631" i="2" s="1"/>
  <c r="O631" i="2"/>
  <c r="Q631" i="2"/>
  <c r="R631" i="2"/>
  <c r="S631" i="2"/>
  <c r="T631" i="2"/>
  <c r="W631" i="2"/>
  <c r="AA631" i="2"/>
  <c r="D632" i="2"/>
  <c r="G632" i="2"/>
  <c r="K632" i="2"/>
  <c r="L632" i="2" s="1"/>
  <c r="M632" i="2" s="1"/>
  <c r="N632" i="2" s="1"/>
  <c r="O632" i="2"/>
  <c r="Q632" i="2"/>
  <c r="R632" i="2"/>
  <c r="S632" i="2"/>
  <c r="T632" i="2"/>
  <c r="W632" i="2"/>
  <c r="AA632" i="2"/>
  <c r="D633" i="2"/>
  <c r="G633" i="2"/>
  <c r="K633" i="2"/>
  <c r="L633" i="2" s="1"/>
  <c r="M633" i="2" s="1"/>
  <c r="N633" i="2" s="1"/>
  <c r="O633" i="2"/>
  <c r="Q633" i="2"/>
  <c r="R633" i="2"/>
  <c r="S633" i="2"/>
  <c r="T633" i="2"/>
  <c r="W633" i="2"/>
  <c r="AA633" i="2"/>
  <c r="D634" i="2"/>
  <c r="G634" i="2"/>
  <c r="L634" i="2"/>
  <c r="M634" i="2" s="1"/>
  <c r="N634" i="2" s="1"/>
  <c r="Q634" i="2"/>
  <c r="R634" i="2"/>
  <c r="S634" i="2"/>
  <c r="T634" i="2"/>
  <c r="W634" i="2"/>
  <c r="AA634" i="2"/>
  <c r="D635" i="2"/>
  <c r="G635" i="2"/>
  <c r="L635" i="2"/>
  <c r="M635" i="2" s="1"/>
  <c r="N635" i="2" s="1"/>
  <c r="Q635" i="2"/>
  <c r="R635" i="2"/>
  <c r="S635" i="2"/>
  <c r="T635" i="2"/>
  <c r="W635" i="2"/>
  <c r="AA635" i="2"/>
  <c r="D636" i="2"/>
  <c r="G636" i="2"/>
  <c r="L636" i="2"/>
  <c r="M636" i="2" s="1"/>
  <c r="N636" i="2" s="1"/>
  <c r="Q636" i="2"/>
  <c r="R636" i="2"/>
  <c r="S636" i="2"/>
  <c r="T636" i="2"/>
  <c r="W636" i="2"/>
  <c r="AA636" i="2"/>
  <c r="D637" i="2"/>
  <c r="G637" i="2"/>
  <c r="L637" i="2"/>
  <c r="M637" i="2" s="1"/>
  <c r="N637" i="2" s="1"/>
  <c r="Q637" i="2"/>
  <c r="R637" i="2"/>
  <c r="S637" i="2"/>
  <c r="T637" i="2"/>
  <c r="W637" i="2"/>
  <c r="AA637" i="2"/>
  <c r="D638" i="2"/>
  <c r="G638" i="2"/>
  <c r="L638" i="2"/>
  <c r="M638" i="2" s="1"/>
  <c r="N638" i="2" s="1"/>
  <c r="Q638" i="2"/>
  <c r="R638" i="2"/>
  <c r="S638" i="2"/>
  <c r="T638" i="2"/>
  <c r="W638" i="2"/>
  <c r="AA638" i="2"/>
  <c r="D639" i="2"/>
  <c r="G639" i="2"/>
  <c r="L639" i="2"/>
  <c r="M639" i="2" s="1"/>
  <c r="N639" i="2" s="1"/>
  <c r="Q639" i="2"/>
  <c r="R639" i="2"/>
  <c r="S639" i="2"/>
  <c r="T639" i="2"/>
  <c r="W639" i="2"/>
  <c r="AA639" i="2"/>
  <c r="D640" i="2"/>
  <c r="G640" i="2"/>
  <c r="M640" i="2"/>
  <c r="N640" i="2" s="1"/>
  <c r="Z1152" i="2" s="1"/>
  <c r="Q640" i="2"/>
  <c r="R640" i="2"/>
  <c r="S640" i="2"/>
  <c r="T640" i="2"/>
  <c r="W640" i="2"/>
  <c r="AA640" i="2"/>
  <c r="D641" i="2"/>
  <c r="G641" i="2"/>
  <c r="K641" i="2"/>
  <c r="M44" i="3" s="1"/>
  <c r="O641" i="2"/>
  <c r="Q641" i="2"/>
  <c r="R641" i="2"/>
  <c r="S641" i="2"/>
  <c r="T641" i="2"/>
  <c r="W641" i="2"/>
  <c r="AA641" i="2"/>
  <c r="S642" i="2"/>
  <c r="T642" i="2"/>
  <c r="L643" i="2"/>
  <c r="M643" i="2" s="1"/>
  <c r="N643" i="2" s="1"/>
  <c r="Q643" i="2"/>
  <c r="R643" i="2"/>
  <c r="S643" i="2"/>
  <c r="T643" i="2"/>
  <c r="W643" i="2"/>
  <c r="AA643" i="2"/>
  <c r="D644" i="2"/>
  <c r="G644" i="2"/>
  <c r="K644" i="2"/>
  <c r="L644" i="2" s="1"/>
  <c r="M644" i="2" s="1"/>
  <c r="N644" i="2" s="1"/>
  <c r="O644" i="2"/>
  <c r="Q644" i="2"/>
  <c r="R644" i="2"/>
  <c r="S644" i="2"/>
  <c r="T644" i="2"/>
  <c r="W644" i="2"/>
  <c r="AA644" i="2"/>
  <c r="D645" i="2"/>
  <c r="G645" i="2"/>
  <c r="K645" i="2"/>
  <c r="L645" i="2" s="1"/>
  <c r="M645" i="2" s="1"/>
  <c r="N645" i="2" s="1"/>
  <c r="O645" i="2"/>
  <c r="Q645" i="2"/>
  <c r="R645" i="2"/>
  <c r="S645" i="2"/>
  <c r="T645" i="2"/>
  <c r="W645" i="2"/>
  <c r="AA645" i="2"/>
  <c r="D646" i="2"/>
  <c r="G646" i="2"/>
  <c r="L646" i="2"/>
  <c r="M646" i="2" s="1"/>
  <c r="N646" i="2" s="1"/>
  <c r="Q646" i="2"/>
  <c r="R646" i="2"/>
  <c r="S646" i="2"/>
  <c r="T646" i="2"/>
  <c r="W646" i="2"/>
  <c r="AA646" i="2"/>
  <c r="D647" i="2"/>
  <c r="G647" i="2"/>
  <c r="L647" i="2"/>
  <c r="M647" i="2" s="1"/>
  <c r="N647" i="2" s="1"/>
  <c r="Q647" i="2"/>
  <c r="R647" i="2"/>
  <c r="S647" i="2"/>
  <c r="T647" i="2"/>
  <c r="W647" i="2"/>
  <c r="AA647" i="2"/>
  <c r="D648" i="2"/>
  <c r="G648" i="2"/>
  <c r="K648" i="2"/>
  <c r="L648" i="2" s="1"/>
  <c r="M648" i="2" s="1"/>
  <c r="N648" i="2" s="1"/>
  <c r="O648" i="2"/>
  <c r="Q648" i="2"/>
  <c r="R648" i="2"/>
  <c r="S648" i="2"/>
  <c r="T648" i="2"/>
  <c r="W648" i="2"/>
  <c r="AA648" i="2"/>
  <c r="D649" i="2"/>
  <c r="L649" i="2"/>
  <c r="M649" i="2" s="1"/>
  <c r="N649" i="2" s="1"/>
  <c r="Q649" i="2"/>
  <c r="R649" i="2"/>
  <c r="S649" i="2"/>
  <c r="T649" i="2"/>
  <c r="W649" i="2"/>
  <c r="AA649" i="2"/>
  <c r="D650" i="2"/>
  <c r="G650" i="2"/>
  <c r="L650" i="2"/>
  <c r="M650" i="2" s="1"/>
  <c r="N650" i="2" s="1"/>
  <c r="Q650" i="2"/>
  <c r="R650" i="2"/>
  <c r="S650" i="2"/>
  <c r="T650" i="2"/>
  <c r="W650" i="2"/>
  <c r="AA650" i="2"/>
  <c r="D651" i="2"/>
  <c r="G651" i="2"/>
  <c r="K651" i="2"/>
  <c r="L651" i="2" s="1"/>
  <c r="M651" i="2" s="1"/>
  <c r="N651" i="2" s="1"/>
  <c r="O651" i="2"/>
  <c r="Q651" i="2"/>
  <c r="R651" i="2"/>
  <c r="S651" i="2"/>
  <c r="T651" i="2"/>
  <c r="W651" i="2"/>
  <c r="AA651" i="2"/>
  <c r="D652" i="2"/>
  <c r="G652" i="2"/>
  <c r="L652" i="2"/>
  <c r="M652" i="2" s="1"/>
  <c r="N652" i="2" s="1"/>
  <c r="Q652" i="2"/>
  <c r="R652" i="2"/>
  <c r="S652" i="2"/>
  <c r="T652" i="2"/>
  <c r="W652" i="2"/>
  <c r="AA652" i="2"/>
  <c r="D653" i="2"/>
  <c r="L653" i="2"/>
  <c r="M653" i="2" s="1"/>
  <c r="N653" i="2" s="1"/>
  <c r="Q653" i="2"/>
  <c r="R653" i="2"/>
  <c r="S653" i="2"/>
  <c r="T653" i="2"/>
  <c r="W653" i="2"/>
  <c r="AA653" i="2"/>
  <c r="D654" i="2"/>
  <c r="G654" i="2"/>
  <c r="L654" i="2"/>
  <c r="M654" i="2" s="1"/>
  <c r="N654" i="2" s="1"/>
  <c r="Z1086" i="2" s="1"/>
  <c r="Q654" i="2"/>
  <c r="R654" i="2"/>
  <c r="S654" i="2"/>
  <c r="T654" i="2"/>
  <c r="W654" i="2"/>
  <c r="AA654" i="2"/>
  <c r="D655" i="2"/>
  <c r="G655" i="2"/>
  <c r="L655" i="2"/>
  <c r="M655" i="2" s="1"/>
  <c r="N655" i="2" s="1"/>
  <c r="Q655" i="2"/>
  <c r="R655" i="2"/>
  <c r="S655" i="2"/>
  <c r="T655" i="2"/>
  <c r="W655" i="2"/>
  <c r="AA655" i="2"/>
  <c r="Z702" i="2"/>
  <c r="S656" i="2"/>
  <c r="T656" i="2"/>
  <c r="D657" i="2"/>
  <c r="G657" i="2"/>
  <c r="L657" i="2"/>
  <c r="M657" i="2" s="1"/>
  <c r="N657" i="2" s="1"/>
  <c r="Z1196" i="2" s="1"/>
  <c r="Q657" i="2"/>
  <c r="R657" i="2"/>
  <c r="S657" i="2"/>
  <c r="T657" i="2"/>
  <c r="W657" i="2"/>
  <c r="AA657" i="2"/>
  <c r="D658" i="2"/>
  <c r="G658" i="2"/>
  <c r="L658" i="2"/>
  <c r="M658" i="2" s="1"/>
  <c r="N658" i="2" s="1"/>
  <c r="Z1071" i="2" s="1"/>
  <c r="Q658" i="2"/>
  <c r="R658" i="2"/>
  <c r="S658" i="2"/>
  <c r="T658" i="2"/>
  <c r="W658" i="2"/>
  <c r="AA658" i="2"/>
  <c r="D659" i="2"/>
  <c r="G659" i="2"/>
  <c r="L659" i="2"/>
  <c r="M659" i="2" s="1"/>
  <c r="N659" i="2" s="1"/>
  <c r="Q659" i="2"/>
  <c r="R659" i="2"/>
  <c r="S659" i="2"/>
  <c r="T659" i="2"/>
  <c r="W659" i="2"/>
  <c r="AA659" i="2"/>
  <c r="D660" i="2"/>
  <c r="G660" i="2"/>
  <c r="L660" i="2"/>
  <c r="M660" i="2" s="1"/>
  <c r="N660" i="2" s="1"/>
  <c r="Q660" i="2"/>
  <c r="R660" i="2"/>
  <c r="S660" i="2"/>
  <c r="T660" i="2"/>
  <c r="W660" i="2"/>
  <c r="AA660" i="2"/>
  <c r="D661" i="2"/>
  <c r="G661" i="2"/>
  <c r="L661" i="2"/>
  <c r="M661" i="2" s="1"/>
  <c r="N661" i="2" s="1"/>
  <c r="Q661" i="2"/>
  <c r="R661" i="2"/>
  <c r="S661" i="2"/>
  <c r="T661" i="2"/>
  <c r="W661" i="2"/>
  <c r="AA661" i="2"/>
  <c r="D662" i="2"/>
  <c r="G662" i="2"/>
  <c r="L662" i="2"/>
  <c r="M662" i="2" s="1"/>
  <c r="N662" i="2" s="1"/>
  <c r="Q662" i="2"/>
  <c r="R662" i="2"/>
  <c r="S662" i="2"/>
  <c r="T662" i="2"/>
  <c r="W662" i="2"/>
  <c r="AA662" i="2"/>
  <c r="D663" i="2"/>
  <c r="G663" i="2"/>
  <c r="L663" i="2"/>
  <c r="M663" i="2" s="1"/>
  <c r="N663" i="2" s="1"/>
  <c r="Q663" i="2"/>
  <c r="R663" i="2"/>
  <c r="S663" i="2"/>
  <c r="T663" i="2"/>
  <c r="W663" i="2"/>
  <c r="AA663" i="2"/>
  <c r="D664" i="2"/>
  <c r="G664" i="2"/>
  <c r="L664" i="2"/>
  <c r="M664" i="2" s="1"/>
  <c r="N664" i="2" s="1"/>
  <c r="Q664" i="2"/>
  <c r="R664" i="2"/>
  <c r="S664" i="2"/>
  <c r="T664" i="2"/>
  <c r="W664" i="2"/>
  <c r="AA664" i="2"/>
  <c r="D665" i="2"/>
  <c r="G665" i="2"/>
  <c r="K665" i="2"/>
  <c r="L665" i="2" s="1"/>
  <c r="M665" i="2" s="1"/>
  <c r="N665" i="2" s="1"/>
  <c r="O665" i="2"/>
  <c r="Q665" i="2"/>
  <c r="R665" i="2"/>
  <c r="S665" i="2"/>
  <c r="T665" i="2"/>
  <c r="W665" i="2"/>
  <c r="AA665" i="2"/>
  <c r="D666" i="2"/>
  <c r="G666" i="2"/>
  <c r="L666" i="2"/>
  <c r="M666" i="2" s="1"/>
  <c r="N666" i="2" s="1"/>
  <c r="Q666" i="2"/>
  <c r="R666" i="2"/>
  <c r="S666" i="2"/>
  <c r="T666" i="2"/>
  <c r="W666" i="2"/>
  <c r="AA666" i="2"/>
  <c r="D667" i="2"/>
  <c r="G667" i="2"/>
  <c r="K667" i="2"/>
  <c r="L667" i="2" s="1"/>
  <c r="M667" i="2" s="1"/>
  <c r="N667" i="2" s="1"/>
  <c r="O667" i="2"/>
  <c r="Q667" i="2"/>
  <c r="R667" i="2"/>
  <c r="S667" i="2"/>
  <c r="T667" i="2"/>
  <c r="W667" i="2"/>
  <c r="AA667" i="2"/>
  <c r="D668" i="2"/>
  <c r="G668" i="2"/>
  <c r="L668" i="2"/>
  <c r="M668" i="2" s="1"/>
  <c r="N668" i="2" s="1"/>
  <c r="O668" i="2"/>
  <c r="Q668" i="2"/>
  <c r="R668" i="2"/>
  <c r="S668" i="2"/>
  <c r="T668" i="2"/>
  <c r="W668" i="2"/>
  <c r="AA668" i="2"/>
  <c r="D669" i="2"/>
  <c r="G669" i="2"/>
  <c r="L669" i="2"/>
  <c r="M669" i="2" s="1"/>
  <c r="N669" i="2" s="1"/>
  <c r="Q669" i="2"/>
  <c r="R669" i="2"/>
  <c r="S669" i="2"/>
  <c r="T669" i="2"/>
  <c r="W669" i="2"/>
  <c r="AA669" i="2"/>
  <c r="D670" i="2"/>
  <c r="G670" i="2"/>
  <c r="L670" i="2"/>
  <c r="M670" i="2" s="1"/>
  <c r="N670" i="2" s="1"/>
  <c r="Q670" i="2"/>
  <c r="R670" i="2"/>
  <c r="S670" i="2"/>
  <c r="T670" i="2"/>
  <c r="W670" i="2"/>
  <c r="AA670" i="2"/>
  <c r="D671" i="2"/>
  <c r="G671" i="2"/>
  <c r="L671" i="2"/>
  <c r="M671" i="2" s="1"/>
  <c r="N671" i="2" s="1"/>
  <c r="Q671" i="2"/>
  <c r="R671" i="2"/>
  <c r="S671" i="2"/>
  <c r="T671" i="2"/>
  <c r="W671" i="2"/>
  <c r="AA671" i="2"/>
  <c r="D672" i="2"/>
  <c r="G672" i="2"/>
  <c r="K672" i="2"/>
  <c r="L672" i="2" s="1"/>
  <c r="M672" i="2" s="1"/>
  <c r="N672" i="2" s="1"/>
  <c r="O672" i="2"/>
  <c r="Q672" i="2"/>
  <c r="R672" i="2"/>
  <c r="S672" i="2"/>
  <c r="T672" i="2"/>
  <c r="W672" i="2"/>
  <c r="AA672" i="2"/>
  <c r="D673" i="2"/>
  <c r="G673" i="2"/>
  <c r="L673" i="2"/>
  <c r="M673" i="2" s="1"/>
  <c r="N673" i="2" s="1"/>
  <c r="Q673" i="2"/>
  <c r="R673" i="2"/>
  <c r="S673" i="2"/>
  <c r="T673" i="2"/>
  <c r="W673" i="2"/>
  <c r="AA673" i="2"/>
  <c r="D674" i="2"/>
  <c r="G674" i="2"/>
  <c r="L674" i="2"/>
  <c r="M674" i="2" s="1"/>
  <c r="N674" i="2" s="1"/>
  <c r="Q674" i="2"/>
  <c r="R674" i="2"/>
  <c r="S674" i="2"/>
  <c r="T674" i="2"/>
  <c r="W674" i="2"/>
  <c r="AA674" i="2"/>
  <c r="K608" i="2"/>
  <c r="O607" i="2"/>
  <c r="K607" i="2"/>
  <c r="O604" i="2"/>
  <c r="O602" i="2"/>
  <c r="O601" i="2"/>
  <c r="O600" i="2"/>
  <c r="O599" i="2"/>
  <c r="K599" i="2"/>
  <c r="K551" i="2"/>
  <c r="O9" i="21" l="1"/>
  <c r="P9" i="21" s="1"/>
  <c r="F9" i="21"/>
  <c r="O87" i="3"/>
  <c r="P87" i="3" s="1"/>
  <c r="F87" i="3"/>
  <c r="Z1174" i="2"/>
  <c r="O74" i="3"/>
  <c r="P74" i="3" s="1"/>
  <c r="F74" i="3"/>
  <c r="O62" i="3"/>
  <c r="P62" i="3" s="1"/>
  <c r="F62" i="3"/>
  <c r="F83" i="3"/>
  <c r="O83" i="3"/>
  <c r="P83" i="3" s="1"/>
  <c r="O51" i="3"/>
  <c r="P51" i="3" s="1"/>
  <c r="F51" i="3"/>
  <c r="Z1171" i="2"/>
  <c r="Z1173" i="2"/>
  <c r="Z1097" i="2"/>
  <c r="Z1114" i="2"/>
  <c r="Z1064" i="2"/>
  <c r="Z1105" i="2"/>
  <c r="Z1079" i="2"/>
  <c r="Z1100" i="2"/>
  <c r="Z955" i="2"/>
  <c r="Z1094" i="2"/>
  <c r="Z1091" i="2"/>
  <c r="Z1090" i="2"/>
  <c r="Z1074" i="2"/>
  <c r="Z1089" i="2"/>
  <c r="Z1088" i="2"/>
  <c r="Z1087" i="2"/>
  <c r="Z1008" i="2"/>
  <c r="Z1085" i="2"/>
  <c r="Z1084" i="2"/>
  <c r="Z942" i="2"/>
  <c r="Z1049" i="2"/>
  <c r="Z990" i="2"/>
  <c r="Z991" i="2"/>
  <c r="Z968" i="2"/>
  <c r="Z969" i="2"/>
  <c r="Z963" i="2"/>
  <c r="Z964" i="2"/>
  <c r="Z966" i="2"/>
  <c r="Z965" i="2"/>
  <c r="Z957" i="2"/>
  <c r="Z956" i="2"/>
  <c r="Z918" i="2"/>
  <c r="Z917" i="2"/>
  <c r="L641" i="2"/>
  <c r="M641" i="2" s="1"/>
  <c r="N641" i="2" s="1"/>
  <c r="P641" i="2" s="1"/>
  <c r="L627" i="2"/>
  <c r="M627" i="2" s="1"/>
  <c r="N627" i="2" s="1"/>
  <c r="P627" i="2" s="1"/>
  <c r="X664" i="2"/>
  <c r="X649" i="2"/>
  <c r="Z649" i="2"/>
  <c r="X648" i="2"/>
  <c r="X643" i="2"/>
  <c r="Y1094" i="2" s="1"/>
  <c r="Z643" i="2"/>
  <c r="X641" i="2"/>
  <c r="X634" i="2"/>
  <c r="Z634" i="2"/>
  <c r="X622" i="2"/>
  <c r="X621" i="2"/>
  <c r="X620" i="2"/>
  <c r="X619" i="2"/>
  <c r="X618" i="2"/>
  <c r="X617" i="2"/>
  <c r="X616" i="2"/>
  <c r="X615" i="2"/>
  <c r="X614" i="2"/>
  <c r="X667" i="2"/>
  <c r="X669" i="2"/>
  <c r="X661" i="2"/>
  <c r="X633" i="2"/>
  <c r="X629" i="2"/>
  <c r="X666" i="2"/>
  <c r="Z666" i="2"/>
  <c r="X658" i="2"/>
  <c r="Z658" i="2"/>
  <c r="X655" i="2"/>
  <c r="Z655" i="2"/>
  <c r="X647" i="2"/>
  <c r="Z647" i="2"/>
  <c r="X640" i="2"/>
  <c r="Y1152" i="2" s="1"/>
  <c r="Z640" i="2"/>
  <c r="X628" i="2"/>
  <c r="X672" i="2"/>
  <c r="X671" i="2"/>
  <c r="X663" i="2"/>
  <c r="X654" i="2"/>
  <c r="Y1086" i="2" s="1"/>
  <c r="Z654" i="2"/>
  <c r="X646" i="2"/>
  <c r="Z646" i="2"/>
  <c r="X639" i="2"/>
  <c r="X632" i="2"/>
  <c r="X660" i="2"/>
  <c r="X653" i="2"/>
  <c r="Z653" i="2"/>
  <c r="X652" i="2"/>
  <c r="Y1105" i="2" s="1"/>
  <c r="Z652" i="2"/>
  <c r="X645" i="2"/>
  <c r="X638" i="2"/>
  <c r="X627" i="2"/>
  <c r="X674" i="2"/>
  <c r="Z674" i="2"/>
  <c r="X673" i="2"/>
  <c r="Z673" i="2"/>
  <c r="X665" i="2"/>
  <c r="X657" i="2"/>
  <c r="Z657" i="2"/>
  <c r="X651" i="2"/>
  <c r="X637" i="2"/>
  <c r="X631" i="2"/>
  <c r="X668" i="2"/>
  <c r="X670" i="2"/>
  <c r="X662" i="2"/>
  <c r="X644" i="2"/>
  <c r="X636" i="2"/>
  <c r="X626" i="2"/>
  <c r="X659" i="2"/>
  <c r="X650" i="2"/>
  <c r="X635" i="2"/>
  <c r="X630" i="2"/>
  <c r="X625" i="2"/>
  <c r="X624" i="2"/>
  <c r="X623" i="2"/>
  <c r="Z623" i="2"/>
  <c r="P672" i="2"/>
  <c r="P673" i="2"/>
  <c r="P665" i="2"/>
  <c r="P669" i="2"/>
  <c r="P653" i="2"/>
  <c r="P668" i="2"/>
  <c r="P667" i="2"/>
  <c r="P666" i="2"/>
  <c r="P614" i="2"/>
  <c r="P637" i="2"/>
  <c r="P657" i="2"/>
  <c r="P655" i="2"/>
  <c r="P654" i="2"/>
  <c r="P646" i="2"/>
  <c r="P648" i="2"/>
  <c r="P634" i="2"/>
  <c r="P652" i="2"/>
  <c r="P650" i="2"/>
  <c r="P647" i="2"/>
  <c r="P638" i="2"/>
  <c r="P661" i="2"/>
  <c r="P660" i="2"/>
  <c r="P643" i="2"/>
  <c r="P640" i="2"/>
  <c r="P639" i="2"/>
  <c r="P635" i="2"/>
  <c r="P618" i="2"/>
  <c r="P617" i="2"/>
  <c r="P616" i="2"/>
  <c r="P651" i="2"/>
  <c r="P649" i="2"/>
  <c r="P671" i="2"/>
  <c r="P670" i="2"/>
  <c r="P636" i="2"/>
  <c r="P664" i="2"/>
  <c r="P631" i="2"/>
  <c r="P623" i="2"/>
  <c r="P621" i="2"/>
  <c r="P620" i="2"/>
  <c r="P632" i="2"/>
  <c r="P628" i="2"/>
  <c r="P624" i="2"/>
  <c r="P622" i="2"/>
  <c r="P663" i="2"/>
  <c r="P662" i="2"/>
  <c r="P644" i="2"/>
  <c r="P619" i="2"/>
  <c r="P674" i="2"/>
  <c r="P659" i="2"/>
  <c r="P658" i="2"/>
  <c r="P645" i="2"/>
  <c r="P633" i="2"/>
  <c r="P630" i="2"/>
  <c r="P629" i="2"/>
  <c r="P626" i="2"/>
  <c r="P625" i="2"/>
  <c r="P615" i="2"/>
  <c r="K593" i="2"/>
  <c r="Y1114" i="2" l="1"/>
  <c r="Y1196" i="2"/>
  <c r="Y1173" i="2"/>
  <c r="Y1183" i="2"/>
  <c r="Y1100" i="2"/>
  <c r="Y1174" i="2"/>
  <c r="Y623" i="2"/>
  <c r="Y1171" i="2"/>
  <c r="Y657" i="2"/>
  <c r="Y1097" i="2"/>
  <c r="Y1089" i="2"/>
  <c r="Y1091" i="2"/>
  <c r="Y1090" i="2"/>
  <c r="Y655" i="2"/>
  <c r="Y1088" i="2"/>
  <c r="Y1087" i="2"/>
  <c r="Y1085" i="2"/>
  <c r="Y1084" i="2"/>
  <c r="Y673" i="2"/>
  <c r="Y1079" i="2"/>
  <c r="Y666" i="2"/>
  <c r="Y1074" i="2"/>
  <c r="Y1049" i="2"/>
  <c r="Y1071" i="2"/>
  <c r="Y652" i="2"/>
  <c r="Y1064" i="2"/>
  <c r="Y674" i="2"/>
  <c r="Y1008" i="2"/>
  <c r="Y991" i="2"/>
  <c r="Y990" i="2"/>
  <c r="Y654" i="2"/>
  <c r="Y969" i="2"/>
  <c r="Y968" i="2"/>
  <c r="Y964" i="2"/>
  <c r="Y963" i="2"/>
  <c r="Y640" i="2"/>
  <c r="Y966" i="2"/>
  <c r="Y965" i="2"/>
  <c r="Y653" i="2"/>
  <c r="Y957" i="2"/>
  <c r="Y956" i="2"/>
  <c r="Y643" i="2"/>
  <c r="Y955" i="2"/>
  <c r="Y658" i="2"/>
  <c r="Y942" i="2"/>
  <c r="Y918" i="2"/>
  <c r="Y917" i="2"/>
  <c r="Y702" i="2"/>
  <c r="Y647" i="2"/>
  <c r="Y646" i="2"/>
  <c r="O593" i="2"/>
  <c r="O521" i="2"/>
  <c r="D603" i="2"/>
  <c r="G603" i="2"/>
  <c r="L603" i="2"/>
  <c r="M603" i="2" s="1"/>
  <c r="N603" i="2" s="1"/>
  <c r="O603" i="2"/>
  <c r="Q603" i="2"/>
  <c r="R603" i="2"/>
  <c r="S603" i="2"/>
  <c r="T603" i="2"/>
  <c r="W603" i="2"/>
  <c r="AA603" i="2"/>
  <c r="D604" i="2"/>
  <c r="G604" i="2"/>
  <c r="L604" i="2"/>
  <c r="M604" i="2" s="1"/>
  <c r="N604" i="2" s="1"/>
  <c r="Q604" i="2"/>
  <c r="R604" i="2"/>
  <c r="S604" i="2"/>
  <c r="T604" i="2"/>
  <c r="W604" i="2"/>
  <c r="AA604" i="2"/>
  <c r="D605" i="2"/>
  <c r="G605" i="2"/>
  <c r="K605" i="2"/>
  <c r="L605" i="2" s="1"/>
  <c r="M605" i="2" s="1"/>
  <c r="N605" i="2" s="1"/>
  <c r="O605" i="2"/>
  <c r="Q605" i="2"/>
  <c r="R605" i="2"/>
  <c r="S605" i="2"/>
  <c r="T605" i="2"/>
  <c r="W605" i="2"/>
  <c r="AA605" i="2"/>
  <c r="D606" i="2"/>
  <c r="G606" i="2"/>
  <c r="K606" i="2"/>
  <c r="L606" i="2" s="1"/>
  <c r="M606" i="2" s="1"/>
  <c r="N606" i="2" s="1"/>
  <c r="O606" i="2"/>
  <c r="Q606" i="2"/>
  <c r="R606" i="2"/>
  <c r="S606" i="2"/>
  <c r="T606" i="2"/>
  <c r="W606" i="2"/>
  <c r="AA606" i="2"/>
  <c r="D607" i="2"/>
  <c r="G607" i="2"/>
  <c r="L607" i="2"/>
  <c r="M607" i="2" s="1"/>
  <c r="N607" i="2" s="1"/>
  <c r="Q607" i="2"/>
  <c r="R607" i="2"/>
  <c r="S607" i="2"/>
  <c r="T607" i="2"/>
  <c r="W607" i="2"/>
  <c r="AA607" i="2"/>
  <c r="D608" i="2"/>
  <c r="G608" i="2"/>
  <c r="L608" i="2"/>
  <c r="M608" i="2" s="1"/>
  <c r="N608" i="2" s="1"/>
  <c r="Q608" i="2"/>
  <c r="R608" i="2"/>
  <c r="S608" i="2"/>
  <c r="T608" i="2"/>
  <c r="W608" i="2"/>
  <c r="AA608" i="2"/>
  <c r="D609" i="2"/>
  <c r="G609" i="2"/>
  <c r="L609" i="2"/>
  <c r="M609" i="2" s="1"/>
  <c r="N609" i="2" s="1"/>
  <c r="Q609" i="2"/>
  <c r="R609" i="2"/>
  <c r="S609" i="2"/>
  <c r="T609" i="2"/>
  <c r="W609" i="2"/>
  <c r="AA609" i="2"/>
  <c r="D610" i="2"/>
  <c r="G610" i="2"/>
  <c r="L610" i="2"/>
  <c r="M610" i="2" s="1"/>
  <c r="N610" i="2" s="1"/>
  <c r="Q610" i="2"/>
  <c r="R610" i="2"/>
  <c r="S610" i="2"/>
  <c r="T610" i="2"/>
  <c r="W610" i="2"/>
  <c r="AA610" i="2"/>
  <c r="D611" i="2"/>
  <c r="G611" i="2"/>
  <c r="L611" i="2"/>
  <c r="M611" i="2" s="1"/>
  <c r="N611" i="2" s="1"/>
  <c r="Q611" i="2"/>
  <c r="R611" i="2"/>
  <c r="S611" i="2"/>
  <c r="T611" i="2"/>
  <c r="W611" i="2"/>
  <c r="AA611" i="2"/>
  <c r="D612" i="2"/>
  <c r="G612" i="2"/>
  <c r="L612" i="2"/>
  <c r="M612" i="2" s="1"/>
  <c r="N612" i="2" s="1"/>
  <c r="Q612" i="2"/>
  <c r="R612" i="2"/>
  <c r="S612" i="2"/>
  <c r="T612" i="2"/>
  <c r="W612" i="2"/>
  <c r="AA612" i="2"/>
  <c r="D613" i="2"/>
  <c r="G613" i="2"/>
  <c r="L613" i="2"/>
  <c r="M613" i="2" s="1"/>
  <c r="N613" i="2" s="1"/>
  <c r="Q613" i="2"/>
  <c r="R613" i="2"/>
  <c r="S613" i="2"/>
  <c r="T613" i="2"/>
  <c r="W613" i="2"/>
  <c r="AA613" i="2"/>
  <c r="D594" i="2"/>
  <c r="G594" i="2"/>
  <c r="L594" i="2"/>
  <c r="M594" i="2" s="1"/>
  <c r="N594" i="2" s="1"/>
  <c r="O594" i="2"/>
  <c r="Q594" i="2"/>
  <c r="R594" i="2"/>
  <c r="S594" i="2"/>
  <c r="T594" i="2"/>
  <c r="W594" i="2"/>
  <c r="AA594" i="2"/>
  <c r="D595" i="2"/>
  <c r="G595" i="2"/>
  <c r="L595" i="2"/>
  <c r="Q595" i="2"/>
  <c r="R595" i="2"/>
  <c r="S595" i="2"/>
  <c r="T595" i="2"/>
  <c r="W595" i="2"/>
  <c r="AA595" i="2"/>
  <c r="D596" i="2"/>
  <c r="G596" i="2"/>
  <c r="L596" i="2"/>
  <c r="M596" i="2" s="1"/>
  <c r="N596" i="2" s="1"/>
  <c r="Z1095" i="2" s="1"/>
  <c r="Q596" i="2"/>
  <c r="R596" i="2"/>
  <c r="S596" i="2"/>
  <c r="T596" i="2"/>
  <c r="W596" i="2"/>
  <c r="AA596" i="2"/>
  <c r="L597" i="2"/>
  <c r="M597" i="2" s="1"/>
  <c r="N597" i="2" s="1"/>
  <c r="X597" i="2"/>
  <c r="Y1187" i="2" s="1"/>
  <c r="D598" i="2"/>
  <c r="G598" i="2"/>
  <c r="K598" i="2"/>
  <c r="L598" i="2" s="1"/>
  <c r="M598" i="2" s="1"/>
  <c r="N598" i="2" s="1"/>
  <c r="O598" i="2"/>
  <c r="Q598" i="2"/>
  <c r="R598" i="2"/>
  <c r="S598" i="2"/>
  <c r="T598" i="2"/>
  <c r="W598" i="2"/>
  <c r="AA598" i="2"/>
  <c r="D599" i="2"/>
  <c r="G599" i="2"/>
  <c r="L599" i="2"/>
  <c r="M599" i="2" s="1"/>
  <c r="N599" i="2" s="1"/>
  <c r="Q599" i="2"/>
  <c r="R599" i="2"/>
  <c r="S599" i="2"/>
  <c r="T599" i="2"/>
  <c r="W599" i="2"/>
  <c r="AA599" i="2"/>
  <c r="D600" i="2"/>
  <c r="K600" i="2"/>
  <c r="L600" i="2" s="1"/>
  <c r="M600" i="2" s="1"/>
  <c r="N600" i="2" s="1"/>
  <c r="Q600" i="2"/>
  <c r="R600" i="2"/>
  <c r="S600" i="2"/>
  <c r="T600" i="2"/>
  <c r="W600" i="2"/>
  <c r="AA600" i="2"/>
  <c r="D601" i="2"/>
  <c r="L601" i="2"/>
  <c r="M601" i="2" s="1"/>
  <c r="N601" i="2" s="1"/>
  <c r="Q601" i="2"/>
  <c r="R601" i="2"/>
  <c r="S601" i="2"/>
  <c r="T601" i="2"/>
  <c r="W601" i="2"/>
  <c r="AA601" i="2"/>
  <c r="D602" i="2"/>
  <c r="G602" i="2"/>
  <c r="L602" i="2"/>
  <c r="M602" i="2" s="1"/>
  <c r="N602" i="2" s="1"/>
  <c r="Q602" i="2"/>
  <c r="R602" i="2"/>
  <c r="S602" i="2"/>
  <c r="T602" i="2"/>
  <c r="W602" i="2"/>
  <c r="AA602" i="2"/>
  <c r="Z1175" i="2" l="1"/>
  <c r="Z1187" i="2"/>
  <c r="Y1065" i="2"/>
  <c r="Y1175" i="2"/>
  <c r="Z597" i="2"/>
  <c r="Z1065" i="2"/>
  <c r="Z808" i="2"/>
  <c r="Z948" i="2"/>
  <c r="X599" i="2"/>
  <c r="X606" i="2"/>
  <c r="X598" i="2"/>
  <c r="X613" i="2"/>
  <c r="X601" i="2"/>
  <c r="X612" i="2"/>
  <c r="X605" i="2"/>
  <c r="X600" i="2"/>
  <c r="X611" i="2"/>
  <c r="X610" i="2"/>
  <c r="X604" i="2"/>
  <c r="X596" i="2"/>
  <c r="Z596" i="2"/>
  <c r="X609" i="2"/>
  <c r="X603" i="2"/>
  <c r="X595" i="2"/>
  <c r="Y1115" i="2" s="1"/>
  <c r="X608" i="2"/>
  <c r="X602" i="2"/>
  <c r="X594" i="2"/>
  <c r="X607" i="2"/>
  <c r="P604" i="2"/>
  <c r="Y597" i="2"/>
  <c r="M595" i="2"/>
  <c r="N595" i="2" s="1"/>
  <c r="P608" i="2"/>
  <c r="P612" i="2"/>
  <c r="P613" i="2"/>
  <c r="P597" i="2"/>
  <c r="P600" i="2"/>
  <c r="P596" i="2"/>
  <c r="P609" i="2"/>
  <c r="P605" i="2"/>
  <c r="P601" i="2"/>
  <c r="P606" i="2"/>
  <c r="P602" i="2"/>
  <c r="P598" i="2"/>
  <c r="P594" i="2"/>
  <c r="P610" i="2"/>
  <c r="P599" i="2"/>
  <c r="P611" i="2"/>
  <c r="P607" i="2"/>
  <c r="P603" i="2"/>
  <c r="O590" i="2"/>
  <c r="K590" i="2"/>
  <c r="Z1115" i="2" l="1"/>
  <c r="O63" i="3"/>
  <c r="P63" i="3" s="1"/>
  <c r="F63" i="3"/>
  <c r="Y948" i="2"/>
  <c r="Y1095" i="2"/>
  <c r="Y595" i="2"/>
  <c r="Y945" i="2"/>
  <c r="Y944" i="2"/>
  <c r="Z944" i="2"/>
  <c r="Z945" i="2"/>
  <c r="Y596" i="2"/>
  <c r="Y808" i="2"/>
  <c r="P595" i="2"/>
  <c r="Z595" i="2"/>
  <c r="O588" i="2"/>
  <c r="O524" i="2" l="1"/>
  <c r="O587" i="2"/>
  <c r="K587" i="2"/>
  <c r="O584" i="2" l="1"/>
  <c r="K584" i="2"/>
  <c r="L584" i="2" s="1"/>
  <c r="M584" i="2" s="1"/>
  <c r="N584" i="2" s="1"/>
  <c r="D584" i="2"/>
  <c r="G584" i="2"/>
  <c r="Q584" i="2"/>
  <c r="R584" i="2"/>
  <c r="S584" i="2"/>
  <c r="T584" i="2"/>
  <c r="W584" i="2"/>
  <c r="AA584" i="2"/>
  <c r="D585" i="2"/>
  <c r="G585" i="2"/>
  <c r="K585" i="2"/>
  <c r="L585" i="2" s="1"/>
  <c r="M585" i="2" s="1"/>
  <c r="N585" i="2" s="1"/>
  <c r="O585" i="2"/>
  <c r="Q585" i="2"/>
  <c r="R585" i="2"/>
  <c r="S585" i="2"/>
  <c r="T585" i="2"/>
  <c r="W585" i="2"/>
  <c r="AA585" i="2"/>
  <c r="D586" i="2"/>
  <c r="G586" i="2"/>
  <c r="L586" i="2"/>
  <c r="M586" i="2" s="1"/>
  <c r="N586" i="2" s="1"/>
  <c r="O586" i="2"/>
  <c r="Q586" i="2"/>
  <c r="R586" i="2"/>
  <c r="S586" i="2"/>
  <c r="T586" i="2"/>
  <c r="W586" i="2"/>
  <c r="AA586" i="2"/>
  <c r="D587" i="2"/>
  <c r="G587" i="2"/>
  <c r="L587" i="2"/>
  <c r="M587" i="2" s="1"/>
  <c r="N587" i="2" s="1"/>
  <c r="Q587" i="2"/>
  <c r="R587" i="2"/>
  <c r="S587" i="2"/>
  <c r="T587" i="2"/>
  <c r="W587" i="2"/>
  <c r="AA587" i="2"/>
  <c r="D588" i="2"/>
  <c r="G588" i="2"/>
  <c r="L588" i="2"/>
  <c r="M588" i="2" s="1"/>
  <c r="N588" i="2" s="1"/>
  <c r="Q588" i="2"/>
  <c r="R588" i="2"/>
  <c r="S588" i="2"/>
  <c r="T588" i="2"/>
  <c r="W588" i="2"/>
  <c r="AA588" i="2"/>
  <c r="D589" i="2"/>
  <c r="G589" i="2"/>
  <c r="L589" i="2"/>
  <c r="M589" i="2" s="1"/>
  <c r="N589" i="2" s="1"/>
  <c r="Q589" i="2"/>
  <c r="R589" i="2"/>
  <c r="S589" i="2"/>
  <c r="T589" i="2"/>
  <c r="W589" i="2"/>
  <c r="AA589" i="2"/>
  <c r="D590" i="2"/>
  <c r="G590" i="2"/>
  <c r="L590" i="2"/>
  <c r="M590" i="2" s="1"/>
  <c r="N590" i="2" s="1"/>
  <c r="Q590" i="2"/>
  <c r="R590" i="2"/>
  <c r="S590" i="2"/>
  <c r="T590" i="2"/>
  <c r="W590" i="2"/>
  <c r="AA590" i="2"/>
  <c r="D591" i="2"/>
  <c r="G591" i="2"/>
  <c r="L591" i="2"/>
  <c r="M591" i="2" s="1"/>
  <c r="N591" i="2" s="1"/>
  <c r="Z1154" i="2" s="1"/>
  <c r="Q591" i="2"/>
  <c r="R591" i="2"/>
  <c r="S591" i="2"/>
  <c r="T591" i="2"/>
  <c r="W591" i="2"/>
  <c r="AA591" i="2"/>
  <c r="D592" i="2"/>
  <c r="G592" i="2"/>
  <c r="L592" i="2"/>
  <c r="M592" i="2" s="1"/>
  <c r="N592" i="2" s="1"/>
  <c r="Q592" i="2"/>
  <c r="R592" i="2"/>
  <c r="S592" i="2"/>
  <c r="T592" i="2"/>
  <c r="W592" i="2"/>
  <c r="AA592" i="2"/>
  <c r="D593" i="2"/>
  <c r="G593" i="2"/>
  <c r="L593" i="2"/>
  <c r="M593" i="2" s="1"/>
  <c r="N593" i="2" s="1"/>
  <c r="Q593" i="2"/>
  <c r="R593" i="2"/>
  <c r="S593" i="2"/>
  <c r="T593" i="2"/>
  <c r="W593" i="2"/>
  <c r="AA593" i="2"/>
  <c r="O580" i="2"/>
  <c r="O579" i="2"/>
  <c r="K579" i="2"/>
  <c r="O578" i="2"/>
  <c r="O577" i="2"/>
  <c r="K577" i="2"/>
  <c r="O69" i="3" l="1"/>
  <c r="P69" i="3" s="1"/>
  <c r="F69" i="3"/>
  <c r="Z1128" i="2"/>
  <c r="Z1153" i="2"/>
  <c r="Z1063" i="2"/>
  <c r="Z1062" i="2"/>
  <c r="Z1041" i="2"/>
  <c r="Z1040" i="2"/>
  <c r="X589" i="2"/>
  <c r="Z589" i="2"/>
  <c r="X588" i="2"/>
  <c r="X587" i="2"/>
  <c r="X586" i="2"/>
  <c r="X593" i="2"/>
  <c r="X592" i="2"/>
  <c r="Y1153" i="2" s="1"/>
  <c r="Z592" i="2"/>
  <c r="X585" i="2"/>
  <c r="X591" i="2"/>
  <c r="Y1154" i="2" s="1"/>
  <c r="Z591" i="2"/>
  <c r="X590" i="2"/>
  <c r="X584" i="2"/>
  <c r="P584" i="2"/>
  <c r="P585" i="2"/>
  <c r="P589" i="2"/>
  <c r="P593" i="2"/>
  <c r="P586" i="2"/>
  <c r="P591" i="2"/>
  <c r="P587" i="2"/>
  <c r="P590" i="2"/>
  <c r="P592" i="2"/>
  <c r="P588" i="2"/>
  <c r="O519" i="2"/>
  <c r="Y592" i="2" l="1"/>
  <c r="Y1128" i="2"/>
  <c r="Y591" i="2"/>
  <c r="Y1063" i="2"/>
  <c r="Y1062" i="2"/>
  <c r="Y589" i="2"/>
  <c r="Y1040" i="2"/>
  <c r="Y1041" i="2"/>
  <c r="O566" i="2"/>
  <c r="D353" i="2" l="1"/>
  <c r="D352" i="2"/>
  <c r="D351" i="2"/>
  <c r="D308" i="2"/>
  <c r="D354" i="2"/>
  <c r="D355" i="2"/>
  <c r="D453" i="2"/>
  <c r="D454" i="2"/>
  <c r="D506" i="2"/>
  <c r="D507" i="2"/>
  <c r="D508" i="2"/>
  <c r="D509" i="2"/>
  <c r="Q176" i="2"/>
  <c r="L176" i="2"/>
  <c r="M176" i="2" s="1"/>
  <c r="N176" i="2" s="1"/>
  <c r="P176" i="2" s="1"/>
  <c r="D176" i="2"/>
  <c r="D425" i="2"/>
  <c r="D491" i="2"/>
  <c r="D492" i="2"/>
  <c r="D493" i="2"/>
  <c r="AA151" i="2"/>
  <c r="AA302" i="2"/>
  <c r="AA305" i="2"/>
  <c r="AA433" i="2"/>
  <c r="AA434" i="2"/>
  <c r="AA451" i="2"/>
  <c r="W451" i="2"/>
  <c r="W434" i="2"/>
  <c r="W433" i="2"/>
  <c r="R151" i="2"/>
  <c r="R302" i="2"/>
  <c r="R305" i="2"/>
  <c r="R433" i="2"/>
  <c r="R434" i="2"/>
  <c r="R451" i="2"/>
  <c r="Q151" i="2"/>
  <c r="Q302" i="2"/>
  <c r="Q305" i="2"/>
  <c r="Q433" i="2"/>
  <c r="Q434" i="2"/>
  <c r="Q451" i="2"/>
  <c r="D151" i="2"/>
  <c r="D302" i="2"/>
  <c r="D305" i="2"/>
  <c r="D433" i="2"/>
  <c r="D434" i="2"/>
  <c r="D451" i="2"/>
  <c r="O294" i="2"/>
  <c r="O295" i="2"/>
  <c r="O296" i="2"/>
  <c r="O297" i="2"/>
  <c r="R294" i="2"/>
  <c r="R295" i="2"/>
  <c r="R296" i="2"/>
  <c r="R297" i="2"/>
  <c r="Q294" i="2"/>
  <c r="Q295" i="2"/>
  <c r="Q296" i="2"/>
  <c r="Q297" i="2"/>
  <c r="D294" i="2"/>
  <c r="D295" i="2"/>
  <c r="D296" i="2"/>
  <c r="D297" i="2"/>
  <c r="AA274" i="2"/>
  <c r="AA275" i="2"/>
  <c r="AA276" i="2"/>
  <c r="AA441" i="2"/>
  <c r="W274" i="2"/>
  <c r="W275" i="2"/>
  <c r="W276" i="2"/>
  <c r="W441" i="2"/>
  <c r="R274" i="2"/>
  <c r="R275" i="2"/>
  <c r="R276" i="2"/>
  <c r="R441" i="2"/>
  <c r="Q274" i="2"/>
  <c r="Q275" i="2"/>
  <c r="Q276" i="2"/>
  <c r="Q441" i="2"/>
  <c r="G274" i="2"/>
  <c r="G275" i="2"/>
  <c r="G276" i="2"/>
  <c r="G441" i="2"/>
  <c r="D274" i="2"/>
  <c r="D275" i="2"/>
  <c r="D276" i="2"/>
  <c r="D441" i="2"/>
  <c r="D139" i="2"/>
  <c r="G139" i="2"/>
  <c r="K139" i="2"/>
  <c r="L139" i="2" s="1"/>
  <c r="M139" i="2" s="1"/>
  <c r="N139" i="2" s="1"/>
  <c r="O139" i="2"/>
  <c r="Q139" i="2"/>
  <c r="R139" i="2"/>
  <c r="W139" i="2"/>
  <c r="X137" i="2"/>
  <c r="K138" i="2"/>
  <c r="L138" i="2" s="1"/>
  <c r="M138" i="2" s="1"/>
  <c r="N138" i="2" s="1"/>
  <c r="O138" i="2"/>
  <c r="L137" i="2"/>
  <c r="M137" i="2" s="1"/>
  <c r="N137" i="2" s="1"/>
  <c r="P137" i="2" s="1"/>
  <c r="W437" i="2"/>
  <c r="W435" i="2"/>
  <c r="R437" i="2"/>
  <c r="R435" i="2"/>
  <c r="R204" i="2"/>
  <c r="Q437" i="2"/>
  <c r="Q435" i="2"/>
  <c r="Q204" i="2"/>
  <c r="G437" i="2"/>
  <c r="G435" i="2"/>
  <c r="G204" i="2"/>
  <c r="D437" i="2"/>
  <c r="D435" i="2"/>
  <c r="D204" i="2"/>
  <c r="R138" i="2"/>
  <c r="R137" i="2"/>
  <c r="Q138" i="2"/>
  <c r="Q137" i="2"/>
  <c r="G138" i="2"/>
  <c r="G137" i="2"/>
  <c r="D138" i="2"/>
  <c r="D137" i="2"/>
  <c r="O557" i="2"/>
  <c r="AA167" i="2"/>
  <c r="AA356" i="2"/>
  <c r="AA357" i="2"/>
  <c r="AA358" i="2"/>
  <c r="D167" i="2"/>
  <c r="Q167" i="2"/>
  <c r="R167" i="2"/>
  <c r="W358" i="2"/>
  <c r="W357" i="2"/>
  <c r="W356" i="2"/>
  <c r="R356" i="2"/>
  <c r="R357" i="2"/>
  <c r="R358" i="2"/>
  <c r="Q356" i="2"/>
  <c r="Q357" i="2"/>
  <c r="Q358" i="2"/>
  <c r="G356" i="2"/>
  <c r="G357" i="2"/>
  <c r="G358" i="2"/>
  <c r="D356" i="2"/>
  <c r="D357" i="2"/>
  <c r="D358" i="2"/>
  <c r="AA432" i="2"/>
  <c r="W432" i="2"/>
  <c r="R432" i="2"/>
  <c r="Q432" i="2"/>
  <c r="G432" i="2"/>
  <c r="D432" i="2"/>
  <c r="AA165" i="2"/>
  <c r="T165" i="2"/>
  <c r="S165" i="2"/>
  <c r="R165" i="2"/>
  <c r="Q165" i="2"/>
  <c r="D165" i="2"/>
  <c r="W456" i="2"/>
  <c r="W192" i="2"/>
  <c r="W175" i="2"/>
  <c r="W147" i="2"/>
  <c r="Q456" i="2"/>
  <c r="Q192" i="2"/>
  <c r="Q175" i="2"/>
  <c r="Q147" i="2"/>
  <c r="D456" i="2"/>
  <c r="D192" i="2"/>
  <c r="D175" i="2"/>
  <c r="D147" i="2"/>
  <c r="Q506" i="2"/>
  <c r="R506" i="2"/>
  <c r="X559" i="2"/>
  <c r="W506" i="2"/>
  <c r="W507" i="2"/>
  <c r="W508" i="2"/>
  <c r="W509" i="2"/>
  <c r="X508" i="2" l="1"/>
  <c r="X507" i="2"/>
  <c r="X506" i="2"/>
  <c r="X192" i="2"/>
  <c r="X456" i="2"/>
  <c r="X147" i="2"/>
  <c r="X509" i="2"/>
  <c r="X175" i="2"/>
  <c r="X139" i="2"/>
  <c r="P139" i="2"/>
  <c r="P138" i="2"/>
  <c r="O447" i="2" l="1"/>
  <c r="D559" i="2"/>
  <c r="L559" i="2"/>
  <c r="M559" i="2" s="1"/>
  <c r="N559" i="2" s="1"/>
  <c r="P559" i="2" s="1"/>
  <c r="Q559" i="2"/>
  <c r="R559" i="2"/>
  <c r="S559" i="2"/>
  <c r="T559" i="2"/>
  <c r="W559" i="2"/>
  <c r="AA559" i="2"/>
  <c r="D560" i="2"/>
  <c r="G560" i="2"/>
  <c r="L560" i="2"/>
  <c r="M560" i="2" s="1"/>
  <c r="N560" i="2" s="1"/>
  <c r="Q560" i="2"/>
  <c r="R560" i="2"/>
  <c r="S560" i="2"/>
  <c r="T560" i="2"/>
  <c r="W560" i="2"/>
  <c r="AA560" i="2"/>
  <c r="D561" i="2"/>
  <c r="G561" i="2"/>
  <c r="L561" i="2"/>
  <c r="M561" i="2" s="1"/>
  <c r="N561" i="2" s="1"/>
  <c r="Q561" i="2"/>
  <c r="R561" i="2"/>
  <c r="S561" i="2"/>
  <c r="T561" i="2"/>
  <c r="W561" i="2"/>
  <c r="AA561" i="2"/>
  <c r="D562" i="2"/>
  <c r="L562" i="2"/>
  <c r="M562" i="2" s="1"/>
  <c r="N562" i="2" s="1"/>
  <c r="Q562" i="2"/>
  <c r="R562" i="2"/>
  <c r="S562" i="2"/>
  <c r="T562" i="2"/>
  <c r="W562" i="2"/>
  <c r="AA562" i="2"/>
  <c r="D563" i="2"/>
  <c r="G563" i="2"/>
  <c r="L563" i="2"/>
  <c r="M563" i="2" s="1"/>
  <c r="N563" i="2" s="1"/>
  <c r="Q563" i="2"/>
  <c r="R563" i="2"/>
  <c r="S563" i="2"/>
  <c r="T563" i="2"/>
  <c r="W563" i="2"/>
  <c r="AA563" i="2"/>
  <c r="D564" i="2"/>
  <c r="G564" i="2"/>
  <c r="L564" i="2"/>
  <c r="M564" i="2" s="1"/>
  <c r="N564" i="2" s="1"/>
  <c r="Q564" i="2"/>
  <c r="R564" i="2"/>
  <c r="S564" i="2"/>
  <c r="T564" i="2"/>
  <c r="W564" i="2"/>
  <c r="AA564" i="2"/>
  <c r="D565" i="2"/>
  <c r="G565" i="2"/>
  <c r="L565" i="2"/>
  <c r="M565" i="2" s="1"/>
  <c r="N565" i="2" s="1"/>
  <c r="Q565" i="2"/>
  <c r="R565" i="2"/>
  <c r="S565" i="2"/>
  <c r="T565" i="2"/>
  <c r="W565" i="2"/>
  <c r="AA565" i="2"/>
  <c r="D566" i="2"/>
  <c r="G566" i="2"/>
  <c r="K566" i="2"/>
  <c r="M57" i="3" s="1"/>
  <c r="Q566" i="2"/>
  <c r="R566" i="2"/>
  <c r="S566" i="2"/>
  <c r="T566" i="2"/>
  <c r="W566" i="2"/>
  <c r="AA566" i="2"/>
  <c r="D567" i="2"/>
  <c r="G567" i="2"/>
  <c r="K567" i="2"/>
  <c r="M45" i="3" s="1"/>
  <c r="O567" i="2"/>
  <c r="Q567" i="2"/>
  <c r="R567" i="2"/>
  <c r="S567" i="2"/>
  <c r="T567" i="2"/>
  <c r="W567" i="2"/>
  <c r="AA567" i="2"/>
  <c r="D568" i="2"/>
  <c r="G568" i="2"/>
  <c r="L568" i="2"/>
  <c r="M568" i="2" s="1"/>
  <c r="N568" i="2" s="1"/>
  <c r="O568" i="2"/>
  <c r="Q568" i="2"/>
  <c r="R568" i="2"/>
  <c r="S568" i="2"/>
  <c r="T568" i="2"/>
  <c r="W568" i="2"/>
  <c r="AA568" i="2"/>
  <c r="S569" i="2"/>
  <c r="T569" i="2"/>
  <c r="D570" i="2"/>
  <c r="G570" i="2"/>
  <c r="K570" i="2"/>
  <c r="L570" i="2" s="1"/>
  <c r="M570" i="2" s="1"/>
  <c r="N570" i="2" s="1"/>
  <c r="O570" i="2"/>
  <c r="Q570" i="2"/>
  <c r="R570" i="2"/>
  <c r="S570" i="2"/>
  <c r="T570" i="2"/>
  <c r="W570" i="2"/>
  <c r="AA570" i="2"/>
  <c r="S571" i="2"/>
  <c r="T571" i="2"/>
  <c r="D572" i="2"/>
  <c r="G572" i="2"/>
  <c r="L572" i="2"/>
  <c r="M572" i="2" s="1"/>
  <c r="N572" i="2" s="1"/>
  <c r="O572" i="2"/>
  <c r="Q572" i="2"/>
  <c r="R572" i="2"/>
  <c r="S572" i="2"/>
  <c r="T572" i="2"/>
  <c r="W572" i="2"/>
  <c r="AA572" i="2"/>
  <c r="D573" i="2"/>
  <c r="G573" i="2"/>
  <c r="K573" i="2"/>
  <c r="O573" i="2"/>
  <c r="Q573" i="2"/>
  <c r="R573" i="2"/>
  <c r="S573" i="2"/>
  <c r="T573" i="2"/>
  <c r="W573" i="2"/>
  <c r="AA573" i="2"/>
  <c r="D574" i="2"/>
  <c r="G574" i="2"/>
  <c r="K574" i="2"/>
  <c r="O574" i="2"/>
  <c r="Q574" i="2"/>
  <c r="R574" i="2"/>
  <c r="S574" i="2"/>
  <c r="T574" i="2"/>
  <c r="W574" i="2"/>
  <c r="AA574" i="2"/>
  <c r="D575" i="2"/>
  <c r="G575" i="2"/>
  <c r="K575" i="2"/>
  <c r="L575" i="2" s="1"/>
  <c r="M575" i="2" s="1"/>
  <c r="N575" i="2" s="1"/>
  <c r="O575" i="2"/>
  <c r="Q575" i="2"/>
  <c r="R575" i="2"/>
  <c r="S575" i="2"/>
  <c r="T575" i="2"/>
  <c r="W575" i="2"/>
  <c r="AA575" i="2"/>
  <c r="D576" i="2"/>
  <c r="G576" i="2"/>
  <c r="L576" i="2"/>
  <c r="M576" i="2" s="1"/>
  <c r="N576" i="2" s="1"/>
  <c r="O576" i="2"/>
  <c r="Q576" i="2"/>
  <c r="R576" i="2"/>
  <c r="S576" i="2"/>
  <c r="T576" i="2"/>
  <c r="W576" i="2"/>
  <c r="AA576" i="2"/>
  <c r="D577" i="2"/>
  <c r="G577" i="2"/>
  <c r="L577" i="2"/>
  <c r="M577" i="2" s="1"/>
  <c r="N577" i="2" s="1"/>
  <c r="Q577" i="2"/>
  <c r="R577" i="2"/>
  <c r="S577" i="2"/>
  <c r="T577" i="2"/>
  <c r="W577" i="2"/>
  <c r="AA577" i="2"/>
  <c r="D578" i="2"/>
  <c r="G578" i="2"/>
  <c r="L578" i="2"/>
  <c r="M578" i="2" s="1"/>
  <c r="N578" i="2" s="1"/>
  <c r="Q578" i="2"/>
  <c r="R578" i="2"/>
  <c r="S578" i="2"/>
  <c r="T578" i="2"/>
  <c r="W578" i="2"/>
  <c r="AA578" i="2"/>
  <c r="D579" i="2"/>
  <c r="G579" i="2"/>
  <c r="L579" i="2"/>
  <c r="M579" i="2" s="1"/>
  <c r="N579" i="2" s="1"/>
  <c r="Q579" i="2"/>
  <c r="R579" i="2"/>
  <c r="S579" i="2"/>
  <c r="T579" i="2"/>
  <c r="W579" i="2"/>
  <c r="AA579" i="2"/>
  <c r="D580" i="2"/>
  <c r="G580" i="2"/>
  <c r="L580" i="2"/>
  <c r="M580" i="2" s="1"/>
  <c r="N580" i="2" s="1"/>
  <c r="Q580" i="2"/>
  <c r="R580" i="2"/>
  <c r="S580" i="2"/>
  <c r="T580" i="2"/>
  <c r="W580" i="2"/>
  <c r="AA580" i="2"/>
  <c r="D581" i="2"/>
  <c r="G581" i="2"/>
  <c r="K581" i="2"/>
  <c r="L581" i="2" s="1"/>
  <c r="M581" i="2" s="1"/>
  <c r="N581" i="2" s="1"/>
  <c r="O581" i="2"/>
  <c r="Q581" i="2"/>
  <c r="R581" i="2"/>
  <c r="S581" i="2"/>
  <c r="T581" i="2"/>
  <c r="W581" i="2"/>
  <c r="AA581" i="2"/>
  <c r="D582" i="2"/>
  <c r="G582" i="2"/>
  <c r="K582" i="2"/>
  <c r="L582" i="2" s="1"/>
  <c r="M582" i="2" s="1"/>
  <c r="N582" i="2" s="1"/>
  <c r="O582" i="2"/>
  <c r="Q582" i="2"/>
  <c r="R582" i="2"/>
  <c r="S582" i="2"/>
  <c r="T582" i="2"/>
  <c r="W582" i="2"/>
  <c r="AA582" i="2"/>
  <c r="D583" i="2"/>
  <c r="G583" i="2"/>
  <c r="K583" i="2"/>
  <c r="L583" i="2" s="1"/>
  <c r="M583" i="2" s="1"/>
  <c r="N583" i="2" s="1"/>
  <c r="O583" i="2"/>
  <c r="Q583" i="2"/>
  <c r="R583" i="2"/>
  <c r="S583" i="2"/>
  <c r="T583" i="2"/>
  <c r="W583" i="2"/>
  <c r="AA583" i="2"/>
  <c r="M43" i="3" l="1"/>
  <c r="M4" i="21"/>
  <c r="L567" i="2"/>
  <c r="M567" i="2" s="1"/>
  <c r="N567" i="2" s="1"/>
  <c r="P567" i="2" s="1"/>
  <c r="L566" i="2"/>
  <c r="M566" i="2" s="1"/>
  <c r="N566" i="2" s="1"/>
  <c r="P566" i="2" s="1"/>
  <c r="L573" i="2"/>
  <c r="M573" i="2" s="1"/>
  <c r="N573" i="2" s="1"/>
  <c r="P573" i="2" s="1"/>
  <c r="L574" i="2"/>
  <c r="M574" i="2" s="1"/>
  <c r="N574" i="2" s="1"/>
  <c r="P574" i="2" s="1"/>
  <c r="X574" i="2"/>
  <c r="X570" i="2"/>
  <c r="X566" i="2"/>
  <c r="X580" i="2"/>
  <c r="X579" i="2"/>
  <c r="X565" i="2"/>
  <c r="X583" i="2"/>
  <c r="X573" i="2"/>
  <c r="X564" i="2"/>
  <c r="X578" i="2"/>
  <c r="X577" i="2"/>
  <c r="X563" i="2"/>
  <c r="X581" i="2"/>
  <c r="X576" i="2"/>
  <c r="X568" i="2"/>
  <c r="X562" i="2"/>
  <c r="X582" i="2"/>
  <c r="X572" i="2"/>
  <c r="X561" i="2"/>
  <c r="X575" i="2"/>
  <c r="X567" i="2"/>
  <c r="X560" i="2"/>
  <c r="P565" i="2"/>
  <c r="P581" i="2"/>
  <c r="P577" i="2"/>
  <c r="P561" i="2"/>
  <c r="P582" i="2"/>
  <c r="P576" i="2"/>
  <c r="P568" i="2"/>
  <c r="P580" i="2"/>
  <c r="P572" i="2"/>
  <c r="P564" i="2"/>
  <c r="P579" i="2"/>
  <c r="P563" i="2"/>
  <c r="P560" i="2"/>
  <c r="P578" i="2"/>
  <c r="P570" i="2"/>
  <c r="P562" i="2"/>
  <c r="P583" i="2"/>
  <c r="P575" i="2"/>
  <c r="O469" i="2"/>
  <c r="K556" i="2"/>
  <c r="O556" i="2"/>
  <c r="O555" i="2" l="1"/>
  <c r="K555" i="2"/>
  <c r="O553" i="2" l="1"/>
  <c r="O552" i="2"/>
  <c r="K552" i="2"/>
  <c r="O550" i="2" l="1"/>
  <c r="O549" i="2"/>
  <c r="K549" i="2"/>
  <c r="O548" i="2"/>
  <c r="K548" i="2"/>
  <c r="O547" i="2"/>
  <c r="K547" i="2"/>
  <c r="O546" i="2"/>
  <c r="K546" i="2"/>
  <c r="D544" i="2" l="1"/>
  <c r="AA558" i="2"/>
  <c r="W558" i="2"/>
  <c r="T558" i="2"/>
  <c r="S558" i="2"/>
  <c r="R558" i="2"/>
  <c r="Q558" i="2"/>
  <c r="L558" i="2"/>
  <c r="M558" i="2" s="1"/>
  <c r="N558" i="2" s="1"/>
  <c r="G558" i="2"/>
  <c r="D558" i="2"/>
  <c r="AA557" i="2"/>
  <c r="W557" i="2"/>
  <c r="T557" i="2"/>
  <c r="S557" i="2"/>
  <c r="R557" i="2"/>
  <c r="Q557" i="2"/>
  <c r="K557" i="2"/>
  <c r="L557" i="2" s="1"/>
  <c r="M557" i="2" s="1"/>
  <c r="N557" i="2" s="1"/>
  <c r="G557" i="2"/>
  <c r="D557" i="2"/>
  <c r="AA556" i="2"/>
  <c r="W556" i="2"/>
  <c r="T556" i="2"/>
  <c r="S556" i="2"/>
  <c r="R556" i="2"/>
  <c r="Q556" i="2"/>
  <c r="L556" i="2"/>
  <c r="M556" i="2" s="1"/>
  <c r="N556" i="2" s="1"/>
  <c r="G556" i="2"/>
  <c r="D556" i="2"/>
  <c r="AA555" i="2"/>
  <c r="W555" i="2"/>
  <c r="T555" i="2"/>
  <c r="S555" i="2"/>
  <c r="R555" i="2"/>
  <c r="Q555" i="2"/>
  <c r="L555" i="2"/>
  <c r="M555" i="2" s="1"/>
  <c r="N555" i="2" s="1"/>
  <c r="P555" i="2" s="1"/>
  <c r="G555" i="2"/>
  <c r="D555" i="2"/>
  <c r="AA554" i="2"/>
  <c r="W554" i="2"/>
  <c r="T554" i="2"/>
  <c r="S554" i="2"/>
  <c r="R554" i="2"/>
  <c r="Q554" i="2"/>
  <c r="O554" i="2"/>
  <c r="K554" i="2"/>
  <c r="L554" i="2" s="1"/>
  <c r="M554" i="2" s="1"/>
  <c r="N554" i="2" s="1"/>
  <c r="G554" i="2"/>
  <c r="D554" i="2"/>
  <c r="AA553" i="2"/>
  <c r="W553" i="2"/>
  <c r="T553" i="2"/>
  <c r="S553" i="2"/>
  <c r="R553" i="2"/>
  <c r="Q553" i="2"/>
  <c r="L553" i="2"/>
  <c r="M553" i="2" s="1"/>
  <c r="N553" i="2" s="1"/>
  <c r="G553" i="2"/>
  <c r="D553" i="2"/>
  <c r="AA552" i="2"/>
  <c r="W552" i="2"/>
  <c r="T552" i="2"/>
  <c r="S552" i="2"/>
  <c r="R552" i="2"/>
  <c r="Q552" i="2"/>
  <c r="L552" i="2"/>
  <c r="M552" i="2" s="1"/>
  <c r="N552" i="2" s="1"/>
  <c r="G552" i="2"/>
  <c r="D552" i="2"/>
  <c r="AA551" i="2"/>
  <c r="W551" i="2"/>
  <c r="T551" i="2"/>
  <c r="S551" i="2"/>
  <c r="R551" i="2"/>
  <c r="Q551" i="2"/>
  <c r="O551" i="2"/>
  <c r="L551" i="2"/>
  <c r="M551" i="2" s="1"/>
  <c r="N551" i="2" s="1"/>
  <c r="G551" i="2"/>
  <c r="D551" i="2"/>
  <c r="AA550" i="2"/>
  <c r="W550" i="2"/>
  <c r="T550" i="2"/>
  <c r="S550" i="2"/>
  <c r="R550" i="2"/>
  <c r="Q550" i="2"/>
  <c r="L550" i="2"/>
  <c r="M550" i="2" s="1"/>
  <c r="N550" i="2" s="1"/>
  <c r="G550" i="2"/>
  <c r="D550" i="2"/>
  <c r="AA549" i="2"/>
  <c r="W549" i="2"/>
  <c r="T549" i="2"/>
  <c r="S549" i="2"/>
  <c r="R549" i="2"/>
  <c r="Q549" i="2"/>
  <c r="L549" i="2"/>
  <c r="M549" i="2" s="1"/>
  <c r="N549" i="2" s="1"/>
  <c r="P549" i="2" s="1"/>
  <c r="G549" i="2"/>
  <c r="D549" i="2"/>
  <c r="AA548" i="2"/>
  <c r="W548" i="2"/>
  <c r="T548" i="2"/>
  <c r="S548" i="2"/>
  <c r="R548" i="2"/>
  <c r="Q548" i="2"/>
  <c r="L548" i="2"/>
  <c r="M548" i="2" s="1"/>
  <c r="N548" i="2" s="1"/>
  <c r="P548" i="2" s="1"/>
  <c r="G548" i="2"/>
  <c r="D548" i="2"/>
  <c r="AA547" i="2"/>
  <c r="W547" i="2"/>
  <c r="T547" i="2"/>
  <c r="S547" i="2"/>
  <c r="R547" i="2"/>
  <c r="Q547" i="2"/>
  <c r="L547" i="2"/>
  <c r="M547" i="2" s="1"/>
  <c r="N547" i="2" s="1"/>
  <c r="G547" i="2"/>
  <c r="D547" i="2"/>
  <c r="AA546" i="2"/>
  <c r="W546" i="2"/>
  <c r="T546" i="2"/>
  <c r="S546" i="2"/>
  <c r="R546" i="2"/>
  <c r="Q546" i="2"/>
  <c r="L546" i="2"/>
  <c r="M546" i="2" s="1"/>
  <c r="N546" i="2" s="1"/>
  <c r="P546" i="2" s="1"/>
  <c r="G546" i="2"/>
  <c r="D546" i="2"/>
  <c r="X547" i="2" l="1"/>
  <c r="X548" i="2"/>
  <c r="X554" i="2"/>
  <c r="X549" i="2"/>
  <c r="X555" i="2"/>
  <c r="X550" i="2"/>
  <c r="X556" i="2"/>
  <c r="X557" i="2"/>
  <c r="X551" i="2"/>
  <c r="X558" i="2"/>
  <c r="X552" i="2"/>
  <c r="X546" i="2"/>
  <c r="X553" i="2"/>
  <c r="P554" i="2"/>
  <c r="P556" i="2"/>
  <c r="P558" i="2"/>
  <c r="P552" i="2"/>
  <c r="P553" i="2"/>
  <c r="P551" i="2"/>
  <c r="P547" i="2"/>
  <c r="P550" i="2"/>
  <c r="P557" i="2"/>
  <c r="O542" i="2"/>
  <c r="K542" i="2"/>
  <c r="O541" i="2"/>
  <c r="K541" i="2"/>
  <c r="O540" i="2"/>
  <c r="K540" i="2"/>
  <c r="O539" i="2"/>
  <c r="K539" i="2"/>
  <c r="O538" i="2"/>
  <c r="K538" i="2"/>
  <c r="O537" i="2"/>
  <c r="K537" i="2"/>
  <c r="O533" i="2" l="1"/>
  <c r="B66" i="3"/>
  <c r="D66" i="3"/>
  <c r="E66" i="3"/>
  <c r="G66" i="3"/>
  <c r="I66" i="3"/>
  <c r="B68" i="3"/>
  <c r="D68" i="3"/>
  <c r="E68" i="3"/>
  <c r="G68" i="3"/>
  <c r="J66" i="3" l="1"/>
  <c r="J68" i="3"/>
  <c r="I59" i="3"/>
  <c r="I60" i="3"/>
  <c r="G59" i="3"/>
  <c r="G60" i="3"/>
  <c r="E59" i="3"/>
  <c r="E60" i="3"/>
  <c r="D59" i="3"/>
  <c r="D60" i="3"/>
  <c r="B59" i="3"/>
  <c r="B60" i="3"/>
  <c r="J59" i="3" l="1"/>
  <c r="J60" i="3"/>
  <c r="O530" i="2"/>
  <c r="O516" i="2"/>
  <c r="O528" i="2" l="1"/>
  <c r="O529" i="2"/>
  <c r="O527" i="2"/>
  <c r="O526" i="2"/>
  <c r="O523" i="2"/>
  <c r="O522" i="2"/>
  <c r="O520" i="2"/>
  <c r="D525" i="2"/>
  <c r="G525" i="2"/>
  <c r="K525" i="2"/>
  <c r="L525" i="2" s="1"/>
  <c r="M525" i="2" s="1"/>
  <c r="N525" i="2" s="1"/>
  <c r="O525" i="2"/>
  <c r="Q525" i="2"/>
  <c r="R525" i="2"/>
  <c r="S525" i="2"/>
  <c r="T525" i="2"/>
  <c r="W525" i="2"/>
  <c r="AA525" i="2"/>
  <c r="D526" i="2"/>
  <c r="G526" i="2"/>
  <c r="L526" i="2"/>
  <c r="M526" i="2" s="1"/>
  <c r="N526" i="2" s="1"/>
  <c r="Q526" i="2"/>
  <c r="R526" i="2"/>
  <c r="S526" i="2"/>
  <c r="T526" i="2"/>
  <c r="W526" i="2"/>
  <c r="AA526" i="2"/>
  <c r="D527" i="2"/>
  <c r="G527" i="2"/>
  <c r="K527" i="2"/>
  <c r="L527" i="2" s="1"/>
  <c r="M527" i="2" s="1"/>
  <c r="N527" i="2" s="1"/>
  <c r="Q527" i="2"/>
  <c r="R527" i="2"/>
  <c r="S527" i="2"/>
  <c r="T527" i="2"/>
  <c r="W527" i="2"/>
  <c r="AA527" i="2"/>
  <c r="D528" i="2"/>
  <c r="G528" i="2"/>
  <c r="L528" i="2"/>
  <c r="M528" i="2" s="1"/>
  <c r="N528" i="2" s="1"/>
  <c r="Q528" i="2"/>
  <c r="R528" i="2"/>
  <c r="S528" i="2"/>
  <c r="T528" i="2"/>
  <c r="W528" i="2"/>
  <c r="AA528" i="2"/>
  <c r="D529" i="2"/>
  <c r="G529" i="2"/>
  <c r="K529" i="2"/>
  <c r="L529" i="2" s="1"/>
  <c r="M529" i="2" s="1"/>
  <c r="N529" i="2" s="1"/>
  <c r="Q529" i="2"/>
  <c r="R529" i="2"/>
  <c r="S529" i="2"/>
  <c r="T529" i="2"/>
  <c r="W529" i="2"/>
  <c r="AA529" i="2"/>
  <c r="D530" i="2"/>
  <c r="G530" i="2"/>
  <c r="L530" i="2"/>
  <c r="M530" i="2" s="1"/>
  <c r="N530" i="2" s="1"/>
  <c r="Q530" i="2"/>
  <c r="R530" i="2"/>
  <c r="S530" i="2"/>
  <c r="T530" i="2"/>
  <c r="W530" i="2"/>
  <c r="AA530" i="2"/>
  <c r="D531" i="2"/>
  <c r="G531" i="2"/>
  <c r="L531" i="2"/>
  <c r="M531" i="2" s="1"/>
  <c r="N531" i="2" s="1"/>
  <c r="Q531" i="2"/>
  <c r="R531" i="2"/>
  <c r="S531" i="2"/>
  <c r="T531" i="2"/>
  <c r="W531" i="2"/>
  <c r="AA531" i="2"/>
  <c r="D532" i="2"/>
  <c r="G532" i="2"/>
  <c r="L532" i="2"/>
  <c r="M532" i="2" s="1"/>
  <c r="N532" i="2" s="1"/>
  <c r="Z1186" i="2" s="1"/>
  <c r="Q532" i="2"/>
  <c r="R532" i="2"/>
  <c r="S532" i="2"/>
  <c r="T532" i="2"/>
  <c r="W532" i="2"/>
  <c r="AA532" i="2"/>
  <c r="D533" i="2"/>
  <c r="G533" i="2"/>
  <c r="L533" i="2"/>
  <c r="M533" i="2" s="1"/>
  <c r="N533" i="2" s="1"/>
  <c r="Q533" i="2"/>
  <c r="R533" i="2"/>
  <c r="S533" i="2"/>
  <c r="T533" i="2"/>
  <c r="W533" i="2"/>
  <c r="AA533" i="2"/>
  <c r="D534" i="2"/>
  <c r="G534" i="2"/>
  <c r="L534" i="2"/>
  <c r="M534" i="2" s="1"/>
  <c r="N534" i="2" s="1"/>
  <c r="Z1092" i="2" s="1"/>
  <c r="Q534" i="2"/>
  <c r="R534" i="2"/>
  <c r="S534" i="2"/>
  <c r="T534" i="2"/>
  <c r="W534" i="2"/>
  <c r="AA534" i="2"/>
  <c r="D535" i="2"/>
  <c r="G535" i="2"/>
  <c r="L535" i="2"/>
  <c r="M535" i="2" s="1"/>
  <c r="N535" i="2" s="1"/>
  <c r="Z1072" i="2" s="1"/>
  <c r="Q535" i="2"/>
  <c r="R535" i="2"/>
  <c r="S535" i="2"/>
  <c r="T535" i="2"/>
  <c r="W535" i="2"/>
  <c r="AA535" i="2"/>
  <c r="D536" i="2"/>
  <c r="G536" i="2"/>
  <c r="L536" i="2"/>
  <c r="M536" i="2" s="1"/>
  <c r="N536" i="2" s="1"/>
  <c r="Q536" i="2"/>
  <c r="R536" i="2"/>
  <c r="S536" i="2"/>
  <c r="T536" i="2"/>
  <c r="W536" i="2"/>
  <c r="AA536" i="2"/>
  <c r="D537" i="2"/>
  <c r="G537" i="2"/>
  <c r="L537" i="2"/>
  <c r="M537" i="2" s="1"/>
  <c r="N537" i="2" s="1"/>
  <c r="Q537" i="2"/>
  <c r="R537" i="2"/>
  <c r="S537" i="2"/>
  <c r="T537" i="2"/>
  <c r="W537" i="2"/>
  <c r="AA537" i="2"/>
  <c r="D538" i="2"/>
  <c r="G538" i="2"/>
  <c r="L538" i="2"/>
  <c r="M538" i="2" s="1"/>
  <c r="N538" i="2" s="1"/>
  <c r="Q538" i="2"/>
  <c r="R538" i="2"/>
  <c r="S538" i="2"/>
  <c r="T538" i="2"/>
  <c r="W538" i="2"/>
  <c r="AA538" i="2"/>
  <c r="D539" i="2"/>
  <c r="G539" i="2"/>
  <c r="L539" i="2"/>
  <c r="M539" i="2" s="1"/>
  <c r="N539" i="2" s="1"/>
  <c r="Q539" i="2"/>
  <c r="R539" i="2"/>
  <c r="S539" i="2"/>
  <c r="T539" i="2"/>
  <c r="W539" i="2"/>
  <c r="AA539" i="2"/>
  <c r="D540" i="2"/>
  <c r="G540" i="2"/>
  <c r="L540" i="2"/>
  <c r="M540" i="2" s="1"/>
  <c r="N540" i="2" s="1"/>
  <c r="Q540" i="2"/>
  <c r="R540" i="2"/>
  <c r="S540" i="2"/>
  <c r="T540" i="2"/>
  <c r="W540" i="2"/>
  <c r="AA540" i="2"/>
  <c r="D541" i="2"/>
  <c r="G541" i="2"/>
  <c r="L541" i="2"/>
  <c r="M541" i="2" s="1"/>
  <c r="N541" i="2" s="1"/>
  <c r="Q541" i="2"/>
  <c r="R541" i="2"/>
  <c r="S541" i="2"/>
  <c r="T541" i="2"/>
  <c r="W541" i="2"/>
  <c r="AA541" i="2"/>
  <c r="D542" i="2"/>
  <c r="G542" i="2"/>
  <c r="L542" i="2"/>
  <c r="M542" i="2" s="1"/>
  <c r="N542" i="2" s="1"/>
  <c r="Q542" i="2"/>
  <c r="R542" i="2"/>
  <c r="S542" i="2"/>
  <c r="T542" i="2"/>
  <c r="W542" i="2"/>
  <c r="AA542" i="2"/>
  <c r="D543" i="2"/>
  <c r="G543" i="2"/>
  <c r="L543" i="2"/>
  <c r="M543" i="2" s="1"/>
  <c r="N543" i="2" s="1"/>
  <c r="Q543" i="2"/>
  <c r="R543" i="2"/>
  <c r="S543" i="2"/>
  <c r="T543" i="2"/>
  <c r="W543" i="2"/>
  <c r="AA543" i="2"/>
  <c r="G544" i="2"/>
  <c r="L544" i="2"/>
  <c r="M544" i="2" s="1"/>
  <c r="N544" i="2" s="1"/>
  <c r="Z1195" i="2" s="1"/>
  <c r="Q544" i="2"/>
  <c r="R544" i="2"/>
  <c r="S544" i="2"/>
  <c r="T544" i="2"/>
  <c r="W544" i="2"/>
  <c r="AA544" i="2"/>
  <c r="D545" i="2"/>
  <c r="G545" i="2"/>
  <c r="L545" i="2"/>
  <c r="M545" i="2" s="1"/>
  <c r="N545" i="2" s="1"/>
  <c r="Q545" i="2"/>
  <c r="R545" i="2"/>
  <c r="S545" i="2"/>
  <c r="T545" i="2"/>
  <c r="W545" i="2"/>
  <c r="AA545" i="2"/>
  <c r="O518" i="2"/>
  <c r="Z976" i="2" l="1"/>
  <c r="Z1194" i="2"/>
  <c r="Z1193" i="2"/>
  <c r="Z1073" i="2"/>
  <c r="O67" i="3"/>
  <c r="P67" i="3" s="1"/>
  <c r="F67" i="3"/>
  <c r="Z1050" i="2"/>
  <c r="O66" i="3"/>
  <c r="P66" i="3" s="1"/>
  <c r="F66" i="3"/>
  <c r="Z1080" i="2"/>
  <c r="O68" i="3"/>
  <c r="P68" i="3" s="1"/>
  <c r="F68" i="3"/>
  <c r="Z946" i="2"/>
  <c r="Z1169" i="2"/>
  <c r="Z1036" i="2"/>
  <c r="Z1070" i="2"/>
  <c r="Z1056" i="2"/>
  <c r="Z1057" i="2"/>
  <c r="Z1038" i="2"/>
  <c r="Z1035" i="2"/>
  <c r="Z792" i="2"/>
  <c r="Z928" i="2"/>
  <c r="Z793" i="2"/>
  <c r="Z927" i="2"/>
  <c r="Z811" i="2"/>
  <c r="Z902" i="2"/>
  <c r="Z872" i="2"/>
  <c r="X541" i="2"/>
  <c r="X533" i="2"/>
  <c r="X525" i="2"/>
  <c r="Z525" i="2"/>
  <c r="X540" i="2"/>
  <c r="X532" i="2"/>
  <c r="Z532" i="2"/>
  <c r="X539" i="2"/>
  <c r="X531" i="2"/>
  <c r="Y1080" i="2" s="1"/>
  <c r="Z531" i="2"/>
  <c r="X538" i="2"/>
  <c r="X530" i="2"/>
  <c r="X544" i="2"/>
  <c r="Y1195" i="2" s="1"/>
  <c r="Z544" i="2"/>
  <c r="X537" i="2"/>
  <c r="X529" i="2"/>
  <c r="X545" i="2"/>
  <c r="Y1169" i="2" s="1"/>
  <c r="Z545" i="2"/>
  <c r="X536" i="2"/>
  <c r="Z536" i="2"/>
  <c r="X528" i="2"/>
  <c r="X543" i="2"/>
  <c r="Y1070" i="2" s="1"/>
  <c r="Z543" i="2"/>
  <c r="X535" i="2"/>
  <c r="Z535" i="2"/>
  <c r="X527" i="2"/>
  <c r="Z527" i="2"/>
  <c r="X542" i="2"/>
  <c r="X534" i="2"/>
  <c r="Y1092" i="2" s="1"/>
  <c r="Z534" i="2"/>
  <c r="X526" i="2"/>
  <c r="P540" i="2"/>
  <c r="P532" i="2"/>
  <c r="P525" i="2"/>
  <c r="P533" i="2"/>
  <c r="P541" i="2"/>
  <c r="P531" i="2"/>
  <c r="P537" i="2"/>
  <c r="P529" i="2"/>
  <c r="P545" i="2"/>
  <c r="P534" i="2"/>
  <c r="P526" i="2"/>
  <c r="P539" i="2"/>
  <c r="P542" i="2"/>
  <c r="P544" i="2"/>
  <c r="P536" i="2"/>
  <c r="P528" i="2"/>
  <c r="P538" i="2"/>
  <c r="P530" i="2"/>
  <c r="P543" i="2"/>
  <c r="P535" i="2"/>
  <c r="P527" i="2"/>
  <c r="O515" i="2"/>
  <c r="Y1194" i="2" l="1"/>
  <c r="Y1193" i="2"/>
  <c r="Y1050" i="2"/>
  <c r="Y1186" i="2"/>
  <c r="Y927" i="2"/>
  <c r="Y1072" i="2"/>
  <c r="Y928" i="2"/>
  <c r="Y1073" i="2"/>
  <c r="Y531" i="2"/>
  <c r="Y1057" i="2"/>
  <c r="Y1056" i="2"/>
  <c r="Y902" i="2"/>
  <c r="Y1036" i="2"/>
  <c r="Y534" i="2"/>
  <c r="Y1038" i="2"/>
  <c r="Y1035" i="2"/>
  <c r="Y544" i="2"/>
  <c r="Y976" i="2"/>
  <c r="Y545" i="2"/>
  <c r="Y946" i="2"/>
  <c r="Y532" i="2"/>
  <c r="Y872" i="2"/>
  <c r="Y543" i="2"/>
  <c r="Y811" i="2"/>
  <c r="Y536" i="2"/>
  <c r="Y792" i="2"/>
  <c r="Y535" i="2"/>
  <c r="Y793" i="2"/>
  <c r="K514" i="2"/>
  <c r="K513" i="2"/>
  <c r="O511" i="2"/>
  <c r="K510" i="2"/>
  <c r="G510" i="2" l="1"/>
  <c r="D510" i="2"/>
  <c r="O508" i="2"/>
  <c r="O509" i="2"/>
  <c r="O507" i="2"/>
  <c r="O506" i="2"/>
  <c r="O505" i="2" l="1"/>
  <c r="O499" i="2"/>
  <c r="O504" i="2"/>
  <c r="O503" i="2"/>
  <c r="O502" i="2"/>
  <c r="O501" i="2" l="1"/>
  <c r="O498" i="2" l="1"/>
  <c r="O497" i="2"/>
  <c r="D497" i="2"/>
  <c r="Y135" i="2" l="1"/>
  <c r="Y140" i="2"/>
  <c r="Y141" i="2"/>
  <c r="Y142" i="2"/>
  <c r="Y143" i="2"/>
  <c r="Y144" i="2"/>
  <c r="Y145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6" i="2"/>
  <c r="Y168" i="2"/>
  <c r="Y169" i="2"/>
  <c r="Y173" i="2"/>
  <c r="Y178" i="2"/>
  <c r="Y179" i="2"/>
  <c r="Y180" i="2"/>
  <c r="Y181" i="2"/>
  <c r="Y182" i="2"/>
  <c r="Y183" i="2"/>
  <c r="Y193" i="2"/>
  <c r="Y222" i="2"/>
  <c r="Y223" i="2"/>
  <c r="Y232" i="2"/>
  <c r="Y239" i="2"/>
  <c r="Y240" i="2"/>
  <c r="Y293" i="2"/>
  <c r="Y343" i="2"/>
  <c r="Y369" i="2"/>
  <c r="Y372" i="2"/>
  <c r="Y375" i="2"/>
  <c r="Y387" i="2"/>
  <c r="Y400" i="2"/>
  <c r="Y403" i="2"/>
  <c r="Y404" i="2"/>
  <c r="Y421" i="2"/>
  <c r="Y455" i="2"/>
  <c r="O496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3" i="2"/>
  <c r="X34" i="2"/>
  <c r="X35" i="2"/>
  <c r="X62" i="2"/>
  <c r="X63" i="2"/>
  <c r="X64" i="2"/>
  <c r="X75" i="2"/>
  <c r="X76" i="2"/>
  <c r="X77" i="2"/>
  <c r="X78" i="2"/>
  <c r="X79" i="2"/>
  <c r="X80" i="2"/>
  <c r="Y1181" i="2" s="1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102" i="2"/>
  <c r="X103" i="2"/>
  <c r="X105" i="2"/>
  <c r="X106" i="2"/>
  <c r="X107" i="2"/>
  <c r="X108" i="2"/>
  <c r="X109" i="2"/>
  <c r="X110" i="2"/>
  <c r="X111" i="2"/>
  <c r="X112" i="2"/>
  <c r="X113" i="2"/>
  <c r="X114" i="2"/>
  <c r="Y962" i="2" s="1"/>
  <c r="X115" i="2"/>
  <c r="X116" i="2"/>
  <c r="X117" i="2"/>
  <c r="Y1158" i="2" s="1"/>
  <c r="X118" i="2"/>
  <c r="X119" i="2"/>
  <c r="X120" i="2"/>
  <c r="X121" i="2"/>
  <c r="X129" i="2"/>
  <c r="Y982" i="2" s="1"/>
  <c r="X130" i="2"/>
  <c r="Y830" i="2" s="1"/>
  <c r="X131" i="2"/>
  <c r="X134" i="2"/>
  <c r="X135" i="2"/>
  <c r="X174" i="2"/>
  <c r="Y943" i="2" s="1"/>
  <c r="X220" i="2"/>
  <c r="X221" i="2"/>
  <c r="X274" i="2"/>
  <c r="X275" i="2"/>
  <c r="X276" i="2"/>
  <c r="X308" i="2"/>
  <c r="X348" i="2"/>
  <c r="Y1180" i="2" s="1"/>
  <c r="X351" i="2"/>
  <c r="X352" i="2"/>
  <c r="X353" i="2"/>
  <c r="X354" i="2"/>
  <c r="X355" i="2"/>
  <c r="X356" i="2"/>
  <c r="X357" i="2"/>
  <c r="X358" i="2"/>
  <c r="X387" i="2"/>
  <c r="X432" i="2"/>
  <c r="X433" i="2"/>
  <c r="X434" i="2"/>
  <c r="X435" i="2"/>
  <c r="X441" i="2"/>
  <c r="X451" i="2"/>
  <c r="X453" i="2"/>
  <c r="X454" i="2"/>
  <c r="X471" i="2"/>
  <c r="X472" i="2"/>
  <c r="Y1168" i="2" s="1"/>
  <c r="X473" i="2"/>
  <c r="Y845" i="2" s="1"/>
  <c r="X474" i="2"/>
  <c r="X475" i="2"/>
  <c r="X476" i="2"/>
  <c r="X477" i="2"/>
  <c r="Y1147" i="2" s="1"/>
  <c r="X478" i="2"/>
  <c r="Y1001" i="2" s="1"/>
  <c r="X479" i="2"/>
  <c r="Y1182" i="2" s="1"/>
  <c r="X480" i="2"/>
  <c r="X481" i="2"/>
  <c r="X482" i="2"/>
  <c r="X483" i="2"/>
  <c r="X484" i="2"/>
  <c r="X485" i="2"/>
  <c r="Y1145" i="2" s="1"/>
  <c r="X486" i="2"/>
  <c r="Y1033" i="2" s="1"/>
  <c r="X487" i="2"/>
  <c r="X488" i="2"/>
  <c r="Y984" i="2" s="1"/>
  <c r="X489" i="2"/>
  <c r="X490" i="2"/>
  <c r="X5" i="2"/>
  <c r="Y1130" i="2" l="1"/>
  <c r="Y1188" i="2"/>
  <c r="Y970" i="2"/>
  <c r="Y1176" i="2"/>
  <c r="Y883" i="2"/>
  <c r="Y1150" i="2"/>
  <c r="Y1151" i="2"/>
  <c r="Y967" i="2"/>
  <c r="Y1144" i="2"/>
  <c r="Y858" i="2"/>
  <c r="Y1120" i="2"/>
  <c r="Y886" i="2"/>
  <c r="Y1119" i="2"/>
  <c r="Y905" i="2"/>
  <c r="Y1061" i="2"/>
  <c r="Y1013" i="2"/>
  <c r="Y1032" i="2"/>
  <c r="Y134" i="2"/>
  <c r="Y1017" i="2"/>
  <c r="Y1018" i="2"/>
  <c r="Y884" i="2"/>
  <c r="Y1007" i="2"/>
  <c r="Y113" i="2"/>
  <c r="Y994" i="2"/>
  <c r="Y851" i="2"/>
  <c r="Y983" i="2"/>
  <c r="Y767" i="2"/>
  <c r="Y974" i="2"/>
  <c r="Y960" i="2"/>
  <c r="Y961" i="2"/>
  <c r="Y959" i="2"/>
  <c r="Y850" i="2"/>
  <c r="Y958" i="2"/>
  <c r="Y481" i="2"/>
  <c r="Y949" i="2"/>
  <c r="Y931" i="2"/>
  <c r="Y932" i="2"/>
  <c r="Y933" i="2"/>
  <c r="Y915" i="2"/>
  <c r="Y914" i="2"/>
  <c r="Y486" i="2"/>
  <c r="Y909" i="2"/>
  <c r="Y908" i="2"/>
  <c r="Y802" i="2"/>
  <c r="Y897" i="2"/>
  <c r="Y885" i="2"/>
  <c r="Y890" i="2"/>
  <c r="Y891" i="2"/>
  <c r="Y868" i="2"/>
  <c r="Y867" i="2"/>
  <c r="Y480" i="2"/>
  <c r="Y866" i="2"/>
  <c r="Y482" i="2"/>
  <c r="Y859" i="2"/>
  <c r="Y472" i="2"/>
  <c r="Y855" i="2"/>
  <c r="Y485" i="2"/>
  <c r="Y846" i="2"/>
  <c r="Y348" i="2"/>
  <c r="Y842" i="2"/>
  <c r="Y841" i="2"/>
  <c r="Y840" i="2"/>
  <c r="Y691" i="2"/>
  <c r="Y836" i="2"/>
  <c r="Y479" i="2"/>
  <c r="Y819" i="2"/>
  <c r="Y712" i="2"/>
  <c r="Y818" i="2"/>
  <c r="Y114" i="2"/>
  <c r="Y803" i="2"/>
  <c r="Y672" i="2"/>
  <c r="Y790" i="2"/>
  <c r="Y487" i="2"/>
  <c r="Y791" i="2"/>
  <c r="Y766" i="2"/>
  <c r="Y787" i="2"/>
  <c r="Y477" i="2"/>
  <c r="Y733" i="2"/>
  <c r="Y117" i="2"/>
  <c r="Y734" i="2"/>
  <c r="Y735" i="2"/>
  <c r="Y611" i="2"/>
  <c r="Y680" i="2"/>
  <c r="Y131" i="2"/>
  <c r="Y641" i="2"/>
  <c r="Y174" i="2"/>
  <c r="Y629" i="2"/>
  <c r="Y80" i="2"/>
  <c r="Y627" i="2"/>
  <c r="Y620" i="2"/>
  <c r="Y621" i="2"/>
  <c r="Y622" i="2"/>
  <c r="Y111" i="2"/>
  <c r="Y619" i="2"/>
  <c r="Y616" i="2"/>
  <c r="Y617" i="2"/>
  <c r="Y618" i="2"/>
  <c r="Y121" i="2"/>
  <c r="Y615" i="2"/>
  <c r="Y614" i="2"/>
  <c r="Y613" i="2"/>
  <c r="Y612" i="2"/>
  <c r="Y129" i="2"/>
  <c r="Y610" i="2"/>
  <c r="Y609" i="2"/>
  <c r="Y608" i="2"/>
  <c r="Y130" i="2"/>
  <c r="Y607" i="2"/>
  <c r="Y556" i="2"/>
  <c r="Y584" i="2"/>
  <c r="Y473" i="2"/>
  <c r="Y567" i="2"/>
  <c r="Y478" i="2"/>
  <c r="Y566" i="2"/>
  <c r="Y276" i="2"/>
  <c r="Y441" i="2"/>
  <c r="Y507" i="2"/>
  <c r="Y508" i="2"/>
  <c r="Y509" i="2"/>
  <c r="Y506" i="2"/>
  <c r="Y559" i="2"/>
  <c r="Y112" i="2"/>
  <c r="Y547" i="2"/>
  <c r="Y275" i="2"/>
  <c r="Y274" i="2"/>
  <c r="O495" i="2"/>
  <c r="O494" i="2"/>
  <c r="I47" i="3" l="1"/>
  <c r="G47" i="3"/>
  <c r="E47" i="3"/>
  <c r="D47" i="3"/>
  <c r="B47" i="3"/>
  <c r="I58" i="3"/>
  <c r="G58" i="3"/>
  <c r="E58" i="3"/>
  <c r="D58" i="3"/>
  <c r="B58" i="3"/>
  <c r="I50" i="3"/>
  <c r="G50" i="3"/>
  <c r="E50" i="3"/>
  <c r="D50" i="3"/>
  <c r="B50" i="3"/>
  <c r="I49" i="3"/>
  <c r="G49" i="3"/>
  <c r="E49" i="3"/>
  <c r="D49" i="3"/>
  <c r="B49" i="3"/>
  <c r="I48" i="3"/>
  <c r="G48" i="3"/>
  <c r="E48" i="3"/>
  <c r="D48" i="3"/>
  <c r="B48" i="3"/>
  <c r="I46" i="3"/>
  <c r="G46" i="3"/>
  <c r="E46" i="3"/>
  <c r="D46" i="3"/>
  <c r="B46" i="3"/>
  <c r="I57" i="3"/>
  <c r="G57" i="3"/>
  <c r="E57" i="3"/>
  <c r="D57" i="3"/>
  <c r="B57" i="3"/>
  <c r="L42" i="3"/>
  <c r="M42" i="3" s="1"/>
  <c r="L41" i="3"/>
  <c r="M41" i="3" s="1"/>
  <c r="L40" i="3"/>
  <c r="L39" i="3"/>
  <c r="L38" i="3"/>
  <c r="L37" i="3"/>
  <c r="L36" i="3"/>
  <c r="L35" i="3"/>
  <c r="M35" i="3" s="1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M17" i="3" s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AA524" i="2"/>
  <c r="W524" i="2"/>
  <c r="T524" i="2"/>
  <c r="S524" i="2"/>
  <c r="R524" i="2"/>
  <c r="Q524" i="2"/>
  <c r="L524" i="2"/>
  <c r="M524" i="2" s="1"/>
  <c r="N524" i="2" s="1"/>
  <c r="G524" i="2"/>
  <c r="D524" i="2"/>
  <c r="AA523" i="2"/>
  <c r="W523" i="2"/>
  <c r="T523" i="2"/>
  <c r="S523" i="2"/>
  <c r="R523" i="2"/>
  <c r="Q523" i="2"/>
  <c r="K523" i="2"/>
  <c r="L523" i="2" s="1"/>
  <c r="M523" i="2" s="1"/>
  <c r="N523" i="2" s="1"/>
  <c r="G523" i="2"/>
  <c r="D523" i="2"/>
  <c r="AA522" i="2"/>
  <c r="W522" i="2"/>
  <c r="T522" i="2"/>
  <c r="S522" i="2"/>
  <c r="R522" i="2"/>
  <c r="Q522" i="2"/>
  <c r="L522" i="2"/>
  <c r="M522" i="2" s="1"/>
  <c r="N522" i="2" s="1"/>
  <c r="G522" i="2"/>
  <c r="D522" i="2"/>
  <c r="AA521" i="2"/>
  <c r="W521" i="2"/>
  <c r="T521" i="2"/>
  <c r="S521" i="2"/>
  <c r="R521" i="2"/>
  <c r="Q521" i="2"/>
  <c r="K521" i="2"/>
  <c r="L521" i="2" s="1"/>
  <c r="M521" i="2" s="1"/>
  <c r="N521" i="2" s="1"/>
  <c r="G521" i="2"/>
  <c r="D521" i="2"/>
  <c r="AA520" i="2"/>
  <c r="W520" i="2"/>
  <c r="T520" i="2"/>
  <c r="S520" i="2"/>
  <c r="R520" i="2"/>
  <c r="Q520" i="2"/>
  <c r="K520" i="2"/>
  <c r="L520" i="2" s="1"/>
  <c r="M520" i="2" s="1"/>
  <c r="N520" i="2" s="1"/>
  <c r="G520" i="2"/>
  <c r="D520" i="2"/>
  <c r="AA519" i="2"/>
  <c r="W519" i="2"/>
  <c r="T519" i="2"/>
  <c r="S519" i="2"/>
  <c r="R519" i="2"/>
  <c r="Q519" i="2"/>
  <c r="K519" i="2"/>
  <c r="L519" i="2" s="1"/>
  <c r="M519" i="2" s="1"/>
  <c r="N519" i="2" s="1"/>
  <c r="G519" i="2"/>
  <c r="D519" i="2"/>
  <c r="AA518" i="2"/>
  <c r="W518" i="2"/>
  <c r="T518" i="2"/>
  <c r="S518" i="2"/>
  <c r="R518" i="2"/>
  <c r="Q518" i="2"/>
  <c r="K518" i="2"/>
  <c r="L518" i="2" s="1"/>
  <c r="M518" i="2" s="1"/>
  <c r="N518" i="2" s="1"/>
  <c r="G518" i="2"/>
  <c r="D518" i="2"/>
  <c r="AA517" i="2"/>
  <c r="W517" i="2"/>
  <c r="T517" i="2"/>
  <c r="S517" i="2"/>
  <c r="AA516" i="2"/>
  <c r="W516" i="2"/>
  <c r="T516" i="2"/>
  <c r="S516" i="2"/>
  <c r="R516" i="2"/>
  <c r="Q516" i="2"/>
  <c r="K516" i="2"/>
  <c r="L516" i="2" s="1"/>
  <c r="M516" i="2" s="1"/>
  <c r="N516" i="2" s="1"/>
  <c r="G516" i="2"/>
  <c r="D516" i="2"/>
  <c r="AA515" i="2"/>
  <c r="W515" i="2"/>
  <c r="T515" i="2"/>
  <c r="S515" i="2"/>
  <c r="R515" i="2"/>
  <c r="Q515" i="2"/>
  <c r="K515" i="2"/>
  <c r="M13" i="3" s="1"/>
  <c r="G515" i="2"/>
  <c r="D515" i="2"/>
  <c r="AA514" i="2"/>
  <c r="W514" i="2"/>
  <c r="T514" i="2"/>
  <c r="S514" i="2"/>
  <c r="R514" i="2"/>
  <c r="Q514" i="2"/>
  <c r="O514" i="2"/>
  <c r="L514" i="2"/>
  <c r="M514" i="2" s="1"/>
  <c r="N514" i="2" s="1"/>
  <c r="G514" i="2"/>
  <c r="D514" i="2"/>
  <c r="AA513" i="2"/>
  <c r="W513" i="2"/>
  <c r="T513" i="2"/>
  <c r="S513" i="2"/>
  <c r="R513" i="2"/>
  <c r="Q513" i="2"/>
  <c r="O513" i="2"/>
  <c r="L513" i="2"/>
  <c r="M513" i="2" s="1"/>
  <c r="N513" i="2" s="1"/>
  <c r="G513" i="2"/>
  <c r="D513" i="2"/>
  <c r="AA512" i="2"/>
  <c r="W512" i="2"/>
  <c r="T512" i="2"/>
  <c r="S512" i="2"/>
  <c r="R512" i="2"/>
  <c r="Q512" i="2"/>
  <c r="O512" i="2"/>
  <c r="L512" i="2"/>
  <c r="M512" i="2" s="1"/>
  <c r="N512" i="2" s="1"/>
  <c r="G512" i="2"/>
  <c r="D512" i="2"/>
  <c r="AA511" i="2"/>
  <c r="W511" i="2"/>
  <c r="T511" i="2"/>
  <c r="S511" i="2"/>
  <c r="R511" i="2"/>
  <c r="Q511" i="2"/>
  <c r="K511" i="2"/>
  <c r="L511" i="2" s="1"/>
  <c r="M511" i="2" s="1"/>
  <c r="N511" i="2" s="1"/>
  <c r="G511" i="2"/>
  <c r="D511" i="2"/>
  <c r="AA510" i="2"/>
  <c r="W510" i="2"/>
  <c r="T510" i="2"/>
  <c r="S510" i="2"/>
  <c r="R510" i="2"/>
  <c r="Q510" i="2"/>
  <c r="O510" i="2"/>
  <c r="L510" i="2"/>
  <c r="M510" i="2" s="1"/>
  <c r="N510" i="2" s="1"/>
  <c r="R509" i="2"/>
  <c r="Q509" i="2"/>
  <c r="K509" i="2"/>
  <c r="L509" i="2" s="1"/>
  <c r="M509" i="2" s="1"/>
  <c r="N509" i="2" s="1"/>
  <c r="R508" i="2"/>
  <c r="Q508" i="2"/>
  <c r="K508" i="2"/>
  <c r="L508" i="2" s="1"/>
  <c r="M508" i="2" s="1"/>
  <c r="N508" i="2" s="1"/>
  <c r="R507" i="2"/>
  <c r="Q507" i="2"/>
  <c r="K507" i="2"/>
  <c r="L507" i="2" s="1"/>
  <c r="M507" i="2" s="1"/>
  <c r="N507" i="2" s="1"/>
  <c r="K506" i="2"/>
  <c r="L506" i="2" s="1"/>
  <c r="M506" i="2" s="1"/>
  <c r="N506" i="2" s="1"/>
  <c r="AA505" i="2"/>
  <c r="W505" i="2"/>
  <c r="T505" i="2"/>
  <c r="S505" i="2"/>
  <c r="R505" i="2"/>
  <c r="Q505" i="2"/>
  <c r="K505" i="2"/>
  <c r="L505" i="2" s="1"/>
  <c r="M505" i="2" s="1"/>
  <c r="N505" i="2" s="1"/>
  <c r="G505" i="2"/>
  <c r="D505" i="2"/>
  <c r="AA504" i="2"/>
  <c r="W504" i="2"/>
  <c r="T504" i="2"/>
  <c r="S504" i="2"/>
  <c r="R504" i="2"/>
  <c r="Q504" i="2"/>
  <c r="K504" i="2"/>
  <c r="L504" i="2" s="1"/>
  <c r="M504" i="2" s="1"/>
  <c r="N504" i="2" s="1"/>
  <c r="G504" i="2"/>
  <c r="D504" i="2"/>
  <c r="AA503" i="2"/>
  <c r="W503" i="2"/>
  <c r="T503" i="2"/>
  <c r="S503" i="2"/>
  <c r="R503" i="2"/>
  <c r="Q503" i="2"/>
  <c r="K503" i="2"/>
  <c r="G503" i="2"/>
  <c r="D503" i="2"/>
  <c r="AA502" i="2"/>
  <c r="W502" i="2"/>
  <c r="T502" i="2"/>
  <c r="S502" i="2"/>
  <c r="R502" i="2"/>
  <c r="Q502" i="2"/>
  <c r="L502" i="2"/>
  <c r="M502" i="2" s="1"/>
  <c r="N502" i="2" s="1"/>
  <c r="G502" i="2"/>
  <c r="D502" i="2"/>
  <c r="AA501" i="2"/>
  <c r="W501" i="2"/>
  <c r="T501" i="2"/>
  <c r="S501" i="2"/>
  <c r="R501" i="2"/>
  <c r="Q501" i="2"/>
  <c r="K501" i="2"/>
  <c r="L501" i="2" s="1"/>
  <c r="M501" i="2" s="1"/>
  <c r="N501" i="2" s="1"/>
  <c r="G501" i="2"/>
  <c r="D501" i="2"/>
  <c r="AA500" i="2"/>
  <c r="W500" i="2"/>
  <c r="T500" i="2"/>
  <c r="S500" i="2"/>
  <c r="AA499" i="2"/>
  <c r="W499" i="2"/>
  <c r="T499" i="2"/>
  <c r="S499" i="2"/>
  <c r="R499" i="2"/>
  <c r="Q499" i="2"/>
  <c r="K499" i="2"/>
  <c r="M39" i="3" s="1"/>
  <c r="G499" i="2"/>
  <c r="D499" i="2"/>
  <c r="AA498" i="2"/>
  <c r="W498" i="2"/>
  <c r="T498" i="2"/>
  <c r="S498" i="2"/>
  <c r="R498" i="2"/>
  <c r="Q498" i="2"/>
  <c r="K498" i="2"/>
  <c r="L498" i="2" s="1"/>
  <c r="M498" i="2" s="1"/>
  <c r="N498" i="2" s="1"/>
  <c r="G498" i="2"/>
  <c r="D498" i="2"/>
  <c r="AA497" i="2"/>
  <c r="W497" i="2"/>
  <c r="T497" i="2"/>
  <c r="S497" i="2"/>
  <c r="R497" i="2"/>
  <c r="Q497" i="2"/>
  <c r="K497" i="2"/>
  <c r="L497" i="2" s="1"/>
  <c r="M497" i="2" s="1"/>
  <c r="N497" i="2" s="1"/>
  <c r="G497" i="2"/>
  <c r="AA496" i="2"/>
  <c r="W496" i="2"/>
  <c r="T496" i="2"/>
  <c r="S496" i="2"/>
  <c r="R496" i="2"/>
  <c r="Q496" i="2"/>
  <c r="K496" i="2"/>
  <c r="L496" i="2" s="1"/>
  <c r="M496" i="2" s="1"/>
  <c r="N496" i="2" s="1"/>
  <c r="P496" i="2" s="1"/>
  <c r="G496" i="2"/>
  <c r="D496" i="2"/>
  <c r="AA495" i="2"/>
  <c r="W495" i="2"/>
  <c r="T495" i="2"/>
  <c r="S495" i="2"/>
  <c r="R495" i="2"/>
  <c r="Q495" i="2"/>
  <c r="K495" i="2"/>
  <c r="L495" i="2" s="1"/>
  <c r="M495" i="2" s="1"/>
  <c r="N495" i="2" s="1"/>
  <c r="P495" i="2" s="1"/>
  <c r="G495" i="2"/>
  <c r="D495" i="2"/>
  <c r="AA494" i="2"/>
  <c r="W494" i="2"/>
  <c r="T494" i="2"/>
  <c r="S494" i="2"/>
  <c r="R494" i="2"/>
  <c r="Q494" i="2"/>
  <c r="K494" i="2"/>
  <c r="G494" i="2"/>
  <c r="D494" i="2"/>
  <c r="AA493" i="2"/>
  <c r="W493" i="2"/>
  <c r="T493" i="2"/>
  <c r="S493" i="2"/>
  <c r="R493" i="2"/>
  <c r="Q493" i="2"/>
  <c r="O493" i="2"/>
  <c r="K493" i="2"/>
  <c r="L493" i="2" s="1"/>
  <c r="M493" i="2" s="1"/>
  <c r="N493" i="2" s="1"/>
  <c r="AA492" i="2"/>
  <c r="W492" i="2"/>
  <c r="T492" i="2"/>
  <c r="S492" i="2"/>
  <c r="R492" i="2"/>
  <c r="Q492" i="2"/>
  <c r="O492" i="2"/>
  <c r="K492" i="2"/>
  <c r="L492" i="2" s="1"/>
  <c r="M492" i="2" s="1"/>
  <c r="N492" i="2" s="1"/>
  <c r="AA491" i="2"/>
  <c r="W491" i="2"/>
  <c r="T491" i="2"/>
  <c r="S491" i="2"/>
  <c r="R491" i="2"/>
  <c r="Q491" i="2"/>
  <c r="O491" i="2"/>
  <c r="K491" i="2"/>
  <c r="L491" i="2" s="1"/>
  <c r="M491" i="2" s="1"/>
  <c r="N491" i="2" s="1"/>
  <c r="AA490" i="2"/>
  <c r="W490" i="2"/>
  <c r="T490" i="2"/>
  <c r="S490" i="2"/>
  <c r="R490" i="2"/>
  <c r="Q490" i="2"/>
  <c r="L490" i="2"/>
  <c r="M490" i="2" s="1"/>
  <c r="N490" i="2" s="1"/>
  <c r="P490" i="2" s="1"/>
  <c r="G490" i="2"/>
  <c r="D490" i="2"/>
  <c r="AA489" i="2"/>
  <c r="W489" i="2"/>
  <c r="T489" i="2"/>
  <c r="S489" i="2"/>
  <c r="R489" i="2"/>
  <c r="Q489" i="2"/>
  <c r="L489" i="2"/>
  <c r="M489" i="2" s="1"/>
  <c r="N489" i="2" s="1"/>
  <c r="G489" i="2"/>
  <c r="D489" i="2"/>
  <c r="AA488" i="2"/>
  <c r="W488" i="2"/>
  <c r="T488" i="2"/>
  <c r="S488" i="2"/>
  <c r="R488" i="2"/>
  <c r="Q488" i="2"/>
  <c r="L488" i="2"/>
  <c r="N488" i="2" s="1"/>
  <c r="Z984" i="2" s="1"/>
  <c r="G488" i="2"/>
  <c r="D488" i="2"/>
  <c r="AA487" i="2"/>
  <c r="W487" i="2"/>
  <c r="T487" i="2"/>
  <c r="S487" i="2"/>
  <c r="R487" i="2"/>
  <c r="Q487" i="2"/>
  <c r="L487" i="2"/>
  <c r="M487" i="2" s="1"/>
  <c r="N487" i="2" s="1"/>
  <c r="G487" i="2"/>
  <c r="D487" i="2"/>
  <c r="AA486" i="2"/>
  <c r="W486" i="2"/>
  <c r="T486" i="2"/>
  <c r="S486" i="2"/>
  <c r="R486" i="2"/>
  <c r="Q486" i="2"/>
  <c r="L486" i="2"/>
  <c r="M486" i="2" s="1"/>
  <c r="N486" i="2" s="1"/>
  <c r="G486" i="2"/>
  <c r="D486" i="2"/>
  <c r="AA485" i="2"/>
  <c r="W485" i="2"/>
  <c r="T485" i="2"/>
  <c r="S485" i="2"/>
  <c r="R485" i="2"/>
  <c r="Q485" i="2"/>
  <c r="L485" i="2"/>
  <c r="M485" i="2" s="1"/>
  <c r="N485" i="2" s="1"/>
  <c r="G485" i="2"/>
  <c r="D485" i="2"/>
  <c r="AA484" i="2"/>
  <c r="W484" i="2"/>
  <c r="T484" i="2"/>
  <c r="S484" i="2"/>
  <c r="R484" i="2"/>
  <c r="Q484" i="2"/>
  <c r="L484" i="2"/>
  <c r="M484" i="2" s="1"/>
  <c r="N484" i="2" s="1"/>
  <c r="P484" i="2" s="1"/>
  <c r="G484" i="2"/>
  <c r="D484" i="2"/>
  <c r="AA483" i="2"/>
  <c r="W483" i="2"/>
  <c r="T483" i="2"/>
  <c r="S483" i="2"/>
  <c r="R483" i="2"/>
  <c r="Q483" i="2"/>
  <c r="L483" i="2"/>
  <c r="M483" i="2" s="1"/>
  <c r="N483" i="2" s="1"/>
  <c r="P483" i="2" s="1"/>
  <c r="G483" i="2"/>
  <c r="D483" i="2"/>
  <c r="AA482" i="2"/>
  <c r="W482" i="2"/>
  <c r="T482" i="2"/>
  <c r="S482" i="2"/>
  <c r="R482" i="2"/>
  <c r="Q482" i="2"/>
  <c r="L482" i="2"/>
  <c r="M482" i="2" s="1"/>
  <c r="N482" i="2" s="1"/>
  <c r="G482" i="2"/>
  <c r="D482" i="2"/>
  <c r="AA481" i="2"/>
  <c r="W481" i="2"/>
  <c r="T481" i="2"/>
  <c r="S481" i="2"/>
  <c r="R481" i="2"/>
  <c r="Q481" i="2"/>
  <c r="L481" i="2"/>
  <c r="M481" i="2" s="1"/>
  <c r="N481" i="2" s="1"/>
  <c r="G481" i="2"/>
  <c r="D481" i="2"/>
  <c r="AA480" i="2"/>
  <c r="W480" i="2"/>
  <c r="T480" i="2"/>
  <c r="S480" i="2"/>
  <c r="R480" i="2"/>
  <c r="Q480" i="2"/>
  <c r="L480" i="2"/>
  <c r="M480" i="2" s="1"/>
  <c r="N480" i="2" s="1"/>
  <c r="G480" i="2"/>
  <c r="D480" i="2"/>
  <c r="AA479" i="2"/>
  <c r="W479" i="2"/>
  <c r="T479" i="2"/>
  <c r="S479" i="2"/>
  <c r="R479" i="2"/>
  <c r="Q479" i="2"/>
  <c r="L479" i="2"/>
  <c r="M479" i="2" s="1"/>
  <c r="N479" i="2" s="1"/>
  <c r="Z1182" i="2" s="1"/>
  <c r="G479" i="2"/>
  <c r="D479" i="2"/>
  <c r="AA478" i="2"/>
  <c r="W478" i="2"/>
  <c r="T478" i="2"/>
  <c r="S478" i="2"/>
  <c r="R478" i="2"/>
  <c r="Q478" i="2"/>
  <c r="L478" i="2"/>
  <c r="M478" i="2" s="1"/>
  <c r="N478" i="2" s="1"/>
  <c r="G478" i="2"/>
  <c r="D478" i="2"/>
  <c r="AA477" i="2"/>
  <c r="W477" i="2"/>
  <c r="T477" i="2"/>
  <c r="S477" i="2"/>
  <c r="R477" i="2"/>
  <c r="Q477" i="2"/>
  <c r="L477" i="2"/>
  <c r="M477" i="2" s="1"/>
  <c r="N477" i="2" s="1"/>
  <c r="G477" i="2"/>
  <c r="D477" i="2"/>
  <c r="AA476" i="2"/>
  <c r="W476" i="2"/>
  <c r="T476" i="2"/>
  <c r="S476" i="2"/>
  <c r="R476" i="2"/>
  <c r="Q476" i="2"/>
  <c r="L476" i="2"/>
  <c r="M476" i="2" s="1"/>
  <c r="N476" i="2" s="1"/>
  <c r="P476" i="2" s="1"/>
  <c r="G476" i="2"/>
  <c r="D476" i="2"/>
  <c r="AA475" i="2"/>
  <c r="W475" i="2"/>
  <c r="T475" i="2"/>
  <c r="S475" i="2"/>
  <c r="R475" i="2"/>
  <c r="Q475" i="2"/>
  <c r="L475" i="2"/>
  <c r="M475" i="2" s="1"/>
  <c r="N475" i="2" s="1"/>
  <c r="P475" i="2" s="1"/>
  <c r="G475" i="2"/>
  <c r="D475" i="2"/>
  <c r="AA474" i="2"/>
  <c r="W474" i="2"/>
  <c r="T474" i="2"/>
  <c r="S474" i="2"/>
  <c r="R474" i="2"/>
  <c r="Q474" i="2"/>
  <c r="L474" i="2"/>
  <c r="M474" i="2" s="1"/>
  <c r="N474" i="2" s="1"/>
  <c r="P474" i="2" s="1"/>
  <c r="G474" i="2"/>
  <c r="D474" i="2"/>
  <c r="AA473" i="2"/>
  <c r="W473" i="2"/>
  <c r="T473" i="2"/>
  <c r="S473" i="2"/>
  <c r="R473" i="2"/>
  <c r="Q473" i="2"/>
  <c r="L473" i="2"/>
  <c r="M473" i="2" s="1"/>
  <c r="N473" i="2" s="1"/>
  <c r="G473" i="2"/>
  <c r="D473" i="2"/>
  <c r="AA472" i="2"/>
  <c r="W472" i="2"/>
  <c r="T472" i="2"/>
  <c r="S472" i="2"/>
  <c r="R472" i="2"/>
  <c r="Q472" i="2"/>
  <c r="L472" i="2"/>
  <c r="M472" i="2" s="1"/>
  <c r="N472" i="2" s="1"/>
  <c r="G472" i="2"/>
  <c r="D472" i="2"/>
  <c r="AA471" i="2"/>
  <c r="W471" i="2"/>
  <c r="T471" i="2"/>
  <c r="S471" i="2"/>
  <c r="R471" i="2"/>
  <c r="Q471" i="2"/>
  <c r="L471" i="2"/>
  <c r="M471" i="2" s="1"/>
  <c r="N471" i="2" s="1"/>
  <c r="P471" i="2" s="1"/>
  <c r="G471" i="2"/>
  <c r="D471" i="2"/>
  <c r="AA470" i="2"/>
  <c r="W470" i="2"/>
  <c r="T470" i="2"/>
  <c r="S470" i="2"/>
  <c r="R470" i="2"/>
  <c r="Q470" i="2"/>
  <c r="O470" i="2"/>
  <c r="L470" i="2"/>
  <c r="M470" i="2" s="1"/>
  <c r="N470" i="2" s="1"/>
  <c r="G470" i="2"/>
  <c r="D470" i="2"/>
  <c r="AA469" i="2"/>
  <c r="W469" i="2"/>
  <c r="T469" i="2"/>
  <c r="S469" i="2"/>
  <c r="R469" i="2"/>
  <c r="Q469" i="2"/>
  <c r="L469" i="2"/>
  <c r="M469" i="2" s="1"/>
  <c r="N469" i="2" s="1"/>
  <c r="G469" i="2"/>
  <c r="D469" i="2"/>
  <c r="AA468" i="2"/>
  <c r="W468" i="2"/>
  <c r="T468" i="2"/>
  <c r="S468" i="2"/>
  <c r="R468" i="2"/>
  <c r="Q468" i="2"/>
  <c r="O468" i="2"/>
  <c r="L468" i="2"/>
  <c r="M468" i="2" s="1"/>
  <c r="N468" i="2" s="1"/>
  <c r="G468" i="2"/>
  <c r="D468" i="2"/>
  <c r="AA467" i="2"/>
  <c r="W467" i="2"/>
  <c r="T467" i="2"/>
  <c r="S467" i="2"/>
  <c r="R467" i="2"/>
  <c r="Q467" i="2"/>
  <c r="O467" i="2"/>
  <c r="L467" i="2"/>
  <c r="M467" i="2" s="1"/>
  <c r="N467" i="2" s="1"/>
  <c r="G467" i="2"/>
  <c r="D467" i="2"/>
  <c r="AA466" i="2"/>
  <c r="W466" i="2"/>
  <c r="T466" i="2"/>
  <c r="S466" i="2"/>
  <c r="R466" i="2"/>
  <c r="Q466" i="2"/>
  <c r="O466" i="2"/>
  <c r="K466" i="2"/>
  <c r="L466" i="2" s="1"/>
  <c r="M466" i="2" s="1"/>
  <c r="N466" i="2" s="1"/>
  <c r="G466" i="2"/>
  <c r="D466" i="2"/>
  <c r="AA465" i="2"/>
  <c r="W465" i="2"/>
  <c r="T465" i="2"/>
  <c r="S465" i="2"/>
  <c r="R465" i="2"/>
  <c r="Q465" i="2"/>
  <c r="O465" i="2"/>
  <c r="K465" i="2"/>
  <c r="L465" i="2" s="1"/>
  <c r="M465" i="2" s="1"/>
  <c r="N465" i="2" s="1"/>
  <c r="G465" i="2"/>
  <c r="D465" i="2"/>
  <c r="AA464" i="2"/>
  <c r="W464" i="2"/>
  <c r="T464" i="2"/>
  <c r="S464" i="2"/>
  <c r="R464" i="2"/>
  <c r="Q464" i="2"/>
  <c r="O464" i="2"/>
  <c r="K464" i="2"/>
  <c r="L464" i="2" s="1"/>
  <c r="M464" i="2" s="1"/>
  <c r="N464" i="2" s="1"/>
  <c r="G464" i="2"/>
  <c r="D464" i="2"/>
  <c r="AA463" i="2"/>
  <c r="W463" i="2"/>
  <c r="T463" i="2"/>
  <c r="S463" i="2"/>
  <c r="R463" i="2"/>
  <c r="Q463" i="2"/>
  <c r="O463" i="2"/>
  <c r="K463" i="2"/>
  <c r="L463" i="2" s="1"/>
  <c r="M463" i="2" s="1"/>
  <c r="N463" i="2" s="1"/>
  <c r="G463" i="2"/>
  <c r="D463" i="2"/>
  <c r="AA462" i="2"/>
  <c r="W462" i="2"/>
  <c r="T462" i="2"/>
  <c r="S462" i="2"/>
  <c r="R462" i="2"/>
  <c r="Q462" i="2"/>
  <c r="O462" i="2"/>
  <c r="K462" i="2"/>
  <c r="L462" i="2" s="1"/>
  <c r="M462" i="2" s="1"/>
  <c r="N462" i="2" s="1"/>
  <c r="G462" i="2"/>
  <c r="D462" i="2"/>
  <c r="AA461" i="2"/>
  <c r="W461" i="2"/>
  <c r="T461" i="2"/>
  <c r="S461" i="2"/>
  <c r="R461" i="2"/>
  <c r="Q461" i="2"/>
  <c r="O461" i="2"/>
  <c r="K461" i="2"/>
  <c r="L461" i="2" s="1"/>
  <c r="M461" i="2" s="1"/>
  <c r="N461" i="2" s="1"/>
  <c r="G461" i="2"/>
  <c r="D461" i="2"/>
  <c r="AA460" i="2"/>
  <c r="W460" i="2"/>
  <c r="T460" i="2"/>
  <c r="S460" i="2"/>
  <c r="R460" i="2"/>
  <c r="Q460" i="2"/>
  <c r="K460" i="2"/>
  <c r="L460" i="2" s="1"/>
  <c r="M460" i="2" s="1"/>
  <c r="N460" i="2" s="1"/>
  <c r="P460" i="2" s="1"/>
  <c r="G460" i="2"/>
  <c r="D460" i="2"/>
  <c r="AA459" i="2"/>
  <c r="W459" i="2"/>
  <c r="T459" i="2"/>
  <c r="S459" i="2"/>
  <c r="R459" i="2"/>
  <c r="Q459" i="2"/>
  <c r="O459" i="2"/>
  <c r="K459" i="2"/>
  <c r="L459" i="2" s="1"/>
  <c r="M459" i="2" s="1"/>
  <c r="N459" i="2" s="1"/>
  <c r="G459" i="2"/>
  <c r="D459" i="2"/>
  <c r="AA458" i="2"/>
  <c r="W458" i="2"/>
  <c r="T458" i="2"/>
  <c r="S458" i="2"/>
  <c r="R458" i="2"/>
  <c r="Q458" i="2"/>
  <c r="O458" i="2"/>
  <c r="K458" i="2"/>
  <c r="L458" i="2" s="1"/>
  <c r="M458" i="2" s="1"/>
  <c r="N458" i="2" s="1"/>
  <c r="G458" i="2"/>
  <c r="D458" i="2"/>
  <c r="AA457" i="2"/>
  <c r="W457" i="2"/>
  <c r="T457" i="2"/>
  <c r="S457" i="2"/>
  <c r="R457" i="2"/>
  <c r="Q457" i="2"/>
  <c r="O457" i="2"/>
  <c r="L457" i="2"/>
  <c r="M457" i="2" s="1"/>
  <c r="N457" i="2" s="1"/>
  <c r="G457" i="2"/>
  <c r="D457" i="2"/>
  <c r="L456" i="2"/>
  <c r="M456" i="2" s="1"/>
  <c r="N456" i="2" s="1"/>
  <c r="P456" i="2" s="1"/>
  <c r="AA455" i="2"/>
  <c r="W455" i="2"/>
  <c r="T455" i="2"/>
  <c r="S455" i="2"/>
  <c r="R455" i="2"/>
  <c r="Q455" i="2"/>
  <c r="O455" i="2"/>
  <c r="K455" i="2"/>
  <c r="L455" i="2" s="1"/>
  <c r="M455" i="2" s="1"/>
  <c r="N455" i="2" s="1"/>
  <c r="G455" i="2"/>
  <c r="D455" i="2"/>
  <c r="R454" i="2"/>
  <c r="O454" i="2"/>
  <c r="K454" i="2"/>
  <c r="L454" i="2" s="1"/>
  <c r="M454" i="2" s="1"/>
  <c r="N454" i="2" s="1"/>
  <c r="R453" i="2"/>
  <c r="O453" i="2"/>
  <c r="K453" i="2"/>
  <c r="L453" i="2" s="1"/>
  <c r="M453" i="2" s="1"/>
  <c r="N453" i="2" s="1"/>
  <c r="AA452" i="2"/>
  <c r="W452" i="2"/>
  <c r="T452" i="2"/>
  <c r="S452" i="2"/>
  <c r="R452" i="2"/>
  <c r="Q452" i="2"/>
  <c r="O452" i="2"/>
  <c r="K452" i="2"/>
  <c r="L452" i="2" s="1"/>
  <c r="M452" i="2" s="1"/>
  <c r="N452" i="2" s="1"/>
  <c r="G452" i="2"/>
  <c r="D452" i="2"/>
  <c r="O451" i="2"/>
  <c r="L451" i="2"/>
  <c r="M451" i="2" s="1"/>
  <c r="N451" i="2" s="1"/>
  <c r="G451" i="2"/>
  <c r="AA450" i="2"/>
  <c r="W450" i="2"/>
  <c r="T450" i="2"/>
  <c r="S450" i="2"/>
  <c r="R450" i="2"/>
  <c r="Q450" i="2"/>
  <c r="O450" i="2"/>
  <c r="L450" i="2"/>
  <c r="M450" i="2" s="1"/>
  <c r="N450" i="2" s="1"/>
  <c r="G450" i="2"/>
  <c r="D450" i="2"/>
  <c r="AA449" i="2"/>
  <c r="W449" i="2"/>
  <c r="T449" i="2"/>
  <c r="S449" i="2"/>
  <c r="R449" i="2"/>
  <c r="Q449" i="2"/>
  <c r="O449" i="2"/>
  <c r="K449" i="2"/>
  <c r="L449" i="2" s="1"/>
  <c r="M449" i="2" s="1"/>
  <c r="N449" i="2" s="1"/>
  <c r="G449" i="2"/>
  <c r="D449" i="2"/>
  <c r="AA448" i="2"/>
  <c r="W448" i="2"/>
  <c r="T448" i="2"/>
  <c r="S448" i="2"/>
  <c r="R448" i="2"/>
  <c r="Q448" i="2"/>
  <c r="O448" i="2"/>
  <c r="K448" i="2"/>
  <c r="L448" i="2" s="1"/>
  <c r="M448" i="2" s="1"/>
  <c r="N448" i="2" s="1"/>
  <c r="G448" i="2"/>
  <c r="D448" i="2"/>
  <c r="AA447" i="2"/>
  <c r="W447" i="2"/>
  <c r="T447" i="2"/>
  <c r="S447" i="2"/>
  <c r="R447" i="2"/>
  <c r="Q447" i="2"/>
  <c r="K447" i="2"/>
  <c r="M24" i="3" s="1"/>
  <c r="G447" i="2"/>
  <c r="D447" i="2"/>
  <c r="AA446" i="2"/>
  <c r="W446" i="2"/>
  <c r="T446" i="2"/>
  <c r="S446" i="2"/>
  <c r="R446" i="2"/>
  <c r="Q446" i="2"/>
  <c r="O446" i="2"/>
  <c r="K446" i="2"/>
  <c r="L446" i="2" s="1"/>
  <c r="M446" i="2" s="1"/>
  <c r="N446" i="2" s="1"/>
  <c r="G446" i="2"/>
  <c r="D446" i="2"/>
  <c r="AA445" i="2"/>
  <c r="W445" i="2"/>
  <c r="T445" i="2"/>
  <c r="S445" i="2"/>
  <c r="R445" i="2"/>
  <c r="Q445" i="2"/>
  <c r="O445" i="2"/>
  <c r="K445" i="2"/>
  <c r="L445" i="2" s="1"/>
  <c r="M445" i="2" s="1"/>
  <c r="N445" i="2" s="1"/>
  <c r="G445" i="2"/>
  <c r="D445" i="2"/>
  <c r="AA444" i="2"/>
  <c r="W444" i="2"/>
  <c r="T444" i="2"/>
  <c r="S444" i="2"/>
  <c r="R444" i="2"/>
  <c r="Q444" i="2"/>
  <c r="O444" i="2"/>
  <c r="K444" i="2"/>
  <c r="L444" i="2" s="1"/>
  <c r="M444" i="2" s="1"/>
  <c r="N444" i="2" s="1"/>
  <c r="G444" i="2"/>
  <c r="D444" i="2"/>
  <c r="AA443" i="2"/>
  <c r="W443" i="2"/>
  <c r="T443" i="2"/>
  <c r="S443" i="2"/>
  <c r="R443" i="2"/>
  <c r="Q443" i="2"/>
  <c r="O443" i="2"/>
  <c r="L443" i="2"/>
  <c r="M443" i="2" s="1"/>
  <c r="N443" i="2" s="1"/>
  <c r="G443" i="2"/>
  <c r="D443" i="2"/>
  <c r="AA442" i="2"/>
  <c r="W442" i="2"/>
  <c r="T442" i="2"/>
  <c r="S442" i="2"/>
  <c r="R442" i="2"/>
  <c r="Q442" i="2"/>
  <c r="O442" i="2"/>
  <c r="K442" i="2"/>
  <c r="L442" i="2" s="1"/>
  <c r="M442" i="2" s="1"/>
  <c r="N442" i="2" s="1"/>
  <c r="G442" i="2"/>
  <c r="D442" i="2"/>
  <c r="O441" i="2"/>
  <c r="K441" i="2"/>
  <c r="L441" i="2" s="1"/>
  <c r="M441" i="2" s="1"/>
  <c r="N441" i="2" s="1"/>
  <c r="AA440" i="2"/>
  <c r="W440" i="2"/>
  <c r="T440" i="2"/>
  <c r="S440" i="2"/>
  <c r="R440" i="2"/>
  <c r="Q440" i="2"/>
  <c r="O440" i="2"/>
  <c r="K440" i="2"/>
  <c r="L440" i="2" s="1"/>
  <c r="M440" i="2" s="1"/>
  <c r="N440" i="2" s="1"/>
  <c r="G440" i="2"/>
  <c r="D440" i="2"/>
  <c r="AA439" i="2"/>
  <c r="W439" i="2"/>
  <c r="T439" i="2"/>
  <c r="S439" i="2"/>
  <c r="R439" i="2"/>
  <c r="Q439" i="2"/>
  <c r="O439" i="2"/>
  <c r="K439" i="2"/>
  <c r="L439" i="2" s="1"/>
  <c r="M439" i="2" s="1"/>
  <c r="N439" i="2" s="1"/>
  <c r="G439" i="2"/>
  <c r="D439" i="2"/>
  <c r="AA438" i="2"/>
  <c r="W438" i="2"/>
  <c r="T438" i="2"/>
  <c r="S438" i="2"/>
  <c r="R438" i="2"/>
  <c r="Q438" i="2"/>
  <c r="O438" i="2"/>
  <c r="L438" i="2"/>
  <c r="M438" i="2" s="1"/>
  <c r="N438" i="2" s="1"/>
  <c r="G438" i="2"/>
  <c r="D438" i="2"/>
  <c r="AA437" i="2"/>
  <c r="X437" i="2"/>
  <c r="T437" i="2"/>
  <c r="S437" i="2"/>
  <c r="O437" i="2"/>
  <c r="K437" i="2"/>
  <c r="L437" i="2" s="1"/>
  <c r="M437" i="2" s="1"/>
  <c r="N437" i="2" s="1"/>
  <c r="AA436" i="2"/>
  <c r="W436" i="2"/>
  <c r="T436" i="2"/>
  <c r="S436" i="2"/>
  <c r="R436" i="2"/>
  <c r="Q436" i="2"/>
  <c r="O436" i="2"/>
  <c r="L436" i="2"/>
  <c r="M436" i="2" s="1"/>
  <c r="N436" i="2" s="1"/>
  <c r="G436" i="2"/>
  <c r="D436" i="2"/>
  <c r="O435" i="2"/>
  <c r="K435" i="2"/>
  <c r="L435" i="2" s="1"/>
  <c r="M435" i="2" s="1"/>
  <c r="N435" i="2" s="1"/>
  <c r="O434" i="2"/>
  <c r="L434" i="2"/>
  <c r="M434" i="2" s="1"/>
  <c r="N434" i="2" s="1"/>
  <c r="O433" i="2"/>
  <c r="K433" i="2"/>
  <c r="L433" i="2" s="1"/>
  <c r="M433" i="2" s="1"/>
  <c r="N433" i="2" s="1"/>
  <c r="O432" i="2"/>
  <c r="K432" i="2"/>
  <c r="L432" i="2" s="1"/>
  <c r="M432" i="2" s="1"/>
  <c r="N432" i="2" s="1"/>
  <c r="AA431" i="2"/>
  <c r="W431" i="2"/>
  <c r="T431" i="2"/>
  <c r="S431" i="2"/>
  <c r="R431" i="2"/>
  <c r="Q431" i="2"/>
  <c r="O431" i="2"/>
  <c r="K431" i="2"/>
  <c r="L431" i="2" s="1"/>
  <c r="M431" i="2" s="1"/>
  <c r="N431" i="2" s="1"/>
  <c r="G431" i="2"/>
  <c r="D431" i="2"/>
  <c r="AA430" i="2"/>
  <c r="W430" i="2"/>
  <c r="T430" i="2"/>
  <c r="S430" i="2"/>
  <c r="R430" i="2"/>
  <c r="Q430" i="2"/>
  <c r="O430" i="2"/>
  <c r="K430" i="2"/>
  <c r="L430" i="2" s="1"/>
  <c r="M430" i="2" s="1"/>
  <c r="N430" i="2" s="1"/>
  <c r="G430" i="2"/>
  <c r="D430" i="2"/>
  <c r="AA429" i="2"/>
  <c r="W429" i="2"/>
  <c r="T429" i="2"/>
  <c r="S429" i="2"/>
  <c r="R429" i="2"/>
  <c r="Q429" i="2"/>
  <c r="O429" i="2"/>
  <c r="K429" i="2"/>
  <c r="L429" i="2" s="1"/>
  <c r="M429" i="2" s="1"/>
  <c r="N429" i="2" s="1"/>
  <c r="G429" i="2"/>
  <c r="D429" i="2"/>
  <c r="AA428" i="2"/>
  <c r="W428" i="2"/>
  <c r="T428" i="2"/>
  <c r="S428" i="2"/>
  <c r="R428" i="2"/>
  <c r="Q428" i="2"/>
  <c r="O428" i="2"/>
  <c r="K428" i="2"/>
  <c r="L428" i="2" s="1"/>
  <c r="M428" i="2" s="1"/>
  <c r="N428" i="2" s="1"/>
  <c r="G428" i="2"/>
  <c r="D428" i="2"/>
  <c r="AA427" i="2"/>
  <c r="W427" i="2"/>
  <c r="T427" i="2"/>
  <c r="S427" i="2"/>
  <c r="R427" i="2"/>
  <c r="Q427" i="2"/>
  <c r="O427" i="2"/>
  <c r="K427" i="2"/>
  <c r="M29" i="3" s="1"/>
  <c r="G427" i="2"/>
  <c r="D427" i="2"/>
  <c r="AA426" i="2"/>
  <c r="W426" i="2"/>
  <c r="T426" i="2"/>
  <c r="S426" i="2"/>
  <c r="R426" i="2"/>
  <c r="Q426" i="2"/>
  <c r="O426" i="2"/>
  <c r="K426" i="2"/>
  <c r="L426" i="2" s="1"/>
  <c r="M426" i="2" s="1"/>
  <c r="N426" i="2" s="1"/>
  <c r="G426" i="2"/>
  <c r="D426" i="2"/>
  <c r="AA425" i="2"/>
  <c r="W425" i="2"/>
  <c r="T425" i="2"/>
  <c r="S425" i="2"/>
  <c r="R425" i="2"/>
  <c r="Q425" i="2"/>
  <c r="O425" i="2"/>
  <c r="K425" i="2"/>
  <c r="L425" i="2" s="1"/>
  <c r="M425" i="2" s="1"/>
  <c r="N425" i="2" s="1"/>
  <c r="Z805" i="2" s="1"/>
  <c r="AA424" i="2"/>
  <c r="W424" i="2"/>
  <c r="T424" i="2"/>
  <c r="S424" i="2"/>
  <c r="R424" i="2"/>
  <c r="Q424" i="2"/>
  <c r="O424" i="2"/>
  <c r="L424" i="2"/>
  <c r="M424" i="2" s="1"/>
  <c r="N424" i="2" s="1"/>
  <c r="G424" i="2"/>
  <c r="D424" i="2"/>
  <c r="AA423" i="2"/>
  <c r="W423" i="2"/>
  <c r="T423" i="2"/>
  <c r="S423" i="2"/>
  <c r="R423" i="2"/>
  <c r="Q423" i="2"/>
  <c r="O423" i="2"/>
  <c r="L423" i="2"/>
  <c r="M423" i="2" s="1"/>
  <c r="N423" i="2" s="1"/>
  <c r="G423" i="2"/>
  <c r="D423" i="2"/>
  <c r="AA422" i="2"/>
  <c r="W422" i="2"/>
  <c r="T422" i="2"/>
  <c r="S422" i="2"/>
  <c r="R422" i="2"/>
  <c r="Q422" i="2"/>
  <c r="O422" i="2"/>
  <c r="M422" i="2"/>
  <c r="N422" i="2" s="1"/>
  <c r="K422" i="2"/>
  <c r="G422" i="2"/>
  <c r="D422" i="2"/>
  <c r="AA421" i="2"/>
  <c r="W421" i="2"/>
  <c r="T421" i="2"/>
  <c r="S421" i="2"/>
  <c r="R421" i="2"/>
  <c r="Q421" i="2"/>
  <c r="O421" i="2"/>
  <c r="K421" i="2"/>
  <c r="L421" i="2" s="1"/>
  <c r="M421" i="2" s="1"/>
  <c r="N421" i="2" s="1"/>
  <c r="G421" i="2"/>
  <c r="D421" i="2"/>
  <c r="AA420" i="2"/>
  <c r="W420" i="2"/>
  <c r="T420" i="2"/>
  <c r="S420" i="2"/>
  <c r="R420" i="2"/>
  <c r="Q420" i="2"/>
  <c r="O420" i="2"/>
  <c r="K420" i="2"/>
  <c r="L420" i="2" s="1"/>
  <c r="M420" i="2" s="1"/>
  <c r="N420" i="2" s="1"/>
  <c r="G420" i="2"/>
  <c r="D420" i="2"/>
  <c r="AA419" i="2"/>
  <c r="W419" i="2"/>
  <c r="T419" i="2"/>
  <c r="S419" i="2"/>
  <c r="R419" i="2"/>
  <c r="Q419" i="2"/>
  <c r="O419" i="2"/>
  <c r="K419" i="2"/>
  <c r="L419" i="2" s="1"/>
  <c r="M419" i="2" s="1"/>
  <c r="N419" i="2" s="1"/>
  <c r="G419" i="2"/>
  <c r="D419" i="2"/>
  <c r="AA418" i="2"/>
  <c r="W418" i="2"/>
  <c r="T418" i="2"/>
  <c r="S418" i="2"/>
  <c r="R418" i="2"/>
  <c r="Q418" i="2"/>
  <c r="O418" i="2"/>
  <c r="K418" i="2"/>
  <c r="L418" i="2" s="1"/>
  <c r="M418" i="2" s="1"/>
  <c r="N418" i="2" s="1"/>
  <c r="G418" i="2"/>
  <c r="D418" i="2"/>
  <c r="AA417" i="2"/>
  <c r="W417" i="2"/>
  <c r="T417" i="2"/>
  <c r="S417" i="2"/>
  <c r="R417" i="2"/>
  <c r="Q417" i="2"/>
  <c r="O417" i="2"/>
  <c r="K417" i="2"/>
  <c r="L417" i="2" s="1"/>
  <c r="M417" i="2" s="1"/>
  <c r="N417" i="2" s="1"/>
  <c r="G417" i="2"/>
  <c r="D417" i="2"/>
  <c r="AA416" i="2"/>
  <c r="W416" i="2"/>
  <c r="T416" i="2"/>
  <c r="S416" i="2"/>
  <c r="R416" i="2"/>
  <c r="Q416" i="2"/>
  <c r="O416" i="2"/>
  <c r="K416" i="2"/>
  <c r="L416" i="2" s="1"/>
  <c r="M416" i="2" s="1"/>
  <c r="N416" i="2" s="1"/>
  <c r="G416" i="2"/>
  <c r="D416" i="2"/>
  <c r="AA415" i="2"/>
  <c r="W415" i="2"/>
  <c r="T415" i="2"/>
  <c r="S415" i="2"/>
  <c r="R415" i="2"/>
  <c r="Q415" i="2"/>
  <c r="O415" i="2"/>
  <c r="K415" i="2"/>
  <c r="L415" i="2" s="1"/>
  <c r="M415" i="2" s="1"/>
  <c r="N415" i="2" s="1"/>
  <c r="G415" i="2"/>
  <c r="D415" i="2"/>
  <c r="AA414" i="2"/>
  <c r="W414" i="2"/>
  <c r="T414" i="2"/>
  <c r="S414" i="2"/>
  <c r="R414" i="2"/>
  <c r="Q414" i="2"/>
  <c r="O414" i="2"/>
  <c r="K414" i="2"/>
  <c r="L414" i="2" s="1"/>
  <c r="M414" i="2" s="1"/>
  <c r="N414" i="2" s="1"/>
  <c r="G414" i="2"/>
  <c r="D414" i="2"/>
  <c r="AA413" i="2"/>
  <c r="W413" i="2"/>
  <c r="T413" i="2"/>
  <c r="S413" i="2"/>
  <c r="R413" i="2"/>
  <c r="Q413" i="2"/>
  <c r="O413" i="2"/>
  <c r="K413" i="2"/>
  <c r="L413" i="2" s="1"/>
  <c r="M413" i="2" s="1"/>
  <c r="N413" i="2" s="1"/>
  <c r="G413" i="2"/>
  <c r="D413" i="2"/>
  <c r="AA412" i="2"/>
  <c r="W412" i="2"/>
  <c r="T412" i="2"/>
  <c r="S412" i="2"/>
  <c r="R412" i="2"/>
  <c r="Q412" i="2"/>
  <c r="O412" i="2"/>
  <c r="K412" i="2"/>
  <c r="L412" i="2" s="1"/>
  <c r="M412" i="2" s="1"/>
  <c r="N412" i="2" s="1"/>
  <c r="G412" i="2"/>
  <c r="D412" i="2"/>
  <c r="AA411" i="2"/>
  <c r="W411" i="2"/>
  <c r="T411" i="2"/>
  <c r="S411" i="2"/>
  <c r="R411" i="2"/>
  <c r="Q411" i="2"/>
  <c r="O411" i="2"/>
  <c r="K411" i="2"/>
  <c r="L411" i="2" s="1"/>
  <c r="M411" i="2" s="1"/>
  <c r="N411" i="2" s="1"/>
  <c r="G411" i="2"/>
  <c r="D411" i="2"/>
  <c r="AA410" i="2"/>
  <c r="W410" i="2"/>
  <c r="T410" i="2"/>
  <c r="S410" i="2"/>
  <c r="R410" i="2"/>
  <c r="Q410" i="2"/>
  <c r="O410" i="2"/>
  <c r="K410" i="2"/>
  <c r="L410" i="2" s="1"/>
  <c r="M410" i="2" s="1"/>
  <c r="N410" i="2" s="1"/>
  <c r="AA409" i="2"/>
  <c r="W409" i="2"/>
  <c r="T409" i="2"/>
  <c r="S409" i="2"/>
  <c r="T408" i="2"/>
  <c r="S408" i="2"/>
  <c r="AA407" i="2"/>
  <c r="W407" i="2"/>
  <c r="T407" i="2"/>
  <c r="S407" i="2"/>
  <c r="R407" i="2"/>
  <c r="Q407" i="2"/>
  <c r="O407" i="2"/>
  <c r="K407" i="2"/>
  <c r="L407" i="2" s="1"/>
  <c r="M407" i="2" s="1"/>
  <c r="N407" i="2" s="1"/>
  <c r="G407" i="2"/>
  <c r="D407" i="2"/>
  <c r="AA406" i="2"/>
  <c r="W406" i="2"/>
  <c r="T406" i="2"/>
  <c r="S406" i="2"/>
  <c r="R406" i="2"/>
  <c r="Q406" i="2"/>
  <c r="O406" i="2"/>
  <c r="L406" i="2"/>
  <c r="N406" i="2" s="1"/>
  <c r="G406" i="2"/>
  <c r="D406" i="2"/>
  <c r="AA405" i="2"/>
  <c r="W405" i="2"/>
  <c r="T405" i="2"/>
  <c r="S405" i="2"/>
  <c r="R405" i="2"/>
  <c r="Q405" i="2"/>
  <c r="O405" i="2"/>
  <c r="K405" i="2"/>
  <c r="L405" i="2" s="1"/>
  <c r="M405" i="2" s="1"/>
  <c r="N405" i="2" s="1"/>
  <c r="G405" i="2"/>
  <c r="D405" i="2"/>
  <c r="AA404" i="2"/>
  <c r="W404" i="2"/>
  <c r="T404" i="2"/>
  <c r="S404" i="2"/>
  <c r="R404" i="2"/>
  <c r="Q404" i="2"/>
  <c r="O404" i="2"/>
  <c r="K404" i="2"/>
  <c r="L404" i="2" s="1"/>
  <c r="M404" i="2" s="1"/>
  <c r="N404" i="2" s="1"/>
  <c r="G404" i="2"/>
  <c r="AA403" i="2"/>
  <c r="W403" i="2"/>
  <c r="T403" i="2"/>
  <c r="S403" i="2"/>
  <c r="R403" i="2"/>
  <c r="Q403" i="2"/>
  <c r="O403" i="2"/>
  <c r="K403" i="2"/>
  <c r="L403" i="2" s="1"/>
  <c r="M403" i="2" s="1"/>
  <c r="N403" i="2" s="1"/>
  <c r="G403" i="2"/>
  <c r="AA402" i="2"/>
  <c r="W402" i="2"/>
  <c r="T402" i="2"/>
  <c r="S402" i="2"/>
  <c r="R402" i="2"/>
  <c r="Q402" i="2"/>
  <c r="O402" i="2"/>
  <c r="K402" i="2"/>
  <c r="L402" i="2" s="1"/>
  <c r="M402" i="2" s="1"/>
  <c r="N402" i="2" s="1"/>
  <c r="G402" i="2"/>
  <c r="D402" i="2"/>
  <c r="AA401" i="2"/>
  <c r="W401" i="2"/>
  <c r="T401" i="2"/>
  <c r="S401" i="2"/>
  <c r="R401" i="2"/>
  <c r="Q401" i="2"/>
  <c r="O401" i="2"/>
  <c r="K401" i="2"/>
  <c r="L401" i="2" s="1"/>
  <c r="M401" i="2" s="1"/>
  <c r="N401" i="2" s="1"/>
  <c r="G401" i="2"/>
  <c r="D401" i="2"/>
  <c r="AA400" i="2"/>
  <c r="W400" i="2"/>
  <c r="T400" i="2"/>
  <c r="S400" i="2"/>
  <c r="R400" i="2"/>
  <c r="Q400" i="2"/>
  <c r="O400" i="2"/>
  <c r="K400" i="2"/>
  <c r="L400" i="2" s="1"/>
  <c r="M400" i="2" s="1"/>
  <c r="N400" i="2" s="1"/>
  <c r="G400" i="2"/>
  <c r="AA399" i="2"/>
  <c r="W399" i="2"/>
  <c r="T399" i="2"/>
  <c r="S399" i="2"/>
  <c r="R399" i="2"/>
  <c r="Q399" i="2"/>
  <c r="O399" i="2"/>
  <c r="K399" i="2"/>
  <c r="L399" i="2" s="1"/>
  <c r="M399" i="2" s="1"/>
  <c r="N399" i="2" s="1"/>
  <c r="G399" i="2"/>
  <c r="D399" i="2"/>
  <c r="AA398" i="2"/>
  <c r="W398" i="2"/>
  <c r="T398" i="2"/>
  <c r="S398" i="2"/>
  <c r="R398" i="2"/>
  <c r="Q398" i="2"/>
  <c r="O398" i="2"/>
  <c r="M398" i="2"/>
  <c r="N398" i="2" s="1"/>
  <c r="K398" i="2"/>
  <c r="G398" i="2"/>
  <c r="D398" i="2"/>
  <c r="AA397" i="2"/>
  <c r="W397" i="2"/>
  <c r="T397" i="2"/>
  <c r="S397" i="2"/>
  <c r="R397" i="2"/>
  <c r="Q397" i="2"/>
  <c r="O397" i="2"/>
  <c r="K397" i="2"/>
  <c r="L397" i="2" s="1"/>
  <c r="M397" i="2" s="1"/>
  <c r="N397" i="2" s="1"/>
  <c r="G397" i="2"/>
  <c r="D397" i="2"/>
  <c r="AA396" i="2"/>
  <c r="W396" i="2"/>
  <c r="T396" i="2"/>
  <c r="S396" i="2"/>
  <c r="R396" i="2"/>
  <c r="Q396" i="2"/>
  <c r="O396" i="2"/>
  <c r="K396" i="2"/>
  <c r="L396" i="2" s="1"/>
  <c r="M396" i="2" s="1"/>
  <c r="N396" i="2" s="1"/>
  <c r="G396" i="2"/>
  <c r="D396" i="2"/>
  <c r="AA395" i="2"/>
  <c r="W395" i="2"/>
  <c r="T395" i="2"/>
  <c r="S395" i="2"/>
  <c r="R395" i="2"/>
  <c r="Q395" i="2"/>
  <c r="O395" i="2"/>
  <c r="K395" i="2"/>
  <c r="L395" i="2" s="1"/>
  <c r="M395" i="2" s="1"/>
  <c r="N395" i="2" s="1"/>
  <c r="G395" i="2"/>
  <c r="D395" i="2"/>
  <c r="AA394" i="2"/>
  <c r="W394" i="2"/>
  <c r="T394" i="2"/>
  <c r="S394" i="2"/>
  <c r="R394" i="2"/>
  <c r="Q394" i="2"/>
  <c r="O394" i="2"/>
  <c r="K394" i="2"/>
  <c r="L394" i="2" s="1"/>
  <c r="M394" i="2" s="1"/>
  <c r="N394" i="2" s="1"/>
  <c r="G394" i="2"/>
  <c r="D394" i="2"/>
  <c r="AA393" i="2"/>
  <c r="W393" i="2"/>
  <c r="T393" i="2"/>
  <c r="S393" i="2"/>
  <c r="R393" i="2"/>
  <c r="Q393" i="2"/>
  <c r="O393" i="2"/>
  <c r="K393" i="2"/>
  <c r="L393" i="2" s="1"/>
  <c r="M393" i="2" s="1"/>
  <c r="N393" i="2" s="1"/>
  <c r="G393" i="2"/>
  <c r="D393" i="2"/>
  <c r="AA392" i="2"/>
  <c r="W392" i="2"/>
  <c r="T392" i="2"/>
  <c r="S392" i="2"/>
  <c r="R392" i="2"/>
  <c r="Q392" i="2"/>
  <c r="O392" i="2"/>
  <c r="K392" i="2"/>
  <c r="L392" i="2" s="1"/>
  <c r="M392" i="2" s="1"/>
  <c r="N392" i="2" s="1"/>
  <c r="G392" i="2"/>
  <c r="D392" i="2"/>
  <c r="AA391" i="2"/>
  <c r="W391" i="2"/>
  <c r="T391" i="2"/>
  <c r="S391" i="2"/>
  <c r="R391" i="2"/>
  <c r="Q391" i="2"/>
  <c r="O391" i="2"/>
  <c r="K391" i="2"/>
  <c r="L391" i="2" s="1"/>
  <c r="M391" i="2" s="1"/>
  <c r="N391" i="2" s="1"/>
  <c r="G391" i="2"/>
  <c r="D391" i="2"/>
  <c r="AA390" i="2"/>
  <c r="W390" i="2"/>
  <c r="T390" i="2"/>
  <c r="S390" i="2"/>
  <c r="R390" i="2"/>
  <c r="Q390" i="2"/>
  <c r="O390" i="2"/>
  <c r="K390" i="2"/>
  <c r="L390" i="2" s="1"/>
  <c r="M390" i="2" s="1"/>
  <c r="N390" i="2" s="1"/>
  <c r="G390" i="2"/>
  <c r="D390" i="2"/>
  <c r="AA389" i="2"/>
  <c r="W389" i="2"/>
  <c r="T389" i="2"/>
  <c r="S389" i="2"/>
  <c r="R389" i="2"/>
  <c r="Q389" i="2"/>
  <c r="O389" i="2"/>
  <c r="K389" i="2"/>
  <c r="L389" i="2" s="1"/>
  <c r="M389" i="2" s="1"/>
  <c r="N389" i="2" s="1"/>
  <c r="G389" i="2"/>
  <c r="D389" i="2"/>
  <c r="AA388" i="2"/>
  <c r="W388" i="2"/>
  <c r="T388" i="2"/>
  <c r="S388" i="2"/>
  <c r="R388" i="2"/>
  <c r="Q388" i="2"/>
  <c r="O388" i="2"/>
  <c r="K388" i="2"/>
  <c r="L388" i="2" s="1"/>
  <c r="M388" i="2" s="1"/>
  <c r="N388" i="2" s="1"/>
  <c r="G388" i="2"/>
  <c r="D388" i="2"/>
  <c r="P387" i="2"/>
  <c r="I387" i="2"/>
  <c r="L387" i="2" s="1"/>
  <c r="M387" i="2" s="1"/>
  <c r="G387" i="2"/>
  <c r="AA386" i="2"/>
  <c r="W386" i="2"/>
  <c r="T386" i="2"/>
  <c r="S386" i="2"/>
  <c r="R386" i="2"/>
  <c r="Q386" i="2"/>
  <c r="O386" i="2"/>
  <c r="K386" i="2"/>
  <c r="M25" i="3" s="1"/>
  <c r="G386" i="2"/>
  <c r="D386" i="2"/>
  <c r="AA385" i="2"/>
  <c r="W385" i="2"/>
  <c r="T385" i="2"/>
  <c r="S385" i="2"/>
  <c r="R385" i="2"/>
  <c r="Q385" i="2"/>
  <c r="O385" i="2"/>
  <c r="K385" i="2"/>
  <c r="L385" i="2" s="1"/>
  <c r="M385" i="2" s="1"/>
  <c r="N385" i="2" s="1"/>
  <c r="G385" i="2"/>
  <c r="D385" i="2"/>
  <c r="AA384" i="2"/>
  <c r="W384" i="2"/>
  <c r="T384" i="2"/>
  <c r="S384" i="2"/>
  <c r="R384" i="2"/>
  <c r="Q384" i="2"/>
  <c r="O384" i="2"/>
  <c r="K384" i="2"/>
  <c r="L384" i="2" s="1"/>
  <c r="M384" i="2" s="1"/>
  <c r="N384" i="2" s="1"/>
  <c r="G384" i="2"/>
  <c r="D384" i="2"/>
  <c r="AA383" i="2"/>
  <c r="W383" i="2"/>
  <c r="T383" i="2"/>
  <c r="S383" i="2"/>
  <c r="R383" i="2"/>
  <c r="Q383" i="2"/>
  <c r="O383" i="2"/>
  <c r="K383" i="2"/>
  <c r="L383" i="2" s="1"/>
  <c r="M383" i="2" s="1"/>
  <c r="N383" i="2" s="1"/>
  <c r="G383" i="2"/>
  <c r="D383" i="2"/>
  <c r="AA382" i="2"/>
  <c r="W382" i="2"/>
  <c r="T382" i="2"/>
  <c r="S382" i="2"/>
  <c r="R382" i="2"/>
  <c r="Q382" i="2"/>
  <c r="O382" i="2"/>
  <c r="K382" i="2"/>
  <c r="L382" i="2" s="1"/>
  <c r="M382" i="2" s="1"/>
  <c r="N382" i="2" s="1"/>
  <c r="G382" i="2"/>
  <c r="D382" i="2"/>
  <c r="AA381" i="2"/>
  <c r="W381" i="2"/>
  <c r="T381" i="2"/>
  <c r="S381" i="2"/>
  <c r="R381" i="2"/>
  <c r="Q381" i="2"/>
  <c r="O381" i="2"/>
  <c r="K381" i="2"/>
  <c r="L381" i="2" s="1"/>
  <c r="M381" i="2" s="1"/>
  <c r="N381" i="2" s="1"/>
  <c r="G381" i="2"/>
  <c r="D381" i="2"/>
  <c r="AA380" i="2"/>
  <c r="W380" i="2"/>
  <c r="T380" i="2"/>
  <c r="S380" i="2"/>
  <c r="R380" i="2"/>
  <c r="Q380" i="2"/>
  <c r="O380" i="2"/>
  <c r="K380" i="2"/>
  <c r="L380" i="2" s="1"/>
  <c r="M380" i="2" s="1"/>
  <c r="N380" i="2" s="1"/>
  <c r="G380" i="2"/>
  <c r="D380" i="2"/>
  <c r="AA379" i="2"/>
  <c r="W379" i="2"/>
  <c r="T379" i="2"/>
  <c r="S379" i="2"/>
  <c r="R379" i="2"/>
  <c r="Q379" i="2"/>
  <c r="O379" i="2"/>
  <c r="L379" i="2"/>
  <c r="M379" i="2" s="1"/>
  <c r="N379" i="2" s="1"/>
  <c r="G379" i="2"/>
  <c r="D379" i="2"/>
  <c r="AA378" i="2"/>
  <c r="W378" i="2"/>
  <c r="T378" i="2"/>
  <c r="S378" i="2"/>
  <c r="R378" i="2"/>
  <c r="Q378" i="2"/>
  <c r="O378" i="2"/>
  <c r="L378" i="2"/>
  <c r="M378" i="2" s="1"/>
  <c r="N378" i="2" s="1"/>
  <c r="G378" i="2"/>
  <c r="D378" i="2"/>
  <c r="AA377" i="2"/>
  <c r="W377" i="2"/>
  <c r="T377" i="2"/>
  <c r="S377" i="2"/>
  <c r="R377" i="2"/>
  <c r="Q377" i="2"/>
  <c r="O377" i="2"/>
  <c r="K377" i="2"/>
  <c r="L377" i="2" s="1"/>
  <c r="M377" i="2" s="1"/>
  <c r="N377" i="2" s="1"/>
  <c r="G377" i="2"/>
  <c r="D377" i="2"/>
  <c r="AA376" i="2"/>
  <c r="W376" i="2"/>
  <c r="T376" i="2"/>
  <c r="S376" i="2"/>
  <c r="R376" i="2"/>
  <c r="Q376" i="2"/>
  <c r="O376" i="2"/>
  <c r="K376" i="2"/>
  <c r="L376" i="2" s="1"/>
  <c r="M376" i="2" s="1"/>
  <c r="N376" i="2" s="1"/>
  <c r="G376" i="2"/>
  <c r="D376" i="2"/>
  <c r="AA375" i="2"/>
  <c r="W375" i="2"/>
  <c r="T375" i="2"/>
  <c r="S375" i="2"/>
  <c r="R375" i="2"/>
  <c r="Q375" i="2"/>
  <c r="O375" i="2"/>
  <c r="K375" i="2"/>
  <c r="L375" i="2" s="1"/>
  <c r="M375" i="2" s="1"/>
  <c r="N375" i="2" s="1"/>
  <c r="G375" i="2"/>
  <c r="AA374" i="2"/>
  <c r="W374" i="2"/>
  <c r="T374" i="2"/>
  <c r="S374" i="2"/>
  <c r="R374" i="2"/>
  <c r="Q374" i="2"/>
  <c r="O374" i="2"/>
  <c r="K374" i="2"/>
  <c r="L374" i="2" s="1"/>
  <c r="M374" i="2" s="1"/>
  <c r="N374" i="2" s="1"/>
  <c r="G374" i="2"/>
  <c r="D374" i="2"/>
  <c r="AA373" i="2"/>
  <c r="W373" i="2"/>
  <c r="T373" i="2"/>
  <c r="S373" i="2"/>
  <c r="R373" i="2"/>
  <c r="Q373" i="2"/>
  <c r="O373" i="2"/>
  <c r="K373" i="2"/>
  <c r="L373" i="2" s="1"/>
  <c r="M373" i="2" s="1"/>
  <c r="N373" i="2" s="1"/>
  <c r="G373" i="2"/>
  <c r="D373" i="2"/>
  <c r="AA372" i="2"/>
  <c r="W372" i="2"/>
  <c r="T372" i="2"/>
  <c r="S372" i="2"/>
  <c r="R372" i="2"/>
  <c r="Q372" i="2"/>
  <c r="O372" i="2"/>
  <c r="K372" i="2"/>
  <c r="L372" i="2" s="1"/>
  <c r="M372" i="2" s="1"/>
  <c r="N372" i="2" s="1"/>
  <c r="G372" i="2"/>
  <c r="AA371" i="2"/>
  <c r="W371" i="2"/>
  <c r="T371" i="2"/>
  <c r="S371" i="2"/>
  <c r="R371" i="2"/>
  <c r="Q371" i="2"/>
  <c r="O371" i="2"/>
  <c r="L371" i="2"/>
  <c r="M371" i="2" s="1"/>
  <c r="N371" i="2" s="1"/>
  <c r="G371" i="2"/>
  <c r="D371" i="2"/>
  <c r="AA370" i="2"/>
  <c r="W370" i="2"/>
  <c r="T370" i="2"/>
  <c r="S370" i="2"/>
  <c r="R370" i="2"/>
  <c r="Q370" i="2"/>
  <c r="O370" i="2"/>
  <c r="K370" i="2"/>
  <c r="L370" i="2" s="1"/>
  <c r="M370" i="2" s="1"/>
  <c r="N370" i="2" s="1"/>
  <c r="G370" i="2"/>
  <c r="D370" i="2"/>
  <c r="AA369" i="2"/>
  <c r="W369" i="2"/>
  <c r="T369" i="2"/>
  <c r="S369" i="2"/>
  <c r="R369" i="2"/>
  <c r="Q369" i="2"/>
  <c r="O369" i="2"/>
  <c r="K369" i="2"/>
  <c r="L369" i="2" s="1"/>
  <c r="M369" i="2" s="1"/>
  <c r="N369" i="2" s="1"/>
  <c r="G369" i="2"/>
  <c r="AA368" i="2"/>
  <c r="W368" i="2"/>
  <c r="T368" i="2"/>
  <c r="S368" i="2"/>
  <c r="R368" i="2"/>
  <c r="Q368" i="2"/>
  <c r="O368" i="2"/>
  <c r="K368" i="2"/>
  <c r="L368" i="2" s="1"/>
  <c r="M368" i="2" s="1"/>
  <c r="N368" i="2" s="1"/>
  <c r="G368" i="2"/>
  <c r="D368" i="2"/>
  <c r="AA367" i="2"/>
  <c r="W367" i="2"/>
  <c r="T367" i="2"/>
  <c r="S367" i="2"/>
  <c r="R367" i="2"/>
  <c r="Q367" i="2"/>
  <c r="O367" i="2"/>
  <c r="K367" i="2"/>
  <c r="L367" i="2" s="1"/>
  <c r="M367" i="2" s="1"/>
  <c r="N367" i="2" s="1"/>
  <c r="G367" i="2"/>
  <c r="D367" i="2"/>
  <c r="AA366" i="2"/>
  <c r="W366" i="2"/>
  <c r="T366" i="2"/>
  <c r="S366" i="2"/>
  <c r="R366" i="2"/>
  <c r="Q366" i="2"/>
  <c r="O366" i="2"/>
  <c r="K366" i="2"/>
  <c r="G366" i="2"/>
  <c r="D366" i="2"/>
  <c r="AA365" i="2"/>
  <c r="W365" i="2"/>
  <c r="T365" i="2"/>
  <c r="S365" i="2"/>
  <c r="R365" i="2"/>
  <c r="Q365" i="2"/>
  <c r="O365" i="2"/>
  <c r="K365" i="2"/>
  <c r="L365" i="2" s="1"/>
  <c r="M365" i="2" s="1"/>
  <c r="N365" i="2" s="1"/>
  <c r="G365" i="2"/>
  <c r="D365" i="2"/>
  <c r="AA364" i="2"/>
  <c r="W364" i="2"/>
  <c r="T364" i="2"/>
  <c r="S364" i="2"/>
  <c r="R364" i="2"/>
  <c r="Q364" i="2"/>
  <c r="O364" i="2"/>
  <c r="K364" i="2"/>
  <c r="G364" i="2"/>
  <c r="D364" i="2"/>
  <c r="AA363" i="2"/>
  <c r="W363" i="2"/>
  <c r="T363" i="2"/>
  <c r="S363" i="2"/>
  <c r="R363" i="2"/>
  <c r="Q363" i="2"/>
  <c r="O363" i="2"/>
  <c r="L363" i="2"/>
  <c r="M363" i="2" s="1"/>
  <c r="N363" i="2" s="1"/>
  <c r="G363" i="2"/>
  <c r="D363" i="2"/>
  <c r="AA362" i="2"/>
  <c r="W362" i="2"/>
  <c r="T362" i="2"/>
  <c r="S362" i="2"/>
  <c r="R362" i="2"/>
  <c r="Q362" i="2"/>
  <c r="O362" i="2"/>
  <c r="L362" i="2"/>
  <c r="M362" i="2" s="1"/>
  <c r="N362" i="2" s="1"/>
  <c r="G362" i="2"/>
  <c r="D362" i="2"/>
  <c r="AA361" i="2"/>
  <c r="W361" i="2"/>
  <c r="T361" i="2"/>
  <c r="S361" i="2"/>
  <c r="R361" i="2"/>
  <c r="Q361" i="2"/>
  <c r="O361" i="2"/>
  <c r="L361" i="2"/>
  <c r="M361" i="2" s="1"/>
  <c r="N361" i="2" s="1"/>
  <c r="G361" i="2"/>
  <c r="D361" i="2"/>
  <c r="AA360" i="2"/>
  <c r="W360" i="2"/>
  <c r="T360" i="2"/>
  <c r="S360" i="2"/>
  <c r="R360" i="2"/>
  <c r="Q360" i="2"/>
  <c r="O360" i="2"/>
  <c r="K360" i="2"/>
  <c r="L360" i="2" s="1"/>
  <c r="M360" i="2" s="1"/>
  <c r="N360" i="2" s="1"/>
  <c r="G360" i="2"/>
  <c r="D360" i="2"/>
  <c r="AA359" i="2"/>
  <c r="W359" i="2"/>
  <c r="T359" i="2"/>
  <c r="S359" i="2"/>
  <c r="R359" i="2"/>
  <c r="Q359" i="2"/>
  <c r="O359" i="2"/>
  <c r="K359" i="2"/>
  <c r="L359" i="2" s="1"/>
  <c r="M359" i="2" s="1"/>
  <c r="N359" i="2" s="1"/>
  <c r="G359" i="2"/>
  <c r="D359" i="2"/>
  <c r="O358" i="2"/>
  <c r="K358" i="2"/>
  <c r="L358" i="2" s="1"/>
  <c r="M358" i="2" s="1"/>
  <c r="N358" i="2" s="1"/>
  <c r="O357" i="2"/>
  <c r="K357" i="2"/>
  <c r="L357" i="2" s="1"/>
  <c r="M357" i="2" s="1"/>
  <c r="N357" i="2" s="1"/>
  <c r="O356" i="2"/>
  <c r="K356" i="2"/>
  <c r="L356" i="2" s="1"/>
  <c r="M356" i="2" s="1"/>
  <c r="N356" i="2" s="1"/>
  <c r="O355" i="2"/>
  <c r="K355" i="2"/>
  <c r="L355" i="2" s="1"/>
  <c r="M355" i="2" s="1"/>
  <c r="N355" i="2" s="1"/>
  <c r="O354" i="2"/>
  <c r="K354" i="2"/>
  <c r="L354" i="2" s="1"/>
  <c r="M354" i="2" s="1"/>
  <c r="N354" i="2" s="1"/>
  <c r="O353" i="2"/>
  <c r="K353" i="2"/>
  <c r="L353" i="2" s="1"/>
  <c r="M353" i="2" s="1"/>
  <c r="N353" i="2" s="1"/>
  <c r="O352" i="2"/>
  <c r="K352" i="2"/>
  <c r="L352" i="2" s="1"/>
  <c r="M352" i="2" s="1"/>
  <c r="N352" i="2" s="1"/>
  <c r="O351" i="2"/>
  <c r="K351" i="2"/>
  <c r="L351" i="2" s="1"/>
  <c r="M351" i="2" s="1"/>
  <c r="N351" i="2" s="1"/>
  <c r="AA350" i="2"/>
  <c r="W350" i="2"/>
  <c r="T350" i="2"/>
  <c r="S350" i="2"/>
  <c r="R350" i="2"/>
  <c r="Q350" i="2"/>
  <c r="O350" i="2"/>
  <c r="L350" i="2"/>
  <c r="M350" i="2" s="1"/>
  <c r="N350" i="2" s="1"/>
  <c r="G350" i="2"/>
  <c r="D350" i="2"/>
  <c r="AA349" i="2"/>
  <c r="W349" i="2"/>
  <c r="T349" i="2"/>
  <c r="S349" i="2"/>
  <c r="R349" i="2"/>
  <c r="Q349" i="2"/>
  <c r="O349" i="2"/>
  <c r="K349" i="2"/>
  <c r="L349" i="2" s="1"/>
  <c r="M349" i="2" s="1"/>
  <c r="N349" i="2" s="1"/>
  <c r="G349" i="2"/>
  <c r="D349" i="2"/>
  <c r="AA348" i="2"/>
  <c r="W348" i="2"/>
  <c r="T348" i="2"/>
  <c r="S348" i="2"/>
  <c r="R348" i="2"/>
  <c r="Q348" i="2"/>
  <c r="L348" i="2"/>
  <c r="M348" i="2" s="1"/>
  <c r="N348" i="2" s="1"/>
  <c r="Z1180" i="2" s="1"/>
  <c r="G348" i="2"/>
  <c r="D348" i="2"/>
  <c r="AA347" i="2"/>
  <c r="W347" i="2"/>
  <c r="T347" i="2"/>
  <c r="S347" i="2"/>
  <c r="R347" i="2"/>
  <c r="Q347" i="2"/>
  <c r="O347" i="2"/>
  <c r="K347" i="2"/>
  <c r="L347" i="2" s="1"/>
  <c r="M347" i="2" s="1"/>
  <c r="N347" i="2" s="1"/>
  <c r="G347" i="2"/>
  <c r="D347" i="2"/>
  <c r="AA346" i="2"/>
  <c r="W346" i="2"/>
  <c r="T346" i="2"/>
  <c r="S346" i="2"/>
  <c r="R346" i="2"/>
  <c r="Q346" i="2"/>
  <c r="O346" i="2"/>
  <c r="K346" i="2"/>
  <c r="L346" i="2" s="1"/>
  <c r="M346" i="2" s="1"/>
  <c r="N346" i="2" s="1"/>
  <c r="G346" i="2"/>
  <c r="D346" i="2"/>
  <c r="AA345" i="2"/>
  <c r="W345" i="2"/>
  <c r="T345" i="2"/>
  <c r="S345" i="2"/>
  <c r="R345" i="2"/>
  <c r="Q345" i="2"/>
  <c r="O345" i="2"/>
  <c r="K345" i="2"/>
  <c r="L345" i="2" s="1"/>
  <c r="M345" i="2" s="1"/>
  <c r="N345" i="2" s="1"/>
  <c r="G345" i="2"/>
  <c r="D345" i="2"/>
  <c r="AA344" i="2"/>
  <c r="W344" i="2"/>
  <c r="T344" i="2"/>
  <c r="S344" i="2"/>
  <c r="R344" i="2"/>
  <c r="Q344" i="2"/>
  <c r="O344" i="2"/>
  <c r="K344" i="2"/>
  <c r="L344" i="2" s="1"/>
  <c r="M344" i="2" s="1"/>
  <c r="N344" i="2" s="1"/>
  <c r="G344" i="2"/>
  <c r="D344" i="2"/>
  <c r="AA343" i="2"/>
  <c r="W343" i="2"/>
  <c r="T343" i="2"/>
  <c r="S343" i="2"/>
  <c r="R343" i="2"/>
  <c r="Q343" i="2"/>
  <c r="O343" i="2"/>
  <c r="K343" i="2"/>
  <c r="L343" i="2" s="1"/>
  <c r="M343" i="2" s="1"/>
  <c r="N343" i="2" s="1"/>
  <c r="G343" i="2"/>
  <c r="D343" i="2"/>
  <c r="AA342" i="2"/>
  <c r="W342" i="2"/>
  <c r="T342" i="2"/>
  <c r="S342" i="2"/>
  <c r="R342" i="2"/>
  <c r="Q342" i="2"/>
  <c r="O342" i="2"/>
  <c r="K342" i="2"/>
  <c r="M26" i="3" s="1"/>
  <c r="G342" i="2"/>
  <c r="D342" i="2"/>
  <c r="AA341" i="2"/>
  <c r="W341" i="2"/>
  <c r="T341" i="2"/>
  <c r="S341" i="2"/>
  <c r="R341" i="2"/>
  <c r="Q341" i="2"/>
  <c r="O341" i="2"/>
  <c r="K341" i="2"/>
  <c r="M19" i="3" s="1"/>
  <c r="G341" i="2"/>
  <c r="D341" i="2"/>
  <c r="AA340" i="2"/>
  <c r="W340" i="2"/>
  <c r="T340" i="2"/>
  <c r="S340" i="2"/>
  <c r="R340" i="2"/>
  <c r="Q340" i="2"/>
  <c r="O340" i="2"/>
  <c r="K340" i="2"/>
  <c r="L340" i="2" s="1"/>
  <c r="M340" i="2" s="1"/>
  <c r="N340" i="2" s="1"/>
  <c r="G340" i="2"/>
  <c r="D340" i="2"/>
  <c r="AA339" i="2"/>
  <c r="W339" i="2"/>
  <c r="T339" i="2"/>
  <c r="S339" i="2"/>
  <c r="R339" i="2"/>
  <c r="Q339" i="2"/>
  <c r="O339" i="2"/>
  <c r="K339" i="2"/>
  <c r="L339" i="2" s="1"/>
  <c r="M339" i="2" s="1"/>
  <c r="N339" i="2" s="1"/>
  <c r="G339" i="2"/>
  <c r="D339" i="2"/>
  <c r="AA338" i="2"/>
  <c r="W338" i="2"/>
  <c r="T338" i="2"/>
  <c r="S338" i="2"/>
  <c r="R338" i="2"/>
  <c r="Q338" i="2"/>
  <c r="O338" i="2"/>
  <c r="K338" i="2"/>
  <c r="L338" i="2" s="1"/>
  <c r="M338" i="2" s="1"/>
  <c r="N338" i="2" s="1"/>
  <c r="G338" i="2"/>
  <c r="D338" i="2"/>
  <c r="AA337" i="2"/>
  <c r="W337" i="2"/>
  <c r="T337" i="2"/>
  <c r="S337" i="2"/>
  <c r="R337" i="2"/>
  <c r="Q337" i="2"/>
  <c r="O337" i="2"/>
  <c r="L337" i="2"/>
  <c r="M337" i="2" s="1"/>
  <c r="N337" i="2" s="1"/>
  <c r="G337" i="2"/>
  <c r="D337" i="2"/>
  <c r="AA336" i="2"/>
  <c r="W336" i="2"/>
  <c r="T336" i="2"/>
  <c r="S336" i="2"/>
  <c r="R336" i="2"/>
  <c r="Q336" i="2"/>
  <c r="O336" i="2"/>
  <c r="K336" i="2"/>
  <c r="L336" i="2" s="1"/>
  <c r="M336" i="2" s="1"/>
  <c r="N336" i="2" s="1"/>
  <c r="G336" i="2"/>
  <c r="D336" i="2"/>
  <c r="AA335" i="2"/>
  <c r="W335" i="2"/>
  <c r="T335" i="2"/>
  <c r="S335" i="2"/>
  <c r="R335" i="2"/>
  <c r="Q335" i="2"/>
  <c r="O335" i="2"/>
  <c r="L335" i="2"/>
  <c r="M335" i="2" s="1"/>
  <c r="N335" i="2" s="1"/>
  <c r="G335" i="2"/>
  <c r="D335" i="2"/>
  <c r="AA334" i="2"/>
  <c r="W334" i="2"/>
  <c r="T334" i="2"/>
  <c r="S334" i="2"/>
  <c r="R334" i="2"/>
  <c r="Q334" i="2"/>
  <c r="O334" i="2"/>
  <c r="K334" i="2"/>
  <c r="L334" i="2" s="1"/>
  <c r="M334" i="2" s="1"/>
  <c r="N334" i="2" s="1"/>
  <c r="G334" i="2"/>
  <c r="D334" i="2"/>
  <c r="AA333" i="2"/>
  <c r="W333" i="2"/>
  <c r="T333" i="2"/>
  <c r="S333" i="2"/>
  <c r="R333" i="2"/>
  <c r="Q333" i="2"/>
  <c r="O333" i="2"/>
  <c r="K333" i="2"/>
  <c r="G333" i="2"/>
  <c r="D333" i="2"/>
  <c r="AA332" i="2"/>
  <c r="W332" i="2"/>
  <c r="T332" i="2"/>
  <c r="S332" i="2"/>
  <c r="R332" i="2"/>
  <c r="Q332" i="2"/>
  <c r="O332" i="2"/>
  <c r="L332" i="2"/>
  <c r="M332" i="2" s="1"/>
  <c r="N332" i="2" s="1"/>
  <c r="G332" i="2"/>
  <c r="D332" i="2"/>
  <c r="AA331" i="2"/>
  <c r="W331" i="2"/>
  <c r="T331" i="2"/>
  <c r="S331" i="2"/>
  <c r="R331" i="2"/>
  <c r="Q331" i="2"/>
  <c r="O331" i="2"/>
  <c r="K331" i="2"/>
  <c r="M12" i="3" s="1"/>
  <c r="G331" i="2"/>
  <c r="D331" i="2"/>
  <c r="AA330" i="2"/>
  <c r="W330" i="2"/>
  <c r="T330" i="2"/>
  <c r="S330" i="2"/>
  <c r="R330" i="2"/>
  <c r="Q330" i="2"/>
  <c r="O330" i="2"/>
  <c r="K330" i="2"/>
  <c r="L330" i="2" s="1"/>
  <c r="M330" i="2" s="1"/>
  <c r="N330" i="2" s="1"/>
  <c r="G330" i="2"/>
  <c r="D330" i="2"/>
  <c r="AA329" i="2"/>
  <c r="W329" i="2"/>
  <c r="T329" i="2"/>
  <c r="S329" i="2"/>
  <c r="R329" i="2"/>
  <c r="Q329" i="2"/>
  <c r="O329" i="2"/>
  <c r="K329" i="2"/>
  <c r="L329" i="2" s="1"/>
  <c r="M329" i="2" s="1"/>
  <c r="N329" i="2" s="1"/>
  <c r="G329" i="2"/>
  <c r="D329" i="2"/>
  <c r="AA328" i="2"/>
  <c r="W328" i="2"/>
  <c r="T328" i="2"/>
  <c r="S328" i="2"/>
  <c r="R328" i="2"/>
  <c r="Q328" i="2"/>
  <c r="O328" i="2"/>
  <c r="K328" i="2"/>
  <c r="L328" i="2" s="1"/>
  <c r="M328" i="2" s="1"/>
  <c r="N328" i="2" s="1"/>
  <c r="G328" i="2"/>
  <c r="D328" i="2"/>
  <c r="AA327" i="2"/>
  <c r="W327" i="2"/>
  <c r="T327" i="2"/>
  <c r="S327" i="2"/>
  <c r="R327" i="2"/>
  <c r="Q327" i="2"/>
  <c r="O327" i="2"/>
  <c r="K327" i="2"/>
  <c r="L327" i="2" s="1"/>
  <c r="M327" i="2" s="1"/>
  <c r="N327" i="2" s="1"/>
  <c r="G327" i="2"/>
  <c r="D327" i="2"/>
  <c r="AA326" i="2"/>
  <c r="W326" i="2"/>
  <c r="T326" i="2"/>
  <c r="S326" i="2"/>
  <c r="R326" i="2"/>
  <c r="Q326" i="2"/>
  <c r="O326" i="2"/>
  <c r="K326" i="2"/>
  <c r="G326" i="2"/>
  <c r="D326" i="2"/>
  <c r="AA325" i="2"/>
  <c r="W325" i="2"/>
  <c r="T325" i="2"/>
  <c r="S325" i="2"/>
  <c r="R325" i="2"/>
  <c r="Q325" i="2"/>
  <c r="O325" i="2"/>
  <c r="K325" i="2"/>
  <c r="L325" i="2" s="1"/>
  <c r="M325" i="2" s="1"/>
  <c r="N325" i="2" s="1"/>
  <c r="G325" i="2"/>
  <c r="D325" i="2"/>
  <c r="AA324" i="2"/>
  <c r="W324" i="2"/>
  <c r="T324" i="2"/>
  <c r="S324" i="2"/>
  <c r="R324" i="2"/>
  <c r="Q324" i="2"/>
  <c r="O324" i="2"/>
  <c r="K324" i="2"/>
  <c r="G324" i="2"/>
  <c r="D324" i="2"/>
  <c r="AA323" i="2"/>
  <c r="W323" i="2"/>
  <c r="T323" i="2"/>
  <c r="S323" i="2"/>
  <c r="R323" i="2"/>
  <c r="Q323" i="2"/>
  <c r="O323" i="2"/>
  <c r="K323" i="2"/>
  <c r="L323" i="2" s="1"/>
  <c r="M323" i="2" s="1"/>
  <c r="N323" i="2" s="1"/>
  <c r="G323" i="2"/>
  <c r="D323" i="2"/>
  <c r="AA322" i="2"/>
  <c r="W322" i="2"/>
  <c r="T322" i="2"/>
  <c r="S322" i="2"/>
  <c r="R322" i="2"/>
  <c r="Q322" i="2"/>
  <c r="O322" i="2"/>
  <c r="K322" i="2"/>
  <c r="L322" i="2" s="1"/>
  <c r="M322" i="2" s="1"/>
  <c r="N322" i="2" s="1"/>
  <c r="G322" i="2"/>
  <c r="D322" i="2"/>
  <c r="AA321" i="2"/>
  <c r="W321" i="2"/>
  <c r="T321" i="2"/>
  <c r="S321" i="2"/>
  <c r="R321" i="2"/>
  <c r="Q321" i="2"/>
  <c r="O321" i="2"/>
  <c r="K321" i="2"/>
  <c r="G321" i="2"/>
  <c r="D321" i="2"/>
  <c r="AA320" i="2"/>
  <c r="W320" i="2"/>
  <c r="T320" i="2"/>
  <c r="S320" i="2"/>
  <c r="R320" i="2"/>
  <c r="Q320" i="2"/>
  <c r="O320" i="2"/>
  <c r="K320" i="2"/>
  <c r="L320" i="2" s="1"/>
  <c r="M320" i="2" s="1"/>
  <c r="N320" i="2" s="1"/>
  <c r="G320" i="2"/>
  <c r="D320" i="2"/>
  <c r="AA319" i="2"/>
  <c r="W319" i="2"/>
  <c r="T319" i="2"/>
  <c r="S319" i="2"/>
  <c r="R319" i="2"/>
  <c r="Q319" i="2"/>
  <c r="O319" i="2"/>
  <c r="K319" i="2"/>
  <c r="L319" i="2" s="1"/>
  <c r="M319" i="2" s="1"/>
  <c r="N319" i="2" s="1"/>
  <c r="G319" i="2"/>
  <c r="D319" i="2"/>
  <c r="AA318" i="2"/>
  <c r="W318" i="2"/>
  <c r="T318" i="2"/>
  <c r="S318" i="2"/>
  <c r="R318" i="2"/>
  <c r="Q318" i="2"/>
  <c r="O318" i="2"/>
  <c r="K318" i="2"/>
  <c r="L318" i="2" s="1"/>
  <c r="M318" i="2" s="1"/>
  <c r="N318" i="2" s="1"/>
  <c r="G318" i="2"/>
  <c r="D318" i="2"/>
  <c r="AA317" i="2"/>
  <c r="W317" i="2"/>
  <c r="T317" i="2"/>
  <c r="S317" i="2"/>
  <c r="R317" i="2"/>
  <c r="Q317" i="2"/>
  <c r="O317" i="2"/>
  <c r="L317" i="2"/>
  <c r="M317" i="2" s="1"/>
  <c r="N317" i="2" s="1"/>
  <c r="G317" i="2"/>
  <c r="D317" i="2"/>
  <c r="AA316" i="2"/>
  <c r="W316" i="2"/>
  <c r="T316" i="2"/>
  <c r="S316" i="2"/>
  <c r="R316" i="2"/>
  <c r="Q316" i="2"/>
  <c r="O316" i="2"/>
  <c r="K316" i="2"/>
  <c r="L316" i="2" s="1"/>
  <c r="M316" i="2" s="1"/>
  <c r="N316" i="2" s="1"/>
  <c r="G316" i="2"/>
  <c r="D316" i="2"/>
  <c r="AA315" i="2"/>
  <c r="W315" i="2"/>
  <c r="T315" i="2"/>
  <c r="S315" i="2"/>
  <c r="R315" i="2"/>
  <c r="Q315" i="2"/>
  <c r="O315" i="2"/>
  <c r="K315" i="2"/>
  <c r="M37" i="3" s="1"/>
  <c r="G315" i="2"/>
  <c r="D315" i="2"/>
  <c r="AA314" i="2"/>
  <c r="W314" i="2"/>
  <c r="T314" i="2"/>
  <c r="S314" i="2"/>
  <c r="R314" i="2"/>
  <c r="Q314" i="2"/>
  <c r="O314" i="2"/>
  <c r="L314" i="2"/>
  <c r="M314" i="2" s="1"/>
  <c r="N314" i="2" s="1"/>
  <c r="G314" i="2"/>
  <c r="D314" i="2"/>
  <c r="AA313" i="2"/>
  <c r="W313" i="2"/>
  <c r="T313" i="2"/>
  <c r="S313" i="2"/>
  <c r="R313" i="2"/>
  <c r="Q313" i="2"/>
  <c r="K313" i="2"/>
  <c r="L313" i="2" s="1"/>
  <c r="M313" i="2" s="1"/>
  <c r="N313" i="2" s="1"/>
  <c r="P313" i="2" s="1"/>
  <c r="G313" i="2"/>
  <c r="D313" i="2"/>
  <c r="AA312" i="2"/>
  <c r="W312" i="2"/>
  <c r="T312" i="2"/>
  <c r="S312" i="2"/>
  <c r="R312" i="2"/>
  <c r="Q312" i="2"/>
  <c r="O312" i="2"/>
  <c r="L312" i="2"/>
  <c r="M312" i="2" s="1"/>
  <c r="N312" i="2" s="1"/>
  <c r="G312" i="2"/>
  <c r="D312" i="2"/>
  <c r="AA311" i="2"/>
  <c r="W311" i="2"/>
  <c r="T311" i="2"/>
  <c r="S311" i="2"/>
  <c r="R311" i="2"/>
  <c r="Q311" i="2"/>
  <c r="O311" i="2"/>
  <c r="K311" i="2"/>
  <c r="L311" i="2" s="1"/>
  <c r="M311" i="2" s="1"/>
  <c r="N311" i="2" s="1"/>
  <c r="G311" i="2"/>
  <c r="D311" i="2"/>
  <c r="AA310" i="2"/>
  <c r="W310" i="2"/>
  <c r="T310" i="2"/>
  <c r="S310" i="2"/>
  <c r="R310" i="2"/>
  <c r="Q310" i="2"/>
  <c r="O310" i="2"/>
  <c r="K310" i="2"/>
  <c r="L310" i="2" s="1"/>
  <c r="M310" i="2" s="1"/>
  <c r="N310" i="2" s="1"/>
  <c r="G310" i="2"/>
  <c r="D310" i="2"/>
  <c r="AA309" i="2"/>
  <c r="W309" i="2"/>
  <c r="T309" i="2"/>
  <c r="S309" i="2"/>
  <c r="R309" i="2"/>
  <c r="Q309" i="2"/>
  <c r="O309" i="2"/>
  <c r="K309" i="2"/>
  <c r="L309" i="2" s="1"/>
  <c r="M309" i="2" s="1"/>
  <c r="N309" i="2" s="1"/>
  <c r="G309" i="2"/>
  <c r="D309" i="2"/>
  <c r="O308" i="2"/>
  <c r="K308" i="2"/>
  <c r="L308" i="2" s="1"/>
  <c r="M308" i="2" s="1"/>
  <c r="N308" i="2" s="1"/>
  <c r="AA307" i="2"/>
  <c r="W307" i="2"/>
  <c r="T307" i="2"/>
  <c r="S307" i="2"/>
  <c r="R307" i="2"/>
  <c r="Q307" i="2"/>
  <c r="O307" i="2"/>
  <c r="K307" i="2"/>
  <c r="L307" i="2" s="1"/>
  <c r="M307" i="2" s="1"/>
  <c r="N307" i="2" s="1"/>
  <c r="G307" i="2"/>
  <c r="D307" i="2"/>
  <c r="AA306" i="2"/>
  <c r="W306" i="2"/>
  <c r="T306" i="2"/>
  <c r="S306" i="2"/>
  <c r="R306" i="2"/>
  <c r="Q306" i="2"/>
  <c r="O306" i="2"/>
  <c r="K306" i="2"/>
  <c r="L306" i="2" s="1"/>
  <c r="M306" i="2" s="1"/>
  <c r="N306" i="2" s="1"/>
  <c r="G306" i="2"/>
  <c r="D306" i="2"/>
  <c r="W305" i="2"/>
  <c r="O305" i="2"/>
  <c r="K305" i="2"/>
  <c r="L305" i="2" s="1"/>
  <c r="M305" i="2" s="1"/>
  <c r="N305" i="2" s="1"/>
  <c r="AA304" i="2"/>
  <c r="W304" i="2"/>
  <c r="T304" i="2"/>
  <c r="S304" i="2"/>
  <c r="R304" i="2"/>
  <c r="Q304" i="2"/>
  <c r="O304" i="2"/>
  <c r="K304" i="2"/>
  <c r="L304" i="2" s="1"/>
  <c r="M304" i="2" s="1"/>
  <c r="N304" i="2" s="1"/>
  <c r="G304" i="2"/>
  <c r="D304" i="2"/>
  <c r="AA303" i="2"/>
  <c r="W303" i="2"/>
  <c r="T303" i="2"/>
  <c r="S303" i="2"/>
  <c r="R303" i="2"/>
  <c r="Q303" i="2"/>
  <c r="O303" i="2"/>
  <c r="K303" i="2"/>
  <c r="L303" i="2" s="1"/>
  <c r="M303" i="2" s="1"/>
  <c r="N303" i="2" s="1"/>
  <c r="G303" i="2"/>
  <c r="D303" i="2"/>
  <c r="W302" i="2"/>
  <c r="O302" i="2"/>
  <c r="K302" i="2"/>
  <c r="L302" i="2" s="1"/>
  <c r="M302" i="2" s="1"/>
  <c r="N302" i="2" s="1"/>
  <c r="AA301" i="2"/>
  <c r="W301" i="2"/>
  <c r="T301" i="2"/>
  <c r="S301" i="2"/>
  <c r="R301" i="2"/>
  <c r="Q301" i="2"/>
  <c r="O301" i="2"/>
  <c r="K301" i="2"/>
  <c r="L301" i="2" s="1"/>
  <c r="M301" i="2" s="1"/>
  <c r="N301" i="2" s="1"/>
  <c r="G301" i="2"/>
  <c r="D301" i="2"/>
  <c r="AA300" i="2"/>
  <c r="W300" i="2"/>
  <c r="T300" i="2"/>
  <c r="S300" i="2"/>
  <c r="R300" i="2"/>
  <c r="Q300" i="2"/>
  <c r="O300" i="2"/>
  <c r="L300" i="2"/>
  <c r="M300" i="2" s="1"/>
  <c r="N300" i="2" s="1"/>
  <c r="G300" i="2"/>
  <c r="D300" i="2"/>
  <c r="AA299" i="2"/>
  <c r="W299" i="2"/>
  <c r="T299" i="2"/>
  <c r="S299" i="2"/>
  <c r="R299" i="2"/>
  <c r="Q299" i="2"/>
  <c r="O299" i="2"/>
  <c r="L299" i="2"/>
  <c r="M299" i="2" s="1"/>
  <c r="N299" i="2" s="1"/>
  <c r="G299" i="2"/>
  <c r="D299" i="2"/>
  <c r="AA298" i="2"/>
  <c r="W298" i="2"/>
  <c r="T298" i="2"/>
  <c r="S298" i="2"/>
  <c r="R298" i="2"/>
  <c r="Q298" i="2"/>
  <c r="O298" i="2"/>
  <c r="L298" i="2"/>
  <c r="M298" i="2" s="1"/>
  <c r="N298" i="2" s="1"/>
  <c r="G298" i="2"/>
  <c r="D298" i="2"/>
  <c r="AA297" i="2"/>
  <c r="W297" i="2"/>
  <c r="K297" i="2"/>
  <c r="L297" i="2" s="1"/>
  <c r="M297" i="2" s="1"/>
  <c r="N297" i="2" s="1"/>
  <c r="AA296" i="2"/>
  <c r="W296" i="2"/>
  <c r="K296" i="2"/>
  <c r="L296" i="2" s="1"/>
  <c r="M296" i="2" s="1"/>
  <c r="N296" i="2" s="1"/>
  <c r="AA295" i="2"/>
  <c r="W295" i="2"/>
  <c r="K295" i="2"/>
  <c r="L295" i="2" s="1"/>
  <c r="M295" i="2" s="1"/>
  <c r="N295" i="2" s="1"/>
  <c r="AA294" i="2"/>
  <c r="W294" i="2"/>
  <c r="K294" i="2"/>
  <c r="L294" i="2" s="1"/>
  <c r="M294" i="2" s="1"/>
  <c r="N294" i="2" s="1"/>
  <c r="AA293" i="2"/>
  <c r="W293" i="2"/>
  <c r="T293" i="2"/>
  <c r="S293" i="2"/>
  <c r="R293" i="2"/>
  <c r="Q293" i="2"/>
  <c r="O293" i="2"/>
  <c r="L293" i="2"/>
  <c r="M293" i="2" s="1"/>
  <c r="N293" i="2" s="1"/>
  <c r="G293" i="2"/>
  <c r="D293" i="2"/>
  <c r="AA292" i="2"/>
  <c r="W292" i="2"/>
  <c r="T292" i="2"/>
  <c r="S292" i="2"/>
  <c r="R292" i="2"/>
  <c r="Q292" i="2"/>
  <c r="O292" i="2"/>
  <c r="L292" i="2"/>
  <c r="M292" i="2" s="1"/>
  <c r="N292" i="2" s="1"/>
  <c r="G292" i="2"/>
  <c r="D292" i="2"/>
  <c r="AA291" i="2"/>
  <c r="W291" i="2"/>
  <c r="T291" i="2"/>
  <c r="S291" i="2"/>
  <c r="R291" i="2"/>
  <c r="Q291" i="2"/>
  <c r="O291" i="2"/>
  <c r="K291" i="2"/>
  <c r="G291" i="2"/>
  <c r="D291" i="2"/>
  <c r="AA290" i="2"/>
  <c r="W290" i="2"/>
  <c r="T290" i="2"/>
  <c r="S290" i="2"/>
  <c r="R290" i="2"/>
  <c r="Q290" i="2"/>
  <c r="O290" i="2"/>
  <c r="L290" i="2"/>
  <c r="M290" i="2" s="1"/>
  <c r="N290" i="2" s="1"/>
  <c r="G290" i="2"/>
  <c r="D290" i="2"/>
  <c r="AA289" i="2"/>
  <c r="W289" i="2"/>
  <c r="T289" i="2"/>
  <c r="S289" i="2"/>
  <c r="R289" i="2"/>
  <c r="Q289" i="2"/>
  <c r="O289" i="2"/>
  <c r="K289" i="2"/>
  <c r="L289" i="2" s="1"/>
  <c r="M289" i="2" s="1"/>
  <c r="N289" i="2" s="1"/>
  <c r="G289" i="2"/>
  <c r="D289" i="2"/>
  <c r="AA288" i="2"/>
  <c r="W288" i="2"/>
  <c r="T288" i="2"/>
  <c r="S288" i="2"/>
  <c r="R288" i="2"/>
  <c r="Q288" i="2"/>
  <c r="O288" i="2"/>
  <c r="L288" i="2"/>
  <c r="M288" i="2" s="1"/>
  <c r="N288" i="2" s="1"/>
  <c r="G288" i="2"/>
  <c r="D288" i="2"/>
  <c r="AA287" i="2"/>
  <c r="W287" i="2"/>
  <c r="T287" i="2"/>
  <c r="S287" i="2"/>
  <c r="R287" i="2"/>
  <c r="Q287" i="2"/>
  <c r="O287" i="2"/>
  <c r="K287" i="2"/>
  <c r="L287" i="2" s="1"/>
  <c r="M287" i="2" s="1"/>
  <c r="N287" i="2" s="1"/>
  <c r="G287" i="2"/>
  <c r="D287" i="2"/>
  <c r="AA286" i="2"/>
  <c r="W286" i="2"/>
  <c r="T286" i="2"/>
  <c r="S286" i="2"/>
  <c r="R286" i="2"/>
  <c r="Q286" i="2"/>
  <c r="O286" i="2"/>
  <c r="L286" i="2"/>
  <c r="M286" i="2" s="1"/>
  <c r="N286" i="2" s="1"/>
  <c r="G286" i="2"/>
  <c r="D286" i="2"/>
  <c r="AA285" i="2"/>
  <c r="W285" i="2"/>
  <c r="T285" i="2"/>
  <c r="S285" i="2"/>
  <c r="R285" i="2"/>
  <c r="Q285" i="2"/>
  <c r="O285" i="2"/>
  <c r="L285" i="2"/>
  <c r="M285" i="2" s="1"/>
  <c r="N285" i="2" s="1"/>
  <c r="G285" i="2"/>
  <c r="D285" i="2"/>
  <c r="AA284" i="2"/>
  <c r="W284" i="2"/>
  <c r="T284" i="2"/>
  <c r="S284" i="2"/>
  <c r="R284" i="2"/>
  <c r="Q284" i="2"/>
  <c r="O284" i="2"/>
  <c r="L284" i="2"/>
  <c r="M284" i="2" s="1"/>
  <c r="N284" i="2" s="1"/>
  <c r="G284" i="2"/>
  <c r="D284" i="2"/>
  <c r="AA283" i="2"/>
  <c r="W283" i="2"/>
  <c r="T283" i="2"/>
  <c r="S283" i="2"/>
  <c r="R283" i="2"/>
  <c r="Q283" i="2"/>
  <c r="O283" i="2"/>
  <c r="K283" i="2"/>
  <c r="L283" i="2" s="1"/>
  <c r="M283" i="2" s="1"/>
  <c r="N283" i="2" s="1"/>
  <c r="G283" i="2"/>
  <c r="D283" i="2"/>
  <c r="AA282" i="2"/>
  <c r="W282" i="2"/>
  <c r="T282" i="2"/>
  <c r="S282" i="2"/>
  <c r="R282" i="2"/>
  <c r="Q282" i="2"/>
  <c r="O282" i="2"/>
  <c r="K282" i="2"/>
  <c r="L282" i="2" s="1"/>
  <c r="M282" i="2" s="1"/>
  <c r="N282" i="2" s="1"/>
  <c r="G282" i="2"/>
  <c r="D282" i="2"/>
  <c r="AA281" i="2"/>
  <c r="W281" i="2"/>
  <c r="T281" i="2"/>
  <c r="S281" i="2"/>
  <c r="R281" i="2"/>
  <c r="Q281" i="2"/>
  <c r="O281" i="2"/>
  <c r="K281" i="2"/>
  <c r="G281" i="2"/>
  <c r="D281" i="2"/>
  <c r="AA280" i="2"/>
  <c r="W280" i="2"/>
  <c r="T280" i="2"/>
  <c r="S280" i="2"/>
  <c r="R280" i="2"/>
  <c r="Q280" i="2"/>
  <c r="O280" i="2"/>
  <c r="L280" i="2"/>
  <c r="M280" i="2" s="1"/>
  <c r="N280" i="2" s="1"/>
  <c r="G280" i="2"/>
  <c r="D280" i="2"/>
  <c r="AA279" i="2"/>
  <c r="W279" i="2"/>
  <c r="T279" i="2"/>
  <c r="S279" i="2"/>
  <c r="R279" i="2"/>
  <c r="Q279" i="2"/>
  <c r="O279" i="2"/>
  <c r="K279" i="2"/>
  <c r="L279" i="2" s="1"/>
  <c r="M279" i="2" s="1"/>
  <c r="N279" i="2" s="1"/>
  <c r="G279" i="2"/>
  <c r="D279" i="2"/>
  <c r="AA278" i="2"/>
  <c r="W278" i="2"/>
  <c r="T278" i="2"/>
  <c r="S278" i="2"/>
  <c r="R278" i="2"/>
  <c r="Q278" i="2"/>
  <c r="O278" i="2"/>
  <c r="K278" i="2"/>
  <c r="G278" i="2"/>
  <c r="D278" i="2"/>
  <c r="AA277" i="2"/>
  <c r="W277" i="2"/>
  <c r="T277" i="2"/>
  <c r="S277" i="2"/>
  <c r="R277" i="2"/>
  <c r="Q277" i="2"/>
  <c r="O277" i="2"/>
  <c r="K277" i="2"/>
  <c r="L277" i="2" s="1"/>
  <c r="M277" i="2" s="1"/>
  <c r="N277" i="2" s="1"/>
  <c r="G277" i="2"/>
  <c r="D277" i="2"/>
  <c r="K276" i="2"/>
  <c r="L276" i="2" s="1"/>
  <c r="M276" i="2" s="1"/>
  <c r="N276" i="2" s="1"/>
  <c r="P276" i="2" s="1"/>
  <c r="K275" i="2"/>
  <c r="L275" i="2" s="1"/>
  <c r="M275" i="2" s="1"/>
  <c r="N275" i="2" s="1"/>
  <c r="P275" i="2" s="1"/>
  <c r="K274" i="2"/>
  <c r="L274" i="2" s="1"/>
  <c r="M274" i="2" s="1"/>
  <c r="N274" i="2" s="1"/>
  <c r="AA273" i="2"/>
  <c r="W273" i="2"/>
  <c r="T273" i="2"/>
  <c r="S273" i="2"/>
  <c r="R273" i="2"/>
  <c r="Q273" i="2"/>
  <c r="O273" i="2"/>
  <c r="L273" i="2"/>
  <c r="M273" i="2" s="1"/>
  <c r="N273" i="2" s="1"/>
  <c r="G273" i="2"/>
  <c r="D273" i="2"/>
  <c r="AA272" i="2"/>
  <c r="W272" i="2"/>
  <c r="T272" i="2"/>
  <c r="S272" i="2"/>
  <c r="R272" i="2"/>
  <c r="Q272" i="2"/>
  <c r="O272" i="2"/>
  <c r="L272" i="2"/>
  <c r="M272" i="2" s="1"/>
  <c r="N272" i="2" s="1"/>
  <c r="G272" i="2"/>
  <c r="D272" i="2"/>
  <c r="AA271" i="2"/>
  <c r="W271" i="2"/>
  <c r="T271" i="2"/>
  <c r="S271" i="2"/>
  <c r="R271" i="2"/>
  <c r="Q271" i="2"/>
  <c r="O271" i="2"/>
  <c r="L271" i="2"/>
  <c r="M271" i="2" s="1"/>
  <c r="N271" i="2" s="1"/>
  <c r="G271" i="2"/>
  <c r="D271" i="2"/>
  <c r="AA270" i="2"/>
  <c r="W270" i="2"/>
  <c r="T270" i="2"/>
  <c r="S270" i="2"/>
  <c r="R270" i="2"/>
  <c r="Q270" i="2"/>
  <c r="O270" i="2"/>
  <c r="L270" i="2"/>
  <c r="M270" i="2" s="1"/>
  <c r="N270" i="2" s="1"/>
  <c r="G270" i="2"/>
  <c r="D270" i="2"/>
  <c r="AA269" i="2"/>
  <c r="W269" i="2"/>
  <c r="T269" i="2"/>
  <c r="S269" i="2"/>
  <c r="R269" i="2"/>
  <c r="Q269" i="2"/>
  <c r="O269" i="2"/>
  <c r="L269" i="2"/>
  <c r="M269" i="2" s="1"/>
  <c r="N269" i="2" s="1"/>
  <c r="G269" i="2"/>
  <c r="D269" i="2"/>
  <c r="AA268" i="2"/>
  <c r="W268" i="2"/>
  <c r="T268" i="2"/>
  <c r="S268" i="2"/>
  <c r="R268" i="2"/>
  <c r="Q268" i="2"/>
  <c r="O268" i="2"/>
  <c r="K268" i="2"/>
  <c r="L268" i="2" s="1"/>
  <c r="M268" i="2" s="1"/>
  <c r="N268" i="2" s="1"/>
  <c r="G268" i="2"/>
  <c r="D268" i="2"/>
  <c r="AA267" i="2"/>
  <c r="W267" i="2"/>
  <c r="T267" i="2"/>
  <c r="S267" i="2"/>
  <c r="R267" i="2"/>
  <c r="Q267" i="2"/>
  <c r="O267" i="2"/>
  <c r="K267" i="2"/>
  <c r="L267" i="2" s="1"/>
  <c r="M267" i="2" s="1"/>
  <c r="N267" i="2" s="1"/>
  <c r="G267" i="2"/>
  <c r="D267" i="2"/>
  <c r="AA266" i="2"/>
  <c r="W266" i="2"/>
  <c r="T266" i="2"/>
  <c r="S266" i="2"/>
  <c r="R266" i="2"/>
  <c r="Q266" i="2"/>
  <c r="O266" i="2"/>
  <c r="K266" i="2"/>
  <c r="L266" i="2" s="1"/>
  <c r="M266" i="2" s="1"/>
  <c r="N266" i="2" s="1"/>
  <c r="G266" i="2"/>
  <c r="D266" i="2"/>
  <c r="AA265" i="2"/>
  <c r="W265" i="2"/>
  <c r="T265" i="2"/>
  <c r="S265" i="2"/>
  <c r="R265" i="2"/>
  <c r="Q265" i="2"/>
  <c r="O265" i="2"/>
  <c r="K265" i="2"/>
  <c r="G265" i="2"/>
  <c r="D265" i="2"/>
  <c r="AA264" i="2"/>
  <c r="W264" i="2"/>
  <c r="T264" i="2"/>
  <c r="S264" i="2"/>
  <c r="R264" i="2"/>
  <c r="Q264" i="2"/>
  <c r="L264" i="2"/>
  <c r="M264" i="2" s="1"/>
  <c r="N264" i="2" s="1"/>
  <c r="G264" i="2"/>
  <c r="D264" i="2"/>
  <c r="AA263" i="2"/>
  <c r="W263" i="2"/>
  <c r="T263" i="2"/>
  <c r="S263" i="2"/>
  <c r="R263" i="2"/>
  <c r="Q263" i="2"/>
  <c r="O263" i="2"/>
  <c r="K263" i="2"/>
  <c r="L263" i="2" s="1"/>
  <c r="M263" i="2" s="1"/>
  <c r="N263" i="2" s="1"/>
  <c r="G263" i="2"/>
  <c r="D263" i="2"/>
  <c r="AA262" i="2"/>
  <c r="W262" i="2"/>
  <c r="T262" i="2"/>
  <c r="S262" i="2"/>
  <c r="R262" i="2"/>
  <c r="Q262" i="2"/>
  <c r="O262" i="2"/>
  <c r="K262" i="2"/>
  <c r="L262" i="2" s="1"/>
  <c r="M262" i="2" s="1"/>
  <c r="N262" i="2" s="1"/>
  <c r="G262" i="2"/>
  <c r="D262" i="2"/>
  <c r="AA261" i="2"/>
  <c r="W261" i="2"/>
  <c r="T261" i="2"/>
  <c r="S261" i="2"/>
  <c r="R261" i="2"/>
  <c r="Q261" i="2"/>
  <c r="O261" i="2"/>
  <c r="K261" i="2"/>
  <c r="G261" i="2"/>
  <c r="D261" i="2"/>
  <c r="AA260" i="2"/>
  <c r="W260" i="2"/>
  <c r="T260" i="2"/>
  <c r="S260" i="2"/>
  <c r="R260" i="2"/>
  <c r="Q260" i="2"/>
  <c r="O260" i="2"/>
  <c r="K260" i="2"/>
  <c r="G260" i="2"/>
  <c r="D260" i="2"/>
  <c r="AA259" i="2"/>
  <c r="W259" i="2"/>
  <c r="T259" i="2"/>
  <c r="S259" i="2"/>
  <c r="R259" i="2"/>
  <c r="Q259" i="2"/>
  <c r="O259" i="2"/>
  <c r="K259" i="2"/>
  <c r="G259" i="2"/>
  <c r="D259" i="2"/>
  <c r="AA258" i="2"/>
  <c r="W258" i="2"/>
  <c r="T258" i="2"/>
  <c r="S258" i="2"/>
  <c r="R258" i="2"/>
  <c r="Q258" i="2"/>
  <c r="O258" i="2"/>
  <c r="K258" i="2"/>
  <c r="M11" i="3" s="1"/>
  <c r="G258" i="2"/>
  <c r="D258" i="2"/>
  <c r="AA257" i="2"/>
  <c r="W257" i="2"/>
  <c r="T257" i="2"/>
  <c r="S257" i="2"/>
  <c r="R257" i="2"/>
  <c r="Q257" i="2"/>
  <c r="O257" i="2"/>
  <c r="K257" i="2"/>
  <c r="G257" i="2"/>
  <c r="D257" i="2"/>
  <c r="AA256" i="2"/>
  <c r="W256" i="2"/>
  <c r="T256" i="2"/>
  <c r="S256" i="2"/>
  <c r="R256" i="2"/>
  <c r="Q256" i="2"/>
  <c r="O256" i="2"/>
  <c r="K256" i="2"/>
  <c r="G256" i="2"/>
  <c r="D256" i="2"/>
  <c r="AA255" i="2"/>
  <c r="W255" i="2"/>
  <c r="T255" i="2"/>
  <c r="S255" i="2"/>
  <c r="R255" i="2"/>
  <c r="Q255" i="2"/>
  <c r="O255" i="2"/>
  <c r="K255" i="2"/>
  <c r="L255" i="2" s="1"/>
  <c r="M255" i="2" s="1"/>
  <c r="N255" i="2" s="1"/>
  <c r="G255" i="2"/>
  <c r="D255" i="2"/>
  <c r="AA254" i="2"/>
  <c r="W254" i="2"/>
  <c r="T254" i="2"/>
  <c r="S254" i="2"/>
  <c r="R254" i="2"/>
  <c r="Q254" i="2"/>
  <c r="K254" i="2"/>
  <c r="L254" i="2" s="1"/>
  <c r="M254" i="2" s="1"/>
  <c r="N254" i="2" s="1"/>
  <c r="P254" i="2" s="1"/>
  <c r="G254" i="2"/>
  <c r="D254" i="2"/>
  <c r="AA253" i="2"/>
  <c r="W253" i="2"/>
  <c r="T253" i="2"/>
  <c r="S253" i="2"/>
  <c r="R253" i="2"/>
  <c r="Q253" i="2"/>
  <c r="O253" i="2"/>
  <c r="K253" i="2"/>
  <c r="L253" i="2" s="1"/>
  <c r="M253" i="2" s="1"/>
  <c r="N253" i="2" s="1"/>
  <c r="G253" i="2"/>
  <c r="D253" i="2"/>
  <c r="AA252" i="2"/>
  <c r="W252" i="2"/>
  <c r="T252" i="2"/>
  <c r="S252" i="2"/>
  <c r="R252" i="2"/>
  <c r="Q252" i="2"/>
  <c r="O252" i="2"/>
  <c r="K252" i="2"/>
  <c r="G252" i="2"/>
  <c r="D252" i="2"/>
  <c r="AA251" i="2"/>
  <c r="W251" i="2"/>
  <c r="T251" i="2"/>
  <c r="S251" i="2"/>
  <c r="R251" i="2"/>
  <c r="Q251" i="2"/>
  <c r="O251" i="2"/>
  <c r="K251" i="2"/>
  <c r="G251" i="2"/>
  <c r="D251" i="2"/>
  <c r="AA250" i="2"/>
  <c r="W250" i="2"/>
  <c r="T250" i="2"/>
  <c r="S250" i="2"/>
  <c r="R250" i="2"/>
  <c r="Q250" i="2"/>
  <c r="O250" i="2"/>
  <c r="K250" i="2"/>
  <c r="L250" i="2" s="1"/>
  <c r="M250" i="2" s="1"/>
  <c r="N250" i="2" s="1"/>
  <c r="G250" i="2"/>
  <c r="D250" i="2"/>
  <c r="AA249" i="2"/>
  <c r="W249" i="2"/>
  <c r="T249" i="2"/>
  <c r="S249" i="2"/>
  <c r="R249" i="2"/>
  <c r="Q249" i="2"/>
  <c r="O249" i="2"/>
  <c r="K249" i="2"/>
  <c r="L249" i="2" s="1"/>
  <c r="M249" i="2" s="1"/>
  <c r="N249" i="2" s="1"/>
  <c r="G249" i="2"/>
  <c r="D249" i="2"/>
  <c r="AA248" i="2"/>
  <c r="W248" i="2"/>
  <c r="T248" i="2"/>
  <c r="S248" i="2"/>
  <c r="R248" i="2"/>
  <c r="Q248" i="2"/>
  <c r="K248" i="2"/>
  <c r="L248" i="2" s="1"/>
  <c r="M248" i="2" s="1"/>
  <c r="N248" i="2" s="1"/>
  <c r="P248" i="2" s="1"/>
  <c r="G248" i="2"/>
  <c r="D248" i="2"/>
  <c r="AA247" i="2"/>
  <c r="W247" i="2"/>
  <c r="T247" i="2"/>
  <c r="S247" i="2"/>
  <c r="R247" i="2"/>
  <c r="Q247" i="2"/>
  <c r="O247" i="2"/>
  <c r="K247" i="2"/>
  <c r="G247" i="2"/>
  <c r="D247" i="2"/>
  <c r="AA246" i="2"/>
  <c r="W246" i="2"/>
  <c r="T246" i="2"/>
  <c r="S246" i="2"/>
  <c r="R246" i="2"/>
  <c r="Q246" i="2"/>
  <c r="O246" i="2"/>
  <c r="M246" i="2"/>
  <c r="N246" i="2" s="1"/>
  <c r="K246" i="2"/>
  <c r="G246" i="2"/>
  <c r="D246" i="2"/>
  <c r="AA245" i="2"/>
  <c r="W245" i="2"/>
  <c r="T245" i="2"/>
  <c r="S245" i="2"/>
  <c r="R245" i="2"/>
  <c r="Q245" i="2"/>
  <c r="L245" i="2"/>
  <c r="M245" i="2" s="1"/>
  <c r="N245" i="2" s="1"/>
  <c r="P245" i="2" s="1"/>
  <c r="G245" i="2"/>
  <c r="D245" i="2"/>
  <c r="AA244" i="2"/>
  <c r="W244" i="2"/>
  <c r="T244" i="2"/>
  <c r="S244" i="2"/>
  <c r="R244" i="2"/>
  <c r="Q244" i="2"/>
  <c r="L244" i="2"/>
  <c r="M244" i="2" s="1"/>
  <c r="N244" i="2" s="1"/>
  <c r="P244" i="2" s="1"/>
  <c r="G244" i="2"/>
  <c r="D244" i="2"/>
  <c r="AA243" i="2"/>
  <c r="W243" i="2"/>
  <c r="T243" i="2"/>
  <c r="S243" i="2"/>
  <c r="R243" i="2"/>
  <c r="Q243" i="2"/>
  <c r="O243" i="2"/>
  <c r="K243" i="2"/>
  <c r="L243" i="2" s="1"/>
  <c r="M243" i="2" s="1"/>
  <c r="N243" i="2" s="1"/>
  <c r="G243" i="2"/>
  <c r="D243" i="2"/>
  <c r="AA242" i="2"/>
  <c r="W242" i="2"/>
  <c r="T242" i="2"/>
  <c r="S242" i="2"/>
  <c r="R242" i="2"/>
  <c r="Q242" i="2"/>
  <c r="O242" i="2"/>
  <c r="K242" i="2"/>
  <c r="G242" i="2"/>
  <c r="D242" i="2"/>
  <c r="AA241" i="2"/>
  <c r="W241" i="2"/>
  <c r="T241" i="2"/>
  <c r="S241" i="2"/>
  <c r="R241" i="2"/>
  <c r="Q241" i="2"/>
  <c r="O241" i="2"/>
  <c r="K241" i="2"/>
  <c r="L241" i="2" s="1"/>
  <c r="M241" i="2" s="1"/>
  <c r="N241" i="2" s="1"/>
  <c r="G241" i="2"/>
  <c r="D241" i="2"/>
  <c r="AA240" i="2"/>
  <c r="W240" i="2"/>
  <c r="T240" i="2"/>
  <c r="S240" i="2"/>
  <c r="R240" i="2"/>
  <c r="Q240" i="2"/>
  <c r="O240" i="2"/>
  <c r="K240" i="2"/>
  <c r="L240" i="2" s="1"/>
  <c r="M240" i="2" s="1"/>
  <c r="N240" i="2" s="1"/>
  <c r="G240" i="2"/>
  <c r="AA239" i="2"/>
  <c r="W239" i="2"/>
  <c r="T239" i="2"/>
  <c r="S239" i="2"/>
  <c r="R239" i="2"/>
  <c r="Q239" i="2"/>
  <c r="O239" i="2"/>
  <c r="K239" i="2"/>
  <c r="L239" i="2" s="1"/>
  <c r="M239" i="2" s="1"/>
  <c r="N239" i="2" s="1"/>
  <c r="G239" i="2"/>
  <c r="AA238" i="2"/>
  <c r="W238" i="2"/>
  <c r="T238" i="2"/>
  <c r="S238" i="2"/>
  <c r="R238" i="2"/>
  <c r="Q238" i="2"/>
  <c r="O238" i="2"/>
  <c r="L238" i="2"/>
  <c r="M238" i="2" s="1"/>
  <c r="N238" i="2" s="1"/>
  <c r="G238" i="2"/>
  <c r="D238" i="2"/>
  <c r="AA237" i="2"/>
  <c r="W237" i="2"/>
  <c r="T237" i="2"/>
  <c r="S237" i="2"/>
  <c r="R237" i="2"/>
  <c r="Q237" i="2"/>
  <c r="K237" i="2"/>
  <c r="L237" i="2" s="1"/>
  <c r="M237" i="2" s="1"/>
  <c r="N237" i="2" s="1"/>
  <c r="P237" i="2" s="1"/>
  <c r="G237" i="2"/>
  <c r="D237" i="2"/>
  <c r="AA236" i="2"/>
  <c r="W236" i="2"/>
  <c r="T236" i="2"/>
  <c r="S236" i="2"/>
  <c r="R236" i="2"/>
  <c r="Q236" i="2"/>
  <c r="O236" i="2"/>
  <c r="K236" i="2"/>
  <c r="L236" i="2" s="1"/>
  <c r="M236" i="2" s="1"/>
  <c r="N236" i="2" s="1"/>
  <c r="G236" i="2"/>
  <c r="D236" i="2"/>
  <c r="AA235" i="2"/>
  <c r="W235" i="2"/>
  <c r="T235" i="2"/>
  <c r="S235" i="2"/>
  <c r="R235" i="2"/>
  <c r="Q235" i="2"/>
  <c r="O235" i="2"/>
  <c r="K235" i="2"/>
  <c r="L235" i="2" s="1"/>
  <c r="M235" i="2" s="1"/>
  <c r="N235" i="2" s="1"/>
  <c r="G235" i="2"/>
  <c r="D235" i="2"/>
  <c r="AA234" i="2"/>
  <c r="W234" i="2"/>
  <c r="T234" i="2"/>
  <c r="S234" i="2"/>
  <c r="R234" i="2"/>
  <c r="Q234" i="2"/>
  <c r="O234" i="2"/>
  <c r="K234" i="2"/>
  <c r="L234" i="2" s="1"/>
  <c r="M234" i="2" s="1"/>
  <c r="N234" i="2" s="1"/>
  <c r="G234" i="2"/>
  <c r="D234" i="2"/>
  <c r="AA233" i="2"/>
  <c r="W233" i="2"/>
  <c r="T233" i="2"/>
  <c r="S233" i="2"/>
  <c r="R233" i="2"/>
  <c r="Q233" i="2"/>
  <c r="L233" i="2"/>
  <c r="M233" i="2" s="1"/>
  <c r="N233" i="2" s="1"/>
  <c r="P233" i="2" s="1"/>
  <c r="G233" i="2"/>
  <c r="D233" i="2"/>
  <c r="AA232" i="2"/>
  <c r="W232" i="2"/>
  <c r="T232" i="2"/>
  <c r="S232" i="2"/>
  <c r="R232" i="2"/>
  <c r="Q232" i="2"/>
  <c r="O232" i="2"/>
  <c r="K232" i="2"/>
  <c r="L232" i="2" s="1"/>
  <c r="M232" i="2" s="1"/>
  <c r="N232" i="2" s="1"/>
  <c r="G232" i="2"/>
  <c r="AA231" i="2"/>
  <c r="W231" i="2"/>
  <c r="T231" i="2"/>
  <c r="S231" i="2"/>
  <c r="R231" i="2"/>
  <c r="Q231" i="2"/>
  <c r="K231" i="2"/>
  <c r="L231" i="2" s="1"/>
  <c r="M231" i="2" s="1"/>
  <c r="N231" i="2" s="1"/>
  <c r="P231" i="2" s="1"/>
  <c r="G231" i="2"/>
  <c r="D231" i="2"/>
  <c r="AA230" i="2"/>
  <c r="W230" i="2"/>
  <c r="T230" i="2"/>
  <c r="S230" i="2"/>
  <c r="R230" i="2"/>
  <c r="Q230" i="2"/>
  <c r="K230" i="2"/>
  <c r="L230" i="2" s="1"/>
  <c r="M230" i="2" s="1"/>
  <c r="N230" i="2" s="1"/>
  <c r="P230" i="2" s="1"/>
  <c r="G230" i="2"/>
  <c r="D230" i="2"/>
  <c r="AA229" i="2"/>
  <c r="W229" i="2"/>
  <c r="T229" i="2"/>
  <c r="S229" i="2"/>
  <c r="R229" i="2"/>
  <c r="Q229" i="2"/>
  <c r="L229" i="2"/>
  <c r="M229" i="2" s="1"/>
  <c r="N229" i="2" s="1"/>
  <c r="P229" i="2" s="1"/>
  <c r="G229" i="2"/>
  <c r="D229" i="2"/>
  <c r="AA228" i="2"/>
  <c r="W228" i="2"/>
  <c r="T228" i="2"/>
  <c r="S228" i="2"/>
  <c r="R228" i="2"/>
  <c r="Q228" i="2"/>
  <c r="L228" i="2"/>
  <c r="M228" i="2" s="1"/>
  <c r="N228" i="2" s="1"/>
  <c r="P228" i="2" s="1"/>
  <c r="G228" i="2"/>
  <c r="D228" i="2"/>
  <c r="AA227" i="2"/>
  <c r="W227" i="2"/>
  <c r="T227" i="2"/>
  <c r="S227" i="2"/>
  <c r="R227" i="2"/>
  <c r="Q227" i="2"/>
  <c r="O227" i="2"/>
  <c r="K227" i="2"/>
  <c r="L227" i="2" s="1"/>
  <c r="M227" i="2" s="1"/>
  <c r="N227" i="2" s="1"/>
  <c r="G227" i="2"/>
  <c r="D227" i="2"/>
  <c r="AA226" i="2"/>
  <c r="W226" i="2"/>
  <c r="T226" i="2"/>
  <c r="S226" i="2"/>
  <c r="R226" i="2"/>
  <c r="Q226" i="2"/>
  <c r="K226" i="2"/>
  <c r="M18" i="3" s="1"/>
  <c r="G226" i="2"/>
  <c r="D226" i="2"/>
  <c r="AA225" i="2"/>
  <c r="W225" i="2"/>
  <c r="T225" i="2"/>
  <c r="S225" i="2"/>
  <c r="R225" i="2"/>
  <c r="Q225" i="2"/>
  <c r="K225" i="2"/>
  <c r="L225" i="2" s="1"/>
  <c r="M225" i="2" s="1"/>
  <c r="N225" i="2" s="1"/>
  <c r="P225" i="2" s="1"/>
  <c r="G225" i="2"/>
  <c r="D225" i="2"/>
  <c r="AA224" i="2"/>
  <c r="W224" i="2"/>
  <c r="T224" i="2"/>
  <c r="S224" i="2"/>
  <c r="R224" i="2"/>
  <c r="Q224" i="2"/>
  <c r="K224" i="2"/>
  <c r="L224" i="2" s="1"/>
  <c r="M224" i="2" s="1"/>
  <c r="N224" i="2" s="1"/>
  <c r="P224" i="2" s="1"/>
  <c r="G224" i="2"/>
  <c r="D224" i="2"/>
  <c r="AA223" i="2"/>
  <c r="W223" i="2"/>
  <c r="T223" i="2"/>
  <c r="S223" i="2"/>
  <c r="R223" i="2"/>
  <c r="Q223" i="2"/>
  <c r="O223" i="2"/>
  <c r="K223" i="2"/>
  <c r="L223" i="2" s="1"/>
  <c r="M223" i="2" s="1"/>
  <c r="N223" i="2" s="1"/>
  <c r="G223" i="2"/>
  <c r="AA222" i="2"/>
  <c r="W222" i="2"/>
  <c r="T222" i="2"/>
  <c r="S222" i="2"/>
  <c r="R222" i="2"/>
  <c r="Q222" i="2"/>
  <c r="O222" i="2"/>
  <c r="K222" i="2"/>
  <c r="L222" i="2" s="1"/>
  <c r="M222" i="2" s="1"/>
  <c r="N222" i="2" s="1"/>
  <c r="G222" i="2"/>
  <c r="AA221" i="2"/>
  <c r="W221" i="2"/>
  <c r="T221" i="2"/>
  <c r="S221" i="2"/>
  <c r="R221" i="2"/>
  <c r="Q221" i="2"/>
  <c r="L221" i="2"/>
  <c r="M221" i="2" s="1"/>
  <c r="N221" i="2" s="1"/>
  <c r="G221" i="2"/>
  <c r="D221" i="2"/>
  <c r="AA220" i="2"/>
  <c r="W220" i="2"/>
  <c r="T220" i="2"/>
  <c r="S220" i="2"/>
  <c r="R220" i="2"/>
  <c r="Q220" i="2"/>
  <c r="L220" i="2"/>
  <c r="M220" i="2" s="1"/>
  <c r="N220" i="2" s="1"/>
  <c r="G220" i="2"/>
  <c r="D220" i="2"/>
  <c r="AA219" i="2"/>
  <c r="W219" i="2"/>
  <c r="T219" i="2"/>
  <c r="S219" i="2"/>
  <c r="R219" i="2"/>
  <c r="Q219" i="2"/>
  <c r="O219" i="2"/>
  <c r="L219" i="2"/>
  <c r="M219" i="2" s="1"/>
  <c r="N219" i="2" s="1"/>
  <c r="G219" i="2"/>
  <c r="D219" i="2"/>
  <c r="AA218" i="2"/>
  <c r="W218" i="2"/>
  <c r="T218" i="2"/>
  <c r="S218" i="2"/>
  <c r="R218" i="2"/>
  <c r="Q218" i="2"/>
  <c r="O218" i="2"/>
  <c r="L218" i="2"/>
  <c r="M218" i="2" s="1"/>
  <c r="N218" i="2" s="1"/>
  <c r="G218" i="2"/>
  <c r="D218" i="2"/>
  <c r="AA217" i="2"/>
  <c r="W217" i="2"/>
  <c r="T217" i="2"/>
  <c r="S217" i="2"/>
  <c r="R217" i="2"/>
  <c r="Q217" i="2"/>
  <c r="L217" i="2"/>
  <c r="M217" i="2" s="1"/>
  <c r="N217" i="2" s="1"/>
  <c r="P217" i="2" s="1"/>
  <c r="G217" i="2"/>
  <c r="D217" i="2"/>
  <c r="AA216" i="2"/>
  <c r="W216" i="2"/>
  <c r="T216" i="2"/>
  <c r="S216" i="2"/>
  <c r="R216" i="2"/>
  <c r="Q216" i="2"/>
  <c r="L216" i="2"/>
  <c r="M216" i="2" s="1"/>
  <c r="N216" i="2" s="1"/>
  <c r="P216" i="2" s="1"/>
  <c r="G216" i="2"/>
  <c r="D216" i="2"/>
  <c r="AA215" i="2"/>
  <c r="W215" i="2"/>
  <c r="T215" i="2"/>
  <c r="S215" i="2"/>
  <c r="R215" i="2"/>
  <c r="Q215" i="2"/>
  <c r="L215" i="2"/>
  <c r="M215" i="2" s="1"/>
  <c r="N215" i="2" s="1"/>
  <c r="P215" i="2" s="1"/>
  <c r="G215" i="2"/>
  <c r="D215" i="2"/>
  <c r="AA214" i="2"/>
  <c r="W214" i="2"/>
  <c r="T214" i="2"/>
  <c r="S214" i="2"/>
  <c r="R214" i="2"/>
  <c r="Q214" i="2"/>
  <c r="L214" i="2"/>
  <c r="M214" i="2" s="1"/>
  <c r="N214" i="2" s="1"/>
  <c r="P214" i="2" s="1"/>
  <c r="G214" i="2"/>
  <c r="D214" i="2"/>
  <c r="AA213" i="2"/>
  <c r="W213" i="2"/>
  <c r="T213" i="2"/>
  <c r="S213" i="2"/>
  <c r="R213" i="2"/>
  <c r="Q213" i="2"/>
  <c r="L213" i="2"/>
  <c r="M213" i="2" s="1"/>
  <c r="N213" i="2" s="1"/>
  <c r="G213" i="2"/>
  <c r="D213" i="2"/>
  <c r="AA212" i="2"/>
  <c r="W212" i="2"/>
  <c r="T212" i="2"/>
  <c r="S212" i="2"/>
  <c r="R212" i="2"/>
  <c r="Q212" i="2"/>
  <c r="L212" i="2"/>
  <c r="M212" i="2" s="1"/>
  <c r="N212" i="2" s="1"/>
  <c r="G212" i="2"/>
  <c r="D212" i="2"/>
  <c r="AA211" i="2"/>
  <c r="W211" i="2"/>
  <c r="T211" i="2"/>
  <c r="S211" i="2"/>
  <c r="R211" i="2"/>
  <c r="Q211" i="2"/>
  <c r="L211" i="2"/>
  <c r="M211" i="2" s="1"/>
  <c r="N211" i="2" s="1"/>
  <c r="G211" i="2"/>
  <c r="D211" i="2"/>
  <c r="AA210" i="2"/>
  <c r="W210" i="2"/>
  <c r="T210" i="2"/>
  <c r="S210" i="2"/>
  <c r="R210" i="2"/>
  <c r="Q210" i="2"/>
  <c r="L210" i="2"/>
  <c r="M210" i="2" s="1"/>
  <c r="N210" i="2" s="1"/>
  <c r="G210" i="2"/>
  <c r="D210" i="2"/>
  <c r="AA209" i="2"/>
  <c r="W209" i="2"/>
  <c r="T209" i="2"/>
  <c r="S209" i="2"/>
  <c r="R209" i="2"/>
  <c r="Q209" i="2"/>
  <c r="O209" i="2"/>
  <c r="L209" i="2"/>
  <c r="M209" i="2" s="1"/>
  <c r="N209" i="2" s="1"/>
  <c r="G209" i="2"/>
  <c r="D209" i="2"/>
  <c r="AA208" i="2"/>
  <c r="W208" i="2"/>
  <c r="T208" i="2"/>
  <c r="S208" i="2"/>
  <c r="R208" i="2"/>
  <c r="Q208" i="2"/>
  <c r="O208" i="2"/>
  <c r="L208" i="2"/>
  <c r="M208" i="2" s="1"/>
  <c r="N208" i="2" s="1"/>
  <c r="G208" i="2"/>
  <c r="D208" i="2"/>
  <c r="AA207" i="2"/>
  <c r="W207" i="2"/>
  <c r="T207" i="2"/>
  <c r="S207" i="2"/>
  <c r="R207" i="2"/>
  <c r="Q207" i="2"/>
  <c r="O207" i="2"/>
  <c r="L207" i="2"/>
  <c r="M207" i="2" s="1"/>
  <c r="N207" i="2" s="1"/>
  <c r="G207" i="2"/>
  <c r="D207" i="2"/>
  <c r="AA206" i="2"/>
  <c r="W206" i="2"/>
  <c r="T206" i="2"/>
  <c r="S206" i="2"/>
  <c r="R206" i="2"/>
  <c r="Q206" i="2"/>
  <c r="L206" i="2"/>
  <c r="M206" i="2" s="1"/>
  <c r="N206" i="2" s="1"/>
  <c r="G206" i="2"/>
  <c r="D206" i="2"/>
  <c r="AA205" i="2"/>
  <c r="W205" i="2"/>
  <c r="T205" i="2"/>
  <c r="S205" i="2"/>
  <c r="R205" i="2"/>
  <c r="Q205" i="2"/>
  <c r="O205" i="2"/>
  <c r="L205" i="2"/>
  <c r="M205" i="2" s="1"/>
  <c r="N205" i="2" s="1"/>
  <c r="G205" i="2"/>
  <c r="D205" i="2"/>
  <c r="W204" i="2"/>
  <c r="O204" i="2"/>
  <c r="K204" i="2"/>
  <c r="L204" i="2" s="1"/>
  <c r="M204" i="2" s="1"/>
  <c r="N204" i="2" s="1"/>
  <c r="AA203" i="2"/>
  <c r="W203" i="2"/>
  <c r="T203" i="2"/>
  <c r="S203" i="2"/>
  <c r="R203" i="2"/>
  <c r="Q203" i="2"/>
  <c r="O203" i="2"/>
  <c r="K203" i="2"/>
  <c r="M40" i="3" s="1"/>
  <c r="G203" i="2"/>
  <c r="D203" i="2"/>
  <c r="AA202" i="2"/>
  <c r="W202" i="2"/>
  <c r="T202" i="2"/>
  <c r="S202" i="2"/>
  <c r="R202" i="2"/>
  <c r="Q202" i="2"/>
  <c r="O202" i="2"/>
  <c r="L202" i="2"/>
  <c r="M202" i="2" s="1"/>
  <c r="N202" i="2" s="1"/>
  <c r="G202" i="2"/>
  <c r="D202" i="2"/>
  <c r="AA201" i="2"/>
  <c r="W201" i="2"/>
  <c r="T201" i="2"/>
  <c r="S201" i="2"/>
  <c r="R201" i="2"/>
  <c r="Q201" i="2"/>
  <c r="O201" i="2"/>
  <c r="L201" i="2"/>
  <c r="M201" i="2" s="1"/>
  <c r="N201" i="2" s="1"/>
  <c r="G201" i="2"/>
  <c r="D201" i="2"/>
  <c r="AA200" i="2"/>
  <c r="W200" i="2"/>
  <c r="T200" i="2"/>
  <c r="S200" i="2"/>
  <c r="R200" i="2"/>
  <c r="Q200" i="2"/>
  <c r="O200" i="2"/>
  <c r="K200" i="2"/>
  <c r="L200" i="2" s="1"/>
  <c r="M200" i="2" s="1"/>
  <c r="N200" i="2" s="1"/>
  <c r="G200" i="2"/>
  <c r="D200" i="2"/>
  <c r="AA199" i="2"/>
  <c r="W199" i="2"/>
  <c r="T199" i="2"/>
  <c r="S199" i="2"/>
  <c r="R199" i="2"/>
  <c r="Q199" i="2"/>
  <c r="O199" i="2"/>
  <c r="K199" i="2"/>
  <c r="L199" i="2" s="1"/>
  <c r="M199" i="2" s="1"/>
  <c r="N199" i="2" s="1"/>
  <c r="G199" i="2"/>
  <c r="D199" i="2"/>
  <c r="AA198" i="2"/>
  <c r="W198" i="2"/>
  <c r="T198" i="2"/>
  <c r="S198" i="2"/>
  <c r="R198" i="2"/>
  <c r="Q198" i="2"/>
  <c r="O198" i="2"/>
  <c r="K198" i="2"/>
  <c r="L198" i="2" s="1"/>
  <c r="M198" i="2" s="1"/>
  <c r="N198" i="2" s="1"/>
  <c r="G198" i="2"/>
  <c r="D198" i="2"/>
  <c r="AA197" i="2"/>
  <c r="W197" i="2"/>
  <c r="T197" i="2"/>
  <c r="S197" i="2"/>
  <c r="R197" i="2"/>
  <c r="Q197" i="2"/>
  <c r="O197" i="2"/>
  <c r="K197" i="2"/>
  <c r="L197" i="2" s="1"/>
  <c r="M197" i="2" s="1"/>
  <c r="N197" i="2" s="1"/>
  <c r="G197" i="2"/>
  <c r="D197" i="2"/>
  <c r="AA196" i="2"/>
  <c r="W196" i="2"/>
  <c r="T196" i="2"/>
  <c r="S196" i="2"/>
  <c r="R196" i="2"/>
  <c r="Q196" i="2"/>
  <c r="K196" i="2"/>
  <c r="L196" i="2" s="1"/>
  <c r="M196" i="2" s="1"/>
  <c r="N196" i="2" s="1"/>
  <c r="P196" i="2" s="1"/>
  <c r="G196" i="2"/>
  <c r="D196" i="2"/>
  <c r="AA195" i="2"/>
  <c r="W195" i="2"/>
  <c r="T195" i="2"/>
  <c r="S195" i="2"/>
  <c r="R195" i="2"/>
  <c r="Q195" i="2"/>
  <c r="K195" i="2"/>
  <c r="L195" i="2" s="1"/>
  <c r="M195" i="2" s="1"/>
  <c r="N195" i="2" s="1"/>
  <c r="P195" i="2" s="1"/>
  <c r="G195" i="2"/>
  <c r="D195" i="2"/>
  <c r="AA194" i="2"/>
  <c r="W194" i="2"/>
  <c r="T194" i="2"/>
  <c r="S194" i="2"/>
  <c r="R194" i="2"/>
  <c r="Q194" i="2"/>
  <c r="K194" i="2"/>
  <c r="G194" i="2"/>
  <c r="D194" i="2"/>
  <c r="AA193" i="2"/>
  <c r="W193" i="2"/>
  <c r="T193" i="2"/>
  <c r="S193" i="2"/>
  <c r="R193" i="2"/>
  <c r="Q193" i="2"/>
  <c r="K193" i="2"/>
  <c r="L193" i="2" s="1"/>
  <c r="M193" i="2" s="1"/>
  <c r="N193" i="2" s="1"/>
  <c r="P193" i="2" s="1"/>
  <c r="G193" i="2"/>
  <c r="O192" i="2"/>
  <c r="K192" i="2"/>
  <c r="L192" i="2" s="1"/>
  <c r="M192" i="2" s="1"/>
  <c r="N192" i="2" s="1"/>
  <c r="AA191" i="2"/>
  <c r="W191" i="2"/>
  <c r="T191" i="2"/>
  <c r="S191" i="2"/>
  <c r="R191" i="2"/>
  <c r="Q191" i="2"/>
  <c r="O191" i="2"/>
  <c r="K191" i="2"/>
  <c r="L191" i="2" s="1"/>
  <c r="M191" i="2" s="1"/>
  <c r="N191" i="2" s="1"/>
  <c r="G191" i="2"/>
  <c r="D191" i="2"/>
  <c r="AA190" i="2"/>
  <c r="W190" i="2"/>
  <c r="T190" i="2"/>
  <c r="S190" i="2"/>
  <c r="R190" i="2"/>
  <c r="Q190" i="2"/>
  <c r="O190" i="2"/>
  <c r="K190" i="2"/>
  <c r="L190" i="2" s="1"/>
  <c r="M190" i="2" s="1"/>
  <c r="N190" i="2" s="1"/>
  <c r="G190" i="2"/>
  <c r="D190" i="2"/>
  <c r="AA189" i="2"/>
  <c r="W189" i="2"/>
  <c r="T189" i="2"/>
  <c r="S189" i="2"/>
  <c r="R189" i="2"/>
  <c r="Q189" i="2"/>
  <c r="O189" i="2"/>
  <c r="K189" i="2"/>
  <c r="L189" i="2" s="1"/>
  <c r="M189" i="2" s="1"/>
  <c r="N189" i="2" s="1"/>
  <c r="G189" i="2"/>
  <c r="D189" i="2"/>
  <c r="AA188" i="2"/>
  <c r="W188" i="2"/>
  <c r="T188" i="2"/>
  <c r="S188" i="2"/>
  <c r="R188" i="2"/>
  <c r="Q188" i="2"/>
  <c r="K188" i="2"/>
  <c r="L188" i="2" s="1"/>
  <c r="M188" i="2" s="1"/>
  <c r="N188" i="2" s="1"/>
  <c r="P188" i="2" s="1"/>
  <c r="G188" i="2"/>
  <c r="D188" i="2"/>
  <c r="AA187" i="2"/>
  <c r="W187" i="2"/>
  <c r="T187" i="2"/>
  <c r="S187" i="2"/>
  <c r="R187" i="2"/>
  <c r="Q187" i="2"/>
  <c r="K187" i="2"/>
  <c r="L187" i="2" s="1"/>
  <c r="M187" i="2" s="1"/>
  <c r="N187" i="2" s="1"/>
  <c r="P187" i="2" s="1"/>
  <c r="G187" i="2"/>
  <c r="D187" i="2"/>
  <c r="AA186" i="2"/>
  <c r="W186" i="2"/>
  <c r="T186" i="2"/>
  <c r="S186" i="2"/>
  <c r="R186" i="2"/>
  <c r="Q186" i="2"/>
  <c r="K186" i="2"/>
  <c r="L186" i="2" s="1"/>
  <c r="M186" i="2" s="1"/>
  <c r="N186" i="2" s="1"/>
  <c r="P186" i="2" s="1"/>
  <c r="G186" i="2"/>
  <c r="D186" i="2"/>
  <c r="AA185" i="2"/>
  <c r="W185" i="2"/>
  <c r="T185" i="2"/>
  <c r="S185" i="2"/>
  <c r="R185" i="2"/>
  <c r="Q185" i="2"/>
  <c r="O185" i="2"/>
  <c r="L185" i="2"/>
  <c r="M185" i="2" s="1"/>
  <c r="N185" i="2" s="1"/>
  <c r="G185" i="2"/>
  <c r="D185" i="2"/>
  <c r="AA184" i="2"/>
  <c r="W184" i="2"/>
  <c r="T184" i="2"/>
  <c r="S184" i="2"/>
  <c r="R184" i="2"/>
  <c r="Q184" i="2"/>
  <c r="O184" i="2"/>
  <c r="K184" i="2"/>
  <c r="L184" i="2" s="1"/>
  <c r="M184" i="2" s="1"/>
  <c r="N184" i="2" s="1"/>
  <c r="G184" i="2"/>
  <c r="D184" i="2"/>
  <c r="W183" i="2"/>
  <c r="W182" i="2"/>
  <c r="W181" i="2"/>
  <c r="W180" i="2"/>
  <c r="W179" i="2"/>
  <c r="W178" i="2"/>
  <c r="W177" i="2"/>
  <c r="W176" i="2"/>
  <c r="O175" i="2"/>
  <c r="K175" i="2"/>
  <c r="L175" i="2" s="1"/>
  <c r="M175" i="2" s="1"/>
  <c r="N175" i="2" s="1"/>
  <c r="AA174" i="2"/>
  <c r="W174" i="2"/>
  <c r="T174" i="2"/>
  <c r="S174" i="2"/>
  <c r="R174" i="2"/>
  <c r="Q174" i="2"/>
  <c r="L174" i="2"/>
  <c r="M174" i="2" s="1"/>
  <c r="N174" i="2" s="1"/>
  <c r="Z943" i="2" s="1"/>
  <c r="G174" i="2"/>
  <c r="D174" i="2"/>
  <c r="W173" i="2"/>
  <c r="AA172" i="2"/>
  <c r="W172" i="2"/>
  <c r="T172" i="2"/>
  <c r="S172" i="2"/>
  <c r="R172" i="2"/>
  <c r="Q172" i="2"/>
  <c r="O172" i="2"/>
  <c r="K172" i="2"/>
  <c r="L172" i="2" s="1"/>
  <c r="M172" i="2" s="1"/>
  <c r="N172" i="2" s="1"/>
  <c r="G172" i="2"/>
  <c r="D172" i="2"/>
  <c r="AA171" i="2"/>
  <c r="W171" i="2"/>
  <c r="T171" i="2"/>
  <c r="S171" i="2"/>
  <c r="R171" i="2"/>
  <c r="Q171" i="2"/>
  <c r="O171" i="2"/>
  <c r="K171" i="2"/>
  <c r="L171" i="2" s="1"/>
  <c r="M171" i="2" s="1"/>
  <c r="N171" i="2" s="1"/>
  <c r="G171" i="2"/>
  <c r="D171" i="2"/>
  <c r="AA170" i="2"/>
  <c r="W170" i="2"/>
  <c r="T170" i="2"/>
  <c r="S170" i="2"/>
  <c r="R170" i="2"/>
  <c r="Q170" i="2"/>
  <c r="K170" i="2"/>
  <c r="L170" i="2" s="1"/>
  <c r="M170" i="2" s="1"/>
  <c r="N170" i="2" s="1"/>
  <c r="P170" i="2" s="1"/>
  <c r="G170" i="2"/>
  <c r="D170" i="2"/>
  <c r="W169" i="2"/>
  <c r="W168" i="2"/>
  <c r="W167" i="2"/>
  <c r="O167" i="2"/>
  <c r="K167" i="2"/>
  <c r="L167" i="2" s="1"/>
  <c r="M167" i="2" s="1"/>
  <c r="N167" i="2" s="1"/>
  <c r="G167" i="2"/>
  <c r="W166" i="2"/>
  <c r="W165" i="2"/>
  <c r="O165" i="2"/>
  <c r="K165" i="2"/>
  <c r="L165" i="2" s="1"/>
  <c r="M165" i="2" s="1"/>
  <c r="N165" i="2" s="1"/>
  <c r="G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AA152" i="2"/>
  <c r="W152" i="2"/>
  <c r="T152" i="2"/>
  <c r="S152" i="2"/>
  <c r="R152" i="2"/>
  <c r="Q152" i="2"/>
  <c r="K152" i="2"/>
  <c r="L152" i="2" s="1"/>
  <c r="M152" i="2" s="1"/>
  <c r="N152" i="2" s="1"/>
  <c r="P152" i="2" s="1"/>
  <c r="G152" i="2"/>
  <c r="D152" i="2"/>
  <c r="W151" i="2"/>
  <c r="O151" i="2"/>
  <c r="K151" i="2"/>
  <c r="L151" i="2" s="1"/>
  <c r="M151" i="2" s="1"/>
  <c r="N151" i="2" s="1"/>
  <c r="G151" i="2"/>
  <c r="AA150" i="2"/>
  <c r="W150" i="2"/>
  <c r="T150" i="2"/>
  <c r="S150" i="2"/>
  <c r="R150" i="2"/>
  <c r="Q150" i="2"/>
  <c r="K150" i="2"/>
  <c r="L150" i="2" s="1"/>
  <c r="M150" i="2" s="1"/>
  <c r="N150" i="2" s="1"/>
  <c r="P150" i="2" s="1"/>
  <c r="G150" i="2"/>
  <c r="D150" i="2"/>
  <c r="AA149" i="2"/>
  <c r="W149" i="2"/>
  <c r="T149" i="2"/>
  <c r="S149" i="2"/>
  <c r="R149" i="2"/>
  <c r="Q149" i="2"/>
  <c r="K149" i="2"/>
  <c r="L149" i="2" s="1"/>
  <c r="M149" i="2" s="1"/>
  <c r="N149" i="2" s="1"/>
  <c r="P149" i="2" s="1"/>
  <c r="G149" i="2"/>
  <c r="D149" i="2"/>
  <c r="AA148" i="2"/>
  <c r="W148" i="2"/>
  <c r="T148" i="2"/>
  <c r="S148" i="2"/>
  <c r="R148" i="2"/>
  <c r="Q148" i="2"/>
  <c r="K148" i="2"/>
  <c r="G148" i="2"/>
  <c r="D148" i="2"/>
  <c r="O147" i="2"/>
  <c r="K147" i="2"/>
  <c r="L147" i="2" s="1"/>
  <c r="M147" i="2" s="1"/>
  <c r="N147" i="2" s="1"/>
  <c r="AA146" i="2"/>
  <c r="W146" i="2"/>
  <c r="T146" i="2"/>
  <c r="S146" i="2"/>
  <c r="R146" i="2"/>
  <c r="Q146" i="2"/>
  <c r="O146" i="2"/>
  <c r="K146" i="2"/>
  <c r="L146" i="2" s="1"/>
  <c r="M146" i="2" s="1"/>
  <c r="N146" i="2" s="1"/>
  <c r="G146" i="2"/>
  <c r="D146" i="2"/>
  <c r="W145" i="2"/>
  <c r="W144" i="2"/>
  <c r="W143" i="2"/>
  <c r="W142" i="2"/>
  <c r="W141" i="2"/>
  <c r="W140" i="2"/>
  <c r="W138" i="2"/>
  <c r="W137" i="2"/>
  <c r="AA136" i="2"/>
  <c r="W136" i="2"/>
  <c r="T136" i="2"/>
  <c r="S136" i="2"/>
  <c r="R136" i="2"/>
  <c r="Q136" i="2"/>
  <c r="K136" i="2"/>
  <c r="L136" i="2" s="1"/>
  <c r="M136" i="2" s="1"/>
  <c r="N136" i="2" s="1"/>
  <c r="P136" i="2" s="1"/>
  <c r="G136" i="2"/>
  <c r="D136" i="2"/>
  <c r="AA135" i="2"/>
  <c r="W135" i="2"/>
  <c r="Z135" i="2" s="1"/>
  <c r="T135" i="2"/>
  <c r="S135" i="2"/>
  <c r="R135" i="2"/>
  <c r="Q135" i="2"/>
  <c r="L135" i="2"/>
  <c r="M135" i="2" s="1"/>
  <c r="N135" i="2" s="1"/>
  <c r="P135" i="2" s="1"/>
  <c r="G135" i="2"/>
  <c r="D135" i="2"/>
  <c r="AA134" i="2"/>
  <c r="W134" i="2"/>
  <c r="T134" i="2"/>
  <c r="S134" i="2"/>
  <c r="R134" i="2"/>
  <c r="Q134" i="2"/>
  <c r="L134" i="2"/>
  <c r="M134" i="2" s="1"/>
  <c r="N134" i="2" s="1"/>
  <c r="Z1188" i="2" s="1"/>
  <c r="G134" i="2"/>
  <c r="D134" i="2"/>
  <c r="AA133" i="2"/>
  <c r="W133" i="2"/>
  <c r="T133" i="2"/>
  <c r="S133" i="2"/>
  <c r="R133" i="2"/>
  <c r="Q133" i="2"/>
  <c r="I133" i="2"/>
  <c r="L133" i="2" s="1"/>
  <c r="M133" i="2" s="1"/>
  <c r="N133" i="2" s="1"/>
  <c r="G133" i="2"/>
  <c r="D133" i="2"/>
  <c r="AA132" i="2"/>
  <c r="W132" i="2"/>
  <c r="T132" i="2"/>
  <c r="S132" i="2"/>
  <c r="R132" i="2"/>
  <c r="Q132" i="2"/>
  <c r="L132" i="2"/>
  <c r="M132" i="2" s="1"/>
  <c r="N132" i="2" s="1"/>
  <c r="Z981" i="2" s="1"/>
  <c r="G132" i="2"/>
  <c r="D132" i="2"/>
  <c r="AA131" i="2"/>
  <c r="W131" i="2"/>
  <c r="T131" i="2"/>
  <c r="S131" i="2"/>
  <c r="R131" i="2"/>
  <c r="Q131" i="2"/>
  <c r="L131" i="2"/>
  <c r="M131" i="2" s="1"/>
  <c r="N131" i="2" s="1"/>
  <c r="G131" i="2"/>
  <c r="D131" i="2"/>
  <c r="AA130" i="2"/>
  <c r="W130" i="2"/>
  <c r="T130" i="2"/>
  <c r="S130" i="2"/>
  <c r="R130" i="2"/>
  <c r="Q130" i="2"/>
  <c r="L130" i="2"/>
  <c r="M130" i="2" s="1"/>
  <c r="N130" i="2" s="1"/>
  <c r="G130" i="2"/>
  <c r="D130" i="2"/>
  <c r="AA129" i="2"/>
  <c r="W129" i="2"/>
  <c r="T129" i="2"/>
  <c r="S129" i="2"/>
  <c r="R129" i="2"/>
  <c r="Q129" i="2"/>
  <c r="L129" i="2"/>
  <c r="M129" i="2" s="1"/>
  <c r="N129" i="2" s="1"/>
  <c r="Z982" i="2" s="1"/>
  <c r="G129" i="2"/>
  <c r="D129" i="2"/>
  <c r="AA128" i="2"/>
  <c r="W128" i="2"/>
  <c r="T128" i="2"/>
  <c r="S128" i="2"/>
  <c r="R128" i="2"/>
  <c r="Q128" i="2"/>
  <c r="L128" i="2"/>
  <c r="M128" i="2" s="1"/>
  <c r="N128" i="2" s="1"/>
  <c r="P128" i="2" s="1"/>
  <c r="G128" i="2"/>
  <c r="D128" i="2"/>
  <c r="AA127" i="2"/>
  <c r="W127" i="2"/>
  <c r="T127" i="2"/>
  <c r="S127" i="2"/>
  <c r="R127" i="2"/>
  <c r="Q127" i="2"/>
  <c r="O127" i="2"/>
  <c r="K127" i="2"/>
  <c r="L127" i="2" s="1"/>
  <c r="M127" i="2" s="1"/>
  <c r="N127" i="2" s="1"/>
  <c r="G127" i="2"/>
  <c r="D127" i="2"/>
  <c r="AA126" i="2"/>
  <c r="W126" i="2"/>
  <c r="T126" i="2"/>
  <c r="S126" i="2"/>
  <c r="R126" i="2"/>
  <c r="Q126" i="2"/>
  <c r="O126" i="2"/>
  <c r="L126" i="2"/>
  <c r="M126" i="2" s="1"/>
  <c r="N126" i="2" s="1"/>
  <c r="G126" i="2"/>
  <c r="D126" i="2"/>
  <c r="AA125" i="2"/>
  <c r="W125" i="2"/>
  <c r="T125" i="2"/>
  <c r="S125" i="2"/>
  <c r="R125" i="2"/>
  <c r="Q125" i="2"/>
  <c r="L125" i="2"/>
  <c r="M125" i="2" s="1"/>
  <c r="N125" i="2" s="1"/>
  <c r="P125" i="2" s="1"/>
  <c r="G125" i="2"/>
  <c r="D125" i="2"/>
  <c r="AA124" i="2"/>
  <c r="W124" i="2"/>
  <c r="T124" i="2"/>
  <c r="S124" i="2"/>
  <c r="R124" i="2"/>
  <c r="Q124" i="2"/>
  <c r="L124" i="2"/>
  <c r="M124" i="2" s="1"/>
  <c r="N124" i="2" s="1"/>
  <c r="P124" i="2" s="1"/>
  <c r="G124" i="2"/>
  <c r="D124" i="2"/>
  <c r="AA123" i="2"/>
  <c r="W123" i="2"/>
  <c r="T123" i="2"/>
  <c r="S123" i="2"/>
  <c r="R123" i="2"/>
  <c r="Q123" i="2"/>
  <c r="K123" i="2"/>
  <c r="G123" i="2"/>
  <c r="D123" i="2"/>
  <c r="AA122" i="2"/>
  <c r="W122" i="2"/>
  <c r="T122" i="2"/>
  <c r="S122" i="2"/>
  <c r="R122" i="2"/>
  <c r="Q122" i="2"/>
  <c r="O122" i="2"/>
  <c r="K122" i="2"/>
  <c r="L122" i="2" s="1"/>
  <c r="M122" i="2" s="1"/>
  <c r="N122" i="2" s="1"/>
  <c r="G122" i="2"/>
  <c r="D122" i="2"/>
  <c r="AA121" i="2"/>
  <c r="W121" i="2"/>
  <c r="T121" i="2"/>
  <c r="S121" i="2"/>
  <c r="R121" i="2"/>
  <c r="Q121" i="2"/>
  <c r="L121" i="2"/>
  <c r="M121" i="2" s="1"/>
  <c r="N121" i="2" s="1"/>
  <c r="G121" i="2"/>
  <c r="D121" i="2"/>
  <c r="AA120" i="2"/>
  <c r="W120" i="2"/>
  <c r="T120" i="2"/>
  <c r="S120" i="2"/>
  <c r="R120" i="2"/>
  <c r="Q120" i="2"/>
  <c r="L120" i="2"/>
  <c r="M120" i="2" s="1"/>
  <c r="N120" i="2" s="1"/>
  <c r="G120" i="2"/>
  <c r="D120" i="2"/>
  <c r="AA119" i="2"/>
  <c r="W119" i="2"/>
  <c r="T119" i="2"/>
  <c r="S119" i="2"/>
  <c r="R119" i="2"/>
  <c r="Q119" i="2"/>
  <c r="L119" i="2"/>
  <c r="M119" i="2" s="1"/>
  <c r="N119" i="2" s="1"/>
  <c r="G119" i="2"/>
  <c r="D119" i="2"/>
  <c r="AA118" i="2"/>
  <c r="W118" i="2"/>
  <c r="T118" i="2"/>
  <c r="S118" i="2"/>
  <c r="R118" i="2"/>
  <c r="Q118" i="2"/>
  <c r="L118" i="2"/>
  <c r="M118" i="2" s="1"/>
  <c r="N118" i="2" s="1"/>
  <c r="G118" i="2"/>
  <c r="D118" i="2"/>
  <c r="AA117" i="2"/>
  <c r="W117" i="2"/>
  <c r="T117" i="2"/>
  <c r="S117" i="2"/>
  <c r="R117" i="2"/>
  <c r="Q117" i="2"/>
  <c r="L117" i="2"/>
  <c r="M117" i="2" s="1"/>
  <c r="N117" i="2" s="1"/>
  <c r="G117" i="2"/>
  <c r="D117" i="2"/>
  <c r="AA116" i="2"/>
  <c r="W116" i="2"/>
  <c r="T116" i="2"/>
  <c r="S116" i="2"/>
  <c r="R116" i="2"/>
  <c r="Q116" i="2"/>
  <c r="L116" i="2"/>
  <c r="M116" i="2" s="1"/>
  <c r="N116" i="2" s="1"/>
  <c r="G116" i="2"/>
  <c r="D116" i="2"/>
  <c r="AA115" i="2"/>
  <c r="W115" i="2"/>
  <c r="T115" i="2"/>
  <c r="S115" i="2"/>
  <c r="R115" i="2"/>
  <c r="Q115" i="2"/>
  <c r="L115" i="2"/>
  <c r="M115" i="2" s="1"/>
  <c r="N115" i="2" s="1"/>
  <c r="P115" i="2" s="1"/>
  <c r="G115" i="2"/>
  <c r="D115" i="2"/>
  <c r="AA114" i="2"/>
  <c r="W114" i="2"/>
  <c r="T114" i="2"/>
  <c r="S114" i="2"/>
  <c r="R114" i="2"/>
  <c r="Q114" i="2"/>
  <c r="L114" i="2"/>
  <c r="M114" i="2" s="1"/>
  <c r="N114" i="2" s="1"/>
  <c r="G114" i="2"/>
  <c r="D114" i="2"/>
  <c r="AA113" i="2"/>
  <c r="W113" i="2"/>
  <c r="T113" i="2"/>
  <c r="S113" i="2"/>
  <c r="R113" i="2"/>
  <c r="Q113" i="2"/>
  <c r="L113" i="2"/>
  <c r="M113" i="2" s="1"/>
  <c r="N113" i="2" s="1"/>
  <c r="G113" i="2"/>
  <c r="D113" i="2"/>
  <c r="AA112" i="2"/>
  <c r="W112" i="2"/>
  <c r="T112" i="2"/>
  <c r="S112" i="2"/>
  <c r="R112" i="2"/>
  <c r="Q112" i="2"/>
  <c r="L112" i="2"/>
  <c r="M112" i="2" s="1"/>
  <c r="N112" i="2" s="1"/>
  <c r="G112" i="2"/>
  <c r="D112" i="2"/>
  <c r="AA111" i="2"/>
  <c r="W111" i="2"/>
  <c r="T111" i="2"/>
  <c r="S111" i="2"/>
  <c r="R111" i="2"/>
  <c r="Q111" i="2"/>
  <c r="L111" i="2"/>
  <c r="M111" i="2" s="1"/>
  <c r="N111" i="2" s="1"/>
  <c r="G111" i="2"/>
  <c r="D111" i="2"/>
  <c r="AA110" i="2"/>
  <c r="W110" i="2"/>
  <c r="T110" i="2"/>
  <c r="S110" i="2"/>
  <c r="R110" i="2"/>
  <c r="Q110" i="2"/>
  <c r="L110" i="2"/>
  <c r="M110" i="2" s="1"/>
  <c r="N110" i="2" s="1"/>
  <c r="G110" i="2"/>
  <c r="D110" i="2"/>
  <c r="AA109" i="2"/>
  <c r="W109" i="2"/>
  <c r="T109" i="2"/>
  <c r="S109" i="2"/>
  <c r="R109" i="2"/>
  <c r="Q109" i="2"/>
  <c r="L109" i="2"/>
  <c r="M109" i="2" s="1"/>
  <c r="N109" i="2" s="1"/>
  <c r="G109" i="2"/>
  <c r="D109" i="2"/>
  <c r="AA108" i="2"/>
  <c r="W108" i="2"/>
  <c r="T108" i="2"/>
  <c r="S108" i="2"/>
  <c r="R108" i="2"/>
  <c r="Q108" i="2"/>
  <c r="L108" i="2"/>
  <c r="M108" i="2" s="1"/>
  <c r="N108" i="2" s="1"/>
  <c r="G108" i="2"/>
  <c r="D108" i="2"/>
  <c r="AA107" i="2"/>
  <c r="W107" i="2"/>
  <c r="T107" i="2"/>
  <c r="S107" i="2"/>
  <c r="R107" i="2"/>
  <c r="Q107" i="2"/>
  <c r="L107" i="2"/>
  <c r="M107" i="2" s="1"/>
  <c r="N107" i="2" s="1"/>
  <c r="G107" i="2"/>
  <c r="D107" i="2"/>
  <c r="AA106" i="2"/>
  <c r="W106" i="2"/>
  <c r="T106" i="2"/>
  <c r="S106" i="2"/>
  <c r="R106" i="2"/>
  <c r="Q106" i="2"/>
  <c r="L106" i="2"/>
  <c r="M106" i="2" s="1"/>
  <c r="N106" i="2" s="1"/>
  <c r="G106" i="2"/>
  <c r="D106" i="2"/>
  <c r="AA105" i="2"/>
  <c r="W105" i="2"/>
  <c r="T105" i="2"/>
  <c r="S105" i="2"/>
  <c r="R105" i="2"/>
  <c r="Q105" i="2"/>
  <c r="L105" i="2"/>
  <c r="M105" i="2" s="1"/>
  <c r="N105" i="2" s="1"/>
  <c r="G105" i="2"/>
  <c r="D105" i="2"/>
  <c r="AA104" i="2"/>
  <c r="W104" i="2"/>
  <c r="T104" i="2"/>
  <c r="S104" i="2"/>
  <c r="R104" i="2"/>
  <c r="Q104" i="2"/>
  <c r="O104" i="2"/>
  <c r="L104" i="2"/>
  <c r="M104" i="2" s="1"/>
  <c r="N104" i="2" s="1"/>
  <c r="G104" i="2"/>
  <c r="D104" i="2"/>
  <c r="AA103" i="2"/>
  <c r="W103" i="2"/>
  <c r="T103" i="2"/>
  <c r="S103" i="2"/>
  <c r="R103" i="2"/>
  <c r="Q103" i="2"/>
  <c r="L103" i="2"/>
  <c r="M103" i="2" s="1"/>
  <c r="N103" i="2" s="1"/>
  <c r="G103" i="2"/>
  <c r="D103" i="2"/>
  <c r="AA102" i="2"/>
  <c r="W102" i="2"/>
  <c r="T102" i="2"/>
  <c r="S102" i="2"/>
  <c r="R102" i="2"/>
  <c r="Q102" i="2"/>
  <c r="L102" i="2"/>
  <c r="M102" i="2" s="1"/>
  <c r="N102" i="2" s="1"/>
  <c r="G102" i="2"/>
  <c r="D102" i="2"/>
  <c r="AA101" i="2"/>
  <c r="W101" i="2"/>
  <c r="T101" i="2"/>
  <c r="S101" i="2"/>
  <c r="R101" i="2"/>
  <c r="Q101" i="2"/>
  <c r="O101" i="2"/>
  <c r="K101" i="2"/>
  <c r="L101" i="2" s="1"/>
  <c r="M101" i="2" s="1"/>
  <c r="N101" i="2" s="1"/>
  <c r="G101" i="2"/>
  <c r="D101" i="2"/>
  <c r="AA100" i="2"/>
  <c r="W100" i="2"/>
  <c r="T100" i="2"/>
  <c r="S100" i="2"/>
  <c r="R100" i="2"/>
  <c r="Q100" i="2"/>
  <c r="O100" i="2"/>
  <c r="K100" i="2"/>
  <c r="L100" i="2" s="1"/>
  <c r="M100" i="2" s="1"/>
  <c r="N100" i="2" s="1"/>
  <c r="G100" i="2"/>
  <c r="D100" i="2"/>
  <c r="AA99" i="2"/>
  <c r="W99" i="2"/>
  <c r="T99" i="2"/>
  <c r="S99" i="2"/>
  <c r="R99" i="2"/>
  <c r="Q99" i="2"/>
  <c r="O99" i="2"/>
  <c r="K99" i="2"/>
  <c r="L99" i="2" s="1"/>
  <c r="M99" i="2" s="1"/>
  <c r="N99" i="2" s="1"/>
  <c r="G99" i="2"/>
  <c r="D99" i="2"/>
  <c r="AA98" i="2"/>
  <c r="W98" i="2"/>
  <c r="T98" i="2"/>
  <c r="S98" i="2"/>
  <c r="R98" i="2"/>
  <c r="Q98" i="2"/>
  <c r="O98" i="2"/>
  <c r="K98" i="2"/>
  <c r="L98" i="2" s="1"/>
  <c r="M98" i="2" s="1"/>
  <c r="N98" i="2" s="1"/>
  <c r="G98" i="2"/>
  <c r="D98" i="2"/>
  <c r="AA97" i="2"/>
  <c r="W97" i="2"/>
  <c r="T97" i="2"/>
  <c r="S97" i="2"/>
  <c r="R97" i="2"/>
  <c r="Q97" i="2"/>
  <c r="K97" i="2"/>
  <c r="L97" i="2" s="1"/>
  <c r="M97" i="2" s="1"/>
  <c r="N97" i="2" s="1"/>
  <c r="P97" i="2" s="1"/>
  <c r="G97" i="2"/>
  <c r="D97" i="2"/>
  <c r="AA96" i="2"/>
  <c r="W96" i="2"/>
  <c r="T96" i="2"/>
  <c r="S96" i="2"/>
  <c r="R96" i="2"/>
  <c r="Q96" i="2"/>
  <c r="O96" i="2"/>
  <c r="K96" i="2"/>
  <c r="L96" i="2" s="1"/>
  <c r="M96" i="2" s="1"/>
  <c r="N96" i="2" s="1"/>
  <c r="G96" i="2"/>
  <c r="D96" i="2"/>
  <c r="AA95" i="2"/>
  <c r="W95" i="2"/>
  <c r="T95" i="2"/>
  <c r="S95" i="2"/>
  <c r="R95" i="2"/>
  <c r="Q95" i="2"/>
  <c r="L95" i="2"/>
  <c r="M95" i="2" s="1"/>
  <c r="N95" i="2" s="1"/>
  <c r="G95" i="2"/>
  <c r="D95" i="2"/>
  <c r="AA94" i="2"/>
  <c r="W94" i="2"/>
  <c r="T94" i="2"/>
  <c r="S94" i="2"/>
  <c r="R94" i="2"/>
  <c r="Q94" i="2"/>
  <c r="L94" i="2"/>
  <c r="M94" i="2" s="1"/>
  <c r="N94" i="2" s="1"/>
  <c r="G94" i="2"/>
  <c r="D94" i="2"/>
  <c r="AA93" i="2"/>
  <c r="W93" i="2"/>
  <c r="T93" i="2"/>
  <c r="S93" i="2"/>
  <c r="R93" i="2"/>
  <c r="Q93" i="2"/>
  <c r="L93" i="2"/>
  <c r="M93" i="2" s="1"/>
  <c r="N93" i="2" s="1"/>
  <c r="G93" i="2"/>
  <c r="D93" i="2"/>
  <c r="AA92" i="2"/>
  <c r="W92" i="2"/>
  <c r="T92" i="2"/>
  <c r="S92" i="2"/>
  <c r="R92" i="2"/>
  <c r="Q92" i="2"/>
  <c r="L92" i="2"/>
  <c r="M92" i="2" s="1"/>
  <c r="N92" i="2" s="1"/>
  <c r="G92" i="2"/>
  <c r="D92" i="2"/>
  <c r="AA91" i="2"/>
  <c r="W91" i="2"/>
  <c r="T91" i="2"/>
  <c r="S91" i="2"/>
  <c r="R91" i="2"/>
  <c r="Q91" i="2"/>
  <c r="L91" i="2"/>
  <c r="M91" i="2" s="1"/>
  <c r="N91" i="2" s="1"/>
  <c r="G91" i="2"/>
  <c r="D91" i="2"/>
  <c r="AA90" i="2"/>
  <c r="W90" i="2"/>
  <c r="T90" i="2"/>
  <c r="S90" i="2"/>
  <c r="R90" i="2"/>
  <c r="Q90" i="2"/>
  <c r="L90" i="2"/>
  <c r="M90" i="2" s="1"/>
  <c r="N90" i="2" s="1"/>
  <c r="G90" i="2"/>
  <c r="D90" i="2"/>
  <c r="AA89" i="2"/>
  <c r="W89" i="2"/>
  <c r="T89" i="2"/>
  <c r="S89" i="2"/>
  <c r="R89" i="2"/>
  <c r="Q89" i="2"/>
  <c r="L89" i="2"/>
  <c r="M89" i="2" s="1"/>
  <c r="N89" i="2" s="1"/>
  <c r="G89" i="2"/>
  <c r="D89" i="2"/>
  <c r="AA88" i="2"/>
  <c r="W88" i="2"/>
  <c r="T88" i="2"/>
  <c r="S88" i="2"/>
  <c r="R88" i="2"/>
  <c r="Q88" i="2"/>
  <c r="L88" i="2"/>
  <c r="M88" i="2" s="1"/>
  <c r="N88" i="2" s="1"/>
  <c r="G88" i="2"/>
  <c r="D88" i="2"/>
  <c r="AA87" i="2"/>
  <c r="W87" i="2"/>
  <c r="T87" i="2"/>
  <c r="S87" i="2"/>
  <c r="R87" i="2"/>
  <c r="Q87" i="2"/>
  <c r="L87" i="2"/>
  <c r="M87" i="2" s="1"/>
  <c r="N87" i="2" s="1"/>
  <c r="G87" i="2"/>
  <c r="D87" i="2"/>
  <c r="AA86" i="2"/>
  <c r="W86" i="2"/>
  <c r="T86" i="2"/>
  <c r="S86" i="2"/>
  <c r="R86" i="2"/>
  <c r="Q86" i="2"/>
  <c r="L86" i="2"/>
  <c r="M86" i="2" s="1"/>
  <c r="N86" i="2" s="1"/>
  <c r="G86" i="2"/>
  <c r="D86" i="2"/>
  <c r="AA85" i="2"/>
  <c r="W85" i="2"/>
  <c r="T85" i="2"/>
  <c r="S85" i="2"/>
  <c r="R85" i="2"/>
  <c r="Q85" i="2"/>
  <c r="L85" i="2"/>
  <c r="M85" i="2" s="1"/>
  <c r="N85" i="2" s="1"/>
  <c r="G85" i="2"/>
  <c r="D85" i="2"/>
  <c r="AA84" i="2"/>
  <c r="W84" i="2"/>
  <c r="T84" i="2"/>
  <c r="S84" i="2"/>
  <c r="R84" i="2"/>
  <c r="Q84" i="2"/>
  <c r="L84" i="2"/>
  <c r="M84" i="2" s="1"/>
  <c r="N84" i="2" s="1"/>
  <c r="G84" i="2"/>
  <c r="D84" i="2"/>
  <c r="AA83" i="2"/>
  <c r="W83" i="2"/>
  <c r="T83" i="2"/>
  <c r="S83" i="2"/>
  <c r="R83" i="2"/>
  <c r="Q83" i="2"/>
  <c r="L83" i="2"/>
  <c r="M83" i="2" s="1"/>
  <c r="N83" i="2" s="1"/>
  <c r="G83" i="2"/>
  <c r="D83" i="2"/>
  <c r="AA82" i="2"/>
  <c r="W82" i="2"/>
  <c r="T82" i="2"/>
  <c r="S82" i="2"/>
  <c r="R82" i="2"/>
  <c r="Q82" i="2"/>
  <c r="L82" i="2"/>
  <c r="M82" i="2" s="1"/>
  <c r="N82" i="2" s="1"/>
  <c r="G82" i="2"/>
  <c r="D82" i="2"/>
  <c r="AA81" i="2"/>
  <c r="W81" i="2"/>
  <c r="T81" i="2"/>
  <c r="S81" i="2"/>
  <c r="R81" i="2"/>
  <c r="Q81" i="2"/>
  <c r="L81" i="2"/>
  <c r="M81" i="2" s="1"/>
  <c r="N81" i="2" s="1"/>
  <c r="G81" i="2"/>
  <c r="D81" i="2"/>
  <c r="AA80" i="2"/>
  <c r="W80" i="2"/>
  <c r="T80" i="2"/>
  <c r="S80" i="2"/>
  <c r="R80" i="2"/>
  <c r="Q80" i="2"/>
  <c r="L80" i="2"/>
  <c r="M80" i="2" s="1"/>
  <c r="N80" i="2" s="1"/>
  <c r="G80" i="2"/>
  <c r="D80" i="2"/>
  <c r="AA79" i="2"/>
  <c r="W79" i="2"/>
  <c r="T79" i="2"/>
  <c r="S79" i="2"/>
  <c r="R79" i="2"/>
  <c r="Q79" i="2"/>
  <c r="L79" i="2"/>
  <c r="M79" i="2" s="1"/>
  <c r="N79" i="2" s="1"/>
  <c r="G79" i="2"/>
  <c r="D79" i="2"/>
  <c r="AA78" i="2"/>
  <c r="W78" i="2"/>
  <c r="T78" i="2"/>
  <c r="S78" i="2"/>
  <c r="R78" i="2"/>
  <c r="Q78" i="2"/>
  <c r="L78" i="2"/>
  <c r="M78" i="2" s="1"/>
  <c r="N78" i="2" s="1"/>
  <c r="G78" i="2"/>
  <c r="D78" i="2"/>
  <c r="AA77" i="2"/>
  <c r="W77" i="2"/>
  <c r="T77" i="2"/>
  <c r="S77" i="2"/>
  <c r="R77" i="2"/>
  <c r="Q77" i="2"/>
  <c r="L77" i="2"/>
  <c r="M77" i="2" s="1"/>
  <c r="N77" i="2" s="1"/>
  <c r="G77" i="2"/>
  <c r="D77" i="2"/>
  <c r="AA76" i="2"/>
  <c r="W76" i="2"/>
  <c r="T76" i="2"/>
  <c r="S76" i="2"/>
  <c r="R76" i="2"/>
  <c r="Q76" i="2"/>
  <c r="L76" i="2"/>
  <c r="M76" i="2" s="1"/>
  <c r="N76" i="2" s="1"/>
  <c r="G76" i="2"/>
  <c r="D76" i="2"/>
  <c r="AA75" i="2"/>
  <c r="W75" i="2"/>
  <c r="T75" i="2"/>
  <c r="S75" i="2"/>
  <c r="R75" i="2"/>
  <c r="Q75" i="2"/>
  <c r="L75" i="2"/>
  <c r="M75" i="2" s="1"/>
  <c r="N75" i="2" s="1"/>
  <c r="G75" i="2"/>
  <c r="D75" i="2"/>
  <c r="AA74" i="2"/>
  <c r="W74" i="2"/>
  <c r="T74" i="2"/>
  <c r="S74" i="2"/>
  <c r="R74" i="2"/>
  <c r="Q74" i="2"/>
  <c r="L74" i="2"/>
  <c r="M74" i="2" s="1"/>
  <c r="N74" i="2" s="1"/>
  <c r="P74" i="2" s="1"/>
  <c r="G74" i="2"/>
  <c r="D74" i="2"/>
  <c r="AA73" i="2"/>
  <c r="W73" i="2"/>
  <c r="T73" i="2"/>
  <c r="S73" i="2"/>
  <c r="R73" i="2"/>
  <c r="Q73" i="2"/>
  <c r="O73" i="2"/>
  <c r="K73" i="2"/>
  <c r="L73" i="2" s="1"/>
  <c r="M73" i="2" s="1"/>
  <c r="N73" i="2" s="1"/>
  <c r="G73" i="2"/>
  <c r="D73" i="2"/>
  <c r="AA72" i="2"/>
  <c r="W72" i="2"/>
  <c r="T72" i="2"/>
  <c r="S72" i="2"/>
  <c r="R72" i="2"/>
  <c r="Q72" i="2"/>
  <c r="K72" i="2"/>
  <c r="L72" i="2" s="1"/>
  <c r="M72" i="2" s="1"/>
  <c r="N72" i="2" s="1"/>
  <c r="G72" i="2"/>
  <c r="D72" i="2"/>
  <c r="AA71" i="2"/>
  <c r="W71" i="2"/>
  <c r="T71" i="2"/>
  <c r="S71" i="2"/>
  <c r="R71" i="2"/>
  <c r="Q71" i="2"/>
  <c r="O71" i="2"/>
  <c r="L71" i="2"/>
  <c r="M71" i="2" s="1"/>
  <c r="N71" i="2" s="1"/>
  <c r="G71" i="2"/>
  <c r="D71" i="2"/>
  <c r="AA70" i="2"/>
  <c r="W70" i="2"/>
  <c r="T70" i="2"/>
  <c r="S70" i="2"/>
  <c r="R70" i="2"/>
  <c r="Q70" i="2"/>
  <c r="O70" i="2"/>
  <c r="K70" i="2"/>
  <c r="L70" i="2" s="1"/>
  <c r="M70" i="2" s="1"/>
  <c r="N70" i="2" s="1"/>
  <c r="G70" i="2"/>
  <c r="D70" i="2"/>
  <c r="AA69" i="2"/>
  <c r="W69" i="2"/>
  <c r="T69" i="2"/>
  <c r="S69" i="2"/>
  <c r="R69" i="2"/>
  <c r="Q69" i="2"/>
  <c r="O69" i="2"/>
  <c r="K69" i="2"/>
  <c r="L69" i="2" s="1"/>
  <c r="M69" i="2" s="1"/>
  <c r="N69" i="2" s="1"/>
  <c r="G69" i="2"/>
  <c r="D69" i="2"/>
  <c r="AA68" i="2"/>
  <c r="W68" i="2"/>
  <c r="T68" i="2"/>
  <c r="S68" i="2"/>
  <c r="R68" i="2"/>
  <c r="Q68" i="2"/>
  <c r="K68" i="2"/>
  <c r="L68" i="2" s="1"/>
  <c r="M68" i="2" s="1"/>
  <c r="N68" i="2" s="1"/>
  <c r="P68" i="2" s="1"/>
  <c r="G68" i="2"/>
  <c r="D68" i="2"/>
  <c r="AA67" i="2"/>
  <c r="W67" i="2"/>
  <c r="T67" i="2"/>
  <c r="S67" i="2"/>
  <c r="R67" i="2"/>
  <c r="Q67" i="2"/>
  <c r="O67" i="2"/>
  <c r="L67" i="2"/>
  <c r="M67" i="2" s="1"/>
  <c r="N67" i="2" s="1"/>
  <c r="G67" i="2"/>
  <c r="D67" i="2"/>
  <c r="AA66" i="2"/>
  <c r="W66" i="2"/>
  <c r="T66" i="2"/>
  <c r="S66" i="2"/>
  <c r="R66" i="2"/>
  <c r="Q66" i="2"/>
  <c r="L66" i="2"/>
  <c r="M66" i="2" s="1"/>
  <c r="N66" i="2" s="1"/>
  <c r="P66" i="2" s="1"/>
  <c r="G66" i="2"/>
  <c r="D66" i="2"/>
  <c r="AA65" i="2"/>
  <c r="W65" i="2"/>
  <c r="T65" i="2"/>
  <c r="S65" i="2"/>
  <c r="R65" i="2"/>
  <c r="Q65" i="2"/>
  <c r="O65" i="2"/>
  <c r="K65" i="2"/>
  <c r="L65" i="2" s="1"/>
  <c r="G65" i="2"/>
  <c r="D65" i="2"/>
  <c r="AA64" i="2"/>
  <c r="W64" i="2"/>
  <c r="T64" i="2"/>
  <c r="S64" i="2"/>
  <c r="R64" i="2"/>
  <c r="Q64" i="2"/>
  <c r="L64" i="2"/>
  <c r="M64" i="2" s="1"/>
  <c r="N64" i="2" s="1"/>
  <c r="G64" i="2"/>
  <c r="D64" i="2"/>
  <c r="AA63" i="2"/>
  <c r="W63" i="2"/>
  <c r="T63" i="2"/>
  <c r="S63" i="2"/>
  <c r="R63" i="2"/>
  <c r="Q63" i="2"/>
  <c r="L63" i="2"/>
  <c r="G63" i="2"/>
  <c r="D63" i="2"/>
  <c r="AA62" i="2"/>
  <c r="W62" i="2"/>
  <c r="T62" i="2"/>
  <c r="S62" i="2"/>
  <c r="R62" i="2"/>
  <c r="Q62" i="2"/>
  <c r="L62" i="2"/>
  <c r="M62" i="2" s="1"/>
  <c r="N62" i="2" s="1"/>
  <c r="G62" i="2"/>
  <c r="D62" i="2"/>
  <c r="AA61" i="2"/>
  <c r="W61" i="2"/>
  <c r="T61" i="2"/>
  <c r="S61" i="2"/>
  <c r="R61" i="2"/>
  <c r="Q61" i="2"/>
  <c r="O61" i="2"/>
  <c r="L61" i="2"/>
  <c r="G61" i="2"/>
  <c r="D61" i="2"/>
  <c r="AA60" i="2"/>
  <c r="W60" i="2"/>
  <c r="T60" i="2"/>
  <c r="S60" i="2"/>
  <c r="R60" i="2"/>
  <c r="Q60" i="2"/>
  <c r="K60" i="2"/>
  <c r="L60" i="2" s="1"/>
  <c r="G60" i="2"/>
  <c r="D60" i="2"/>
  <c r="AA59" i="2"/>
  <c r="W59" i="2"/>
  <c r="T59" i="2"/>
  <c r="S59" i="2"/>
  <c r="R59" i="2"/>
  <c r="Q59" i="2"/>
  <c r="K59" i="2"/>
  <c r="L59" i="2" s="1"/>
  <c r="M59" i="2" s="1"/>
  <c r="G59" i="2"/>
  <c r="D59" i="2"/>
  <c r="AA58" i="2"/>
  <c r="W58" i="2"/>
  <c r="T58" i="2"/>
  <c r="S58" i="2"/>
  <c r="R58" i="2"/>
  <c r="Q58" i="2"/>
  <c r="K58" i="2"/>
  <c r="L58" i="2" s="1"/>
  <c r="G58" i="2"/>
  <c r="D58" i="2"/>
  <c r="T57" i="2"/>
  <c r="S57" i="2"/>
  <c r="AA56" i="2"/>
  <c r="W56" i="2"/>
  <c r="T56" i="2"/>
  <c r="S56" i="2"/>
  <c r="R56" i="2"/>
  <c r="Q56" i="2"/>
  <c r="I56" i="2"/>
  <c r="K56" i="2" s="1"/>
  <c r="L56" i="2" s="1"/>
  <c r="M56" i="2" s="1"/>
  <c r="N56" i="2" s="1"/>
  <c r="G56" i="2"/>
  <c r="D56" i="2"/>
  <c r="AA55" i="2"/>
  <c r="W55" i="2"/>
  <c r="T55" i="2"/>
  <c r="S55" i="2"/>
  <c r="R55" i="2"/>
  <c r="Q55" i="2"/>
  <c r="O55" i="2"/>
  <c r="L55" i="2"/>
  <c r="M55" i="2" s="1"/>
  <c r="N55" i="2" s="1"/>
  <c r="G55" i="2"/>
  <c r="D55" i="2"/>
  <c r="AA54" i="2"/>
  <c r="W54" i="2"/>
  <c r="T54" i="2"/>
  <c r="S54" i="2"/>
  <c r="R54" i="2"/>
  <c r="Q54" i="2"/>
  <c r="O54" i="2"/>
  <c r="L54" i="2"/>
  <c r="G54" i="2"/>
  <c r="D54" i="2"/>
  <c r="AA53" i="2"/>
  <c r="W53" i="2"/>
  <c r="T53" i="2"/>
  <c r="S53" i="2"/>
  <c r="R53" i="2"/>
  <c r="Q53" i="2"/>
  <c r="O53" i="2"/>
  <c r="L53" i="2"/>
  <c r="G53" i="2"/>
  <c r="D53" i="2"/>
  <c r="AA52" i="2"/>
  <c r="W52" i="2"/>
  <c r="T52" i="2"/>
  <c r="S52" i="2"/>
  <c r="R52" i="2"/>
  <c r="Q52" i="2"/>
  <c r="O52" i="2"/>
  <c r="L52" i="2"/>
  <c r="M52" i="2" s="1"/>
  <c r="G52" i="2"/>
  <c r="D52" i="2"/>
  <c r="AA51" i="2"/>
  <c r="W51" i="2"/>
  <c r="T51" i="2"/>
  <c r="S51" i="2"/>
  <c r="R51" i="2"/>
  <c r="Q51" i="2"/>
  <c r="O51" i="2"/>
  <c r="L51" i="2"/>
  <c r="G51" i="2"/>
  <c r="D51" i="2"/>
  <c r="AA50" i="2"/>
  <c r="W50" i="2"/>
  <c r="T50" i="2"/>
  <c r="S50" i="2"/>
  <c r="R50" i="2"/>
  <c r="Q50" i="2"/>
  <c r="O50" i="2"/>
  <c r="K50" i="2"/>
  <c r="L50" i="2" s="1"/>
  <c r="M50" i="2" s="1"/>
  <c r="N50" i="2" s="1"/>
  <c r="G50" i="2"/>
  <c r="D50" i="2"/>
  <c r="AA49" i="2"/>
  <c r="W49" i="2"/>
  <c r="T49" i="2"/>
  <c r="S49" i="2"/>
  <c r="R49" i="2"/>
  <c r="Q49" i="2"/>
  <c r="O49" i="2"/>
  <c r="K49" i="2"/>
  <c r="L49" i="2" s="1"/>
  <c r="M49" i="2" s="1"/>
  <c r="G49" i="2"/>
  <c r="D49" i="2"/>
  <c r="AA48" i="2"/>
  <c r="W48" i="2"/>
  <c r="T48" i="2"/>
  <c r="S48" i="2"/>
  <c r="R48" i="2"/>
  <c r="Q48" i="2"/>
  <c r="O48" i="2"/>
  <c r="K48" i="2"/>
  <c r="L48" i="2" s="1"/>
  <c r="G48" i="2"/>
  <c r="D48" i="2"/>
  <c r="AA47" i="2"/>
  <c r="W47" i="2"/>
  <c r="T47" i="2"/>
  <c r="S47" i="2"/>
  <c r="R47" i="2"/>
  <c r="Q47" i="2"/>
  <c r="O47" i="2"/>
  <c r="K47" i="2"/>
  <c r="L47" i="2" s="1"/>
  <c r="G47" i="2"/>
  <c r="D47" i="2"/>
  <c r="AA46" i="2"/>
  <c r="W46" i="2"/>
  <c r="T46" i="2"/>
  <c r="S46" i="2"/>
  <c r="R46" i="2"/>
  <c r="Q46" i="2"/>
  <c r="O46" i="2"/>
  <c r="K46" i="2"/>
  <c r="L46" i="2" s="1"/>
  <c r="M46" i="2" s="1"/>
  <c r="N46" i="2" s="1"/>
  <c r="G46" i="2"/>
  <c r="D46" i="2"/>
  <c r="AA45" i="2"/>
  <c r="W45" i="2"/>
  <c r="T45" i="2"/>
  <c r="S45" i="2"/>
  <c r="R45" i="2"/>
  <c r="Q45" i="2"/>
  <c r="O45" i="2"/>
  <c r="K45" i="2"/>
  <c r="L45" i="2" s="1"/>
  <c r="M45" i="2" s="1"/>
  <c r="G45" i="2"/>
  <c r="D45" i="2"/>
  <c r="AA44" i="2"/>
  <c r="W44" i="2"/>
  <c r="T44" i="2"/>
  <c r="S44" i="2"/>
  <c r="R44" i="2"/>
  <c r="Q44" i="2"/>
  <c r="O44" i="2"/>
  <c r="K44" i="2"/>
  <c r="L44" i="2" s="1"/>
  <c r="G44" i="2"/>
  <c r="D44" i="2"/>
  <c r="AA43" i="2"/>
  <c r="W43" i="2"/>
  <c r="T43" i="2"/>
  <c r="S43" i="2"/>
  <c r="R43" i="2"/>
  <c r="Q43" i="2"/>
  <c r="O43" i="2"/>
  <c r="L43" i="2"/>
  <c r="M43" i="2" s="1"/>
  <c r="N43" i="2" s="1"/>
  <c r="G43" i="2"/>
  <c r="D43" i="2"/>
  <c r="AA42" i="2"/>
  <c r="W42" i="2"/>
  <c r="T42" i="2"/>
  <c r="S42" i="2"/>
  <c r="R42" i="2"/>
  <c r="Q42" i="2"/>
  <c r="O42" i="2"/>
  <c r="K42" i="2"/>
  <c r="L42" i="2" s="1"/>
  <c r="G42" i="2"/>
  <c r="D42" i="2"/>
  <c r="AA41" i="2"/>
  <c r="W41" i="2"/>
  <c r="T41" i="2"/>
  <c r="S41" i="2"/>
  <c r="R41" i="2"/>
  <c r="Q41" i="2"/>
  <c r="O41" i="2"/>
  <c r="K41" i="2"/>
  <c r="L41" i="2" s="1"/>
  <c r="G41" i="2"/>
  <c r="D41" i="2"/>
  <c r="AA40" i="2"/>
  <c r="W40" i="2"/>
  <c r="T40" i="2"/>
  <c r="S40" i="2"/>
  <c r="R40" i="2"/>
  <c r="Q40" i="2"/>
  <c r="O40" i="2"/>
  <c r="L40" i="2"/>
  <c r="G40" i="2"/>
  <c r="D40" i="2"/>
  <c r="AA39" i="2"/>
  <c r="W39" i="2"/>
  <c r="T39" i="2"/>
  <c r="S39" i="2"/>
  <c r="R39" i="2"/>
  <c r="Q39" i="2"/>
  <c r="O39" i="2"/>
  <c r="L39" i="2"/>
  <c r="M39" i="2" s="1"/>
  <c r="N39" i="2" s="1"/>
  <c r="G39" i="2"/>
  <c r="D39" i="2"/>
  <c r="AA38" i="2"/>
  <c r="W38" i="2"/>
  <c r="T38" i="2"/>
  <c r="S38" i="2"/>
  <c r="R38" i="2"/>
  <c r="Q38" i="2"/>
  <c r="O38" i="2"/>
  <c r="K38" i="2"/>
  <c r="L38" i="2" s="1"/>
  <c r="G38" i="2"/>
  <c r="D38" i="2"/>
  <c r="AA37" i="2"/>
  <c r="W37" i="2"/>
  <c r="T37" i="2"/>
  <c r="S37" i="2"/>
  <c r="R37" i="2"/>
  <c r="Q37" i="2"/>
  <c r="O37" i="2"/>
  <c r="K37" i="2"/>
  <c r="L37" i="2" s="1"/>
  <c r="G37" i="2"/>
  <c r="D37" i="2"/>
  <c r="AA36" i="2"/>
  <c r="W36" i="2"/>
  <c r="T36" i="2"/>
  <c r="S36" i="2"/>
  <c r="R36" i="2"/>
  <c r="Q36" i="2"/>
  <c r="O36" i="2"/>
  <c r="K36" i="2"/>
  <c r="L36" i="2" s="1"/>
  <c r="G36" i="2"/>
  <c r="D36" i="2"/>
  <c r="AA35" i="2"/>
  <c r="W35" i="2"/>
  <c r="T35" i="2"/>
  <c r="S35" i="2"/>
  <c r="R35" i="2"/>
  <c r="Q35" i="2"/>
  <c r="L35" i="2"/>
  <c r="M35" i="2" s="1"/>
  <c r="G35" i="2"/>
  <c r="D35" i="2"/>
  <c r="AA34" i="2"/>
  <c r="W34" i="2"/>
  <c r="T34" i="2"/>
  <c r="S34" i="2"/>
  <c r="R34" i="2"/>
  <c r="Q34" i="2"/>
  <c r="L34" i="2"/>
  <c r="M34" i="2" s="1"/>
  <c r="N34" i="2" s="1"/>
  <c r="G34" i="2"/>
  <c r="D34" i="2"/>
  <c r="AA33" i="2"/>
  <c r="W33" i="2"/>
  <c r="T33" i="2"/>
  <c r="S33" i="2"/>
  <c r="Q33" i="2"/>
  <c r="L33" i="2"/>
  <c r="M33" i="2" s="1"/>
  <c r="G33" i="2"/>
  <c r="D33" i="2"/>
  <c r="AA32" i="2"/>
  <c r="W32" i="2"/>
  <c r="T32" i="2"/>
  <c r="S32" i="2"/>
  <c r="Q32" i="2"/>
  <c r="L32" i="2"/>
  <c r="M32" i="2" s="1"/>
  <c r="N32" i="2" s="1"/>
  <c r="P32" i="2" s="1"/>
  <c r="G32" i="2"/>
  <c r="D32" i="2"/>
  <c r="AA31" i="2"/>
  <c r="W31" i="2"/>
  <c r="T31" i="2"/>
  <c r="S31" i="2"/>
  <c r="R31" i="2"/>
  <c r="Q31" i="2"/>
  <c r="L31" i="2"/>
  <c r="G31" i="2"/>
  <c r="D31" i="2"/>
  <c r="AA30" i="2"/>
  <c r="W30" i="2"/>
  <c r="T30" i="2"/>
  <c r="S30" i="2"/>
  <c r="R30" i="2"/>
  <c r="Q30" i="2"/>
  <c r="L30" i="2"/>
  <c r="M30" i="2" s="1"/>
  <c r="N30" i="2" s="1"/>
  <c r="G30" i="2"/>
  <c r="D30" i="2"/>
  <c r="AA29" i="2"/>
  <c r="W29" i="2"/>
  <c r="T29" i="2"/>
  <c r="S29" i="2"/>
  <c r="R29" i="2"/>
  <c r="Q29" i="2"/>
  <c r="L29" i="2"/>
  <c r="G29" i="2"/>
  <c r="D29" i="2"/>
  <c r="AA28" i="2"/>
  <c r="W28" i="2"/>
  <c r="T28" i="2"/>
  <c r="S28" i="2"/>
  <c r="R28" i="2"/>
  <c r="Q28" i="2"/>
  <c r="L28" i="2"/>
  <c r="M28" i="2" s="1"/>
  <c r="N28" i="2" s="1"/>
  <c r="G28" i="2"/>
  <c r="D28" i="2"/>
  <c r="AA27" i="2"/>
  <c r="W27" i="2"/>
  <c r="T27" i="2"/>
  <c r="S27" i="2"/>
  <c r="R27" i="2"/>
  <c r="Q27" i="2"/>
  <c r="L27" i="2"/>
  <c r="G27" i="2"/>
  <c r="D27" i="2"/>
  <c r="AA26" i="2"/>
  <c r="W26" i="2"/>
  <c r="T26" i="2"/>
  <c r="S26" i="2"/>
  <c r="R26" i="2"/>
  <c r="Q26" i="2"/>
  <c r="L26" i="2"/>
  <c r="M26" i="2" s="1"/>
  <c r="N26" i="2" s="1"/>
  <c r="G26" i="2"/>
  <c r="D26" i="2"/>
  <c r="AA25" i="2"/>
  <c r="W25" i="2"/>
  <c r="T25" i="2"/>
  <c r="S25" i="2"/>
  <c r="R25" i="2"/>
  <c r="Q25" i="2"/>
  <c r="L25" i="2"/>
  <c r="G25" i="2"/>
  <c r="D25" i="2"/>
  <c r="AA24" i="2"/>
  <c r="W24" i="2"/>
  <c r="T24" i="2"/>
  <c r="S24" i="2"/>
  <c r="R24" i="2"/>
  <c r="Q24" i="2"/>
  <c r="L24" i="2"/>
  <c r="M24" i="2" s="1"/>
  <c r="N24" i="2" s="1"/>
  <c r="G24" i="2"/>
  <c r="D24" i="2"/>
  <c r="AA23" i="2"/>
  <c r="W23" i="2"/>
  <c r="T23" i="2"/>
  <c r="S23" i="2"/>
  <c r="R23" i="2"/>
  <c r="Q23" i="2"/>
  <c r="L23" i="2"/>
  <c r="G23" i="2"/>
  <c r="D23" i="2"/>
  <c r="AA22" i="2"/>
  <c r="W22" i="2"/>
  <c r="T22" i="2"/>
  <c r="S22" i="2"/>
  <c r="R22" i="2"/>
  <c r="Q22" i="2"/>
  <c r="L22" i="2"/>
  <c r="M22" i="2" s="1"/>
  <c r="N22" i="2" s="1"/>
  <c r="P22" i="2" s="1"/>
  <c r="G22" i="2"/>
  <c r="D22" i="2"/>
  <c r="AA21" i="2"/>
  <c r="W21" i="2"/>
  <c r="T21" i="2"/>
  <c r="S21" i="2"/>
  <c r="R21" i="2"/>
  <c r="Q21" i="2"/>
  <c r="L21" i="2"/>
  <c r="G21" i="2"/>
  <c r="D21" i="2"/>
  <c r="AA20" i="2"/>
  <c r="W20" i="2"/>
  <c r="T20" i="2"/>
  <c r="S20" i="2"/>
  <c r="R20" i="2"/>
  <c r="Q20" i="2"/>
  <c r="L20" i="2"/>
  <c r="M20" i="2" s="1"/>
  <c r="N20" i="2" s="1"/>
  <c r="P20" i="2" s="1"/>
  <c r="G20" i="2"/>
  <c r="D20" i="2"/>
  <c r="AA19" i="2"/>
  <c r="W19" i="2"/>
  <c r="T19" i="2"/>
  <c r="S19" i="2"/>
  <c r="R19" i="2"/>
  <c r="Q19" i="2"/>
  <c r="L19" i="2"/>
  <c r="G19" i="2"/>
  <c r="D19" i="2"/>
  <c r="AA18" i="2"/>
  <c r="W18" i="2"/>
  <c r="T18" i="2"/>
  <c r="S18" i="2"/>
  <c r="R18" i="2"/>
  <c r="Q18" i="2"/>
  <c r="L18" i="2"/>
  <c r="M18" i="2" s="1"/>
  <c r="N18" i="2" s="1"/>
  <c r="G18" i="2"/>
  <c r="D18" i="2"/>
  <c r="AA17" i="2"/>
  <c r="W17" i="2"/>
  <c r="T17" i="2"/>
  <c r="S17" i="2"/>
  <c r="R17" i="2"/>
  <c r="Q17" i="2"/>
  <c r="L17" i="2"/>
  <c r="G17" i="2"/>
  <c r="D17" i="2"/>
  <c r="AA16" i="2"/>
  <c r="W16" i="2"/>
  <c r="T16" i="2"/>
  <c r="S16" i="2"/>
  <c r="R16" i="2"/>
  <c r="Q16" i="2"/>
  <c r="L16" i="2"/>
  <c r="M16" i="2" s="1"/>
  <c r="N16" i="2" s="1"/>
  <c r="G16" i="2"/>
  <c r="D16" i="2"/>
  <c r="AA15" i="2"/>
  <c r="W15" i="2"/>
  <c r="T15" i="2"/>
  <c r="S15" i="2"/>
  <c r="R15" i="2"/>
  <c r="Q15" i="2"/>
  <c r="L15" i="2"/>
  <c r="G15" i="2"/>
  <c r="D15" i="2"/>
  <c r="AA14" i="2"/>
  <c r="W14" i="2"/>
  <c r="T14" i="2"/>
  <c r="S14" i="2"/>
  <c r="R14" i="2"/>
  <c r="Q14" i="2"/>
  <c r="L14" i="2"/>
  <c r="M14" i="2" s="1"/>
  <c r="N14" i="2" s="1"/>
  <c r="G14" i="2"/>
  <c r="D14" i="2"/>
  <c r="AA13" i="2"/>
  <c r="W13" i="2"/>
  <c r="T13" i="2"/>
  <c r="S13" i="2"/>
  <c r="R13" i="2"/>
  <c r="Q13" i="2"/>
  <c r="L13" i="2"/>
  <c r="G13" i="2"/>
  <c r="D13" i="2"/>
  <c r="AA12" i="2"/>
  <c r="W12" i="2"/>
  <c r="T12" i="2"/>
  <c r="S12" i="2"/>
  <c r="R12" i="2"/>
  <c r="Q12" i="2"/>
  <c r="O12" i="2"/>
  <c r="L12" i="2"/>
  <c r="M12" i="2" s="1"/>
  <c r="G12" i="2"/>
  <c r="D12" i="2"/>
  <c r="AA11" i="2"/>
  <c r="W11" i="2"/>
  <c r="T11" i="2"/>
  <c r="S11" i="2"/>
  <c r="R11" i="2"/>
  <c r="Q11" i="2"/>
  <c r="O11" i="2"/>
  <c r="L11" i="2"/>
  <c r="M11" i="2" s="1"/>
  <c r="G11" i="2"/>
  <c r="D11" i="2"/>
  <c r="AA10" i="2"/>
  <c r="W10" i="2"/>
  <c r="T10" i="2"/>
  <c r="S10" i="2"/>
  <c r="R10" i="2"/>
  <c r="Q10" i="2"/>
  <c r="L10" i="2"/>
  <c r="M10" i="2" s="1"/>
  <c r="N10" i="2" s="1"/>
  <c r="G10" i="2"/>
  <c r="D10" i="2"/>
  <c r="AA9" i="2"/>
  <c r="W9" i="2"/>
  <c r="T9" i="2"/>
  <c r="S9" i="2"/>
  <c r="R9" i="2"/>
  <c r="Q9" i="2"/>
  <c r="O9" i="2"/>
  <c r="K9" i="2"/>
  <c r="L9" i="2" s="1"/>
  <c r="G9" i="2"/>
  <c r="D9" i="2"/>
  <c r="AA8" i="2"/>
  <c r="W8" i="2"/>
  <c r="T8" i="2"/>
  <c r="S8" i="2"/>
  <c r="R8" i="2"/>
  <c r="Q8" i="2"/>
  <c r="O8" i="2"/>
  <c r="K8" i="2"/>
  <c r="L8" i="2" s="1"/>
  <c r="G8" i="2"/>
  <c r="D8" i="2"/>
  <c r="AA7" i="2"/>
  <c r="W7" i="2"/>
  <c r="T7" i="2"/>
  <c r="S7" i="2"/>
  <c r="R7" i="2"/>
  <c r="Q7" i="2"/>
  <c r="O7" i="2"/>
  <c r="K7" i="2"/>
  <c r="L7" i="2" s="1"/>
  <c r="G7" i="2"/>
  <c r="D7" i="2"/>
  <c r="AA6" i="2"/>
  <c r="W6" i="2"/>
  <c r="T6" i="2"/>
  <c r="S6" i="2"/>
  <c r="R6" i="2"/>
  <c r="Q6" i="2"/>
  <c r="O6" i="2"/>
  <c r="K6" i="2"/>
  <c r="L6" i="2" s="1"/>
  <c r="G6" i="2"/>
  <c r="D6" i="2"/>
  <c r="AA5" i="2"/>
  <c r="W5" i="2"/>
  <c r="T5" i="2"/>
  <c r="S5" i="2"/>
  <c r="R5" i="2"/>
  <c r="Q5" i="2"/>
  <c r="L5" i="2"/>
  <c r="M5" i="2" s="1"/>
  <c r="G5" i="2"/>
  <c r="D5" i="2"/>
  <c r="AA4" i="2"/>
  <c r="W4" i="2"/>
  <c r="T4" i="2"/>
  <c r="S4" i="2"/>
  <c r="R4" i="2"/>
  <c r="Q4" i="2"/>
  <c r="O4" i="2"/>
  <c r="K4" i="2"/>
  <c r="L4" i="2" s="1"/>
  <c r="G4" i="2"/>
  <c r="D4" i="2"/>
  <c r="AA3" i="2"/>
  <c r="W3" i="2"/>
  <c r="T3" i="2"/>
  <c r="S3" i="2"/>
  <c r="R3" i="2"/>
  <c r="Q3" i="2"/>
  <c r="O3" i="2"/>
  <c r="K3" i="2"/>
  <c r="L3" i="2" s="1"/>
  <c r="G3" i="2"/>
  <c r="D3" i="2"/>
  <c r="J102" i="1"/>
  <c r="M22" i="3" l="1"/>
  <c r="M34" i="3"/>
  <c r="M36" i="3"/>
  <c r="M28" i="3"/>
  <c r="M14" i="3"/>
  <c r="M23" i="3"/>
  <c r="M30" i="3"/>
  <c r="M31" i="3"/>
  <c r="M32" i="3"/>
  <c r="M3" i="21"/>
  <c r="O4" i="21"/>
  <c r="P4" i="21" s="1"/>
  <c r="F4" i="21"/>
  <c r="O8" i="21"/>
  <c r="P8" i="21" s="1"/>
  <c r="F8" i="21"/>
  <c r="O7" i="21"/>
  <c r="P7" i="21" s="1"/>
  <c r="F7" i="21"/>
  <c r="O6" i="21"/>
  <c r="P6" i="21" s="1"/>
  <c r="F6" i="21"/>
  <c r="O5" i="21"/>
  <c r="P5" i="21" s="1"/>
  <c r="F5" i="21"/>
  <c r="M20" i="3"/>
  <c r="M10" i="3"/>
  <c r="Z1179" i="2"/>
  <c r="M38" i="3"/>
  <c r="M6" i="3"/>
  <c r="M5" i="3"/>
  <c r="Z1130" i="2"/>
  <c r="O42" i="3"/>
  <c r="P42" i="3" s="1"/>
  <c r="F42" i="3"/>
  <c r="O58" i="3"/>
  <c r="P58" i="3" s="1"/>
  <c r="F58" i="3"/>
  <c r="O60" i="3"/>
  <c r="P60" i="3" s="1"/>
  <c r="F60" i="3"/>
  <c r="Z1181" i="2"/>
  <c r="O35" i="3"/>
  <c r="P35" i="3" s="1"/>
  <c r="F35" i="3"/>
  <c r="O43" i="3"/>
  <c r="P43" i="3" s="1"/>
  <c r="F43" i="3"/>
  <c r="O50" i="3"/>
  <c r="P50" i="3" s="1"/>
  <c r="F50" i="3"/>
  <c r="M8" i="3"/>
  <c r="M15" i="3"/>
  <c r="Z845" i="2"/>
  <c r="O45" i="3"/>
  <c r="P45" i="3" s="1"/>
  <c r="F45" i="3"/>
  <c r="O49" i="3"/>
  <c r="P49" i="3" s="1"/>
  <c r="F49" i="3"/>
  <c r="M4" i="3"/>
  <c r="M9" i="3"/>
  <c r="M27" i="3"/>
  <c r="O48" i="3"/>
  <c r="P48" i="3" s="1"/>
  <c r="F48" i="3"/>
  <c r="Z1158" i="2"/>
  <c r="O41" i="3"/>
  <c r="P41" i="3" s="1"/>
  <c r="F41" i="3"/>
  <c r="M7" i="3"/>
  <c r="M21" i="3"/>
  <c r="M33" i="3"/>
  <c r="Z1147" i="2"/>
  <c r="O46" i="3"/>
  <c r="P46" i="3" s="1"/>
  <c r="F46" i="3"/>
  <c r="Z1145" i="2"/>
  <c r="O59" i="3"/>
  <c r="P59" i="3" s="1"/>
  <c r="F59" i="3"/>
  <c r="O44" i="3"/>
  <c r="P44" i="3" s="1"/>
  <c r="F44" i="3"/>
  <c r="M16" i="3"/>
  <c r="Z1001" i="2"/>
  <c r="O57" i="3"/>
  <c r="P57" i="3" s="1"/>
  <c r="F57" i="3"/>
  <c r="Z1033" i="2"/>
  <c r="O47" i="3"/>
  <c r="P47" i="3" s="1"/>
  <c r="F47" i="3"/>
  <c r="Z970" i="2"/>
  <c r="Z1176" i="2"/>
  <c r="Z1032" i="2"/>
  <c r="Z1168" i="2"/>
  <c r="Z883" i="2"/>
  <c r="Z1151" i="2"/>
  <c r="Z1150" i="2"/>
  <c r="Z858" i="2"/>
  <c r="Z1120" i="2"/>
  <c r="Z886" i="2"/>
  <c r="Z1119" i="2"/>
  <c r="Z905" i="2"/>
  <c r="Z1061" i="2"/>
  <c r="Z997" i="2"/>
  <c r="Z1003" i="2"/>
  <c r="Z896" i="2"/>
  <c r="Z1017" i="2"/>
  <c r="Z1018" i="2"/>
  <c r="Z855" i="2"/>
  <c r="Z1013" i="2"/>
  <c r="Z1012" i="2"/>
  <c r="Z1010" i="2"/>
  <c r="Z996" i="2"/>
  <c r="Z1011" i="2"/>
  <c r="Z884" i="2"/>
  <c r="Z1007" i="2"/>
  <c r="P113" i="2"/>
  <c r="Z994" i="2"/>
  <c r="Z851" i="2"/>
  <c r="Z983" i="2"/>
  <c r="Z978" i="2"/>
  <c r="Z977" i="2"/>
  <c r="Z767" i="2"/>
  <c r="Z974" i="2"/>
  <c r="Z961" i="2"/>
  <c r="Z960" i="2"/>
  <c r="Z959" i="2"/>
  <c r="Z803" i="2"/>
  <c r="Z962" i="2"/>
  <c r="Z850" i="2"/>
  <c r="Z958" i="2"/>
  <c r="Z949" i="2"/>
  <c r="Z937" i="2"/>
  <c r="Z934" i="2"/>
  <c r="P489" i="2"/>
  <c r="Z931" i="2"/>
  <c r="Z933" i="2"/>
  <c r="Z932" i="2"/>
  <c r="Z895" i="2"/>
  <c r="P87" i="2"/>
  <c r="Z919" i="2"/>
  <c r="Z915" i="2"/>
  <c r="Z914" i="2"/>
  <c r="Z888" i="2"/>
  <c r="Z912" i="2"/>
  <c r="Z911" i="2"/>
  <c r="Z908" i="2"/>
  <c r="Z909" i="2"/>
  <c r="Z802" i="2"/>
  <c r="Z897" i="2"/>
  <c r="Z820" i="2"/>
  <c r="Z894" i="2"/>
  <c r="Z828" i="2"/>
  <c r="Z893" i="2"/>
  <c r="Z891" i="2"/>
  <c r="Z871" i="2"/>
  <c r="Z870" i="2"/>
  <c r="Z868" i="2"/>
  <c r="Z867" i="2"/>
  <c r="Z864" i="2"/>
  <c r="Z866" i="2"/>
  <c r="Z832" i="2"/>
  <c r="Z838" i="2"/>
  <c r="Z859" i="2"/>
  <c r="Z846" i="2"/>
  <c r="Z844" i="2"/>
  <c r="Z843" i="2"/>
  <c r="P348" i="2"/>
  <c r="Z841" i="2"/>
  <c r="Z840" i="2"/>
  <c r="Z842" i="2"/>
  <c r="Z691" i="2"/>
  <c r="Z836" i="2"/>
  <c r="P72" i="2"/>
  <c r="Z834" i="2"/>
  <c r="Z833" i="2"/>
  <c r="Z760" i="2"/>
  <c r="Z831" i="2"/>
  <c r="Z680" i="2"/>
  <c r="Z830" i="2"/>
  <c r="Z824" i="2"/>
  <c r="Z826" i="2"/>
  <c r="Z801" i="2"/>
  <c r="Z819" i="2"/>
  <c r="Z712" i="2"/>
  <c r="Z818" i="2"/>
  <c r="Z815" i="2"/>
  <c r="Z816" i="2"/>
  <c r="Z813" i="2"/>
  <c r="Z814" i="2"/>
  <c r="Z800" i="2"/>
  <c r="Z798" i="2"/>
  <c r="Z797" i="2"/>
  <c r="Z796" i="2"/>
  <c r="Z799" i="2"/>
  <c r="Z791" i="2"/>
  <c r="Z672" i="2"/>
  <c r="Z790" i="2"/>
  <c r="Z709" i="2"/>
  <c r="Z780" i="2"/>
  <c r="Z761" i="2"/>
  <c r="Z770" i="2"/>
  <c r="Z774" i="2"/>
  <c r="Z775" i="2"/>
  <c r="Z771" i="2"/>
  <c r="Z773" i="2"/>
  <c r="Z772" i="2"/>
  <c r="Z769" i="2"/>
  <c r="Z768" i="2"/>
  <c r="Z750" i="2"/>
  <c r="Z751" i="2"/>
  <c r="P133" i="2"/>
  <c r="Z748" i="2"/>
  <c r="Z743" i="2"/>
  <c r="Z742" i="2"/>
  <c r="P103" i="2"/>
  <c r="Z737" i="2"/>
  <c r="Z738" i="2"/>
  <c r="Z736" i="2"/>
  <c r="P106" i="2"/>
  <c r="Z749" i="2"/>
  <c r="P118" i="2"/>
  <c r="Z741" i="2"/>
  <c r="Z739" i="2"/>
  <c r="Z740" i="2"/>
  <c r="Z735" i="2"/>
  <c r="Z734" i="2"/>
  <c r="Z746" i="2"/>
  <c r="Z733" i="2"/>
  <c r="Z732" i="2"/>
  <c r="Z731" i="2"/>
  <c r="J50" i="3"/>
  <c r="J48" i="3"/>
  <c r="J47" i="3"/>
  <c r="J49" i="3"/>
  <c r="J57" i="3"/>
  <c r="J46" i="3"/>
  <c r="J58" i="3"/>
  <c r="P211" i="2"/>
  <c r="Z723" i="2"/>
  <c r="P212" i="2"/>
  <c r="Z724" i="2"/>
  <c r="P213" i="2"/>
  <c r="Z725" i="2"/>
  <c r="P210" i="2"/>
  <c r="Z722" i="2"/>
  <c r="M3" i="3"/>
  <c r="L326" i="2"/>
  <c r="M326" i="2" s="1"/>
  <c r="N326" i="2" s="1"/>
  <c r="Z78" i="2" s="1"/>
  <c r="L194" i="2"/>
  <c r="M194" i="2" s="1"/>
  <c r="N194" i="2" s="1"/>
  <c r="L259" i="2"/>
  <c r="M259" i="2" s="1"/>
  <c r="N259" i="2" s="1"/>
  <c r="Z687" i="2" s="1"/>
  <c r="L427" i="2"/>
  <c r="M427" i="2" s="1"/>
  <c r="N427" i="2" s="1"/>
  <c r="Z89" i="2" s="1"/>
  <c r="L148" i="2"/>
  <c r="M148" i="2" s="1"/>
  <c r="N148" i="2" s="1"/>
  <c r="P148" i="2" s="1"/>
  <c r="L242" i="2"/>
  <c r="M242" i="2" s="1"/>
  <c r="N242" i="2" s="1"/>
  <c r="Z707" i="2" s="1"/>
  <c r="L503" i="2"/>
  <c r="M503" i="2" s="1"/>
  <c r="N503" i="2" s="1"/>
  <c r="Z708" i="2" s="1"/>
  <c r="L515" i="2"/>
  <c r="M515" i="2" s="1"/>
  <c r="N515" i="2" s="1"/>
  <c r="Z632" i="2" s="1"/>
  <c r="L366" i="2"/>
  <c r="M366" i="2" s="1"/>
  <c r="N366" i="2" s="1"/>
  <c r="Z526" i="2" s="1"/>
  <c r="L494" i="2"/>
  <c r="M494" i="2" s="1"/>
  <c r="N494" i="2" s="1"/>
  <c r="Z779" i="2" s="1"/>
  <c r="L499" i="2"/>
  <c r="M499" i="2" s="1"/>
  <c r="N499" i="2" s="1"/>
  <c r="Z648" i="2" s="1"/>
  <c r="Z686" i="2"/>
  <c r="Z671" i="2"/>
  <c r="Z682" i="2"/>
  <c r="Z564" i="2"/>
  <c r="Z681" i="2"/>
  <c r="Z670" i="2"/>
  <c r="Z669" i="2"/>
  <c r="P206" i="2"/>
  <c r="Z664" i="2"/>
  <c r="Z481" i="2"/>
  <c r="Z485" i="2"/>
  <c r="P120" i="2"/>
  <c r="Z663" i="2"/>
  <c r="Z662" i="2"/>
  <c r="Z661" i="2"/>
  <c r="Z549" i="2"/>
  <c r="Z660" i="2"/>
  <c r="Z487" i="2"/>
  <c r="Z88" i="2"/>
  <c r="Z106" i="2"/>
  <c r="Z114" i="2"/>
  <c r="Z80" i="2"/>
  <c r="Z472" i="2"/>
  <c r="Z480" i="2"/>
  <c r="Z86" i="2"/>
  <c r="Z120" i="2"/>
  <c r="Z133" i="2"/>
  <c r="Z221" i="2"/>
  <c r="Z604" i="2"/>
  <c r="Z482" i="2"/>
  <c r="Z112" i="2"/>
  <c r="Z108" i="2"/>
  <c r="Z116" i="2"/>
  <c r="Z129" i="2"/>
  <c r="Z137" i="2"/>
  <c r="Z174" i="2"/>
  <c r="Z478" i="2"/>
  <c r="Z486" i="2"/>
  <c r="Z20" i="2"/>
  <c r="Z22" i="2"/>
  <c r="Z103" i="2"/>
  <c r="Z110" i="2"/>
  <c r="Z118" i="2"/>
  <c r="Z131" i="2"/>
  <c r="Z563" i="2"/>
  <c r="Z479" i="2"/>
  <c r="P91" i="2"/>
  <c r="Z555" i="2"/>
  <c r="P107" i="2"/>
  <c r="Z548" i="2"/>
  <c r="P109" i="2"/>
  <c r="Z541" i="2"/>
  <c r="Z540" i="2"/>
  <c r="P111" i="2"/>
  <c r="Z619" i="2"/>
  <c r="Z617" i="2"/>
  <c r="Z618" i="2"/>
  <c r="Z616" i="2"/>
  <c r="P119" i="2"/>
  <c r="Z553" i="2"/>
  <c r="P121" i="2"/>
  <c r="Z615" i="2"/>
  <c r="Z614" i="2"/>
  <c r="Z613" i="2"/>
  <c r="Z612" i="2"/>
  <c r="P130" i="2"/>
  <c r="Z611" i="2"/>
  <c r="Z610" i="2"/>
  <c r="Z607" i="2"/>
  <c r="Z609" i="2"/>
  <c r="P132" i="2"/>
  <c r="P174" i="2"/>
  <c r="Z629" i="2"/>
  <c r="Z220" i="2"/>
  <c r="P221" i="2"/>
  <c r="Z637" i="2"/>
  <c r="Z579" i="2"/>
  <c r="P264" i="2"/>
  <c r="Z580" i="2"/>
  <c r="Z588" i="2"/>
  <c r="Z530" i="2"/>
  <c r="Z308" i="2"/>
  <c r="Z352" i="2"/>
  <c r="Z354" i="2"/>
  <c r="Z351" i="2"/>
  <c r="Z353" i="2"/>
  <c r="Z355" i="2"/>
  <c r="Z453" i="2"/>
  <c r="Z454" i="2"/>
  <c r="Z507" i="2"/>
  <c r="Z509" i="2"/>
  <c r="Z508" i="2"/>
  <c r="Z506" i="2"/>
  <c r="Z559" i="2"/>
  <c r="Z348" i="2"/>
  <c r="Z601" i="2"/>
  <c r="Z600" i="2"/>
  <c r="Z562" i="2"/>
  <c r="Z471" i="2"/>
  <c r="Z573" i="2"/>
  <c r="Z473" i="2"/>
  <c r="Z477" i="2"/>
  <c r="Z566" i="2"/>
  <c r="Z483" i="2"/>
  <c r="P488" i="2"/>
  <c r="Z625" i="2"/>
  <c r="Z624" i="2"/>
  <c r="Z489" i="2"/>
  <c r="P81" i="2"/>
  <c r="Z639" i="2"/>
  <c r="P85" i="2"/>
  <c r="Z650" i="2"/>
  <c r="P95" i="2"/>
  <c r="Z552" i="2"/>
  <c r="P102" i="2"/>
  <c r="Z539" i="2"/>
  <c r="Z538" i="2"/>
  <c r="P10" i="2"/>
  <c r="Z630" i="2"/>
  <c r="Z627" i="2"/>
  <c r="Z81" i="2"/>
  <c r="Z85" i="2"/>
  <c r="P86" i="2"/>
  <c r="Z590" i="2"/>
  <c r="Z87" i="2"/>
  <c r="P88" i="2"/>
  <c r="Z638" i="2"/>
  <c r="Z599" i="2"/>
  <c r="Z537" i="2"/>
  <c r="Z91" i="2"/>
  <c r="Z95" i="2"/>
  <c r="Z102" i="2"/>
  <c r="Z107" i="2"/>
  <c r="P108" i="2"/>
  <c r="Z542" i="2"/>
  <c r="Z109" i="2"/>
  <c r="P110" i="2"/>
  <c r="Z584" i="2"/>
  <c r="Z556" i="2"/>
  <c r="Z111" i="2"/>
  <c r="P112" i="2"/>
  <c r="Z547" i="2"/>
  <c r="Z113" i="2"/>
  <c r="P114" i="2"/>
  <c r="Z546" i="2"/>
  <c r="Z115" i="2"/>
  <c r="P116" i="2"/>
  <c r="Z626" i="2"/>
  <c r="Z117" i="2"/>
  <c r="Z119" i="2"/>
  <c r="Z121" i="2"/>
  <c r="P129" i="2"/>
  <c r="Z621" i="2"/>
  <c r="Z622" i="2"/>
  <c r="Z620" i="2"/>
  <c r="Z608" i="2"/>
  <c r="Z130" i="2"/>
  <c r="Z641" i="2"/>
  <c r="Z134" i="2"/>
  <c r="Z557" i="2"/>
  <c r="Z558" i="2"/>
  <c r="Z192" i="2"/>
  <c r="Z456" i="2"/>
  <c r="Z147" i="2"/>
  <c r="Z175" i="2"/>
  <c r="Z433" i="2"/>
  <c r="Z434" i="2"/>
  <c r="Z451" i="2"/>
  <c r="Z561" i="2"/>
  <c r="Z432" i="2"/>
  <c r="Z358" i="2"/>
  <c r="Z357" i="2"/>
  <c r="Z356" i="2"/>
  <c r="Z565" i="2"/>
  <c r="Z437" i="2"/>
  <c r="Z435" i="2"/>
  <c r="Z139" i="2"/>
  <c r="P220" i="2"/>
  <c r="Z635" i="2"/>
  <c r="Z577" i="2"/>
  <c r="Z587" i="2"/>
  <c r="Z593" i="2"/>
  <c r="P274" i="2"/>
  <c r="Z441" i="2"/>
  <c r="Z276" i="2"/>
  <c r="Z275" i="2"/>
  <c r="Z274" i="2"/>
  <c r="Z560" i="2"/>
  <c r="Z578" i="2"/>
  <c r="Z533" i="2"/>
  <c r="Z567" i="2"/>
  <c r="Z474" i="2"/>
  <c r="Z484" i="2"/>
  <c r="Z488" i="2"/>
  <c r="X11" i="2"/>
  <c r="X68" i="2"/>
  <c r="Z68" i="2"/>
  <c r="X3" i="2"/>
  <c r="X12" i="2"/>
  <c r="X69" i="2"/>
  <c r="X74" i="2"/>
  <c r="Y74" i="2" s="1"/>
  <c r="Z74" i="2"/>
  <c r="X97" i="2"/>
  <c r="X101" i="2"/>
  <c r="X123" i="2"/>
  <c r="X145" i="2"/>
  <c r="Z145" i="2"/>
  <c r="X156" i="2"/>
  <c r="Z156" i="2"/>
  <c r="X164" i="2"/>
  <c r="Z164" i="2"/>
  <c r="X179" i="2"/>
  <c r="Z179" i="2"/>
  <c r="X186" i="2"/>
  <c r="Y21" i="2" s="1"/>
  <c r="X191" i="2"/>
  <c r="Z191" i="2"/>
  <c r="X205" i="2"/>
  <c r="X210" i="2"/>
  <c r="Z210" i="2"/>
  <c r="X224" i="2"/>
  <c r="X231" i="2"/>
  <c r="Z231" i="2"/>
  <c r="X236" i="2"/>
  <c r="X246" i="2"/>
  <c r="X255" i="2"/>
  <c r="Z255" i="2"/>
  <c r="X259" i="2"/>
  <c r="X263" i="2"/>
  <c r="Z263" i="2"/>
  <c r="X277" i="2"/>
  <c r="X281" i="2"/>
  <c r="X285" i="2"/>
  <c r="Z285" i="2"/>
  <c r="X289" i="2"/>
  <c r="Y289" i="2" s="1"/>
  <c r="Z289" i="2"/>
  <c r="X293" i="2"/>
  <c r="Z293" i="2"/>
  <c r="X299" i="2"/>
  <c r="Z299" i="2"/>
  <c r="X302" i="2"/>
  <c r="Z302" i="2"/>
  <c r="X306" i="2"/>
  <c r="Z306" i="2"/>
  <c r="X310" i="2"/>
  <c r="Z310" i="2"/>
  <c r="X359" i="2"/>
  <c r="Z359" i="2"/>
  <c r="X363" i="2"/>
  <c r="Z363" i="2"/>
  <c r="X367" i="2"/>
  <c r="X372" i="2"/>
  <c r="Z372" i="2"/>
  <c r="X388" i="2"/>
  <c r="X392" i="2"/>
  <c r="Z392" i="2"/>
  <c r="X396" i="2"/>
  <c r="Z396" i="2"/>
  <c r="X400" i="2"/>
  <c r="Z400" i="2"/>
  <c r="X405" i="2"/>
  <c r="Z405" i="2"/>
  <c r="X422" i="2"/>
  <c r="X427" i="2"/>
  <c r="X431" i="2"/>
  <c r="Z431" i="2"/>
  <c r="X445" i="2"/>
  <c r="X461" i="2"/>
  <c r="Z461" i="2"/>
  <c r="X465" i="2"/>
  <c r="Z465" i="2"/>
  <c r="X493" i="2"/>
  <c r="Z493" i="2"/>
  <c r="X510" i="2"/>
  <c r="Z510" i="2"/>
  <c r="X515" i="2"/>
  <c r="X520" i="2"/>
  <c r="X37" i="2"/>
  <c r="X41" i="2"/>
  <c r="X45" i="2"/>
  <c r="X49" i="2"/>
  <c r="X53" i="2"/>
  <c r="Y53" i="2" s="1"/>
  <c r="X58" i="2"/>
  <c r="X124" i="2"/>
  <c r="Z124" i="2"/>
  <c r="X146" i="2"/>
  <c r="Z146" i="2"/>
  <c r="X157" i="2"/>
  <c r="Z157" i="2"/>
  <c r="X167" i="2"/>
  <c r="Y565" i="2" s="1"/>
  <c r="Z167" i="2"/>
  <c r="X173" i="2"/>
  <c r="Z173" i="2"/>
  <c r="X180" i="2"/>
  <c r="Z180" i="2"/>
  <c r="X187" i="2"/>
  <c r="Y187" i="2" s="1"/>
  <c r="Z187" i="2"/>
  <c r="X198" i="2"/>
  <c r="Z198" i="2"/>
  <c r="X202" i="2"/>
  <c r="X206" i="2"/>
  <c r="Z206" i="2"/>
  <c r="X211" i="2"/>
  <c r="Z211" i="2"/>
  <c r="X218" i="2"/>
  <c r="X225" i="2"/>
  <c r="X232" i="2"/>
  <c r="Z232" i="2"/>
  <c r="X237" i="2"/>
  <c r="X242" i="2"/>
  <c r="X251" i="2"/>
  <c r="X264" i="2"/>
  <c r="Z264" i="2"/>
  <c r="X268" i="2"/>
  <c r="X272" i="2"/>
  <c r="Z272" i="2"/>
  <c r="X296" i="2"/>
  <c r="Z296" i="2"/>
  <c r="X303" i="2"/>
  <c r="X315" i="2"/>
  <c r="X319" i="2"/>
  <c r="X323" i="2"/>
  <c r="X327" i="2"/>
  <c r="X331" i="2"/>
  <c r="X335" i="2"/>
  <c r="X339" i="2"/>
  <c r="Z339" i="2"/>
  <c r="X343" i="2"/>
  <c r="Z343" i="2"/>
  <c r="X347" i="2"/>
  <c r="X377" i="2"/>
  <c r="X381" i="2"/>
  <c r="Z381" i="2"/>
  <c r="X385" i="2"/>
  <c r="Z385" i="2"/>
  <c r="X411" i="2"/>
  <c r="X415" i="2"/>
  <c r="X419" i="2"/>
  <c r="Z419" i="2"/>
  <c r="X450" i="2"/>
  <c r="Z450" i="2"/>
  <c r="X457" i="2"/>
  <c r="Z457" i="2"/>
  <c r="X470" i="2"/>
  <c r="Z470" i="2"/>
  <c r="X494" i="2"/>
  <c r="X500" i="2"/>
  <c r="Z500" i="2"/>
  <c r="X511" i="2"/>
  <c r="Z511" i="2"/>
  <c r="X516" i="2"/>
  <c r="X521" i="2"/>
  <c r="X8" i="2"/>
  <c r="X59" i="2"/>
  <c r="X65" i="2"/>
  <c r="X70" i="2"/>
  <c r="Z70" i="2"/>
  <c r="X98" i="2"/>
  <c r="X125" i="2"/>
  <c r="Z125" i="2"/>
  <c r="X138" i="2"/>
  <c r="Z138" i="2"/>
  <c r="X158" i="2"/>
  <c r="Z158" i="2"/>
  <c r="X168" i="2"/>
  <c r="Z168" i="2"/>
  <c r="X181" i="2"/>
  <c r="Z181" i="2"/>
  <c r="X188" i="2"/>
  <c r="Y188" i="2" s="1"/>
  <c r="Z188" i="2"/>
  <c r="X193" i="2"/>
  <c r="Z193" i="2"/>
  <c r="X212" i="2"/>
  <c r="Z212" i="2"/>
  <c r="X226" i="2"/>
  <c r="X233" i="2"/>
  <c r="Z233" i="2"/>
  <c r="X247" i="2"/>
  <c r="X256" i="2"/>
  <c r="X260" i="2"/>
  <c r="X278" i="2"/>
  <c r="X282" i="2"/>
  <c r="X286" i="2"/>
  <c r="Z286" i="2"/>
  <c r="X290" i="2"/>
  <c r="X300" i="2"/>
  <c r="Y300" i="2" s="1"/>
  <c r="Z300" i="2"/>
  <c r="X307" i="2"/>
  <c r="Z307" i="2"/>
  <c r="X311" i="2"/>
  <c r="X360" i="2"/>
  <c r="X364" i="2"/>
  <c r="X368" i="2"/>
  <c r="X373" i="2"/>
  <c r="X389" i="2"/>
  <c r="X393" i="2"/>
  <c r="Z393" i="2"/>
  <c r="X397" i="2"/>
  <c r="Z397" i="2"/>
  <c r="X401" i="2"/>
  <c r="Z401" i="2"/>
  <c r="X406" i="2"/>
  <c r="Z406" i="2"/>
  <c r="X423" i="2"/>
  <c r="X428" i="2"/>
  <c r="Z428" i="2"/>
  <c r="X436" i="2"/>
  <c r="Z436" i="2"/>
  <c r="X438" i="2"/>
  <c r="X442" i="2"/>
  <c r="Z442" i="2"/>
  <c r="X446" i="2"/>
  <c r="Z446" i="2"/>
  <c r="X462" i="2"/>
  <c r="Z462" i="2"/>
  <c r="X466" i="2"/>
  <c r="Z466" i="2"/>
  <c r="X495" i="2"/>
  <c r="X501" i="2"/>
  <c r="Z501" i="2"/>
  <c r="X522" i="2"/>
  <c r="X9" i="2"/>
  <c r="X31" i="2"/>
  <c r="Y31" i="2" s="1"/>
  <c r="X32" i="2"/>
  <c r="Y32" i="2" s="1"/>
  <c r="Z32" i="2"/>
  <c r="X38" i="2"/>
  <c r="X42" i="2"/>
  <c r="X46" i="2"/>
  <c r="X50" i="2"/>
  <c r="X54" i="2"/>
  <c r="X60" i="2"/>
  <c r="X66" i="2"/>
  <c r="Y66" i="2" s="1"/>
  <c r="Z66" i="2"/>
  <c r="X132" i="2"/>
  <c r="Z132" i="2"/>
  <c r="X140" i="2"/>
  <c r="Z140" i="2"/>
  <c r="X151" i="2"/>
  <c r="Z151" i="2"/>
  <c r="X152" i="2"/>
  <c r="X159" i="2"/>
  <c r="Z159" i="2"/>
  <c r="X169" i="2"/>
  <c r="Z169" i="2"/>
  <c r="X170" i="2"/>
  <c r="X182" i="2"/>
  <c r="Z182" i="2"/>
  <c r="X194" i="2"/>
  <c r="X199" i="2"/>
  <c r="Z199" i="2"/>
  <c r="X203" i="2"/>
  <c r="X207" i="2"/>
  <c r="Y207" i="2" s="1"/>
  <c r="Z207" i="2"/>
  <c r="X213" i="2"/>
  <c r="Z213" i="2"/>
  <c r="X219" i="2"/>
  <c r="X238" i="2"/>
  <c r="X243" i="2"/>
  <c r="X248" i="2"/>
  <c r="X252" i="2"/>
  <c r="X265" i="2"/>
  <c r="X269" i="2"/>
  <c r="Z269" i="2"/>
  <c r="X273" i="2"/>
  <c r="Z273" i="2"/>
  <c r="X294" i="2"/>
  <c r="Z294" i="2"/>
  <c r="X304" i="2"/>
  <c r="X316" i="2"/>
  <c r="X320" i="2"/>
  <c r="Z320" i="2"/>
  <c r="X324" i="2"/>
  <c r="X328" i="2"/>
  <c r="X332" i="2"/>
  <c r="X336" i="2"/>
  <c r="X340" i="2"/>
  <c r="Z340" i="2"/>
  <c r="X344" i="2"/>
  <c r="X369" i="2"/>
  <c r="Z369" i="2"/>
  <c r="X378" i="2"/>
  <c r="Z378" i="2"/>
  <c r="X382" i="2"/>
  <c r="Z382" i="2"/>
  <c r="X386" i="2"/>
  <c r="X412" i="2"/>
  <c r="X416" i="2"/>
  <c r="Y102" i="2" s="1"/>
  <c r="Z416" i="2"/>
  <c r="X420" i="2"/>
  <c r="Z420" i="2"/>
  <c r="X447" i="2"/>
  <c r="Y992" i="2" s="1"/>
  <c r="X458" i="2"/>
  <c r="Z458" i="2"/>
  <c r="X496" i="2"/>
  <c r="X497" i="2"/>
  <c r="Z497" i="2"/>
  <c r="X502" i="2"/>
  <c r="Z502" i="2"/>
  <c r="X512" i="2"/>
  <c r="Z512" i="2"/>
  <c r="X523" i="2"/>
  <c r="X71" i="2"/>
  <c r="X99" i="2"/>
  <c r="X104" i="2"/>
  <c r="Z104" i="2"/>
  <c r="X126" i="2"/>
  <c r="Z126" i="2"/>
  <c r="X141" i="2"/>
  <c r="Z141" i="2"/>
  <c r="X148" i="2"/>
  <c r="Y634" i="2" s="1"/>
  <c r="X160" i="2"/>
  <c r="Z160" i="2"/>
  <c r="X165" i="2"/>
  <c r="Z165" i="2"/>
  <c r="X183" i="2"/>
  <c r="Z183" i="2"/>
  <c r="X189" i="2"/>
  <c r="Z189" i="2"/>
  <c r="X195" i="2"/>
  <c r="X214" i="2"/>
  <c r="Y214" i="2" s="1"/>
  <c r="Z214" i="2"/>
  <c r="X227" i="2"/>
  <c r="X234" i="2"/>
  <c r="Z234" i="2"/>
  <c r="X239" i="2"/>
  <c r="Z239" i="2"/>
  <c r="X244" i="2"/>
  <c r="Z244" i="2"/>
  <c r="X257" i="2"/>
  <c r="X261" i="2"/>
  <c r="X279" i="2"/>
  <c r="X283" i="2"/>
  <c r="X287" i="2"/>
  <c r="Z287" i="2"/>
  <c r="X291" i="2"/>
  <c r="X297" i="2"/>
  <c r="Z297" i="2"/>
  <c r="X301" i="2"/>
  <c r="Z301" i="2"/>
  <c r="X312" i="2"/>
  <c r="X349" i="2"/>
  <c r="Z349" i="2"/>
  <c r="X361" i="2"/>
  <c r="Z361" i="2"/>
  <c r="X365" i="2"/>
  <c r="X374" i="2"/>
  <c r="Z374" i="2"/>
  <c r="X390" i="2"/>
  <c r="X394" i="2"/>
  <c r="X402" i="2"/>
  <c r="Z402" i="2"/>
  <c r="X407" i="2"/>
  <c r="X424" i="2"/>
  <c r="X425" i="2"/>
  <c r="Z425" i="2"/>
  <c r="X429" i="2"/>
  <c r="X439" i="2"/>
  <c r="X443" i="2"/>
  <c r="X463" i="2"/>
  <c r="Z463" i="2"/>
  <c r="X467" i="2"/>
  <c r="X498" i="2"/>
  <c r="X503" i="2"/>
  <c r="X524" i="2"/>
  <c r="X39" i="2"/>
  <c r="X43" i="2"/>
  <c r="X47" i="2"/>
  <c r="X51" i="2"/>
  <c r="X55" i="2"/>
  <c r="Y55" i="2" s="1"/>
  <c r="Z55" i="2"/>
  <c r="X61" i="2"/>
  <c r="X67" i="2"/>
  <c r="Z67" i="2"/>
  <c r="X72" i="2"/>
  <c r="Z72" i="2"/>
  <c r="X142" i="2"/>
  <c r="Z142" i="2"/>
  <c r="X149" i="2"/>
  <c r="X153" i="2"/>
  <c r="Z153" i="2"/>
  <c r="X161" i="2"/>
  <c r="Z161" i="2"/>
  <c r="X166" i="2"/>
  <c r="Z166" i="2"/>
  <c r="X171" i="2"/>
  <c r="Z171" i="2"/>
  <c r="X176" i="2"/>
  <c r="Y456" i="2" s="1"/>
  <c r="Z176" i="2"/>
  <c r="X184" i="2"/>
  <c r="X196" i="2"/>
  <c r="X200" i="2"/>
  <c r="Z200" i="2"/>
  <c r="X208" i="2"/>
  <c r="Y208" i="2" s="1"/>
  <c r="Z208" i="2"/>
  <c r="X215" i="2"/>
  <c r="Y215" i="2" s="1"/>
  <c r="Z215" i="2"/>
  <c r="X228" i="2"/>
  <c r="X240" i="2"/>
  <c r="Z240" i="2"/>
  <c r="X245" i="2"/>
  <c r="Z245" i="2"/>
  <c r="X249" i="2"/>
  <c r="Z249" i="2"/>
  <c r="X253" i="2"/>
  <c r="X266" i="2"/>
  <c r="X270" i="2"/>
  <c r="Z270" i="2"/>
  <c r="X313" i="2"/>
  <c r="X317" i="2"/>
  <c r="Z317" i="2"/>
  <c r="X321" i="2"/>
  <c r="X325" i="2"/>
  <c r="X329" i="2"/>
  <c r="X333" i="2"/>
  <c r="X337" i="2"/>
  <c r="Y578" i="2" s="1"/>
  <c r="Z337" i="2"/>
  <c r="X341" i="2"/>
  <c r="X345" i="2"/>
  <c r="X370" i="2"/>
  <c r="Z370" i="2"/>
  <c r="X375" i="2"/>
  <c r="Z375" i="2"/>
  <c r="X379" i="2"/>
  <c r="Z379" i="2"/>
  <c r="X383" i="2"/>
  <c r="Z383" i="2"/>
  <c r="X398" i="2"/>
  <c r="X403" i="2"/>
  <c r="Z403" i="2"/>
  <c r="X413" i="2"/>
  <c r="X417" i="2"/>
  <c r="Y826" i="2" s="1"/>
  <c r="Z417" i="2"/>
  <c r="X421" i="2"/>
  <c r="Z421" i="2"/>
  <c r="X448" i="2"/>
  <c r="X459" i="2"/>
  <c r="Z459" i="2"/>
  <c r="X499" i="2"/>
  <c r="Y1164" i="2" s="1"/>
  <c r="X504" i="2"/>
  <c r="X513" i="2"/>
  <c r="Z513" i="2"/>
  <c r="X517" i="2"/>
  <c r="Z517" i="2"/>
  <c r="X100" i="2"/>
  <c r="Z100" i="2"/>
  <c r="X127" i="2"/>
  <c r="X143" i="2"/>
  <c r="Z143" i="2"/>
  <c r="X150" i="2"/>
  <c r="Z150" i="2"/>
  <c r="X154" i="2"/>
  <c r="Z154" i="2"/>
  <c r="X162" i="2"/>
  <c r="Z162" i="2"/>
  <c r="X177" i="2"/>
  <c r="Y177" i="2" s="1"/>
  <c r="Z177" i="2"/>
  <c r="X190" i="2"/>
  <c r="Z190" i="2"/>
  <c r="X216" i="2"/>
  <c r="Y216" i="2" s="1"/>
  <c r="Z216" i="2"/>
  <c r="X222" i="2"/>
  <c r="Z222" i="2"/>
  <c r="X229" i="2"/>
  <c r="Z229" i="2"/>
  <c r="X235" i="2"/>
  <c r="X254" i="2"/>
  <c r="X258" i="2"/>
  <c r="X262" i="2"/>
  <c r="Z262" i="2"/>
  <c r="X280" i="2"/>
  <c r="X284" i="2"/>
  <c r="X288" i="2"/>
  <c r="Z288" i="2"/>
  <c r="X292" i="2"/>
  <c r="Z292" i="2"/>
  <c r="X295" i="2"/>
  <c r="Z295" i="2"/>
  <c r="X298" i="2"/>
  <c r="Z298" i="2"/>
  <c r="X309" i="2"/>
  <c r="Z309" i="2"/>
  <c r="X350" i="2"/>
  <c r="X362" i="2"/>
  <c r="Z362" i="2"/>
  <c r="X366" i="2"/>
  <c r="X391" i="2"/>
  <c r="Y1179" i="2" s="1"/>
  <c r="Z391" i="2"/>
  <c r="X395" i="2"/>
  <c r="X404" i="2"/>
  <c r="Z404" i="2"/>
  <c r="X426" i="2"/>
  <c r="Z426" i="2"/>
  <c r="X430" i="2"/>
  <c r="Z430" i="2"/>
  <c r="X440" i="2"/>
  <c r="X444" i="2"/>
  <c r="X452" i="2"/>
  <c r="Z452" i="2"/>
  <c r="X455" i="2"/>
  <c r="Z455" i="2"/>
  <c r="X460" i="2"/>
  <c r="X464" i="2"/>
  <c r="Z464" i="2"/>
  <c r="X468" i="2"/>
  <c r="X491" i="2"/>
  <c r="Z491" i="2"/>
  <c r="X505" i="2"/>
  <c r="X518" i="2"/>
  <c r="X4" i="2"/>
  <c r="X10" i="2"/>
  <c r="Y630" i="2" s="1"/>
  <c r="Z10" i="2"/>
  <c r="X6" i="2"/>
  <c r="Y6" i="2" s="1"/>
  <c r="X7" i="2"/>
  <c r="X36" i="2"/>
  <c r="X40" i="2"/>
  <c r="X44" i="2"/>
  <c r="X48" i="2"/>
  <c r="X52" i="2"/>
  <c r="Y52" i="2" s="1"/>
  <c r="X73" i="2"/>
  <c r="Y73" i="2" s="1"/>
  <c r="Z73" i="2"/>
  <c r="X96" i="2"/>
  <c r="X122" i="2"/>
  <c r="Y474" i="2" s="1"/>
  <c r="Z122" i="2"/>
  <c r="X128" i="2"/>
  <c r="Z128" i="2"/>
  <c r="X136" i="2"/>
  <c r="X144" i="2"/>
  <c r="Z144" i="2"/>
  <c r="X155" i="2"/>
  <c r="Z155" i="2"/>
  <c r="X163" i="2"/>
  <c r="Z163" i="2"/>
  <c r="X172" i="2"/>
  <c r="Z172" i="2"/>
  <c r="X178" i="2"/>
  <c r="Z178" i="2"/>
  <c r="X185" i="2"/>
  <c r="X197" i="2"/>
  <c r="Z197" i="2"/>
  <c r="X201" i="2"/>
  <c r="X204" i="2"/>
  <c r="Z204" i="2"/>
  <c r="X209" i="2"/>
  <c r="Y209" i="2" s="1"/>
  <c r="Z209" i="2"/>
  <c r="X217" i="2"/>
  <c r="Y217" i="2" s="1"/>
  <c r="Z217" i="2"/>
  <c r="X223" i="2"/>
  <c r="Z223" i="2"/>
  <c r="X230" i="2"/>
  <c r="Y590" i="2" s="1"/>
  <c r="Z230" i="2"/>
  <c r="X241" i="2"/>
  <c r="Z241" i="2"/>
  <c r="X250" i="2"/>
  <c r="Z250" i="2"/>
  <c r="X267" i="2"/>
  <c r="Z267" i="2"/>
  <c r="X271" i="2"/>
  <c r="Z271" i="2"/>
  <c r="X305" i="2"/>
  <c r="Z305" i="2"/>
  <c r="X314" i="2"/>
  <c r="X318" i="2"/>
  <c r="Z318" i="2"/>
  <c r="X322" i="2"/>
  <c r="X326" i="2"/>
  <c r="X330" i="2"/>
  <c r="X334" i="2"/>
  <c r="X338" i="2"/>
  <c r="Z338" i="2"/>
  <c r="X342" i="2"/>
  <c r="X346" i="2"/>
  <c r="X371" i="2"/>
  <c r="Z371" i="2"/>
  <c r="X376" i="2"/>
  <c r="Z376" i="2"/>
  <c r="X380" i="2"/>
  <c r="Z380" i="2"/>
  <c r="X384" i="2"/>
  <c r="Z384" i="2"/>
  <c r="X399" i="2"/>
  <c r="X409" i="2"/>
  <c r="Z409" i="2"/>
  <c r="X410" i="2"/>
  <c r="Y489" i="2" s="1"/>
  <c r="Z410" i="2"/>
  <c r="X414" i="2"/>
  <c r="X418" i="2"/>
  <c r="X449" i="2"/>
  <c r="X469" i="2"/>
  <c r="X492" i="2"/>
  <c r="Z492" i="2"/>
  <c r="X514" i="2"/>
  <c r="Z514" i="2"/>
  <c r="X519" i="2"/>
  <c r="Y546" i="2"/>
  <c r="Y649" i="2"/>
  <c r="Y625" i="2"/>
  <c r="Y624" i="2"/>
  <c r="Y574" i="2"/>
  <c r="Y573" i="2"/>
  <c r="Y560" i="2"/>
  <c r="O56" i="2"/>
  <c r="P56" i="2" s="1"/>
  <c r="Y33" i="2"/>
  <c r="Y551" i="2"/>
  <c r="P76" i="2"/>
  <c r="P485" i="2"/>
  <c r="P487" i="2"/>
  <c r="Y527" i="2"/>
  <c r="Y525" i="2"/>
  <c r="Y517" i="2"/>
  <c r="Y355" i="2"/>
  <c r="Y354" i="2"/>
  <c r="Y453" i="2"/>
  <c r="Y353" i="2"/>
  <c r="Y308" i="2"/>
  <c r="Y352" i="2"/>
  <c r="Y351" i="2"/>
  <c r="Y454" i="2"/>
  <c r="P522" i="2"/>
  <c r="P372" i="2"/>
  <c r="P388" i="2"/>
  <c r="P392" i="2"/>
  <c r="P400" i="2"/>
  <c r="P405" i="2"/>
  <c r="Y500" i="2"/>
  <c r="Y110" i="2"/>
  <c r="P369" i="2"/>
  <c r="P378" i="2"/>
  <c r="P382" i="2"/>
  <c r="X56" i="2"/>
  <c r="X133" i="2"/>
  <c r="P425" i="2"/>
  <c r="P361" i="2"/>
  <c r="P175" i="2"/>
  <c r="P192" i="2"/>
  <c r="P223" i="2"/>
  <c r="P198" i="2"/>
  <c r="P202" i="2"/>
  <c r="P442" i="2"/>
  <c r="P446" i="2"/>
  <c r="P461" i="2"/>
  <c r="P39" i="2"/>
  <c r="P43" i="2"/>
  <c r="P55" i="2"/>
  <c r="P167" i="2"/>
  <c r="P351" i="2"/>
  <c r="P410" i="2"/>
  <c r="P414" i="2"/>
  <c r="P426" i="2"/>
  <c r="P504" i="2"/>
  <c r="P512" i="2"/>
  <c r="P322" i="2"/>
  <c r="P404" i="2"/>
  <c r="P415" i="2"/>
  <c r="P431" i="2"/>
  <c r="P432" i="2"/>
  <c r="P492" i="2"/>
  <c r="P185" i="2"/>
  <c r="P222" i="2"/>
  <c r="P205" i="2"/>
  <c r="P235" i="2"/>
  <c r="P249" i="2"/>
  <c r="P285" i="2"/>
  <c r="P262" i="2"/>
  <c r="P337" i="2"/>
  <c r="P126" i="2"/>
  <c r="P165" i="2"/>
  <c r="P184" i="2"/>
  <c r="P204" i="2"/>
  <c r="P246" i="2"/>
  <c r="P312" i="2"/>
  <c r="P339" i="2"/>
  <c r="P343" i="2"/>
  <c r="P347" i="2"/>
  <c r="P69" i="2"/>
  <c r="P101" i="2"/>
  <c r="P279" i="2"/>
  <c r="P344" i="2"/>
  <c r="P359" i="2"/>
  <c r="P465" i="2"/>
  <c r="P507" i="2"/>
  <c r="P240" i="2"/>
  <c r="P288" i="2"/>
  <c r="P345" i="2"/>
  <c r="P357" i="2"/>
  <c r="P419" i="2"/>
  <c r="P497" i="2"/>
  <c r="P172" i="2"/>
  <c r="P250" i="2"/>
  <c r="P302" i="2"/>
  <c r="L331" i="2"/>
  <c r="M331" i="2" s="1"/>
  <c r="N331" i="2" s="1"/>
  <c r="O12" i="3" s="1"/>
  <c r="P12" i="3" s="1"/>
  <c r="P374" i="2"/>
  <c r="P407" i="2"/>
  <c r="P413" i="2"/>
  <c r="P448" i="2"/>
  <c r="Y488" i="2"/>
  <c r="Y409" i="2"/>
  <c r="P239" i="2"/>
  <c r="P292" i="2"/>
  <c r="P325" i="2"/>
  <c r="P352" i="2"/>
  <c r="P370" i="2"/>
  <c r="P433" i="2"/>
  <c r="P436" i="2"/>
  <c r="P455" i="2"/>
  <c r="P459" i="2"/>
  <c r="P272" i="2"/>
  <c r="P282" i="2"/>
  <c r="P310" i="2"/>
  <c r="P353" i="2"/>
  <c r="P376" i="2"/>
  <c r="P399" i="2"/>
  <c r="P434" i="2"/>
  <c r="P439" i="2"/>
  <c r="P505" i="2"/>
  <c r="P290" i="2"/>
  <c r="P323" i="2"/>
  <c r="P327" i="2"/>
  <c r="P334" i="2"/>
  <c r="P122" i="2"/>
  <c r="P171" i="2"/>
  <c r="P266" i="2"/>
  <c r="P270" i="2"/>
  <c r="P287" i="2"/>
  <c r="P298" i="2"/>
  <c r="P368" i="2"/>
  <c r="P389" i="2"/>
  <c r="P393" i="2"/>
  <c r="P397" i="2"/>
  <c r="P441" i="2"/>
  <c r="P469" i="2"/>
  <c r="P521" i="2"/>
  <c r="P518" i="2"/>
  <c r="P502" i="2"/>
  <c r="P506" i="2"/>
  <c r="P510" i="2"/>
  <c r="P513" i="2"/>
  <c r="P520" i="2"/>
  <c r="P70" i="2"/>
  <c r="P98" i="2"/>
  <c r="P199" i="2"/>
  <c r="P234" i="2"/>
  <c r="P238" i="2"/>
  <c r="P253" i="2"/>
  <c r="P277" i="2"/>
  <c r="P304" i="2"/>
  <c r="P307" i="2"/>
  <c r="P308" i="2"/>
  <c r="P314" i="2"/>
  <c r="P318" i="2"/>
  <c r="P329" i="2"/>
  <c r="P332" i="2"/>
  <c r="P336" i="2"/>
  <c r="P355" i="2"/>
  <c r="P380" i="2"/>
  <c r="P395" i="2"/>
  <c r="P403" i="2"/>
  <c r="P417" i="2"/>
  <c r="P421" i="2"/>
  <c r="P444" i="2"/>
  <c r="P467" i="2"/>
  <c r="P491" i="2"/>
  <c r="P99" i="2"/>
  <c r="P104" i="2"/>
  <c r="P200" i="2"/>
  <c r="P207" i="2"/>
  <c r="P218" i="2"/>
  <c r="P319" i="2"/>
  <c r="P373" i="2"/>
  <c r="P377" i="2"/>
  <c r="P381" i="2"/>
  <c r="P385" i="2"/>
  <c r="P396" i="2"/>
  <c r="P418" i="2"/>
  <c r="P516" i="2"/>
  <c r="P100" i="2"/>
  <c r="P201" i="2"/>
  <c r="P208" i="2"/>
  <c r="P219" i="2"/>
  <c r="L251" i="2"/>
  <c r="M251" i="2" s="1"/>
  <c r="N251" i="2" s="1"/>
  <c r="Z330" i="2" s="1"/>
  <c r="P255" i="2"/>
  <c r="P283" i="2"/>
  <c r="P316" i="2"/>
  <c r="P320" i="2"/>
  <c r="P46" i="2"/>
  <c r="P50" i="2"/>
  <c r="P73" i="2"/>
  <c r="P96" i="2"/>
  <c r="P147" i="2"/>
  <c r="P190" i="2"/>
  <c r="P236" i="2"/>
  <c r="P241" i="2"/>
  <c r="P263" i="2"/>
  <c r="P271" i="2"/>
  <c r="P280" i="2"/>
  <c r="P286" i="2"/>
  <c r="P289" i="2"/>
  <c r="P293" i="2"/>
  <c r="P294" i="2"/>
  <c r="P338" i="2"/>
  <c r="P350" i="2"/>
  <c r="P360" i="2"/>
  <c r="P375" i="2"/>
  <c r="P390" i="2"/>
  <c r="P401" i="2"/>
  <c r="P412" i="2"/>
  <c r="P435" i="2"/>
  <c r="P450" i="2"/>
  <c r="P493" i="2"/>
  <c r="P227" i="2"/>
  <c r="P268" i="2"/>
  <c r="P300" i="2"/>
  <c r="P303" i="2"/>
  <c r="P317" i="2"/>
  <c r="P328" i="2"/>
  <c r="P335" i="2"/>
  <c r="P354" i="2"/>
  <c r="P358" i="2"/>
  <c r="P379" i="2"/>
  <c r="P383" i="2"/>
  <c r="P416" i="2"/>
  <c r="P420" i="2"/>
  <c r="P423" i="2"/>
  <c r="P451" i="2"/>
  <c r="P454" i="2"/>
  <c r="P498" i="2"/>
  <c r="P508" i="2"/>
  <c r="P514" i="2"/>
  <c r="P523" i="2"/>
  <c r="P398" i="2"/>
  <c r="P422" i="2"/>
  <c r="P429" i="2"/>
  <c r="P437" i="2"/>
  <c r="P438" i="2"/>
  <c r="L447" i="2"/>
  <c r="M447" i="2" s="1"/>
  <c r="N447" i="2" s="1"/>
  <c r="P447" i="2" s="1"/>
  <c r="P458" i="2"/>
  <c r="P463" i="2"/>
  <c r="P501" i="2"/>
  <c r="P509" i="2"/>
  <c r="P524" i="2"/>
  <c r="P269" i="2"/>
  <c r="P295" i="2"/>
  <c r="P301" i="2"/>
  <c r="P306" i="2"/>
  <c r="P309" i="2"/>
  <c r="M53" i="2"/>
  <c r="N53" i="2" s="1"/>
  <c r="L256" i="2"/>
  <c r="M256" i="2" s="1"/>
  <c r="N256" i="2" s="1"/>
  <c r="P349" i="2"/>
  <c r="P402" i="2"/>
  <c r="P406" i="2"/>
  <c r="P411" i="2"/>
  <c r="P430" i="2"/>
  <c r="P445" i="2"/>
  <c r="P464" i="2"/>
  <c r="L123" i="2"/>
  <c r="M123" i="2" s="1"/>
  <c r="N123" i="2" s="1"/>
  <c r="Z313" i="2" s="1"/>
  <c r="N12" i="2"/>
  <c r="Z312" i="2" s="1"/>
  <c r="L291" i="2"/>
  <c r="M291" i="2" s="1"/>
  <c r="N291" i="2" s="1"/>
  <c r="Z291" i="2" s="1"/>
  <c r="L364" i="2"/>
  <c r="M364" i="2" s="1"/>
  <c r="N364" i="2" s="1"/>
  <c r="P364" i="2" s="1"/>
  <c r="M61" i="2"/>
  <c r="N61" i="2" s="1"/>
  <c r="P61" i="2" s="1"/>
  <c r="P67" i="2"/>
  <c r="P71" i="2"/>
  <c r="P151" i="2"/>
  <c r="L260" i="2"/>
  <c r="M260" i="2" s="1"/>
  <c r="N260" i="2" s="1"/>
  <c r="P260" i="2" s="1"/>
  <c r="P267" i="2"/>
  <c r="P273" i="2"/>
  <c r="P299" i="2"/>
  <c r="P356" i="2"/>
  <c r="P371" i="2"/>
  <c r="P384" i="2"/>
  <c r="P391" i="2"/>
  <c r="P394" i="2"/>
  <c r="P424" i="2"/>
  <c r="P440" i="2"/>
  <c r="P443" i="2"/>
  <c r="P449" i="2"/>
  <c r="N33" i="2"/>
  <c r="P146" i="2"/>
  <c r="P191" i="2"/>
  <c r="P197" i="2"/>
  <c r="P232" i="2"/>
  <c r="P243" i="2"/>
  <c r="P284" i="2"/>
  <c r="P296" i="2"/>
  <c r="P311" i="2"/>
  <c r="P330" i="2"/>
  <c r="P340" i="2"/>
  <c r="P362" i="2"/>
  <c r="P365" i="2"/>
  <c r="P452" i="2"/>
  <c r="P453" i="2"/>
  <c r="P457" i="2"/>
  <c r="P468" i="2"/>
  <c r="P511" i="2"/>
  <c r="P519" i="2"/>
  <c r="P16" i="2"/>
  <c r="M3" i="2"/>
  <c r="N3" i="2" s="1"/>
  <c r="P18" i="2"/>
  <c r="P26" i="2"/>
  <c r="M58" i="2"/>
  <c r="N58" i="2" s="1"/>
  <c r="P79" i="2"/>
  <c r="P131" i="2"/>
  <c r="M8" i="2"/>
  <c r="N8" i="2" s="1"/>
  <c r="P8" i="2" s="1"/>
  <c r="P64" i="2"/>
  <c r="P80" i="2"/>
  <c r="M36" i="2"/>
  <c r="N36" i="2" s="1"/>
  <c r="P36" i="2" s="1"/>
  <c r="P28" i="2"/>
  <c r="M47" i="2"/>
  <c r="N47" i="2" s="1"/>
  <c r="P47" i="2" s="1"/>
  <c r="M65" i="2"/>
  <c r="N65" i="2" s="1"/>
  <c r="P65" i="2" s="1"/>
  <c r="P89" i="2"/>
  <c r="M9" i="2"/>
  <c r="N9" i="2" s="1"/>
  <c r="Z219" i="2" s="1"/>
  <c r="M37" i="2"/>
  <c r="N37" i="2" s="1"/>
  <c r="M41" i="2"/>
  <c r="N41" i="2" s="1"/>
  <c r="M60" i="2"/>
  <c r="N60" i="2" s="1"/>
  <c r="P82" i="2"/>
  <c r="P90" i="2"/>
  <c r="M4" i="2"/>
  <c r="N4" i="2" s="1"/>
  <c r="P4" i="2" s="1"/>
  <c r="P14" i="2"/>
  <c r="P30" i="2"/>
  <c r="P75" i="2"/>
  <c r="P83" i="2"/>
  <c r="M6" i="2"/>
  <c r="N6" i="2" s="1"/>
  <c r="P6" i="2" s="1"/>
  <c r="M38" i="2"/>
  <c r="N38" i="2" s="1"/>
  <c r="P38" i="2" s="1"/>
  <c r="M42" i="2"/>
  <c r="N42" i="2" s="1"/>
  <c r="Z43" i="2" s="1"/>
  <c r="P84" i="2"/>
  <c r="P92" i="2"/>
  <c r="P117" i="2"/>
  <c r="P24" i="2"/>
  <c r="Z127" i="2"/>
  <c r="P77" i="2"/>
  <c r="P93" i="2"/>
  <c r="P134" i="2"/>
  <c r="M7" i="2"/>
  <c r="N7" i="2" s="1"/>
  <c r="P7" i="2" s="1"/>
  <c r="P34" i="2"/>
  <c r="P62" i="2"/>
  <c r="P78" i="2"/>
  <c r="P94" i="2"/>
  <c r="P105" i="2"/>
  <c r="N45" i="2"/>
  <c r="N49" i="2"/>
  <c r="P49" i="2" s="1"/>
  <c r="N52" i="2"/>
  <c r="P52" i="2" s="1"/>
  <c r="N59" i="2"/>
  <c r="P59" i="2" s="1"/>
  <c r="N11" i="2"/>
  <c r="M13" i="2"/>
  <c r="N13" i="2" s="1"/>
  <c r="M15" i="2"/>
  <c r="N15" i="2" s="1"/>
  <c r="Z184" i="2" s="1"/>
  <c r="M17" i="2"/>
  <c r="N17" i="2" s="1"/>
  <c r="M19" i="2"/>
  <c r="N19" i="2" s="1"/>
  <c r="Z280" i="2" s="1"/>
  <c r="M21" i="2"/>
  <c r="N21" i="2" s="1"/>
  <c r="M23" i="2"/>
  <c r="N23" i="2" s="1"/>
  <c r="M25" i="2"/>
  <c r="N25" i="2" s="1"/>
  <c r="M27" i="2"/>
  <c r="N27" i="2" s="1"/>
  <c r="M29" i="2"/>
  <c r="N29" i="2" s="1"/>
  <c r="M31" i="2"/>
  <c r="N31" i="2" s="1"/>
  <c r="M44" i="2"/>
  <c r="N44" i="2" s="1"/>
  <c r="M48" i="2"/>
  <c r="N48" i="2" s="1"/>
  <c r="P48" i="2" s="1"/>
  <c r="M54" i="2"/>
  <c r="N54" i="2" s="1"/>
  <c r="Z314" i="2" s="1"/>
  <c r="M63" i="2"/>
  <c r="N63" i="2" s="1"/>
  <c r="M40" i="2"/>
  <c r="N40" i="2" s="1"/>
  <c r="Z40" i="2" s="1"/>
  <c r="M51" i="2"/>
  <c r="N51" i="2" s="1"/>
  <c r="N5" i="2"/>
  <c r="N35" i="2"/>
  <c r="L203" i="2"/>
  <c r="M203" i="2" s="1"/>
  <c r="N203" i="2" s="1"/>
  <c r="Z203" i="2" s="1"/>
  <c r="P127" i="2"/>
  <c r="P209" i="2"/>
  <c r="P189" i="2"/>
  <c r="P477" i="2"/>
  <c r="L247" i="2"/>
  <c r="M247" i="2" s="1"/>
  <c r="N247" i="2" s="1"/>
  <c r="L258" i="2"/>
  <c r="M258" i="2" s="1"/>
  <c r="N258" i="2" s="1"/>
  <c r="P258" i="2" s="1"/>
  <c r="L265" i="2"/>
  <c r="M265" i="2" s="1"/>
  <c r="N265" i="2" s="1"/>
  <c r="Z265" i="2" s="1"/>
  <c r="P305" i="2"/>
  <c r="P367" i="2"/>
  <c r="P473" i="2"/>
  <c r="L257" i="2"/>
  <c r="M257" i="2" s="1"/>
  <c r="N257" i="2" s="1"/>
  <c r="Z257" i="2" s="1"/>
  <c r="L261" i="2"/>
  <c r="M261" i="2" s="1"/>
  <c r="N261" i="2" s="1"/>
  <c r="Z261" i="2" s="1"/>
  <c r="L281" i="2"/>
  <c r="M281" i="2" s="1"/>
  <c r="N281" i="2" s="1"/>
  <c r="P281" i="2" s="1"/>
  <c r="P479" i="2"/>
  <c r="L278" i="2"/>
  <c r="M278" i="2" s="1"/>
  <c r="N278" i="2" s="1"/>
  <c r="Z444" i="2" s="1"/>
  <c r="P480" i="2"/>
  <c r="P481" i="2"/>
  <c r="L226" i="2"/>
  <c r="M226" i="2" s="1"/>
  <c r="N226" i="2" s="1"/>
  <c r="P226" i="2" s="1"/>
  <c r="L252" i="2"/>
  <c r="M252" i="2" s="1"/>
  <c r="N252" i="2" s="1"/>
  <c r="P252" i="2" s="1"/>
  <c r="L333" i="2"/>
  <c r="M333" i="2" s="1"/>
  <c r="N333" i="2" s="1"/>
  <c r="Z333" i="2" s="1"/>
  <c r="P363" i="2"/>
  <c r="P482" i="2"/>
  <c r="P297" i="2"/>
  <c r="P346" i="2"/>
  <c r="P472" i="2"/>
  <c r="L386" i="2"/>
  <c r="M386" i="2" s="1"/>
  <c r="N386" i="2" s="1"/>
  <c r="Z505" i="2" s="1"/>
  <c r="L321" i="2"/>
  <c r="M321" i="2" s="1"/>
  <c r="N321" i="2" s="1"/>
  <c r="Z321" i="2" s="1"/>
  <c r="P428" i="2"/>
  <c r="P470" i="2"/>
  <c r="P486" i="2"/>
  <c r="L324" i="2"/>
  <c r="M324" i="2" s="1"/>
  <c r="N324" i="2" s="1"/>
  <c r="Z325" i="2" s="1"/>
  <c r="L342" i="2"/>
  <c r="M342" i="2" s="1"/>
  <c r="N342" i="2" s="1"/>
  <c r="Z496" i="2" s="1"/>
  <c r="L315" i="2"/>
  <c r="M315" i="2" s="1"/>
  <c r="N315" i="2" s="1"/>
  <c r="Z498" i="2" s="1"/>
  <c r="L341" i="2"/>
  <c r="M341" i="2" s="1"/>
  <c r="N341" i="2" s="1"/>
  <c r="P341" i="2" s="1"/>
  <c r="P462" i="2"/>
  <c r="P466" i="2"/>
  <c r="P478" i="2"/>
  <c r="Y1189" i="2" l="1"/>
  <c r="Z1189" i="2"/>
  <c r="F3" i="21"/>
  <c r="O3" i="21"/>
  <c r="P3" i="21" s="1"/>
  <c r="Z344" i="2"/>
  <c r="F3" i="3"/>
  <c r="O14" i="3"/>
  <c r="P14" i="3" s="1"/>
  <c r="F14" i="3"/>
  <c r="O28" i="3"/>
  <c r="P28" i="3" s="1"/>
  <c r="O13" i="3"/>
  <c r="P13" i="3" s="1"/>
  <c r="F29" i="3"/>
  <c r="F27" i="3"/>
  <c r="O22" i="3"/>
  <c r="P22" i="3" s="1"/>
  <c r="O39" i="3"/>
  <c r="P39" i="3" s="1"/>
  <c r="F32" i="3"/>
  <c r="O10" i="3"/>
  <c r="P10" i="3" s="1"/>
  <c r="F10" i="3"/>
  <c r="F33" i="3"/>
  <c r="O29" i="3"/>
  <c r="P29" i="3" s="1"/>
  <c r="O27" i="3"/>
  <c r="P27" i="3" s="1"/>
  <c r="F9" i="3"/>
  <c r="O32" i="3"/>
  <c r="P32" i="3" s="1"/>
  <c r="Z475" i="2"/>
  <c r="O7" i="3"/>
  <c r="P7" i="3" s="1"/>
  <c r="F7" i="3"/>
  <c r="F12" i="3"/>
  <c r="O33" i="3"/>
  <c r="P33" i="3" s="1"/>
  <c r="F25" i="3"/>
  <c r="F6" i="3"/>
  <c r="O9" i="3"/>
  <c r="P9" i="3" s="1"/>
  <c r="F30" i="3"/>
  <c r="O15" i="3"/>
  <c r="P15" i="3" s="1"/>
  <c r="F15" i="3"/>
  <c r="F38" i="3"/>
  <c r="O25" i="3"/>
  <c r="P25" i="3" s="1"/>
  <c r="O6" i="3"/>
  <c r="P6" i="3" s="1"/>
  <c r="F16" i="3"/>
  <c r="O30" i="3"/>
  <c r="P30" i="3" s="1"/>
  <c r="F4" i="3"/>
  <c r="O38" i="3"/>
  <c r="P38" i="3" s="1"/>
  <c r="F31" i="3"/>
  <c r="F40" i="3"/>
  <c r="O16" i="3"/>
  <c r="P16" i="3" s="1"/>
  <c r="F37" i="3"/>
  <c r="O20" i="3"/>
  <c r="P20" i="3" s="1"/>
  <c r="F20" i="3"/>
  <c r="O18" i="3"/>
  <c r="P18" i="3" s="1"/>
  <c r="F18" i="3"/>
  <c r="O4" i="3"/>
  <c r="P4" i="3" s="1"/>
  <c r="F26" i="3"/>
  <c r="O31" i="3"/>
  <c r="P31" i="3" s="1"/>
  <c r="O40" i="3"/>
  <c r="P40" i="3" s="1"/>
  <c r="F34" i="3"/>
  <c r="O37" i="3"/>
  <c r="P37" i="3" s="1"/>
  <c r="O36" i="3"/>
  <c r="P36" i="3" s="1"/>
  <c r="F36" i="3"/>
  <c r="O19" i="3"/>
  <c r="P19" i="3" s="1"/>
  <c r="F19" i="3"/>
  <c r="O5" i="3"/>
  <c r="P5" i="3" s="1"/>
  <c r="F5" i="3"/>
  <c r="O26" i="3"/>
  <c r="P26" i="3" s="1"/>
  <c r="F8" i="3"/>
  <c r="F23" i="3"/>
  <c r="O34" i="3"/>
  <c r="P34" i="3" s="1"/>
  <c r="F21" i="3"/>
  <c r="O24" i="3"/>
  <c r="P24" i="3" s="1"/>
  <c r="F24" i="3"/>
  <c r="O11" i="3"/>
  <c r="P11" i="3" s="1"/>
  <c r="F11" i="3"/>
  <c r="O17" i="3"/>
  <c r="P17" i="3" s="1"/>
  <c r="F17" i="3"/>
  <c r="F28" i="3"/>
  <c r="F13" i="3"/>
  <c r="O8" i="3"/>
  <c r="P8" i="3" s="1"/>
  <c r="O23" i="3"/>
  <c r="P23" i="3" s="1"/>
  <c r="F22" i="3"/>
  <c r="F39" i="3"/>
  <c r="O21" i="3"/>
  <c r="P21" i="3" s="1"/>
  <c r="Z1170" i="2"/>
  <c r="Y1170" i="2"/>
  <c r="Z1164" i="2"/>
  <c r="P326" i="2"/>
  <c r="Z196" i="2"/>
  <c r="Z195" i="2"/>
  <c r="Z1155" i="2"/>
  <c r="P515" i="2"/>
  <c r="P427" i="2"/>
  <c r="Y1155" i="2"/>
  <c r="Y1149" i="2"/>
  <c r="Z1149" i="2"/>
  <c r="Y1148" i="2"/>
  <c r="Z1148" i="2"/>
  <c r="Y1129" i="2"/>
  <c r="Y1146" i="2"/>
  <c r="Z1146" i="2"/>
  <c r="Z967" i="2"/>
  <c r="Z1144" i="2"/>
  <c r="Y833" i="2"/>
  <c r="P494" i="2"/>
  <c r="Z519" i="2"/>
  <c r="P242" i="2"/>
  <c r="Z268" i="2"/>
  <c r="Y1127" i="2"/>
  <c r="Z1129" i="2"/>
  <c r="Z1127" i="2"/>
  <c r="Y1126" i="2"/>
  <c r="Z1126" i="2"/>
  <c r="Y1125" i="2"/>
  <c r="Z1125" i="2"/>
  <c r="Y1124" i="2"/>
  <c r="Z1124" i="2"/>
  <c r="Y1123" i="2"/>
  <c r="Y1122" i="2"/>
  <c r="Z1123" i="2"/>
  <c r="Z1122" i="2"/>
  <c r="Y1121" i="2"/>
  <c r="Z1121" i="2"/>
  <c r="Y1112" i="2"/>
  <c r="Z1112" i="2"/>
  <c r="Z1108" i="2"/>
  <c r="Y1109" i="2"/>
  <c r="Y1108" i="2"/>
  <c r="Z1109" i="2"/>
  <c r="Y827" i="2"/>
  <c r="Y1107" i="2"/>
  <c r="Z1107" i="2"/>
  <c r="Y1098" i="2"/>
  <c r="Z1098" i="2"/>
  <c r="Y1093" i="2"/>
  <c r="Z1093" i="2"/>
  <c r="P194" i="2"/>
  <c r="Z523" i="2"/>
  <c r="Y427" i="2"/>
  <c r="Z388" i="2"/>
  <c r="Y186" i="2"/>
  <c r="Y1031" i="2"/>
  <c r="Z1031" i="2"/>
  <c r="Y1029" i="2"/>
  <c r="Z1029" i="2"/>
  <c r="Y388" i="2"/>
  <c r="Z194" i="2"/>
  <c r="Y445" i="2"/>
  <c r="Y638" i="2"/>
  <c r="Z411" i="2"/>
  <c r="Z445" i="2"/>
  <c r="Z427" i="2"/>
  <c r="Z515" i="2"/>
  <c r="Z521" i="2"/>
  <c r="Y1019" i="2"/>
  <c r="Z1019" i="2"/>
  <c r="Z992" i="2"/>
  <c r="Y1012" i="2"/>
  <c r="Y1003" i="2"/>
  <c r="Y103" i="2"/>
  <c r="Z326" i="2"/>
  <c r="Z328" i="2"/>
  <c r="Y1011" i="2"/>
  <c r="Y1010" i="2"/>
  <c r="Y28" i="2"/>
  <c r="Y1006" i="2"/>
  <c r="Z1006" i="2"/>
  <c r="Y1002" i="2"/>
  <c r="Z1002" i="2"/>
  <c r="Y1000" i="2"/>
  <c r="Z1000" i="2"/>
  <c r="Z995" i="2"/>
  <c r="Y997" i="2"/>
  <c r="Y29" i="2"/>
  <c r="Y995" i="2"/>
  <c r="Y996" i="2"/>
  <c r="Y947" i="2"/>
  <c r="Y132" i="2"/>
  <c r="Y981" i="2"/>
  <c r="Y978" i="2"/>
  <c r="Y980" i="2"/>
  <c r="Y979" i="2"/>
  <c r="Z980" i="2"/>
  <c r="Z979" i="2"/>
  <c r="Y977" i="2"/>
  <c r="Y420" i="2"/>
  <c r="P499" i="2"/>
  <c r="Y356" i="2"/>
  <c r="Z499" i="2"/>
  <c r="Y167" i="2"/>
  <c r="Z504" i="2"/>
  <c r="P503" i="2"/>
  <c r="Z449" i="2"/>
  <c r="Y357" i="2"/>
  <c r="P366" i="2"/>
  <c r="Y255" i="2"/>
  <c r="Y930" i="2"/>
  <c r="P259" i="2"/>
  <c r="Y834" i="2"/>
  <c r="Y893" i="2"/>
  <c r="Y874" i="2"/>
  <c r="Z327" i="2"/>
  <c r="Z947" i="2"/>
  <c r="Y937" i="2"/>
  <c r="Y934" i="2"/>
  <c r="Y602" i="2"/>
  <c r="Y920" i="2"/>
  <c r="Z899" i="2"/>
  <c r="Z930" i="2"/>
  <c r="Z633" i="2"/>
  <c r="Y922" i="2"/>
  <c r="Z468" i="2"/>
  <c r="Z926" i="2"/>
  <c r="Z924" i="2"/>
  <c r="Z923" i="2"/>
  <c r="Z925" i="2"/>
  <c r="Y921" i="2"/>
  <c r="Z920" i="2"/>
  <c r="Y926" i="2"/>
  <c r="Y923" i="2"/>
  <c r="Y925" i="2"/>
  <c r="Y924" i="2"/>
  <c r="Z921" i="2"/>
  <c r="Z922" i="2"/>
  <c r="Y919" i="2"/>
  <c r="Y916" i="2"/>
  <c r="Z916" i="2"/>
  <c r="Y895" i="2"/>
  <c r="Y910" i="2"/>
  <c r="Z373" i="2"/>
  <c r="Z910" i="2"/>
  <c r="Z238" i="2"/>
  <c r="Z913" i="2"/>
  <c r="Y913" i="2"/>
  <c r="Y911" i="2"/>
  <c r="Y912" i="2"/>
  <c r="Y907" i="2"/>
  <c r="Z907" i="2"/>
  <c r="Y906" i="2"/>
  <c r="Z906" i="2"/>
  <c r="Y904" i="2"/>
  <c r="Y432" i="2"/>
  <c r="Y871" i="2"/>
  <c r="Z28" i="2"/>
  <c r="Z904" i="2"/>
  <c r="Y903" i="2"/>
  <c r="Z903" i="2"/>
  <c r="Z900" i="2"/>
  <c r="Y900" i="2"/>
  <c r="Y598" i="2"/>
  <c r="Y887" i="2"/>
  <c r="Y812" i="2"/>
  <c r="Y899" i="2"/>
  <c r="Y888" i="2"/>
  <c r="Y682" i="2"/>
  <c r="Y896" i="2"/>
  <c r="Y894" i="2"/>
  <c r="Z892" i="2"/>
  <c r="Y892" i="2"/>
  <c r="Z885" i="2"/>
  <c r="Z890" i="2"/>
  <c r="Y889" i="2"/>
  <c r="Z889" i="2"/>
  <c r="Z887" i="2"/>
  <c r="Y881" i="2"/>
  <c r="Z881" i="2"/>
  <c r="Y880" i="2"/>
  <c r="Y879" i="2"/>
  <c r="Y878" i="2"/>
  <c r="Y877" i="2"/>
  <c r="Y876" i="2"/>
  <c r="Y875" i="2"/>
  <c r="Z51" i="2"/>
  <c r="Z876" i="2"/>
  <c r="Z880" i="2"/>
  <c r="Z879" i="2"/>
  <c r="Z875" i="2"/>
  <c r="Z878" i="2"/>
  <c r="Z877" i="2"/>
  <c r="Z874" i="2"/>
  <c r="Y870" i="2"/>
  <c r="Z869" i="2"/>
  <c r="Y869" i="2"/>
  <c r="Y864" i="2"/>
  <c r="Y857" i="2"/>
  <c r="Y856" i="2"/>
  <c r="Z857" i="2"/>
  <c r="Z856" i="2"/>
  <c r="Z854" i="2"/>
  <c r="Y854" i="2"/>
  <c r="Y628" i="2"/>
  <c r="Y849" i="2"/>
  <c r="Z849" i="2"/>
  <c r="Y848" i="2"/>
  <c r="Z848" i="2"/>
  <c r="Y847" i="2"/>
  <c r="Z847" i="2"/>
  <c r="Y844" i="2"/>
  <c r="Y843" i="2"/>
  <c r="Y832" i="2"/>
  <c r="Y838" i="2"/>
  <c r="Y835" i="2"/>
  <c r="Y837" i="2"/>
  <c r="Z837" i="2"/>
  <c r="Z835" i="2"/>
  <c r="Y831" i="2"/>
  <c r="Z817" i="2"/>
  <c r="Y312" i="2"/>
  <c r="Y20" i="2"/>
  <c r="Y828" i="2"/>
  <c r="Z827" i="2"/>
  <c r="Y541" i="2"/>
  <c r="Y824" i="2"/>
  <c r="Y825" i="2"/>
  <c r="Y823" i="2"/>
  <c r="Z823" i="2"/>
  <c r="Z825" i="2"/>
  <c r="Y822" i="2"/>
  <c r="Z822" i="2"/>
  <c r="Y821" i="2"/>
  <c r="Z821" i="2"/>
  <c r="Y820" i="2"/>
  <c r="Y817" i="2"/>
  <c r="Y816" i="2"/>
  <c r="Y815" i="2"/>
  <c r="Y814" i="2"/>
  <c r="Y813" i="2"/>
  <c r="Z44" i="2"/>
  <c r="Z812" i="2"/>
  <c r="Y809" i="2"/>
  <c r="Z809" i="2"/>
  <c r="Y419" i="2"/>
  <c r="Z804" i="2"/>
  <c r="Y633" i="2"/>
  <c r="Y806" i="2"/>
  <c r="Z806" i="2"/>
  <c r="Y805" i="2"/>
  <c r="Y529" i="2"/>
  <c r="Y804" i="2"/>
  <c r="Y801" i="2"/>
  <c r="Y796" i="2"/>
  <c r="Y797" i="2"/>
  <c r="Y798" i="2"/>
  <c r="Y799" i="2"/>
  <c r="Y800" i="2"/>
  <c r="Y795" i="2"/>
  <c r="Z795" i="2"/>
  <c r="Y119" i="2"/>
  <c r="Y789" i="2"/>
  <c r="Z789" i="2"/>
  <c r="Y788" i="2"/>
  <c r="Y495" i="2"/>
  <c r="Y462" i="2"/>
  <c r="Y219" i="2"/>
  <c r="Y341" i="2"/>
  <c r="Y126" i="2"/>
  <c r="Z554" i="2"/>
  <c r="Z259" i="2"/>
  <c r="Z766" i="2"/>
  <c r="Z788" i="2"/>
  <c r="Z787" i="2"/>
  <c r="Y786" i="2"/>
  <c r="Y785" i="2"/>
  <c r="Y784" i="2"/>
  <c r="Z786" i="2"/>
  <c r="Z784" i="2"/>
  <c r="Z785" i="2"/>
  <c r="Y417" i="2"/>
  <c r="Z16" i="2"/>
  <c r="Y494" i="2"/>
  <c r="Y41" i="2"/>
  <c r="Y306" i="2"/>
  <c r="Y406" i="2"/>
  <c r="Y553" i="2"/>
  <c r="Y780" i="2"/>
  <c r="Y61" i="2"/>
  <c r="Y235" i="2"/>
  <c r="Y781" i="2"/>
  <c r="Y471" i="2"/>
  <c r="Z781" i="2"/>
  <c r="Y405" i="2"/>
  <c r="Y115" i="2"/>
  <c r="Y779" i="2"/>
  <c r="Y778" i="2"/>
  <c r="Y777" i="2"/>
  <c r="Y76" i="2"/>
  <c r="Y358" i="2"/>
  <c r="Y402" i="2"/>
  <c r="Y651" i="2"/>
  <c r="Z518" i="2"/>
  <c r="Y221" i="2"/>
  <c r="Y87" i="2"/>
  <c r="Z366" i="2"/>
  <c r="Y377" i="2"/>
  <c r="Y261" i="2"/>
  <c r="Z243" i="2"/>
  <c r="Z631" i="2"/>
  <c r="Z82" i="2"/>
  <c r="Z18" i="2"/>
  <c r="Z778" i="2"/>
  <c r="Y299" i="2"/>
  <c r="Y644" i="2"/>
  <c r="Y442" i="2"/>
  <c r="Z368" i="2"/>
  <c r="Z84" i="2"/>
  <c r="Z777" i="2"/>
  <c r="Z503" i="2"/>
  <c r="Z412" i="2"/>
  <c r="Z495" i="2"/>
  <c r="Z494" i="2"/>
  <c r="Y259" i="2"/>
  <c r="Z242" i="2"/>
  <c r="Z367" i="2"/>
  <c r="Z246" i="2"/>
  <c r="Z76" i="2"/>
  <c r="Y515" i="2"/>
  <c r="Y325" i="2"/>
  <c r="Y632" i="2"/>
  <c r="Y359" i="2"/>
  <c r="Y26" i="2"/>
  <c r="Y761" i="2"/>
  <c r="Y303" i="2"/>
  <c r="Y88" i="2"/>
  <c r="Y278" i="2"/>
  <c r="Y775" i="2"/>
  <c r="Y770" i="2"/>
  <c r="Y771" i="2"/>
  <c r="Y774" i="2"/>
  <c r="Y773" i="2"/>
  <c r="Y772" i="2"/>
  <c r="Y769" i="2"/>
  <c r="Y768" i="2"/>
  <c r="Y760" i="2"/>
  <c r="Y758" i="2"/>
  <c r="Z758" i="2"/>
  <c r="Y759" i="2"/>
  <c r="Z759" i="2"/>
  <c r="Y757" i="2"/>
  <c r="Y754" i="2"/>
  <c r="Y756" i="2"/>
  <c r="Y755" i="2"/>
  <c r="Z755" i="2"/>
  <c r="Z757" i="2"/>
  <c r="Z756" i="2"/>
  <c r="Z754" i="2"/>
  <c r="Z92" i="2"/>
  <c r="Y648" i="2"/>
  <c r="Y752" i="2"/>
  <c r="Y751" i="2"/>
  <c r="Y750" i="2"/>
  <c r="Z752" i="2"/>
  <c r="Y250" i="2"/>
  <c r="Y749" i="2"/>
  <c r="Y737" i="2"/>
  <c r="Y736" i="2"/>
  <c r="Y738" i="2"/>
  <c r="Y287" i="2"/>
  <c r="Y739" i="2"/>
  <c r="Y741" i="2"/>
  <c r="Y740" i="2"/>
  <c r="Y748" i="2"/>
  <c r="Y743" i="2"/>
  <c r="Y742" i="2"/>
  <c r="Y746" i="2"/>
  <c r="Y732" i="2"/>
  <c r="Y731" i="2"/>
  <c r="Y332" i="2"/>
  <c r="Y319" i="2"/>
  <c r="Y59" i="2"/>
  <c r="Y238" i="2"/>
  <c r="Y22" i="2"/>
  <c r="Y307" i="2"/>
  <c r="Y538" i="2"/>
  <c r="Y40" i="2"/>
  <c r="Y75" i="2"/>
  <c r="Y555" i="2"/>
  <c r="Y376" i="2"/>
  <c r="Y373" i="2"/>
  <c r="Y51" i="2"/>
  <c r="Y347" i="2"/>
  <c r="Y97" i="2"/>
  <c r="Y483" i="2"/>
  <c r="Y363" i="2"/>
  <c r="Y537" i="2"/>
  <c r="Y305" i="2"/>
  <c r="Y302" i="2"/>
  <c r="Y267" i="2"/>
  <c r="Y260" i="2"/>
  <c r="Y67" i="2"/>
  <c r="Y323" i="2"/>
  <c r="Y533" i="2"/>
  <c r="Y635" i="2"/>
  <c r="Y398" i="2"/>
  <c r="Y361" i="2"/>
  <c r="Y124" i="2"/>
  <c r="Y244" i="2"/>
  <c r="Y118" i="2"/>
  <c r="Y447" i="2"/>
  <c r="Y310" i="2"/>
  <c r="Y552" i="2"/>
  <c r="Y213" i="2"/>
  <c r="Y725" i="2"/>
  <c r="Y212" i="2"/>
  <c r="Y724" i="2"/>
  <c r="Y211" i="2"/>
  <c r="Y723" i="2"/>
  <c r="Y210" i="2"/>
  <c r="Y722" i="2"/>
  <c r="Y297" i="2"/>
  <c r="Y37" i="2"/>
  <c r="Y268" i="2"/>
  <c r="Y5" i="2"/>
  <c r="Y349" i="2"/>
  <c r="Y9" i="2"/>
  <c r="Y331" i="2"/>
  <c r="Y265" i="2"/>
  <c r="Y236" i="2"/>
  <c r="Y416" i="2"/>
  <c r="Y34" i="2"/>
  <c r="Y63" i="2"/>
  <c r="Y439" i="2"/>
  <c r="Y539" i="2"/>
  <c r="Y631" i="2"/>
  <c r="Y43" i="2"/>
  <c r="Y79" i="2"/>
  <c r="Y444" i="2"/>
  <c r="Z717" i="2"/>
  <c r="Y718" i="2"/>
  <c r="Y717" i="2"/>
  <c r="Z718" i="2"/>
  <c r="Z716" i="2"/>
  <c r="Y715" i="2"/>
  <c r="Y716" i="2"/>
  <c r="Z715" i="2"/>
  <c r="Y42" i="2"/>
  <c r="Y279" i="2"/>
  <c r="Y72" i="2"/>
  <c r="Y461" i="2"/>
  <c r="Y38" i="2"/>
  <c r="Y284" i="2"/>
  <c r="Y714" i="2"/>
  <c r="Z714" i="2"/>
  <c r="Y16" i="2"/>
  <c r="Y645" i="2"/>
  <c r="Y469" i="2"/>
  <c r="Z576" i="2"/>
  <c r="Y518" i="2"/>
  <c r="Y321" i="2"/>
  <c r="Y626" i="2"/>
  <c r="Y370" i="2"/>
  <c r="Y109" i="2"/>
  <c r="Y424" i="2"/>
  <c r="Y575" i="2"/>
  <c r="Y505" i="2"/>
  <c r="Y8" i="2"/>
  <c r="Y190" i="2"/>
  <c r="Y604" i="2"/>
  <c r="Y365" i="2"/>
  <c r="Y599" i="2"/>
  <c r="Y60" i="2"/>
  <c r="Z248" i="2"/>
  <c r="Z710" i="2"/>
  <c r="Y710" i="2"/>
  <c r="Y708" i="2"/>
  <c r="Y709" i="2"/>
  <c r="Y707" i="2"/>
  <c r="Y706" i="2"/>
  <c r="Z706" i="2"/>
  <c r="Y389" i="2"/>
  <c r="Y290" i="2"/>
  <c r="Y324" i="2"/>
  <c r="Y436" i="2"/>
  <c r="Y30" i="2"/>
  <c r="Y58" i="2"/>
  <c r="Y397" i="2"/>
  <c r="Y19" i="2"/>
  <c r="Y35" i="2"/>
  <c r="Y433" i="2"/>
  <c r="Y85" i="2"/>
  <c r="Y498" i="2"/>
  <c r="Y681" i="2"/>
  <c r="Y149" i="2"/>
  <c r="Y280" i="2"/>
  <c r="Y601" i="2"/>
  <c r="Y304" i="2"/>
  <c r="Y198" i="2"/>
  <c r="Y563" i="2"/>
  <c r="Y687" i="2"/>
  <c r="Y686" i="2"/>
  <c r="Y136" i="2"/>
  <c r="Y252" i="2"/>
  <c r="Y104" i="2"/>
  <c r="Y39" i="2"/>
  <c r="Y512" i="2"/>
  <c r="Y94" i="2"/>
  <c r="Y285" i="2"/>
  <c r="Y54" i="2"/>
  <c r="Y138" i="2"/>
  <c r="Y171" i="2"/>
  <c r="Y605" i="2"/>
  <c r="Y315" i="2"/>
  <c r="Y374" i="2"/>
  <c r="Y241" i="2"/>
  <c r="Z677" i="2"/>
  <c r="Y233" i="2"/>
  <c r="Y329" i="2"/>
  <c r="Y82" i="2"/>
  <c r="Y106" i="2"/>
  <c r="Y470" i="2"/>
  <c r="Y234" i="2"/>
  <c r="Y677" i="2"/>
  <c r="Y381" i="2"/>
  <c r="Y15" i="2"/>
  <c r="Y511" i="2"/>
  <c r="Y100" i="2"/>
  <c r="Y81" i="2"/>
  <c r="Y671" i="2"/>
  <c r="Y670" i="2"/>
  <c r="Y669" i="2"/>
  <c r="Y668" i="2"/>
  <c r="Z668" i="2"/>
  <c r="Y667" i="2"/>
  <c r="Z667" i="2"/>
  <c r="Y230" i="2"/>
  <c r="Y185" i="2"/>
  <c r="Y282" i="2"/>
  <c r="Y410" i="2"/>
  <c r="Y316" i="2"/>
  <c r="Y298" i="2"/>
  <c r="Y326" i="2"/>
  <c r="Y540" i="2"/>
  <c r="Y637" i="2"/>
  <c r="Y396" i="2"/>
  <c r="Y665" i="2"/>
  <c r="Y108" i="2"/>
  <c r="Y448" i="2"/>
  <c r="Y394" i="2"/>
  <c r="Y467" i="2"/>
  <c r="Y379" i="2"/>
  <c r="Y254" i="2"/>
  <c r="Y327" i="2"/>
  <c r="Y258" i="2"/>
  <c r="Y333" i="2"/>
  <c r="Y47" i="2"/>
  <c r="Y148" i="2"/>
  <c r="Y64" i="2"/>
  <c r="Y203" i="2"/>
  <c r="Y523" i="2"/>
  <c r="Y50" i="2"/>
  <c r="Y526" i="2"/>
  <c r="Y292" i="2"/>
  <c r="Y226" i="2"/>
  <c r="Y150" i="2"/>
  <c r="Y582" i="2"/>
  <c r="Y338" i="2"/>
  <c r="Y328" i="2"/>
  <c r="Y580" i="2"/>
  <c r="Y457" i="2"/>
  <c r="Y281" i="2"/>
  <c r="Y503" i="2"/>
  <c r="Y251" i="2"/>
  <c r="Y25" i="2"/>
  <c r="Y245" i="2"/>
  <c r="Y184" i="2"/>
  <c r="Y195" i="2"/>
  <c r="Y345" i="2"/>
  <c r="Y496" i="2"/>
  <c r="Y12" i="2"/>
  <c r="Y90" i="2"/>
  <c r="Y452" i="2"/>
  <c r="Y23" i="2"/>
  <c r="Y314" i="2"/>
  <c r="Y430" i="2"/>
  <c r="Y320" i="2"/>
  <c r="Y391" i="2"/>
  <c r="Y502" i="2"/>
  <c r="Y501" i="2"/>
  <c r="Y418" i="2"/>
  <c r="Y451" i="2"/>
  <c r="Y429" i="2"/>
  <c r="Y46" i="2"/>
  <c r="Y89" i="2"/>
  <c r="Y426" i="2"/>
  <c r="Y504" i="2"/>
  <c r="Y364" i="2"/>
  <c r="Y301" i="2"/>
  <c r="Y249" i="2"/>
  <c r="Y84" i="2"/>
  <c r="Y317" i="2"/>
  <c r="Y294" i="2"/>
  <c r="Y270" i="2"/>
  <c r="Y283" i="2"/>
  <c r="Y378" i="2"/>
  <c r="Y242" i="2"/>
  <c r="Y428" i="2"/>
  <c r="Y194" i="2"/>
  <c r="Y422" i="2"/>
  <c r="Y371" i="2"/>
  <c r="Y271" i="2"/>
  <c r="Y383" i="2"/>
  <c r="Y228" i="2"/>
  <c r="Y443" i="2"/>
  <c r="Y11" i="2"/>
  <c r="Y291" i="2"/>
  <c r="Y200" i="2"/>
  <c r="Y227" i="2"/>
  <c r="Y206" i="2"/>
  <c r="Y366" i="2"/>
  <c r="Y125" i="2"/>
  <c r="Y218" i="2"/>
  <c r="Y342" i="2"/>
  <c r="Y339" i="2"/>
  <c r="Y554" i="2"/>
  <c r="Y440" i="2"/>
  <c r="Y468" i="2"/>
  <c r="Y172" i="2"/>
  <c r="Y399" i="2"/>
  <c r="Y120" i="2"/>
  <c r="Y423" i="2"/>
  <c r="Y407" i="2"/>
  <c r="Y350" i="2"/>
  <c r="Y458" i="2"/>
  <c r="Y286" i="2"/>
  <c r="Y269" i="2"/>
  <c r="Y257" i="2"/>
  <c r="Y231" i="2"/>
  <c r="Y48" i="2"/>
  <c r="Y220" i="2"/>
  <c r="Y264" i="2"/>
  <c r="Y475" i="2"/>
  <c r="Y434" i="2"/>
  <c r="Y204" i="2"/>
  <c r="Y337" i="2"/>
  <c r="Y460" i="2"/>
  <c r="Y253" i="2"/>
  <c r="Y362" i="2"/>
  <c r="Y497" i="2"/>
  <c r="Y95" i="2"/>
  <c r="Y62" i="2"/>
  <c r="Y465" i="2"/>
  <c r="Y197" i="2"/>
  <c r="Y45" i="2"/>
  <c r="Y272" i="2"/>
  <c r="Y586" i="2"/>
  <c r="Y105" i="2"/>
  <c r="Y318" i="2"/>
  <c r="Y463" i="2"/>
  <c r="Y70" i="2"/>
  <c r="Y393" i="2"/>
  <c r="Y18" i="2"/>
  <c r="Y122" i="2"/>
  <c r="Y17" i="2"/>
  <c r="Y27" i="2"/>
  <c r="Y266" i="2"/>
  <c r="Y93" i="2"/>
  <c r="Y165" i="2"/>
  <c r="Y335" i="2"/>
  <c r="Y78" i="2"/>
  <c r="Y446" i="2"/>
  <c r="Y49" i="2"/>
  <c r="Y392" i="2"/>
  <c r="Y367" i="2"/>
  <c r="Y86" i="2"/>
  <c r="Y196" i="2"/>
  <c r="Y229" i="2"/>
  <c r="Y192" i="2"/>
  <c r="Y636" i="2"/>
  <c r="Y151" i="2"/>
  <c r="Y199" i="2"/>
  <c r="Y191" i="2"/>
  <c r="Y128" i="2"/>
  <c r="Y296" i="2"/>
  <c r="Y263" i="2"/>
  <c r="Y295" i="2"/>
  <c r="Y262" i="2"/>
  <c r="Y83" i="2"/>
  <c r="Y189" i="2"/>
  <c r="Y116" i="2"/>
  <c r="Y68" i="2"/>
  <c r="Y384" i="2"/>
  <c r="Y386" i="2"/>
  <c r="Y464" i="2"/>
  <c r="Y246" i="2"/>
  <c r="Y146" i="2"/>
  <c r="Y340" i="2"/>
  <c r="Y273" i="2"/>
  <c r="Y133" i="2"/>
  <c r="Y520" i="2"/>
  <c r="Y243" i="2"/>
  <c r="Y344" i="2"/>
  <c r="Z665" i="2"/>
  <c r="Y36" i="2"/>
  <c r="Y256" i="2"/>
  <c r="Y237" i="2"/>
  <c r="Y247" i="2"/>
  <c r="Y593" i="2"/>
  <c r="Y664" i="2"/>
  <c r="Y450" i="2"/>
  <c r="Y437" i="2"/>
  <c r="Y24" i="2"/>
  <c r="Y44" i="2"/>
  <c r="Y579" i="2"/>
  <c r="Y522" i="2"/>
  <c r="Y588" i="2"/>
  <c r="Y581" i="2"/>
  <c r="Y564" i="2"/>
  <c r="Y435" i="2"/>
  <c r="Y577" i="2"/>
  <c r="Y466" i="2"/>
  <c r="Y385" i="2"/>
  <c r="Y334" i="2"/>
  <c r="Y65" i="2"/>
  <c r="Y346" i="2"/>
  <c r="Y336" i="2"/>
  <c r="Y152" i="2"/>
  <c r="Y309" i="2"/>
  <c r="Y248" i="2"/>
  <c r="Y659" i="2"/>
  <c r="Y530" i="2"/>
  <c r="Y548" i="2"/>
  <c r="Y476" i="2"/>
  <c r="Y449" i="2"/>
  <c r="Y413" i="2"/>
  <c r="Y411" i="2"/>
  <c r="Y492" i="2"/>
  <c r="Y170" i="2"/>
  <c r="Y557" i="2"/>
  <c r="Y663" i="2"/>
  <c r="Y662" i="2"/>
  <c r="Y137" i="2"/>
  <c r="Y139" i="2"/>
  <c r="Y412" i="2"/>
  <c r="Y69" i="2"/>
  <c r="Y431" i="2"/>
  <c r="Y414" i="2"/>
  <c r="Y147" i="2"/>
  <c r="Y587" i="2"/>
  <c r="Y603" i="2"/>
  <c r="Y542" i="2"/>
  <c r="Y583" i="2"/>
  <c r="Y561" i="2"/>
  <c r="Y568" i="2"/>
  <c r="Y528" i="2"/>
  <c r="Y661" i="2"/>
  <c r="Y639" i="2"/>
  <c r="Y549" i="2"/>
  <c r="Y650" i="2"/>
  <c r="Y660" i="2"/>
  <c r="Y521" i="2"/>
  <c r="Y415" i="2"/>
  <c r="Y101" i="2"/>
  <c r="Y491" i="2"/>
  <c r="Y510" i="2"/>
  <c r="Y311" i="2"/>
  <c r="Y202" i="2"/>
  <c r="Y71" i="2"/>
  <c r="Y425" i="2"/>
  <c r="Y499" i="2"/>
  <c r="Y175" i="2"/>
  <c r="Y493" i="2"/>
  <c r="Y380" i="2"/>
  <c r="Y96" i="2"/>
  <c r="Y205" i="2"/>
  <c r="Y13" i="2"/>
  <c r="Y390" i="2"/>
  <c r="Y91" i="2"/>
  <c r="Y322" i="2"/>
  <c r="Y513" i="2"/>
  <c r="Y516" i="2"/>
  <c r="Y176" i="2"/>
  <c r="Y368" i="2"/>
  <c r="Y606" i="2"/>
  <c r="Y459" i="2"/>
  <c r="Y438" i="2"/>
  <c r="Y558" i="2"/>
  <c r="Z659" i="2"/>
  <c r="Z418" i="2"/>
  <c r="Y484" i="2"/>
  <c r="Y123" i="2"/>
  <c r="Z439" i="2"/>
  <c r="Y519" i="2"/>
  <c r="Y401" i="2"/>
  <c r="Y224" i="2"/>
  <c r="Y14" i="2"/>
  <c r="Y562" i="2"/>
  <c r="Y3" i="2"/>
  <c r="Y576" i="2"/>
  <c r="Z228" i="2"/>
  <c r="Y514" i="2"/>
  <c r="Y313" i="2"/>
  <c r="Y550" i="2"/>
  <c r="Y10" i="2"/>
  <c r="Y600" i="2"/>
  <c r="Y7" i="2"/>
  <c r="Z253" i="2"/>
  <c r="Z4" i="2"/>
  <c r="Y490" i="2"/>
  <c r="Y585" i="2"/>
  <c r="Y77" i="2"/>
  <c r="Y570" i="2"/>
  <c r="Y594" i="2"/>
  <c r="Z447" i="2"/>
  <c r="Z398" i="2"/>
  <c r="Y225" i="2"/>
  <c r="Z36" i="2"/>
  <c r="Z254" i="2"/>
  <c r="Z413" i="2"/>
  <c r="Z390" i="2"/>
  <c r="Z252" i="2"/>
  <c r="Z227" i="2"/>
  <c r="Z467" i="2"/>
  <c r="Y4" i="2"/>
  <c r="Z414" i="2"/>
  <c r="Z7" i="2"/>
  <c r="Z448" i="2"/>
  <c r="Z39" i="2"/>
  <c r="Z386" i="2"/>
  <c r="Y524" i="2"/>
  <c r="Y572" i="2"/>
  <c r="Z460" i="2"/>
  <c r="Z329" i="2"/>
  <c r="Z149" i="2"/>
  <c r="Z61" i="2"/>
  <c r="Z148" i="2"/>
  <c r="Z324" i="2"/>
  <c r="Y330" i="2"/>
  <c r="Y382" i="2"/>
  <c r="Z524" i="2"/>
  <c r="Z71" i="2"/>
  <c r="Z469" i="2"/>
  <c r="Z345" i="2"/>
  <c r="Z336" i="2"/>
  <c r="Z443" i="2"/>
  <c r="Y92" i="2"/>
  <c r="Z96" i="2"/>
  <c r="Z332" i="2"/>
  <c r="Z399" i="2"/>
  <c r="Z342" i="2"/>
  <c r="Z322" i="2"/>
  <c r="Z201" i="2"/>
  <c r="Z185" i="2"/>
  <c r="Z52" i="2"/>
  <c r="Z6" i="2"/>
  <c r="Z440" i="2"/>
  <c r="Z350" i="2"/>
  <c r="Z341" i="2"/>
  <c r="Z266" i="2"/>
  <c r="Z429" i="2"/>
  <c r="Z424" i="2"/>
  <c r="Z407" i="2"/>
  <c r="Z394" i="2"/>
  <c r="Z365" i="2"/>
  <c r="Z283" i="2"/>
  <c r="Z279" i="2"/>
  <c r="Z99" i="2"/>
  <c r="Z316" i="2"/>
  <c r="Z304" i="2"/>
  <c r="Z346" i="2"/>
  <c r="Z334" i="2"/>
  <c r="Z136" i="2"/>
  <c r="Z48" i="2"/>
  <c r="Z395" i="2"/>
  <c r="Z284" i="2"/>
  <c r="Z258" i="2"/>
  <c r="Z235" i="2"/>
  <c r="Z47" i="2"/>
  <c r="P315" i="2"/>
  <c r="Z94" i="2"/>
  <c r="Z315" i="2"/>
  <c r="Z377" i="2"/>
  <c r="P342" i="2"/>
  <c r="Z64" i="2"/>
  <c r="Z528" i="2"/>
  <c r="P324" i="2"/>
  <c r="Z79" i="2"/>
  <c r="P321" i="2"/>
  <c r="Z570" i="2"/>
  <c r="Z105" i="2"/>
  <c r="P386" i="2"/>
  <c r="B19" i="9" s="1"/>
  <c r="Z62" i="2"/>
  <c r="P333" i="2"/>
  <c r="Z24" i="2"/>
  <c r="Z335" i="2"/>
  <c r="P278" i="2"/>
  <c r="Z278" i="2"/>
  <c r="Z26" i="2"/>
  <c r="P261" i="2"/>
  <c r="Z323" i="2"/>
  <c r="Z34" i="2"/>
  <c r="P257" i="2"/>
  <c r="Z582" i="2"/>
  <c r="Z347" i="2"/>
  <c r="Z606" i="2"/>
  <c r="Z93" i="2"/>
  <c r="P265" i="2"/>
  <c r="Z605" i="2"/>
  <c r="Z319" i="2"/>
  <c r="Z575" i="2"/>
  <c r="Z75" i="2"/>
  <c r="Z651" i="2"/>
  <c r="Z490" i="2"/>
  <c r="Z247" i="2"/>
  <c r="P203" i="2"/>
  <c r="Z83" i="2"/>
  <c r="Z35" i="2"/>
  <c r="Z281" i="2"/>
  <c r="Z422" i="2"/>
  <c r="Z520" i="2"/>
  <c r="Z282" i="2"/>
  <c r="Z644" i="2"/>
  <c r="Z645" i="2"/>
  <c r="Z5" i="2"/>
  <c r="Z260" i="2"/>
  <c r="P51" i="2"/>
  <c r="Z236" i="2"/>
  <c r="P40" i="2"/>
  <c r="Z290" i="2"/>
  <c r="Z529" i="2"/>
  <c r="Z63" i="2"/>
  <c r="P54" i="2"/>
  <c r="Z54" i="2"/>
  <c r="P44" i="2"/>
  <c r="Z218" i="2"/>
  <c r="Z50" i="2"/>
  <c r="Z152" i="2"/>
  <c r="P31" i="2"/>
  <c r="Z31" i="2"/>
  <c r="Z628" i="2"/>
  <c r="Z29" i="2"/>
  <c r="Z226" i="2"/>
  <c r="Z522" i="2"/>
  <c r="Z27" i="2"/>
  <c r="Z581" i="2"/>
  <c r="Z25" i="2"/>
  <c r="Z23" i="2"/>
  <c r="Z423" i="2"/>
  <c r="P21" i="2"/>
  <c r="Z186" i="2"/>
  <c r="Z21" i="2"/>
  <c r="P19" i="2"/>
  <c r="Z19" i="2"/>
  <c r="Z594" i="2"/>
  <c r="Z364" i="2"/>
  <c r="Z17" i="2"/>
  <c r="P15" i="2"/>
  <c r="Z15" i="2"/>
  <c r="Z585" i="2"/>
  <c r="Z586" i="2"/>
  <c r="Z237" i="2"/>
  <c r="Z516" i="2"/>
  <c r="Z170" i="2"/>
  <c r="Z13" i="2"/>
  <c r="P11" i="2"/>
  <c r="Z11" i="2"/>
  <c r="Z303" i="2"/>
  <c r="P45" i="2"/>
  <c r="Z45" i="2"/>
  <c r="Z49" i="2"/>
  <c r="Z46" i="2"/>
  <c r="Z277" i="2"/>
  <c r="Z98" i="2"/>
  <c r="Z360" i="2"/>
  <c r="Z56" i="2"/>
  <c r="P42" i="2"/>
  <c r="Z42" i="2"/>
  <c r="P60" i="2"/>
  <c r="Z603" i="2"/>
  <c r="Z568" i="2"/>
  <c r="Z60" i="2"/>
  <c r="P41" i="2"/>
  <c r="Z636" i="2"/>
  <c r="Z602" i="2"/>
  <c r="Z41" i="2"/>
  <c r="P37" i="2"/>
  <c r="Z37" i="2"/>
  <c r="Z38" i="2"/>
  <c r="P9" i="2"/>
  <c r="Z389" i="2"/>
  <c r="Z9" i="2"/>
  <c r="P58" i="2"/>
  <c r="Z97" i="2"/>
  <c r="Z58" i="2"/>
  <c r="Z59" i="2"/>
  <c r="P3" i="2"/>
  <c r="Z550" i="2"/>
  <c r="Z3" i="2"/>
  <c r="Z69" i="2"/>
  <c r="Z101" i="2"/>
  <c r="Z205" i="2"/>
  <c r="Z202" i="2"/>
  <c r="Z415" i="2"/>
  <c r="Z8" i="2"/>
  <c r="Z65" i="2"/>
  <c r="Z574" i="2"/>
  <c r="Z551" i="2"/>
  <c r="Z33" i="2"/>
  <c r="P291" i="2"/>
  <c r="Z90" i="2"/>
  <c r="Z583" i="2"/>
  <c r="P12" i="2"/>
  <c r="Z12" i="2"/>
  <c r="P123" i="2"/>
  <c r="Z14" i="2"/>
  <c r="Z123" i="2"/>
  <c r="Z224" i="2"/>
  <c r="Z225" i="2"/>
  <c r="Z311" i="2"/>
  <c r="Z438" i="2"/>
  <c r="Z256" i="2"/>
  <c r="Z476" i="2"/>
  <c r="P53" i="2"/>
  <c r="Z53" i="2"/>
  <c r="Z572" i="2"/>
  <c r="Z77" i="2"/>
  <c r="Z251" i="2"/>
  <c r="Z331" i="2"/>
  <c r="Z598" i="2"/>
  <c r="Z30" i="2"/>
  <c r="Y107" i="2"/>
  <c r="Y288" i="2"/>
  <c r="P331" i="2"/>
  <c r="O3" i="3"/>
  <c r="P3" i="3" s="1"/>
  <c r="Y395" i="2"/>
  <c r="Y360" i="2"/>
  <c r="B24" i="9"/>
  <c r="B12" i="9"/>
  <c r="Y127" i="2"/>
  <c r="Y99" i="2"/>
  <c r="Y98" i="2"/>
  <c r="B23" i="9"/>
  <c r="B11" i="9"/>
  <c r="Y277" i="2"/>
  <c r="P251" i="2"/>
  <c r="Y201" i="2"/>
  <c r="Y56" i="2"/>
  <c r="B25" i="9"/>
  <c r="B13" i="9"/>
  <c r="P256" i="2"/>
  <c r="P33" i="2"/>
  <c r="B9" i="9"/>
  <c r="B21" i="9"/>
  <c r="P29" i="2"/>
  <c r="P13" i="2"/>
  <c r="P27" i="2"/>
  <c r="P25" i="2"/>
  <c r="P63" i="2"/>
  <c r="P23" i="2"/>
  <c r="P5" i="2"/>
  <c r="B22" i="9"/>
  <c r="B10" i="9"/>
  <c r="P17" i="2"/>
  <c r="P247" i="2"/>
  <c r="B20" i="9"/>
  <c r="B8" i="9"/>
  <c r="P35" i="2"/>
  <c r="B7" i="9" l="1"/>
  <c r="B6" i="9"/>
  <c r="B26" i="9"/>
  <c r="B14" i="9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OLICITUD DE PAGO!$A:$W" type="102" refreshedVersion="5" minRefreshableVersion="5">
    <extLst>
      <ext xmlns:x15="http://schemas.microsoft.com/office/spreadsheetml/2010/11/main" uri="{DE250136-89BD-433C-8126-D09CA5730AF9}">
        <x15:connection id="Rango-c297e66d-ef0a-4365-9392-13f31f31a80b" autoDelete="1">
          <x15:rangePr sourceName="_xlcn.WorksheetConnection_SOLICITUDDEPAGOAW"/>
        </x15:connection>
      </ext>
    </extLst>
  </connection>
</connections>
</file>

<file path=xl/sharedStrings.xml><?xml version="1.0" encoding="utf-8"?>
<sst xmlns="http://schemas.openxmlformats.org/spreadsheetml/2006/main" count="13978" uniqueCount="2595">
  <si>
    <t>MUNICIPIO</t>
  </si>
  <si>
    <t>CONTRATISTA</t>
  </si>
  <si>
    <t>OBRA</t>
  </si>
  <si>
    <t>CONTRATO</t>
  </si>
  <si>
    <t>CLAVE PRESUPUESTAL</t>
  </si>
  <si>
    <t>NUMERO DE OBRA</t>
  </si>
  <si>
    <t>LICITACION</t>
  </si>
  <si>
    <t>OF. DE AUTORIZACION</t>
  </si>
  <si>
    <t>SALDO A TRAMITAR</t>
  </si>
  <si>
    <t>HERMOSILLO</t>
  </si>
  <si>
    <t>GYCR SOLUCIONES INTEGRALES PARA LA CONSTRUCCION, S.A. DE C.V.</t>
  </si>
  <si>
    <t>REMODELACION DEL PARQUE INFANTIL EN LA LOCALIDAD Y MUNICIPIO DE HERMOSILLO, SONORA</t>
  </si>
  <si>
    <t>C-00093/0004</t>
  </si>
  <si>
    <t>11000002002202E406K17104A622202155GL07</t>
  </si>
  <si>
    <t>SH-NC-16-R-003</t>
  </si>
  <si>
    <t>EST. 05</t>
  </si>
  <si>
    <t>AUTORIZADO</t>
  </si>
  <si>
    <t>COTISA DESARROLLOS E INFRAESTRUCTURA, S.A. DE C.V.</t>
  </si>
  <si>
    <t>SIDUR-ED-15-098</t>
  </si>
  <si>
    <t>C-00061/0012</t>
  </si>
  <si>
    <t>11000002002202E402K17105A612012155DM07</t>
  </si>
  <si>
    <t>ADJUDICACIÓN DIRECTA</t>
  </si>
  <si>
    <t>SH-FAFEF-16-R-002</t>
  </si>
  <si>
    <t>ANTICIPO</t>
  </si>
  <si>
    <t>RECARPETEO CON MICROCARPETA ASFALTICA DE 3 CM DE ESPESOR EN VARIAS CALLES Y AVENIDAS DE LA LOCALIDAD Y MUNICIPIO DE HUATABAMPO, SONORA.</t>
  </si>
  <si>
    <t>HUATABAMPO</t>
  </si>
  <si>
    <t>TESIA CONSTRUCCIONES, S.A. DE C.V.</t>
  </si>
  <si>
    <t>SIDUR-PF-15-100</t>
  </si>
  <si>
    <t>C-00093/0047</t>
  </si>
  <si>
    <t>IO-926006995-E70-2015</t>
  </si>
  <si>
    <t>11000002002201E201K02203A614202155GL12</t>
  </si>
  <si>
    <t>C-00093/0046</t>
  </si>
  <si>
    <t>ETCHOJOA</t>
  </si>
  <si>
    <t>PROYECTOS Y CONSTRUCCIONES MAGUS, S.A. DE C.V.</t>
  </si>
  <si>
    <t>RECARPETEO CON MICRO CARPETA ASFALTICA DE 3 CM DE ESPESOR EN VARIAS CALLES Y AVENIDAS DE LA LOCALIDAD Y MUNICIPIO DE ETCHOJOA.</t>
  </si>
  <si>
    <t>SIDUR-PF-15-101</t>
  </si>
  <si>
    <t>IO-926006995-E71-2015</t>
  </si>
  <si>
    <t>No.</t>
  </si>
  <si>
    <t>ESTIMADO</t>
  </si>
  <si>
    <t>AMORTIZACION</t>
  </si>
  <si>
    <t>SUBTOTAL</t>
  </si>
  <si>
    <t>IVA</t>
  </si>
  <si>
    <t>PRESUPUESTO</t>
  </si>
  <si>
    <t>NETO A PAGAR</t>
  </si>
  <si>
    <t>N. OBRA</t>
  </si>
  <si>
    <t>SIDUR-PF-15-016</t>
  </si>
  <si>
    <t>ESTATUS</t>
  </si>
  <si>
    <t>FECHA</t>
  </si>
  <si>
    <t>GUAYMAS</t>
  </si>
  <si>
    <t>HEMONT CONSTRUCTORA S.A. DE C.V.</t>
  </si>
  <si>
    <t>PROYECTO DE DESARROLLO TURISTICO PARA EL ESTADO DE SONORA( REHABILITACION DE PLAYA PUBLICA MIRAMAR) EN LA LOCALIDAD Y MUNICIPIO DE GUAYMAS, SONORA</t>
  </si>
  <si>
    <t>SIDUR-PF-14-273</t>
  </si>
  <si>
    <t>C-00053/0001</t>
  </si>
  <si>
    <t>11000002003701E306K05101A612092161A010</t>
  </si>
  <si>
    <t>SH-ED-16-R-005</t>
  </si>
  <si>
    <t>EST. 03</t>
  </si>
  <si>
    <t>LO-926006995-N145-2014</t>
  </si>
  <si>
    <t>LO-926006995-N12-2015</t>
  </si>
  <si>
    <t>CONSTRUMIL, S.A. DE C.V.</t>
  </si>
  <si>
    <t>REMODELACION DE EDIFICIO PARA ADECUACION DE SALA DE JUICIOS ORALES EN HERMOSILLO, EN LA LOCALIDAD Y MUNICIPIO DE HERMOSILLO SONORA.</t>
  </si>
  <si>
    <t>SIDUR-ED-15-066</t>
  </si>
  <si>
    <t>C-00058/0006</t>
  </si>
  <si>
    <t>11000002001202E104K06104A622032135DM07</t>
  </si>
  <si>
    <t>SH-FAFEF-16-R-006</t>
  </si>
  <si>
    <t>SANTA ANA</t>
  </si>
  <si>
    <t>PAVIMENTACION CON CARPETA ASFALTICA DE AVENIDA INDEPENDENCIA ENTRE CALLE 5 DE MAYO Y BLVD. LUIS DONALDO COLOSIO, AVENIDA LOPEZ RAYON ENTRE AGUSTIN RODRIGUEZ Y CALLE 15 Y AVENIDA ABASOLO ENTRE AGUSTIN RODRIGUEZ Y CALLE 15</t>
  </si>
  <si>
    <t>EDIFICACIONES Y PROYECTOS MOCELIK, S.A. DE C.V.</t>
  </si>
  <si>
    <t>SIDUR-PF-14-269</t>
  </si>
  <si>
    <t>C-00052/0065</t>
  </si>
  <si>
    <t>11000002002201E201K02203A614222155DM03</t>
  </si>
  <si>
    <t>IO-926006995-N141-2014</t>
  </si>
  <si>
    <t>SH-FAFEF-15-R-005</t>
  </si>
  <si>
    <t>SIDUR-PF-14-270</t>
  </si>
  <si>
    <t>S.L.R.C.</t>
  </si>
  <si>
    <t>PAVIMENTACION CON CARPETA ASFALTICA EN AVENIDA VENUSTIANO CARRANZA ENTRE 40 Y 43 EN LA LOCALIDAD Y MUNICIPIO DE SAN LUIS RIO COLORADO, SONORA</t>
  </si>
  <si>
    <t>INMOBILIARIA SOCE, S.A. DE C.V.</t>
  </si>
  <si>
    <t>11000002002201E201K02203A614222155DM01</t>
  </si>
  <si>
    <t>IO-926006995-N142-2014</t>
  </si>
  <si>
    <t>CONSTRUCTORA SIVIRAL, S.A. DE C.V.</t>
  </si>
  <si>
    <t>RECONSTRUCCION DEL CAMINO HUATABAMPO-YAVAROS EN VARIAS LOCALIDADES DEL MUNICIPIO DE HUATABAMPO, SONORA.</t>
  </si>
  <si>
    <t>SIDUR-ED-16-004</t>
  </si>
  <si>
    <t>C-00054/0022</t>
  </si>
  <si>
    <t>11000002003501E203K03203A625012162A12</t>
  </si>
  <si>
    <t>CE-926006995-E4-2016</t>
  </si>
  <si>
    <t>OM-ED-16-002</t>
  </si>
  <si>
    <t>OBRAS DE BACHEO EN VARIAS CALLES Y AVENIDAS EN LA LOCALIDAD Y MUNICIPIO DE CABORCA.</t>
  </si>
  <si>
    <t>SIDUR-ED-15-029</t>
  </si>
  <si>
    <t>C-00052/0141</t>
  </si>
  <si>
    <t>CABORCA</t>
  </si>
  <si>
    <t>SIDUR-PF-15-012</t>
  </si>
  <si>
    <t>C-00093/0010</t>
  </si>
  <si>
    <t>CONSTRUCCION DE PARQUE DE ACCESO DEL MUSEO MUSAS EN LA LOCALIDAD Y MUNICIPIO DE HERMOSILLO</t>
  </si>
  <si>
    <t>SH-NC-16-R-007</t>
  </si>
  <si>
    <t>SIDUR-ED-15-067</t>
  </si>
  <si>
    <t>REHABILITACION DE UNIDAD DEPORTIVA EN LA COMUNIDAD DE LOS MUERTOS (REHABILITACION DEL ESTADIO DE BEISBOL) EN LA LOCALIDAD DE LOS MUERTOS EN EL MUNICIPIO DE ALAMOS, SONORA.</t>
  </si>
  <si>
    <t>C-00064/0036</t>
  </si>
  <si>
    <t>ING. LUIS ENRIQUE PEÑA RODRIGO</t>
  </si>
  <si>
    <t>SIDUR-ED-15-043</t>
  </si>
  <si>
    <t>C-00052/0150</t>
  </si>
  <si>
    <t>11000002002201E201K02203A614202155DM12</t>
  </si>
  <si>
    <t>XX-926006995-X37-2015
PÚBLICA</t>
  </si>
  <si>
    <t>BACOBAMPO</t>
  </si>
  <si>
    <t>RECARPETEO CON MICROCARPETA ASFALTICA DE 3 CMS DE ESPESOR EN VARIAS CALLES Y AVENIDAS DE LA LOCALIDAD DE BACOBAMPO, MUNICIPIO DE ETCHOJOA.</t>
  </si>
  <si>
    <t>EST. 01</t>
  </si>
  <si>
    <t>RECARPETEO CON MICROCARPETA ASFALTICA DE 3CMS DE ESPESOR EN VARIAS CALLES Y AVENIDAS DE LA LOCALIDAD Y MUNICIPIO DE HUATABAMPO, SONORA.</t>
  </si>
  <si>
    <t>SIDUR-ED-15-040</t>
  </si>
  <si>
    <t>C-00052/0149</t>
  </si>
  <si>
    <t>11000002002201E201K02203A614202155DM1</t>
  </si>
  <si>
    <t>XX-926006995-X34-2015
PÚBLICA</t>
  </si>
  <si>
    <t>ALAMOS</t>
  </si>
  <si>
    <t>REHABILITACION DE UNIDAD DEPORTIVA EN LA COMUNIDAD DE TAPIZUELAS (REHABILITACION DE ESTADIO DE BEISBOL), EN LA LOCALIDAD DE TAPIZUELAS, EN EL MUNICIPIO DE ALAMOS, SONORA.</t>
  </si>
  <si>
    <t>SIDUR-ED-15-068</t>
  </si>
  <si>
    <t>C-00064/0035</t>
  </si>
  <si>
    <t>OBRA COMPLEMENTARIA DE CONSTRUCCION DE PABELLON DE GIMNASIA Y HALTEROFILIA EN LA UNIDAD DEPORTIVA "JULIO ALFONSO ALFONSO" EN LA LOCALIDAD Y MUNICIPIO DE GUAYMAS, SONORA.</t>
  </si>
  <si>
    <t>SIDUR-PF-15-090</t>
  </si>
  <si>
    <t>PROYECTOS Y CONSULTORIA DEL DESIERTO, S.A. DE C.V.</t>
  </si>
  <si>
    <t>C-00064/0008</t>
  </si>
  <si>
    <t>IO-926006995-N64-2015
INVITACION</t>
  </si>
  <si>
    <t>SH-FAFEF-16-R-008</t>
  </si>
  <si>
    <t>11000002002401E406K07203A612112135DM10</t>
  </si>
  <si>
    <t>PAVIMENTACIÓN DE VIALIDADES EN MIGUEL ALEMAN; CALLE RICARDO FLORES MAGON ENTRE 12 DE OCTUBRE Y BENJAMIN HILL</t>
  </si>
  <si>
    <t>SIDUR-ED-14-109</t>
  </si>
  <si>
    <t>REHABILITACION DE UNIDAD DEPORTIVA EN LA COMUNIDAD DE OSOBAMPO (REHABILITACION DE ESTADIO DE BEISBOL), EN LA LOCALIDAD DE OSOBAMPO, EN EL MUNICIPIO DE ALAMOS, SONORA.</t>
  </si>
  <si>
    <t>SIDUR-ED-15-069</t>
  </si>
  <si>
    <t>REMODELACION Y EQUIPAMIENTO DEL AREA DE ATENCION TEMPRANA DEL EDIFICIO CENTRAL DE LA PROCURADURIA GENERAL DE JUSTICIA EN EL DISTRITO DE HERMOSILLO, SONORA.</t>
  </si>
  <si>
    <t>SIDUR-ED-15-097</t>
  </si>
  <si>
    <t>ARIVECHI</t>
  </si>
  <si>
    <t>PAVIMENTACION CON CONCRETO HIDRAULICO EN AVENIDA PRINCIPAL EN LA LOCALIDAD DE TARACHI, MUNICIPIO DE ARIVECHI</t>
  </si>
  <si>
    <t>SIDUR-PF-14-131</t>
  </si>
  <si>
    <t>SAHUARIPA</t>
  </si>
  <si>
    <t>REHABILITACION DE LA RED DE AGUA POTABLE Y TOMAS DOMICILIARIAS EN LAS CALLES FRANCISCO JAVIER MINA, ALVARO OBREGON, JOSE MARIA MORELOS Y BENITO JUAREZ; Y AVENIDAS IGNACIO LOPEZ RAYON, IGNACIO ALLENDE Y ANGEL SERRANO</t>
  </si>
  <si>
    <t>SIDUR-PF-14-212</t>
  </si>
  <si>
    <t>PAVIMENTACION CON CARPETA ASFALTICA(SEGUNDA ETAPA) EN AVENIDA JAZMIN EN LA LOCALIDAD Y MUNICIPIO DE SAN LUIS RIO COLORADO</t>
  </si>
  <si>
    <t>SIDUR-PF-14-268</t>
  </si>
  <si>
    <t>PITIQUITO</t>
  </si>
  <si>
    <t>PAVIMENTACIÓN CON CARPETA ASFALTICA DE 5.0 CM DE ESPESOR DE LAS CALLES 5 DE MAYO Y ALFONSO GRIJALVA DE LA LOCALIDAD DE PITIQUITO, SONORA.</t>
  </si>
  <si>
    <t>SIDUR-PF-14-276</t>
  </si>
  <si>
    <t>REHABILITACION DE CASA HOGAR JINESEKI EN LA LOCALIDAD Y MUNICIPIO DE HERMOSILLO, SONORA</t>
  </si>
  <si>
    <t>SIDUR-PF-15-009</t>
  </si>
  <si>
    <t>REHABILITACION Y MODERNIZACION DE LA CASA HOGAR UNACARI</t>
  </si>
  <si>
    <t>SIDUR-PF-15-010</t>
  </si>
  <si>
    <t>SUAQUI GRANDE</t>
  </si>
  <si>
    <t>CONSTRUCCION DE LINEA DE ELECTRIFICACION DE SAUQUI  A CUMURIPA EN VARIAS LOCALIDADES DE VARIOS MUNICIPIOS, SONORA</t>
  </si>
  <si>
    <t>SIDUR-PF-15-014</t>
  </si>
  <si>
    <t>CONSTRUCCIÓN DE SEGUNDO CUERPO DE LA CALLE 1A EN COMPLEJO PUERTA OESTE Y DRENAJE PLUVIAL PROVINCIAS EN LA LOCALIDAD Y MUNICIPIO DE HERMOSILLO, SONORA</t>
  </si>
  <si>
    <t>SIDUR-PF-15-015</t>
  </si>
  <si>
    <t>CONSTRUCCION DE CONSERVATORIO DE MUSICA FRAY IVO TONECK EN LA LOCALIDAD Y MUNICIPIO DE GUAYMAS, SONORA</t>
  </si>
  <si>
    <t>SIDUR-PF-15-018</t>
  </si>
  <si>
    <t>AGUA PRIETA</t>
  </si>
  <si>
    <t>CONSTRUCCION DE ANDADOR PEATONAL EN LA CALLE INTERNACIONAL ENTRE AVENIDAS 4 Y 33 EN LA LOCALIDAD Y MUNICIPIO DE AGUA PRIETA, SONORA</t>
  </si>
  <si>
    <t>SIDUR-PF-15-019</t>
  </si>
  <si>
    <t>SIDUR-PF-15-020</t>
  </si>
  <si>
    <t>CONSTRUCCION DE OBRA COMPLEMENTARIA EN LA PAVIMENTACION DE LA CALLE IGNACIO T. PRECIADO ENTRE SAN RAFAEL Y EMANCIPACION COL. NORBERTO ORTEGA, EN LA LOCALIDAD Y MUNICIPIO DE HERMOSILLO, SONORA.</t>
  </si>
  <si>
    <t>SIDUR-PF-15-033</t>
  </si>
  <si>
    <t>C-00052/0126</t>
  </si>
  <si>
    <t>EDICIADORA CABO HARO, S.A. DE C.V.</t>
  </si>
  <si>
    <t>EO-926006995-N33-2014
PÚBLICA</t>
  </si>
  <si>
    <t>SOLUJET CONSTRUCCION S.A. DE C.V.</t>
  </si>
  <si>
    <t>C-00064/0037</t>
  </si>
  <si>
    <t>C-00058/0007</t>
  </si>
  <si>
    <t>11000002002401E406K07203A612112135DM12</t>
  </si>
  <si>
    <t>MULTISERVICIOS INDUSTRIALES HA, S.A. DE C.V.</t>
  </si>
  <si>
    <t>SH-FAFEF-16-R-004</t>
  </si>
  <si>
    <t>C-00052/0004</t>
  </si>
  <si>
    <t>11000002002201E201K02203A614222155DM09</t>
  </si>
  <si>
    <t>IO-926006995-N54-2014
INVITACIÓN</t>
  </si>
  <si>
    <t>C-00050/0001</t>
  </si>
  <si>
    <t>C-00052/0060</t>
  </si>
  <si>
    <t>IO-926006995-N140-2014</t>
  </si>
  <si>
    <t>REVAL DESARROLLOS Y MATERIALES, S.A. DE C.V.</t>
  </si>
  <si>
    <t>C-00052/0063</t>
  </si>
  <si>
    <t>SH-NC-16-R-011</t>
  </si>
  <si>
    <t>JORGE ARTURO CELAYA LOPEZ</t>
  </si>
  <si>
    <t>C-00052/0112</t>
  </si>
  <si>
    <t>11000002002201E201K02203A614222145FO02</t>
  </si>
  <si>
    <t>IO-926006995-N148-2014</t>
  </si>
  <si>
    <t>PUERTO PEÑASCO</t>
  </si>
  <si>
    <t>MARCIA LEON CORONEL</t>
  </si>
  <si>
    <t>PAVIMENTACION CON CARPETA ASFALTICA EN VARIAS CALLES Y AVENIDAS DE LA COLONIA SAN RAFAEL EN LA LOCALIDAD Y MUNICIPIO DE PUERTO PEÑASCO, SONORA</t>
  </si>
  <si>
    <t>SIDUR-PF-14-179</t>
  </si>
  <si>
    <t>C-00052/0056</t>
  </si>
  <si>
    <t>IO-926006995-N69-2014</t>
  </si>
  <si>
    <t>PAVIMENTACION CON CONCRETO HIDRAULICO EN CALLE YECORA ENTRE AVENIDA JUAREZ Y PLUTARCO ELIAS CALLES, CALLE LAZARO CARDENAS ENTRE HERMOSILLO Y CANANEA Y AVENIDA LERDO DE TEJADA ENTRE NAVOJOA Y HERMOSILLO EN LA LOCALIDAD Y MUNICIPIO DE YECORA</t>
  </si>
  <si>
    <t>COORPORATIVO DE CAMINOS Y MINAS TUI, S.A. DE C.V.</t>
  </si>
  <si>
    <t>YECORA</t>
  </si>
  <si>
    <t>SIDUR-PF-14-238</t>
  </si>
  <si>
    <t>C-00052/0075</t>
  </si>
  <si>
    <t>IO-926006995-N117-2014</t>
  </si>
  <si>
    <t>PAVIMENTACION CON CARPETA ASFALTICA DE CALLE EJE A( JESUS GARCIA)</t>
  </si>
  <si>
    <t>SIDUR-PF-14-227</t>
  </si>
  <si>
    <t>C-00052/0029</t>
  </si>
  <si>
    <t>SIT COMUNICACIONES, S.A. DE C.V.</t>
  </si>
  <si>
    <t>C-00093/0025</t>
  </si>
  <si>
    <t>ING. MARTIN GRAJEDA ARAGON</t>
  </si>
  <si>
    <t>C-00093/0012</t>
  </si>
  <si>
    <t>SO-926006995-N20-2015</t>
  </si>
  <si>
    <t>OM-NC-16-R-007</t>
  </si>
  <si>
    <t>PROYECTOS Y CONSTRUCCIONES DEL DESIERTO PYCDE, A.S. DE C.V.</t>
  </si>
  <si>
    <t>C-00093/0006</t>
  </si>
  <si>
    <t>IO-926006995-N15-2015</t>
  </si>
  <si>
    <t>EDIFICADORA CABO HARO, S.A. DE C.V.</t>
  </si>
  <si>
    <t>C-00093/0009</t>
  </si>
  <si>
    <t>LO-926006995-N14-2015</t>
  </si>
  <si>
    <t>CONSTRUMAQ, S.A. D E C.V.</t>
  </si>
  <si>
    <t>LO-926006995-N11-2015</t>
  </si>
  <si>
    <t>MURRIETA SOLUCIONES, S.A.DE C.V.</t>
  </si>
  <si>
    <t>C-00093/0011</t>
  </si>
  <si>
    <t>CONSTRUCTORES LISTABLANCA, S.A. DE C.V.</t>
  </si>
  <si>
    <t>ING. ROBERTO DEL RINCON MURO</t>
  </si>
  <si>
    <t>C-00093/0002</t>
  </si>
  <si>
    <t>IDESON, S.A DE C.V.</t>
  </si>
  <si>
    <t>C-00093/0003</t>
  </si>
  <si>
    <t>IO-926006995-N5-2015</t>
  </si>
  <si>
    <t>C03-C05</t>
  </si>
  <si>
    <t>EST. 06</t>
  </si>
  <si>
    <t>EST. 04</t>
  </si>
  <si>
    <t>C03-C??</t>
  </si>
  <si>
    <t>C01-C02</t>
  </si>
  <si>
    <t>EST. 07</t>
  </si>
  <si>
    <t>C02-C??</t>
  </si>
  <si>
    <t>EST. 08</t>
  </si>
  <si>
    <t>EST. 02</t>
  </si>
  <si>
    <t>C01-C??</t>
  </si>
  <si>
    <t>C??-C??</t>
  </si>
  <si>
    <t>C01</t>
  </si>
  <si>
    <t>C02-C03</t>
  </si>
  <si>
    <t>C04-C06</t>
  </si>
  <si>
    <t>SIDUR-ED-15-039</t>
  </si>
  <si>
    <t>RECARPETEO CON MICROCARPETA ASFALTICA DE 3 CMS DE ESPESOR EN VARIAS CALLES Y AVENIDAS DE LA LOCALIDAD Y MUNICIPIO DE HERMOSILLO, SONORA.</t>
  </si>
  <si>
    <t>TECNOASFALTOS Y TERRACERIAS, S.A. DE C.V.</t>
  </si>
  <si>
    <t>C-00052/0148</t>
  </si>
  <si>
    <t>11000002002201E201K02203A614202155DM07</t>
  </si>
  <si>
    <t>XX-926006995-X33-2015</t>
  </si>
  <si>
    <t>SIDUR-ED-15-004</t>
  </si>
  <si>
    <t>CONSTRUCCION Y MODERNIZACION EN DISTRIBUIDOR VIAL EN LA LOCALIDAD Y MUNICIPIO DE NOGALES, SONORA</t>
  </si>
  <si>
    <t>NOGALES</t>
  </si>
  <si>
    <t>LA GRANDE CONSTRUCTORA S.A. DE C.V.</t>
  </si>
  <si>
    <t>C-00052/0136</t>
  </si>
  <si>
    <t>SH-FAFEF-16-R-007</t>
  </si>
  <si>
    <t>C04-C??</t>
  </si>
  <si>
    <t>11000002002202E402K17105A612032155GL07</t>
  </si>
  <si>
    <t>IO-926006995-N14-2015
INVITACIÓN</t>
  </si>
  <si>
    <t>11000002002402E406K06106A612012155GL07</t>
  </si>
  <si>
    <t>11000002002201E201K02203A614112155GL13</t>
  </si>
  <si>
    <t>11000002002201E201K02203A614202155GL07</t>
  </si>
  <si>
    <t>11000002002402E406K06106A612012155GL10</t>
  </si>
  <si>
    <t>11000002002201E201K02203A612012155GL04</t>
  </si>
  <si>
    <t>11000002002201E201K02203A614242155GL07</t>
  </si>
  <si>
    <t>C03-C04</t>
  </si>
  <si>
    <t>EST. 10</t>
  </si>
  <si>
    <t>C05-C07</t>
  </si>
  <si>
    <t>SH-ED-16-R-029</t>
  </si>
  <si>
    <t>11000002002201E201K02203A</t>
  </si>
  <si>
    <t>LICITACIÓN SIMPLIFICADA</t>
  </si>
  <si>
    <t>11000002002201E201K13303A614202155DM03</t>
  </si>
  <si>
    <t>1100000200614202155GL07</t>
  </si>
  <si>
    <t>SO-926006995-N27-2015</t>
  </si>
  <si>
    <t>SIDUR-ED-15-042</t>
  </si>
  <si>
    <t>CAJEME</t>
  </si>
  <si>
    <t>INGENIEROS CIVILES, S.A. DE C.V.</t>
  </si>
  <si>
    <t>RECARPETEO CON MICROCARPETA ASFALTICA DE 3 CMS. DE ESPESOR EN VARIAS CALLES Y AVENIDAS DE LA LOCALIDAD DE CIUDAD OBREGON, MUNICIPIO DE CAJEME, SONORA.</t>
  </si>
  <si>
    <t>C-00052/0151</t>
  </si>
  <si>
    <t>XX-926006995-X36-2015</t>
  </si>
  <si>
    <t>11000002002201E201K02203A614202155DM11</t>
  </si>
  <si>
    <t>EST. 11</t>
  </si>
  <si>
    <t>SUPERVISION EXTERNA: CONSTRUCCION DE PARQUE DE ACCESO DEL MUSEO MUSAS EN LA LOCALIDAD Y MUNICIPIO DE HERMOSILLO</t>
  </si>
  <si>
    <t>11000002002402E406K06106A612222155GL07</t>
  </si>
  <si>
    <t>SO-926006995-N22-2015
DIRECTA</t>
  </si>
  <si>
    <t>EST. 12</t>
  </si>
  <si>
    <t>SIDUR-ED-14-236</t>
  </si>
  <si>
    <t>RECONSTRUCCION TOTAL DE PUENTE EN LA COLONIA COLINAS DEL YAQUI SOBRE ARROYO LOS NOGALES EN LA LOCALIDAD Y MUNICIPIO DE NOGALES</t>
  </si>
  <si>
    <t>NAYAR CONSTRUCCIONES DEL PACIFICO, S.A. DE C.V.</t>
  </si>
  <si>
    <t>C-00052/0137</t>
  </si>
  <si>
    <t>11000002001202E56K005A000</t>
  </si>
  <si>
    <t>SH-ED-16-R-042</t>
  </si>
  <si>
    <t>CONSTRUCCION DE MURO A BASE DE BLOCK SOBRE BARDAS PERIMETRALES EXISTENTES Y SUSTITUCION DE CERCOS DE MALLA CICLONICA POR BARDAS DE BLOCK APARENTE PARA INCREMENTAR LA SEGURIDAD DEL CENTRO UNACARI, EN LA LOCALIDAD Y MUNICIPIO DE HERMOSILLO, SONORA.</t>
  </si>
  <si>
    <t>EST. 13</t>
  </si>
  <si>
    <t>EST. 14</t>
  </si>
  <si>
    <t>LO-926006995-N8-2015</t>
  </si>
  <si>
    <t>SIDUR-ED-16-002</t>
  </si>
  <si>
    <t>EDIFICACIÓN INTEGRAL DEL NOROESTE, S.A. DE C.V.</t>
  </si>
  <si>
    <t>RECONSTRUCCION DEL CAMINO E.C. FEDERAL- LAS BOCAS EN VARIAS LOCALIDADES DEL MUNICIPIO DE HUATABAMPO, SONORA.</t>
  </si>
  <si>
    <t>C-00054/0020</t>
  </si>
  <si>
    <t>11000002003501E203K03203A625012162A212</t>
  </si>
  <si>
    <t>CE-926006995-E2-2016</t>
  </si>
  <si>
    <t>C1-C2</t>
  </si>
  <si>
    <t>ING. FEDERICO SOLORIO VALENZUELA</t>
  </si>
  <si>
    <t>SIDUR-ED-16-072</t>
  </si>
  <si>
    <t>SUPERVISION EXTERNA Y CONTROL DE CALIDAD CONCLUSION DE LA MODERNIZACION Y RECONSTRUCCION DEL TRAMO ESPERANZA - HORNOS (DEL KM 8 + 800 AL KM 17 + 400)</t>
  </si>
  <si>
    <t>OESTEC DE MEXICO SA DE CV</t>
  </si>
  <si>
    <t>VARIOS</t>
  </si>
  <si>
    <t>SIDUR-ED-16-107</t>
  </si>
  <si>
    <t>11000002003501E203K03203A625132161A013</t>
  </si>
  <si>
    <t>SH-ED-16-040</t>
  </si>
  <si>
    <t>CE-926006995-E52-2016</t>
  </si>
  <si>
    <t>ARQ. JORGE LUIS CARDENAS LOPEZ</t>
  </si>
  <si>
    <t>SIDUR-ED-16-079</t>
  </si>
  <si>
    <t>C-00098/0034</t>
  </si>
  <si>
    <t>11000002002401E406K07202A625132161A013</t>
  </si>
  <si>
    <t>NAVOJOA</t>
  </si>
  <si>
    <t>SIDUR-ED-16-044</t>
  </si>
  <si>
    <t>SIDUR-ED-15-030</t>
  </si>
  <si>
    <t>SUPERVISION EXTERNA DE LA OBRA: CONSTRUCCION Y MODERNIZACION EN DISTRIBUIDOR VIAL</t>
  </si>
  <si>
    <t>ING. SERGIO HUMBERTO LOPEZ ARAUJO</t>
  </si>
  <si>
    <t>C-00098/0022</t>
  </si>
  <si>
    <t>11000002002201E201K13303A614202155DM03C-00052/0136</t>
  </si>
  <si>
    <t>C2</t>
  </si>
  <si>
    <t>SIDUR-PF-15-034</t>
  </si>
  <si>
    <t>PAVIMENTACION DE LA CALLE ALLENDE ENTRE REFORMA Y CUAUHTEMOC EN LA LOCALIDAD DE SANTA ANA, SONORA</t>
  </si>
  <si>
    <t>CORPORATIVO DE CAMINOS Y MINAS TUI</t>
  </si>
  <si>
    <t>C-00093/0026</t>
  </si>
  <si>
    <t>1100000200 2201E201K02203A 614202 155GL03 C-00093/0026</t>
  </si>
  <si>
    <t>SO-926006995-N28-2015</t>
  </si>
  <si>
    <t>SH-NC-16-R-007.</t>
  </si>
  <si>
    <t>C2-C3</t>
  </si>
  <si>
    <t>SIDUR-ED-16-061</t>
  </si>
  <si>
    <t>11000002002207E201K02104A622212161A013</t>
  </si>
  <si>
    <t>SUPERVISION EXTERNA Y CONTROL DE CALIDAD PARA LA OBRA RECONSTRUCCION DE CAMINO HORNOS - ROSARIO EN VARIAS LOCALIDADES DE VARIOS MUNICIPIOS DEL ESTADO DE SONORA.</t>
  </si>
  <si>
    <t>CE-9260066995-E46-2016</t>
  </si>
  <si>
    <t>SH-ED-16-028</t>
  </si>
  <si>
    <t>SIDUR-ED-16-105</t>
  </si>
  <si>
    <t>SUPERVISION EXTERNA Y CONTROL DE CALIDAD DE CONSERVACION Y RECONSTRUCCION DEL TRAMO MOCTEZUMA - EL CRUCERO (TRAMO KM 164+500 AL KM 210+750) EN LA REGION DE LA SIERRA EN VARIAS LOCALIDADES DE VARIOS MUNICPIOS DEL ESTADO DE SONORA.</t>
  </si>
  <si>
    <t>CE-926006995-E50-2016</t>
  </si>
  <si>
    <t>C-00098/0021</t>
  </si>
  <si>
    <t>RECONSTRUCCION DE E. C. (HERMOSILLO-BAHIA DE KINO)- GRANJA ACUICOLA SAN NICOLAS DEL KM 0+000 AL KM 10+410, HERMOSILLO</t>
  </si>
  <si>
    <t>GALEONEZS LM CONSTRUCCIONES, S. A. DE C. V.</t>
  </si>
  <si>
    <t>SIDUR-ED-16-046</t>
  </si>
  <si>
    <t>C-00054/0075</t>
  </si>
  <si>
    <t>CONSTRUCCION DE LINEA DE CONDUCCION DEL POZO EXISTENTE A LA CAJA DE ALMACENAMIENTO</t>
  </si>
  <si>
    <t>CONSTRUCCIONES Y DISEÑOS OPOSURA, S.A. DE C.V.</t>
  </si>
  <si>
    <t>SAN PEDRO DE LA CUEVA</t>
  </si>
  <si>
    <t>SIDUR-ED-16-102</t>
  </si>
  <si>
    <t>C-00050/0003</t>
  </si>
  <si>
    <t>CE-926006995-E47-2016</t>
  </si>
  <si>
    <t>CE-926006995-E43-2016</t>
  </si>
  <si>
    <t>RECARPETEO CON MICROCARPETA ASFALTICA DE 3 CMS DE ESPESOR EN VARIAS CALLES Y AVENIDAS DE EMPALME</t>
  </si>
  <si>
    <t>EMPALME</t>
  </si>
  <si>
    <t>SIDUR-ED-15-041</t>
  </si>
  <si>
    <t>RECONSTRUCCION DE LA CALLE GUERRERO DEL KM 0+000 AL KM 6+020</t>
  </si>
  <si>
    <t>ZERO EDIFICACIONES,S.A. DE C.V.</t>
  </si>
  <si>
    <t>C-00054/0074</t>
  </si>
  <si>
    <t>CONSERVACION Y RECONSTRUCCION DEL TRAMO MOCTEZUMA- EL CRUCERO (TRAMO KM 164+500 AL KM 210+750) EN LA REGION DE LA SIERRA.</t>
  </si>
  <si>
    <t>LA AZTECA CONSTRUCCIONES Y URBANIZACIONES, S.A. DE C.V.</t>
  </si>
  <si>
    <t>SIDUR-ED-16-014</t>
  </si>
  <si>
    <t>C-00054/0052</t>
  </si>
  <si>
    <t>SIDUR-ED-16-115</t>
  </si>
  <si>
    <t>ISAFRA CONSTRUCCIONES, S.A. DE C.V.</t>
  </si>
  <si>
    <t>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</t>
  </si>
  <si>
    <t>SH-ED-16-051</t>
  </si>
  <si>
    <t>SIDUR-ED-16-043</t>
  </si>
  <si>
    <t>RECONSTRUCCION DE CALLE 28 NORTE, DEL KM 0 + 000 AL KM 10+160, Y DEL KM 17+210 AL 17+982, HERMOSILLO</t>
  </si>
  <si>
    <t>GRUPO EMPRESARIAL BABASAC, S. A. DE C. V.</t>
  </si>
  <si>
    <t>C-00054/0072</t>
  </si>
  <si>
    <t>CE-926006995-E40-2016</t>
  </si>
  <si>
    <t>SH-ED-16-020</t>
  </si>
  <si>
    <t>CONV.</t>
  </si>
  <si>
    <t>PROTEKO DESARROLLOS E INFRAESTRUCTURA, S.A. DE C.V.</t>
  </si>
  <si>
    <t>SUPERVISION EXTERNA Y CONTROL DE CALIDAD DE LA OBRA RECONSTRUCCIÓN DEL CAMINO CALLE 16 EN VARIAS LOCALIDADES DEL MUNICIPIO DE CAJEME, SONORA.</t>
  </si>
  <si>
    <t>SIDUR-ED-16-056</t>
  </si>
  <si>
    <t>SIDUR-ED-16-060</t>
  </si>
  <si>
    <t>CE-926006995-E45-2016</t>
  </si>
  <si>
    <t>SUPERVISION EXTERNA Y CONTROL DE CALIDAD PARA LA OBRA RECONSTRUCCION DEL CAMINO NAVOJOA-ETCHOJOA-HUATABAMPO DE VARIAS LOCALIDADES Y MUNICIPIOS DE SONORA.</t>
  </si>
  <si>
    <t>ADRIANA BELTRAN LAGARDA</t>
  </si>
  <si>
    <t>CONSTRUCCION DE LA CARRETERA E.C. 4 SUR (ALFREDO V. BONFIL) TRAMO DEL KM 1+700 AL KM 5+600 EN VARIAS LOCALIDADES DEL MUNICIPIO DE HERMOSILLO</t>
  </si>
  <si>
    <t>SIDUR-ED-16-037</t>
  </si>
  <si>
    <t>C-00054/0066</t>
  </si>
  <si>
    <t>CE-926006995-E34-2016</t>
  </si>
  <si>
    <t>SH-ED-16-023</t>
  </si>
  <si>
    <t>IKARO INGENIERIA Y ARQUITECTURA, S.A. DE C.V</t>
  </si>
  <si>
    <t>REHABILITACION DE RED DE CARRETERAS ALIMENTADORAS EN LA REGION DEL RIO DE SONORA EN EL ESTADO DE SONORA; SUBTRAMO KM 0+000 AL KM 75+000</t>
  </si>
  <si>
    <t>SIDUR-ED-16-041</t>
  </si>
  <si>
    <t>C-00054/0069</t>
  </si>
  <si>
    <t>11000002003501E203K03203A625012162A213</t>
  </si>
  <si>
    <t>CE-9260006995-E38-2016</t>
  </si>
  <si>
    <t>MEMO</t>
  </si>
  <si>
    <t>SIDUR-ED-16-047</t>
  </si>
  <si>
    <t>C-00054/0071</t>
  </si>
  <si>
    <t>RECONSTRUCCION DE E.C. (CALLE 36 SUR) GRANJAS ACUICOLAS DEL KM 0+000 AL KM 12+660, EN VARIAS LOCALIDADES DEL MUNICIPIO DE HERMOSILLO.</t>
  </si>
  <si>
    <t>RENTA, MOVIMIENTO DE CONSTRUCCION EQUIPEN, S.A. DE C.V.</t>
  </si>
  <si>
    <t>CE-926006995-E44-2016</t>
  </si>
  <si>
    <t>REHABILITACION DE RED DE CARRETERAS ALIMENTADORAS EN LA REGION DEL RIO SONORA EN EL ESTADO DE SONORA; SUBTRAMO KM 75+000 AL KM 149+000.</t>
  </si>
  <si>
    <t>SIDUR-ED-16-042</t>
  </si>
  <si>
    <t>C-00054/0070</t>
  </si>
  <si>
    <t>CE-926006995-E39-2016</t>
  </si>
  <si>
    <t>GYEMM INMOBILIARIA Y DISEÑOS EN INGENIERIA Y ARQUITECTURA, S.A. DE C.V.</t>
  </si>
  <si>
    <t>RECONSTRUCCION DE CALLE 26 DEL KM 70+000 AL 101+300 EN VARIAS LOCALIDADES DEL MUNICIPIO DE HERMOSILLO, SONORA</t>
  </si>
  <si>
    <t>SIDUR-ED-16-045</t>
  </si>
  <si>
    <t>CE-926006995-E42-2016</t>
  </si>
  <si>
    <t>C-00054/0073</t>
  </si>
  <si>
    <t>SIDUR-PF-15-088</t>
  </si>
  <si>
    <t>CONSTRUCCION, REHABILITACION Y EQUIPAMIENTO DE UNIDAD DEPORTIVA FAUSTINO FELIX ETAPA 3</t>
  </si>
  <si>
    <t>EDIFICACIONES BOZA S.A. DE C.V.</t>
  </si>
  <si>
    <t>10800003002401E406K07203A411061155GZ12C-00109/0003</t>
  </si>
  <si>
    <t>SIDUR-PF-15-064</t>
  </si>
  <si>
    <t>SIDUR-ED-16-003</t>
  </si>
  <si>
    <t>RECONSTRUCCIÓN DEL CAMINO CALLE 16 EN VARIAS LOCALIDADES DEL MUNICIPIO DE CAJEME, SONORA.</t>
  </si>
  <si>
    <t>TEKTON INGENIERIA, S.A. DE C.V.</t>
  </si>
  <si>
    <t>C-00054/0021</t>
  </si>
  <si>
    <t>11000002003501E203K03203A625012162A211</t>
  </si>
  <si>
    <t>CE-926006995-E3-2016</t>
  </si>
  <si>
    <t>C04-C05</t>
  </si>
  <si>
    <t>C02</t>
  </si>
  <si>
    <t>RL INFRAESTRUCTURA, S.A. DE C.V.</t>
  </si>
  <si>
    <t>SIDUR-ED-16-109</t>
  </si>
  <si>
    <t>CE-926006995-E54-2016</t>
  </si>
  <si>
    <t>SH-ED-16-039</t>
  </si>
  <si>
    <t>VERIFICACION DE CALIDAD DE LAS PRUEBAS Y MATERIALES UTILIZADOS EN LA RECONSTRUCCION DE LA RED DE CARRETERAS ESTATALES Y EL CUMPLIMIENTO DE LAS ESPECIFICACIONES Y NORMATIVIDAD TECNICA DE SCT APLICABLES EN VARIAS LOCALIDADES Y VARIOS MUNICIPIOS DEL ESTADO DE SONORA.</t>
  </si>
  <si>
    <t>C-00098/0032</t>
  </si>
  <si>
    <t>CONSULTORIA Y CONSTRUCCION DEL NOROESTE</t>
  </si>
  <si>
    <t>SUPERVISION EXTERNA PARA LA OBRA: CONSTRUCCION DE PARQUE, PLAYA Y BALNEARIO KINO MAGICO (ETAPA 1) EN LA COMISARIA DE BAHIA DE KINO MUNICIPIO DE HERMOSILLO, SONORA.</t>
  </si>
  <si>
    <t>SIDUR-ED-16-111</t>
  </si>
  <si>
    <t>CE-926006995-E56-2016</t>
  </si>
  <si>
    <t>SH-ED-16-046</t>
  </si>
  <si>
    <t>SUPERVISION EXTERNA Y CONTROL DE CALIDAD DE LA CONSERVACION Y RECONSTRUCCION DE CARRETERAS ALIMENTADORAS REGION GUAYMAS-EMPALME, TRAMO: URSULO GALVAN-JUNELANCAHUI, DEL KM 0+000 AL KM 5+600</t>
  </si>
  <si>
    <t>SIDUR-ED-16-127</t>
  </si>
  <si>
    <t>SUPERVISION EXYERNA Y CONTROL DE CALIDAD DE LA CONSERVACION Y RECONSTRUCCION DE CARRETERAS ALIMENTADORAS REGION GUAYMAS--EMPALME, TRAMO: AGUILITAS-BRINGAS DEL KM 0+000 AL KM 10+500</t>
  </si>
  <si>
    <t>SIDUR-ED-16-126</t>
  </si>
  <si>
    <t>SUPERVISION EXTERNA Y CONTROL DE CALIDAD PARA LA OBRA: RECONSTRUCCIÓN DEL CAMINO CALLE 12 SUR, HERMOSILLO, SONORA.</t>
  </si>
  <si>
    <t>SEI TETRA, S. A. DE C. V.</t>
  </si>
  <si>
    <t>SIDUR-ED-16-058</t>
  </si>
  <si>
    <t>SUPERVISION EXTERNA Y CONTROL DE CALIDAD DE RECONSTRUCCION DEL CAMINO HERMOSILLO-BAHIA DE KINO EN VARIAS LOCALIADES DEL MUNICIPIO DE HERMOSILLO, SONORA.</t>
  </si>
  <si>
    <t>SIDUR-ED-16-104</t>
  </si>
  <si>
    <t>CE-926006995-E49-2016</t>
  </si>
  <si>
    <t>SUPERVISION EXTERNA Y CONTROL DE CALIDAD DE LA OBRA: RECONSTRUCCION  DEL CAMINO  CALLE 1900 EN VARIAS LOCALIDADES DEL MUNICIPIO DE CAJEME, SONORA.</t>
  </si>
  <si>
    <t>SIDUR-ED-16-131</t>
  </si>
  <si>
    <t>GRUPO GUIMEL, S.A. DE C.V.</t>
  </si>
  <si>
    <t>SIDUR-ED-16-057</t>
  </si>
  <si>
    <t>SUPERVISION EXTERNA Y CONTROL DE CALIDAD PARA LA OBRA RECONSTRUCCION DE CAMINO HUATABAMPO - YAVAROS EN VARIAS LOCALIDADES DEL MUNICIPIO DE HUATABAMPO.</t>
  </si>
  <si>
    <t>SIDUR-ED-16-108</t>
  </si>
  <si>
    <t>CE-926006995-E53-2016</t>
  </si>
  <si>
    <t>SUPERVISION EXTERNA Y CONTROL DE CALIDAD DE MODERIZACION Y RECONSTRUCCION DEL TRAMO ETCHOJOA - BACOBAMPO EN VARIAS LOCALIDADES DEL MUNICIPIO DE ETCHOJOA, SONORA.</t>
  </si>
  <si>
    <t>SIDUR-ED-16-125</t>
  </si>
  <si>
    <t>LABORATORIO, ESTUDIOS Y SERVICIOS PROFESIONALES DE INGENIERIA, S.A. DE C.V.</t>
  </si>
  <si>
    <t>SUPERVISION EXTERNA Y CONTROL DE CALIDAD DE LA OBRA: CONSERVACION Y RECONSTRUCCION DEL TRAMO MAZATAN - HERMOSILLO EN VARIAS LOCALIDADES DE VARIOS MUNICIPIOS DEL ESTADO DE SONORA.</t>
  </si>
  <si>
    <t>CE-926006995-E51-2016</t>
  </si>
  <si>
    <t>SUPERVISION EXTERNA Y CONTROL DE CALIDAD DE CONSERVACION Y RECONSTRUCCION DEL TRAMO NOVILLO - BACANORA - SAHUARIPA - SAN NICOLAS EN VARIAS LOCALIDADES DE VARIOS MUNICIPIOS DEL ESTADO DE SONORA.</t>
  </si>
  <si>
    <t>SIDUR-ED-16-106</t>
  </si>
  <si>
    <t>SIDUR-ED-16-113</t>
  </si>
  <si>
    <t>CE-926006995-E58-2016</t>
  </si>
  <si>
    <t>SUPERVISION EXTERNA Y CONTROL DE CALIDAD PARA LA OBRA: CONSERVACIÓN Y RECONSTRUCCION DEL TRAMO MAZATÁN-VILLA PESQUEIRA-SAN PEDRO DE LA CUEVA EN LA REGION DE LA SIERRA EN VARIAS LOCALIDADES DE VARIOS MUNICIPIOS EN SONORA.</t>
  </si>
  <si>
    <t>ING. JOEL TOSAME IBARRA</t>
  </si>
  <si>
    <t>SIDUR-ED-16-123</t>
  </si>
  <si>
    <t>SUPERVISION EXTERNA Y CONTROL DE CALIDAD PARA LA OBRA: RECONSTRUCCION DEL CAMINO E.C. FEDERAL 15-LAS BOCAS</t>
  </si>
  <si>
    <t>CONSTRUCCIONES MAGUS, S.A. DE C.V.</t>
  </si>
  <si>
    <t>ING. IVAN MLADOSICH ESTRADA</t>
  </si>
  <si>
    <t>SUPERVISION EXTERNA Y CONTROL DE CALIDAD PARA LA OBRA RECONSTRUCCION DE CAMINO CALLE 600 VARIOS TRAMOS DEL KM 20+100 AL KM 40+700 EN VARIAS LOCALIDADES DEL MUNICIPIO DE CAJEME, SONORA</t>
  </si>
  <si>
    <t>SIDUR-ED-16-063</t>
  </si>
  <si>
    <t>SIDUR-ED-16-064</t>
  </si>
  <si>
    <t>SH-ED-16-021</t>
  </si>
  <si>
    <t>11000002003501E203K03203A625132161A013C-00098/0020</t>
  </si>
  <si>
    <t>SUPERVISION EXTERNA Y CONTROL DE CALIDAD PARA LA OBRA RECONSTRUCCION DE CAMINO CALLE 900 VARIOS TRAMOS DEL KM 8+200 AL KM 36+139 EN VARIAS LOCALIDADES DEL MUNICIPIO DE CAJEME, SONORA</t>
  </si>
  <si>
    <t>SIDUR-ED-16-103</t>
  </si>
  <si>
    <t>JRM CONSULTORES, S.A. DE C.V</t>
  </si>
  <si>
    <t>SUPERVISION EXTERNA Y CONTROL DE CALIDAD CONSTRUCCION Y RECONSTRUCCION DEL TRAMO CABORCA-Y GRIEGA EN LA LOCALIDAD DE CABORCA, SONORA</t>
  </si>
  <si>
    <t>11000002003501E203K03203A625132161A013C-00098/0021</t>
  </si>
  <si>
    <t>C-00098/0020</t>
  </si>
  <si>
    <t>CE-926006995-E48-2016</t>
  </si>
  <si>
    <t>SIDUR-PF-15-092</t>
  </si>
  <si>
    <t>MAZATAN</t>
  </si>
  <si>
    <t>NA CONSTRUCCIONES DEL PACIFICO, S.A. DE C.V.</t>
  </si>
  <si>
    <t>CE-926006995-E60-2015</t>
  </si>
  <si>
    <t>C-00052/0172</t>
  </si>
  <si>
    <t>SIDUR-ED-16-121</t>
  </si>
  <si>
    <t>MODERNIZACION Y RECONSTRUCCION DEL PERIFERICO EN NAVOJOA (E.C. MEXICO 15 - TETANCHOPO) DEL KM 7+031 AL KM 13+126 EN LA LOCALIDAD Y MUNICIPIO DE NAVOJOA, SONORA.</t>
  </si>
  <si>
    <t xml:space="preserve"> SUPERVISION EXTERNA Y CONTROL DE CALIDAD DE LA CONSERVACION Y RECONSTRUCCION DE CARRETERAS ALIMENTADORAS REGION GUAYMAS-EMPALME, TRAMO: E.C. (PROVIDENCIA-ORTIZ)-LA MISA</t>
  </si>
  <si>
    <t>SIDUR-ED-16-132</t>
  </si>
  <si>
    <t>SIDUR-ED-16-173</t>
  </si>
  <si>
    <t>SUPERVISOR EXTERNA Y CONTROL CALIDAD DE RECARPETEO CON MICROCARPETA ASFALTICA DE 3.0 CM DE ESPESOR EN VARIAS CALLES Y AVENIDAS</t>
  </si>
  <si>
    <t>PROMOTORES ADMINISTRATIVOS ASOCIADOS, S.C.</t>
  </si>
  <si>
    <t>TECNO ASFALTOS Y TERRACERIAS, S.A. DE C.V.</t>
  </si>
  <si>
    <t>SIDUR-PF-15-026</t>
  </si>
  <si>
    <t>SIDUR-ED-16-180</t>
  </si>
  <si>
    <t>SUPERVISION EXTERNA Y CONTROL DE CALIDAD DE LA REHABILITACION DE EDIFICIO PARA ALBERGAR JUZGADO DE ORALIDAD PENAL DEL DISTRITO JUDICIAL CON SEDE EN HERMOSILLO, 2DA ETAPA</t>
  </si>
  <si>
    <t>SH-ED-16-011</t>
  </si>
  <si>
    <t>C-00098/0016-5</t>
  </si>
  <si>
    <t>SUPERVISION EXTERNA Y CONTROL DE CALIDAD DE LA RECONSTRUCCION DE CAMINO BACABACHI HUATABAMPO VARIOS TRAMOS DEL KM 5+600 AL KM 25+500</t>
  </si>
  <si>
    <t>SIDUR-ED-16-174</t>
  </si>
  <si>
    <t>11000002003501E203K03203A625132161A013C</t>
  </si>
  <si>
    <t>GYS CONSTRUCTORES S.A. DE C.V.</t>
  </si>
  <si>
    <t>SUPERVISION EXTERNA Y CONTROL DE CALIDAD DE LAS OBRAS DE REHABILITACION DEL DELFINARIO SONORA (PRIMERA ETAPA)</t>
  </si>
  <si>
    <t>SIDUR-ED-16-112</t>
  </si>
  <si>
    <t>ING. DANIEL ACEVEDO ESMERIO</t>
  </si>
  <si>
    <t>C-00098/0035</t>
  </si>
  <si>
    <t>CE-926006995-E57-2016</t>
  </si>
  <si>
    <t>SUPERVISION EXTERNA Y CONTROL DE CALIDAD PARA LA OBRA: CONSTRUCCION, REHABILITACION Y EQUIPAMIENTO DE UNIDAD DEPORTIVA FAUSTINO FELIX ETAPA 3, EN LA LOCALIDAD Y MUNICIPIO DE NAVOJOA, SONORA.</t>
  </si>
  <si>
    <t>SH-ED-16-045</t>
  </si>
  <si>
    <t>SUPERVISION EXTERNA Y CONTROL DE CALIDAD DE LA CONSERVACION Y RECONSTRUCCION DE LA VIALIDAD YAQUI-MAYO</t>
  </si>
  <si>
    <t>SIDUR-ED-16-124</t>
  </si>
  <si>
    <t>SUPERVISION EXTERNA Y CONTROL DE CALIDAD DE LA CONSERVACION Y RECONSTRUCCION DEL TRAMO EL CRUCERO-GRANADOS DEL KM 0+000 AL KM 7+250</t>
  </si>
  <si>
    <t>PROYECTOS Y SUPERVISION, J.H. ROMERO, S.A. DE C.V.</t>
  </si>
  <si>
    <t>SIDUR-ED-16-133</t>
  </si>
  <si>
    <t>SUPERVISION EXTERNA Y CONTROL DE CALIDAD DE LA CONSERVACION Y RECONSTRUCCION DEL TRAMO EL CRUCERO- VILLA HIDALGO (KM 0+000 AL 28+500)</t>
  </si>
  <si>
    <t>SIDUR-ED-16-146</t>
  </si>
  <si>
    <t>SUPERVISION EXTERNA Y CONTROL DE CALIDAD DE LA MODERNIZACION DEL PERIFERICO PONIENTE (1 ETAPA), NAVOJOA</t>
  </si>
  <si>
    <t>UNIVERSO ROJO, S.A. DE C.V.</t>
  </si>
  <si>
    <t>SIDUR-ED-16-182</t>
  </si>
  <si>
    <t>CE-926006995-E65-2016</t>
  </si>
  <si>
    <t>SH-ED-16-061</t>
  </si>
  <si>
    <t>SUPERVISION EXTERNA Y CONTROL DE CALIDAD DE LA MODERNIZACION Y RECONSTRUCCION DEL PERIFERICO EN NAVOJOA (E.C. MEXICO 15-TETANCHOPO DEL KM 7+031 AL KM 13+326</t>
  </si>
  <si>
    <t>SIDUR-ED-16-183</t>
  </si>
  <si>
    <t>CE-926006995-E66-2016</t>
  </si>
  <si>
    <t>SIDUR-PF-15-028</t>
  </si>
  <si>
    <t>11000002002402E406K06106A612222155GL10</t>
  </si>
  <si>
    <t>SIDUR-ED-16-005</t>
  </si>
  <si>
    <t>RECONSTRUCCIÓN DEL CAMINO BACAME NUEVO</t>
  </si>
  <si>
    <t>GIBHER CONSTRUCTORES, S.A. DE C.V.</t>
  </si>
  <si>
    <t>C-00054/0023</t>
  </si>
  <si>
    <t>CE-926006995-E5-2016</t>
  </si>
  <si>
    <t>NUMERO DE CONTRATO</t>
  </si>
  <si>
    <t>PEP</t>
  </si>
  <si>
    <t>MONTO CONTRATADO</t>
  </si>
  <si>
    <t>MONTO ASIGNADO</t>
  </si>
  <si>
    <t>TIPO DE RECURSO</t>
  </si>
  <si>
    <t>EJERCIDO</t>
  </si>
  <si>
    <t>POR EJERCER</t>
  </si>
  <si>
    <t>PROPIOS
CRED. INF.</t>
  </si>
  <si>
    <t>CONSTRUCCION DE CAMINO BACAME NUEVO EN VARIAS LOCALIDADES DEL MUNICIPIO DE ETCHOJOA.</t>
  </si>
  <si>
    <t>00054/0023</t>
  </si>
  <si>
    <t>RECONSTRUCCION DEL CAMINO HUATABAMPO-YAVAROS EN VARIAS LOCALIDADES DEL MUNICIPIO DE HUATABAMPO.</t>
  </si>
  <si>
    <t>RECONSTRUCCION DEL CAMINO NAVOJOA-ETCHOJOA-HUATABAMPO DE VARIAS LOCALIDADES Y MUNICIPIOS DE SONORA.</t>
  </si>
  <si>
    <t>SIDUR-ED-16-001</t>
  </si>
  <si>
    <t>CONSTRUKINO, S.A. DE C.V.</t>
  </si>
  <si>
    <t>C-00054/00019</t>
  </si>
  <si>
    <t>RECONSTRUCCION DEL CAMINO CALLE 12 SUR EN VARIAS LOCALIDADES DEL MUNICIPIO DE HERMOSILLO, SONORA.</t>
  </si>
  <si>
    <t>SIDUR-ED-16-006</t>
  </si>
  <si>
    <t>GALEONEZS LM CONSTRUCCIONES, S.A. DE C.V.</t>
  </si>
  <si>
    <t>C-00054/0025</t>
  </si>
  <si>
    <t>RECARPETEO CON MICROCARPETA ASFALTICA DE 3.0 CMS DE ESPESOR EN VARIAS CALLES Y AVENIDAS, EN LA LOCALIDAD Y MUNICIPIO DE CABORCA, SONORA.</t>
  </si>
  <si>
    <t>SIDUR-ED-16-008</t>
  </si>
  <si>
    <t>D'MARSELLA TERRACERIAS, S.A. DE C.V.</t>
  </si>
  <si>
    <t>C-00052/0170</t>
  </si>
  <si>
    <t>RECONSTRUCCION DE CAMINO HORNOS-ROSARIO EN VARIAS LOCALIDADES DE VARIOS MUNICIPIOS DE SONORA.</t>
  </si>
  <si>
    <t>SIDUR-ED-16-007</t>
  </si>
  <si>
    <t>OACSA, S.A. DE C.V.</t>
  </si>
  <si>
    <t>C-00054/0024</t>
  </si>
  <si>
    <t>MODERNIZACION DEL PERIFÉRICO PONIENTE (ETAPA 1) EN LA LOCALIDAD Y MUNICIPIO DE NAVOJOA, SONORA.</t>
  </si>
  <si>
    <t>SIDUR-ED-16-013</t>
  </si>
  <si>
    <t>LC PROYECTOS Y CONSTRUCCIONES, S.A. DE C.V.</t>
  </si>
  <si>
    <t>RECONSTRUCCION DEL CAMINO HERMOSILLO-BAHIA DE KINO</t>
  </si>
  <si>
    <t>SIDUR-ED-16-011</t>
  </si>
  <si>
    <t>C-00054/0026</t>
  </si>
  <si>
    <t>MODERNIZACION Y RECONSTRUCCION DEL TRAMO ETCHOJOA-BACOBAMPO EN VARIAS LOCALIDADES DEL MUNICIPIO DE ETCHOJOA.</t>
  </si>
  <si>
    <t>SIDUR-ED-16-016</t>
  </si>
  <si>
    <t>EDIFICACIONES BOZA, S.A. DE C.V.</t>
  </si>
  <si>
    <t>C-00054/0054</t>
  </si>
  <si>
    <t>RECONSTRUCCION DE CAMINO CALLE 1900 EN VARIAS LOCALIDADES DEL ESTADO DE SONORA.</t>
  </si>
  <si>
    <t>SIDUR-ED-16-012</t>
  </si>
  <si>
    <t xml:space="preserve">NA CONSTRUCCIONES DEL PACIFICO, S.A. DE C.V. </t>
  </si>
  <si>
    <t>C-00052/0171</t>
  </si>
  <si>
    <t>RECONSTRUCCION DE CARRETERAS ALIMENTADORAS REGIÓN: GUAYMAS-EMPALME TRAMO URSULO GALVAN - JUNELANCAHUI DEL KM 0+000 AL KM 5+600 EN VARIAS LOCALIDADES DE VARIOS MUNICIPIOS.</t>
  </si>
  <si>
    <t>SIDUR-ED-16-022</t>
  </si>
  <si>
    <t>ACQUA DREN INGENIERIA, S.A. DE C.V.</t>
  </si>
  <si>
    <t>C-00054/0060</t>
  </si>
  <si>
    <t>CONSERVACION Y RECONSTRUCCION DEL TRAMO NOVILLO - BACANORA - SAHUARIPA - SAN NICOLAS EN VARIAS LOCALIDADES DE VARIOS MUNICIPIOS DEL ESTADO DE SONORA.</t>
  </si>
  <si>
    <t>SIDUR-ED-16-017</t>
  </si>
  <si>
    <t>CONSTRUCCIONES VILLA DE SERIS, S.A. DE C.V.</t>
  </si>
  <si>
    <t>C-00054/0055</t>
  </si>
  <si>
    <t>CONSERVACION Y RECONSTRUCCION DE LA CARRETERA SAN IGNACIO - JUPATEHUECA EN VARIAS LOCALIDADES DE VARIOS MUNICIPIOS DEL ESTADO DE SONORA.</t>
  </si>
  <si>
    <t>SIDUR-ED-16-026</t>
  </si>
  <si>
    <t>C-00054/0064</t>
  </si>
  <si>
    <t>URES</t>
  </si>
  <si>
    <t>CONSERVACION Y RECONSTRUCCION DEL TRAMO URES-PUEBLO DE ALAMOS EN VARIAS LOCALIDADES DEL MUNICIPIO DE URES, SONORA.</t>
  </si>
  <si>
    <t>SIDUR-ED-16-023</t>
  </si>
  <si>
    <t>GLUYAS CONSTRUCCIONES, S.A. DE C.V.</t>
  </si>
  <si>
    <t>C-00054/0061</t>
  </si>
  <si>
    <t>CONSERVACION Y RECONSTRUCCION DE CARRETERAS ALIMENTADORES REGION: GUAYMAS-EMPALME TRAMO: AGUILITAS - BRINGAS DEL KM 0+000 AL KM 10+500 EN VARIAS LOCALIDADES DE VARIOS MUNICIPIOS DEL ESTADO DE SONORA.</t>
  </si>
  <si>
    <t>SIDUR-ED-16-020</t>
  </si>
  <si>
    <t>MAQUINARIA Y AGREGADOS GALA, S.A. DE C.V.</t>
  </si>
  <si>
    <t>C-00054/0058</t>
  </si>
  <si>
    <t>CONSERVACION Y RECONSTRUCCION DE LA VIALIDAD YAQUI - MAYO EN VARIAS LOCALIDADES DE VARIOS MUNCIPIOS DEL ESTADO DE SONORA.</t>
  </si>
  <si>
    <t>SIDUR-ED-16-025</t>
  </si>
  <si>
    <t>GRUPO MESIS, S.A. DE C.V.</t>
  </si>
  <si>
    <t>C-00054/0063</t>
  </si>
  <si>
    <t>CONSERVACION Y RECONSTRUCCION DE CARRETERAS ALIMENTADORAS REGION GUAYMAS  - EMPALME TRAMO MI PATRIA ES PRIMERO DEL KM 0+000 AL KM 3+400 TRANI BARCENAS - MAYTORENA DEL KM 0+000 AL 3+400 EN VARIAS LOCALIDADES DE VARIOS MUNICIPIOS DEL ESTADO DE SONORA.</t>
  </si>
  <si>
    <t>SIDUR-ED-16-021</t>
  </si>
  <si>
    <t>DESARROLLOS TIBURCIO, S.A. DE C.V.</t>
  </si>
  <si>
    <t>C-00054/0059</t>
  </si>
  <si>
    <t>CONSTRUCCION DE PARQUE, PLAYA Y BALNEARIO KINO MAGICO (ETAPA 1) EN LA COMISARIA DE BAHIA DE KINO MUNICIPIO DE HERMOSILLO, SONORA.</t>
  </si>
  <si>
    <t>SIDUR-ED-16-031</t>
  </si>
  <si>
    <t>PROMOTORA MAJERUS, S. DE R.L.</t>
  </si>
  <si>
    <t>C-00053/0014</t>
  </si>
  <si>
    <t>CONSERVACION Y RECONSTRUCCION DE CARRETERAS ALIMENTADORAS REGION GUAYMAS-EMPALME, TRAMO: E.C. (PROVIDENCIA-ORTIZ)-LA MISA</t>
  </si>
  <si>
    <t>SIDUR-ED-16-027</t>
  </si>
  <si>
    <t>GILA MINAS Y DESARROLLOS SA DE CV</t>
  </si>
  <si>
    <t>C-00054/0065</t>
  </si>
  <si>
    <t>CONSTRUCCION Y RECONSTRUCCION DEL TRAMO CABORCA-Y GRIEGA</t>
  </si>
  <si>
    <t>SIDUR-ED-16-018</t>
  </si>
  <si>
    <t>MEZQUITE CONSTRUCCIONES,S.A.DE C.V.</t>
  </si>
  <si>
    <t>C-00054/0056</t>
  </si>
  <si>
    <t>CONSERVACIÓN Y RECONSTRUCCION DEL TRAMO MAZATÁN-VILLA PESQUEIRA-SAN PEDRO DE LA CUEVA EN LA REGION DE LA SIERRA EN VARIAS LOCALIDADES DE VARIOS MUNICIPIOS EN SONORA.</t>
  </si>
  <si>
    <t>SIDUR-ED-16-019</t>
  </si>
  <si>
    <t>C-00054/0057</t>
  </si>
  <si>
    <t>CONSERVACION Y RECONSTRUCCION DEL TRAMO EL CRUCERO-GRANADOS DEL KM 0+000 AL KM 7+250</t>
  </si>
  <si>
    <t>SIDUR-ED-16-039</t>
  </si>
  <si>
    <t>CONOSON SA DE CV</t>
  </si>
  <si>
    <t>C-00054/0067</t>
  </si>
  <si>
    <t>CONCLUSION DE LA MODERNIZACION Y RECONSTRUCCION DEL TRAMO ESPERANZA - HORNOS (DEL KM 8 + 800 AL KM 17 + 400)</t>
  </si>
  <si>
    <t>SIDUR-ED-16-015</t>
  </si>
  <si>
    <t>C-00054/0053</t>
  </si>
  <si>
    <t>CONSERVACION Y RECONSTRUCCION DEL TRAMO MAZATAN-HERMOSILLO</t>
  </si>
  <si>
    <t>SIDUR-ED-16-024</t>
  </si>
  <si>
    <t>C-00054/0062</t>
  </si>
  <si>
    <t>OBRAS DE REHABILITACION DEL DELFINARIO SONORA (PRIMERA ETAPA)</t>
  </si>
  <si>
    <t>SIDUR-ED-16-040</t>
  </si>
  <si>
    <t>CONSTRUCTORA MIRAMAR, S.A. DE C.V.</t>
  </si>
  <si>
    <t>C-00061/0013</t>
  </si>
  <si>
    <t>CONSERVACION Y RECONSTRUCCION DEL TRAMO EL CRUCERO- VILLA HIDALGO (KM 0+000 AL 28+500)</t>
  </si>
  <si>
    <t>SIDUR-ED-16-038</t>
  </si>
  <si>
    <t>CONSTRUCTORA SAITE, S.A. DE C.V.</t>
  </si>
  <si>
    <t>C-00054/0068</t>
  </si>
  <si>
    <t>IKARO INGENIERIA Y ARQUITECTURA, S.A. DE C.V.</t>
  </si>
  <si>
    <t>RECONSTRUCCION DE CALLE 26, DEL KM 70+000 AL KM 101+300, HERMOSILLO</t>
  </si>
  <si>
    <t>GYEMM INMOBILIARIA Y DISEÑOS DE INGENIERIA Y ARQUITECTURA</t>
  </si>
  <si>
    <t>MODERNIZACION Y RECONSTRUCCION DEL PERIFERICO EN NAVOJOA (E.C. MEXICO 15-TETANCHOPO) DEL KM 7+031 AL KM 13+326</t>
  </si>
  <si>
    <t>SUPERVISION EXTERNA Y CONTROL DE CALIDAD DE LA OBRA: CONSTRUCCION DE CONSERVATORIO DE MUSICA FRAY IVO TONECK, EN LA LOCALIDAD Y MUNICIPIO DE GUAYMAS, SONORA.</t>
  </si>
  <si>
    <t>OFICIO DE AUTORIZACION</t>
  </si>
  <si>
    <t>EST. 15</t>
  </si>
  <si>
    <t>EST. TRAM.</t>
  </si>
  <si>
    <t>RECURSO AUTORIZADO</t>
  </si>
  <si>
    <t>CONSTRUCCIÓN DE CENTRO DE REHABILITACIÓN Y EDUCACIÓN ESPECIAL, CD. OBREGON, CAJEME</t>
  </si>
  <si>
    <t>PROYECTOS Y CONSTRUCCIONES ALHER, S.A. DE C.V.</t>
  </si>
  <si>
    <t>SIDUR-ED-16-168</t>
  </si>
  <si>
    <t>C-00119/0001</t>
  </si>
  <si>
    <t>CE-926006995-E61-2016</t>
  </si>
  <si>
    <t>ESTIM.</t>
  </si>
  <si>
    <t>SIDUR-PF-15-093</t>
  </si>
  <si>
    <t>EST. 16</t>
  </si>
  <si>
    <t>SUPERVISION EXTERNA Y CONTROL DE CALIDAD DE CONSTRUCCION DE LA BODEGA DE EVIDENCIAS DEL DISTRITO DE HERMOSILLO, PRIMERA ETAPA</t>
  </si>
  <si>
    <t>SIDUR-ED-16-179</t>
  </si>
  <si>
    <t>C-00098/0016-7</t>
  </si>
  <si>
    <t>CONSTRUCCION DE LINEA DE CONDUCCION DE POZO EXISTENTE A TANQUE DE ALMACENAMIENTO EN LA LOCALIDAD Y MUNICIPIO DE ALTAR.</t>
  </si>
  <si>
    <t>ALTAR</t>
  </si>
  <si>
    <t>BARREDA PROYECTO Y CONSTRUCCIONES, S.A. DE C.V.</t>
  </si>
  <si>
    <t>SIDUR-ED-16-187</t>
  </si>
  <si>
    <t>C-00050/0004</t>
  </si>
  <si>
    <t>CE-926006995-E70-2016</t>
  </si>
  <si>
    <t>REMODELACION DE BIBLIOTECA EN UNIDAD NAVOJOA CAMPUS SUR EN NAVOJOA(ITSON)</t>
  </si>
  <si>
    <t>SIDUR-PF-13-162</t>
  </si>
  <si>
    <t>C-00064/0039</t>
  </si>
  <si>
    <t>11000002002503E404K03105N612172161A012</t>
  </si>
  <si>
    <t>SH-ED-16-080</t>
  </si>
  <si>
    <t>SIDUR-PF-13-162.01</t>
  </si>
  <si>
    <t>SIDUR-PF-13-162.02</t>
  </si>
  <si>
    <t>CONSTRUCCION DE CANCHA DE HANDBALL UNIDAD NAVOJOA CAMPUS SUR, EN NAVOJOA (ITSON)</t>
  </si>
  <si>
    <t>C-00064/0040</t>
  </si>
  <si>
    <t>C-00064/0041</t>
  </si>
  <si>
    <t>SUMINISTRO E INSTALACION DE PASTO ARTIFICIAL PARA CANCHA DE FUTBOL SOCCER EN UNIDAD NAVOJOA CAMPUS SUR (ITSON)</t>
  </si>
  <si>
    <t>VERIFICACION DE INSTALACIONES ELECTRICAS EN LA  REHABILITACION DE EDIFICIO PARA ALBERGAR JUZGADO DE ORALIDAD PENAL CON SEDE EN SAN LUIS RIO COLORADO</t>
  </si>
  <si>
    <t>SIDUR-ED-16-151</t>
  </si>
  <si>
    <t>ING. MARIANO HOYOS ARVIZU</t>
  </si>
  <si>
    <t>C-00098/0016-1</t>
  </si>
  <si>
    <t>SIDUR-ED-16-152</t>
  </si>
  <si>
    <t>VERIFICACION DE INSTALACIONES ELECTRICAS DE LA CONSTRUCCION Y REMODELACION DEL CENTRO DE ATENCION TEMPRANA EN EL DISTRITO DE SAN LUIS RIO COLORADO</t>
  </si>
  <si>
    <t>C-00098/0016-2</t>
  </si>
  <si>
    <t>VERIFICACION DE INSTALACIONES ELECTRICAS DE LA AMPLIACION DE EDIFICIO PARA ALBERGAR JUZGADO DE ORALIDAD PENAL CON SEDE EN CABORCA</t>
  </si>
  <si>
    <t>SIDUR-ED-16-153</t>
  </si>
  <si>
    <t>C-00098/0016-3</t>
  </si>
  <si>
    <t>VERIFICACION DE INSTALACIONES ELECTRICAS DE LA CONTRUCCION DE CENTRO DE ATENCION TEMPRANA EN EL DISTRITO DE ALTAR CON SEDE EN CABORCA.</t>
  </si>
  <si>
    <t>SIDUR-ED-16-154</t>
  </si>
  <si>
    <t>C-00098/0016-4</t>
  </si>
  <si>
    <t>VERIFICACION DE INSTALACIONES ELECTRICAS EN LA CONSTRUCCION DE EDIFICIO PARA ALBERGAR EL JUZGADO DE ORALIDAD PENAL DE GUAYMAS</t>
  </si>
  <si>
    <t>SIDUR-ED-16-158</t>
  </si>
  <si>
    <t>C-00098/0016-8</t>
  </si>
  <si>
    <t>VERIFICACION DE INSTALACIONES ELECTRICAS DE LA CONSTRUCCION DE CENTRO DE ATENCION TEMPRANA EN EL DISTRITO DE GUAYMAS</t>
  </si>
  <si>
    <t>SIDUR-ED-16-159</t>
  </si>
  <si>
    <t>C-00098/0016-9</t>
  </si>
  <si>
    <t>VERIFICACION DE INSTALACIONES ELECTRICAS DE LA CONSTRUCCION DEL EDIFICIO PARA ALBERGAR EL JUZGADO DE ORALIDAD PENAL CON SEDE EN CIUDAD OBREGON.</t>
  </si>
  <si>
    <t>SIDUR-ED-16-164</t>
  </si>
  <si>
    <t>C-00098/0016-14</t>
  </si>
  <si>
    <t>VERIFICACION DE INSTALACIONES ELECTRICAS DE LA CONSTRUCCION DE EDIFICIO PARA ALBERGAR EL JUZGADO DE ORALIDAD PENAL DE NOGALES.</t>
  </si>
  <si>
    <t>SIDUR-ED-16-166</t>
  </si>
  <si>
    <t>C-00098/0016-16</t>
  </si>
  <si>
    <t>FAFEF 2016</t>
  </si>
  <si>
    <t>SUPERVISION EXTERNA Y CONTROL DE CALIDAD DE LA RECONSTRUCCION DE CALLE 28 NORTE, DEL KM 0 + 000 AL KM 10+160, Y DEL KM 17+210 AL 17+982, HERMOSILLO</t>
  </si>
  <si>
    <t>SATI CONSTRUCCIONES Y POYECTOS S.A. DE C.V.</t>
  </si>
  <si>
    <t>SIDUR-ED-16-194</t>
  </si>
  <si>
    <t>SH-ED-16-066</t>
  </si>
  <si>
    <t>SUPERVISION EXTERNA Y CONTROL DE CALIDAD DE LA RECONSTRUCCION DE CALLE 26, DEL KM 70+000 AL KM 101+300, HERMOSILLO</t>
  </si>
  <si>
    <t>SIDUR-ED-16-186</t>
  </si>
  <si>
    <t>GM3 INGENIERIA Y SERVICIOS, S. DE R.L. DE C.V.</t>
  </si>
  <si>
    <t>CE-926006995-E69-2016</t>
  </si>
  <si>
    <t>SUPERVISION Y CONTROL DE CALIDAD DE LA CONSERVACION Y RECONSTRUCCION DE LA CARRETERA SAN IGNACIO-JUPATAHUECA</t>
  </si>
  <si>
    <t>ACSA CONSTRUCTORES S.A. DE C.V.</t>
  </si>
  <si>
    <t>SIDUR-ED-16-148</t>
  </si>
  <si>
    <t>ANTICIPO DE SUPERVISION Y CONTROL DE CALIDAD DE LA CONSERVACION Y RECONSTRUCCION DE LA CARRETERA SAN IGNACIO-JUPATAHUECA</t>
  </si>
  <si>
    <t>SUPERVISION EXTERNA Y CONTROL DE CALIDADES DE LA RECONSTRUCCION DE E.C. (CALLE 36 SUR) - GRANJAS ACUICOLAS, DEL KM. 0 + 000 AL KM 12 + 660, HERMOSILLO</t>
  </si>
  <si>
    <t>ALAMOS INGENIERIA, SA DE CV</t>
  </si>
  <si>
    <t>SIDUR-ED-16-178</t>
  </si>
  <si>
    <t>CE-926006995-E20-2016</t>
  </si>
  <si>
    <t>DIRECTOR RESPONSABLE DE OBRA: CONSTRUCCIÓN DE BODEGA DE EVIDENCIAS EN EL DISTRITO DE HERMOSILLO PRIMERA ETAPA, EN LA LOCALIDAD Y MUNICIPIO DE HERMOSILLO, SONORA.</t>
  </si>
  <si>
    <t>ING. JOSE RAFAEL CANO AVILA</t>
  </si>
  <si>
    <t>SIDUR-ED-16-073</t>
  </si>
  <si>
    <t>SUPERVISION EXTERNA Y CONTROL DE CALIDAD DE LA RECONSTRUCCIÓN DEL CAMINO BACAME NUEVO</t>
  </si>
  <si>
    <t>GO SUPERVISION, PROYECTOS, ESTUDIOS Y CONSTROL DE CALIDAD DE OBRAS CIVILES, S.A. DE C.V.</t>
  </si>
  <si>
    <t>CE-926006995-E59-2016</t>
  </si>
  <si>
    <t>SIDUR-ED-16-114</t>
  </si>
  <si>
    <t>SUPERVISION EXTERNA Y CONSTROL DE CALIDAD DE LA OBRA: CONSERVACION Y RECONSTRUCCION DEL TRAMO URES - PUEBLO DE ALAMOS EN VARIAS LOCALIDADES DEL MUNICIPIO DE URES.</t>
  </si>
  <si>
    <t>SIDUR-PF-15-065</t>
  </si>
  <si>
    <t>RECONSTRUCCION DE CAMINO CALLE 900 VARIOS TRAMOS DEL KM 8+200 AL KM 36+139</t>
  </si>
  <si>
    <t>EXPLORACIONES MINERAS DEL DESIERTO, S.A. DE C.V.</t>
  </si>
  <si>
    <t>C-00110/0002</t>
  </si>
  <si>
    <t>11000016003501E203K03203A411061155GZ11</t>
  </si>
  <si>
    <t>SH-NC-16-R-004.</t>
  </si>
  <si>
    <t>MONTO CONTRATO</t>
  </si>
  <si>
    <t>LO-926006995-N40-2015</t>
  </si>
  <si>
    <t>SUPERVISION Y CONTROL DE CALIDAD: CONSTRUCCIÓN DE SEGUNDO CUERPO DE LA CALLE 1A EN COMPLEJO PUERTA OESTE Y DRENAJE PLUVIAL PROVINCIAS EN LA LOCALIDAD Y MUNICIPIO DE HERMOSILLO, SONORA</t>
  </si>
  <si>
    <t>REHABILITACION DE EDIFICIO PARA ALBERGAR JUZGADO DE ORALIDAD PENAL DEL DISTRITO JUDICIAL CON SEDE EN HERMOSILLO 2DA ETAPA (SEGUNDO NIVEL) EN LA LOCALIDAD Y MUNICIPIO DE HERMOSILLO, SONORA.</t>
  </si>
  <si>
    <t>SIDUR-ED-16-170</t>
  </si>
  <si>
    <t>INMOBILIARIA TIERRAS DEL DESIERTO, S.A. DE C.V.</t>
  </si>
  <si>
    <t>C-00058/001</t>
  </si>
  <si>
    <t>INMOBILIARIA TIERRAS DEL DESIERTO, S.A. DE C.V.
CONTRATO SIDUR-ED-16-170</t>
  </si>
  <si>
    <t>CONSTRUCCION DE PASO A DESNIVEL DENOMINADO "PUENTE UNIVERSITARIO", UBICADO SOBRE LA INTERNACIONAL 15 (UNISON, UTN, ACCESO AL HOSPITAL NUEVO IMSS) EN LA LOCALIDAD Y MUNICIPIO DE NOGALES, SONORA.</t>
  </si>
  <si>
    <t>SIDUR-ED-16-189</t>
  </si>
  <si>
    <t>C-00052/0173</t>
  </si>
  <si>
    <t>CE-926006995-E72-2016</t>
  </si>
  <si>
    <t>CONSTRUCTORA MIRAMAR &lt;&lt; CONTRATO&gt;&gt; SIDUR-ED-16-189</t>
  </si>
  <si>
    <t>ANTICIPO CONSTURCCION DE POZO EN ALTAR</t>
  </si>
  <si>
    <t>ADMINISTRADORA DE OBRAS OACSA, S.A. DE C.V.</t>
  </si>
  <si>
    <t>RECONSTRUCCIÓN DE CAMINO HORNOS-ROSARIO</t>
  </si>
  <si>
    <t>CE-926006995-E7-2016</t>
  </si>
  <si>
    <t>CONSERVACION Y RECONSTRUCCION DE CARRETERAS ALIMENTADORAS REGION GUAYMAS--EMPALME, TRAMO: AGUILITAS-BRINGAS DEL KM 0+000 AL KM 10+500</t>
  </si>
  <si>
    <t>MAQUINARIA Y AGREGADOS GALA S.A. DE C.V.</t>
  </si>
  <si>
    <t>CE-926006995-E29-2016</t>
  </si>
  <si>
    <t>RECONSTRUCCIÓN DEL CAMINO NAVOJOA-ETCHOJOA-HUATABAMPO</t>
  </si>
  <si>
    <t>C-00054/0019</t>
  </si>
  <si>
    <t>CE-926006995-E1-2016</t>
  </si>
  <si>
    <t>RECONSTRUCCION DEL CAMINO CALLE 12 SUR EN VARIAS LOCALIDADES, MUNICIPIO DE HERMOSILLO, SONORA</t>
  </si>
  <si>
    <t>CONSERVACION Y RECONSTRUCCION DE CARRETERAS ALIMENTADORAS REGION GUAYMAS-EMPALME, TRAMO: MI PATRIA ES PRIMERO DEL KM 0+000 AL 3+400 Y TRAMO BARCENAS-MAYTORENA, DEL KM 0+000 AL 3+400</t>
  </si>
  <si>
    <t>CE-926006995-C23-2016</t>
  </si>
  <si>
    <t>CE-926006995-E6-2016</t>
  </si>
  <si>
    <t>CE-926006995-E13-2016</t>
  </si>
  <si>
    <t>CE-926006995-E41-2016</t>
  </si>
  <si>
    <t>SIDUR-ED-16-184</t>
  </si>
  <si>
    <t>SUPERVISION EXTERNA Y CONTROL DE CALIDAD DE LA REHABILITACION DE RED DE CARRETERAS ALIMENTADORAS EN LA REGION DEL RIO SONORA; SUBTRAMO KM 0+000 AL KM 75+000</t>
  </si>
  <si>
    <t>ESCOBO S.A. DE C.V.</t>
  </si>
  <si>
    <t>SH-ED-16-060</t>
  </si>
  <si>
    <t>CE-966006995-E67-2016</t>
  </si>
  <si>
    <t>CONSERVACION Y RECONSTRUCCION DEL TRAMO URES-PUEBLO DE ALAMOS</t>
  </si>
  <si>
    <t>GLUYAS CONSTRUCCIONES S.A. DE C.V.</t>
  </si>
  <si>
    <t>CE-926006995-E25-2016</t>
  </si>
  <si>
    <t>SIDUR-ED-16-066</t>
  </si>
  <si>
    <t>SUPERVISION EXTERNA Y CONTROL DE CALIDAD DE LA CONSTRUCCION DE CENTRO DE ATENCION TEMPRANA EN EL DISTRITO DE NAVOJOA</t>
  </si>
  <si>
    <t>C-00098/0016-11</t>
  </si>
  <si>
    <t>C-00116/0002</t>
  </si>
  <si>
    <t>CONSERVACION Y RECONSTRUCCION DE CARRETERAS ALIMENTADORAS REGION GUAYMAS-EMPALME, TRAMO: URSULO GALVAN-JUNELANCAHUI, DEL KM 0+000 AL KM 5+600</t>
  </si>
  <si>
    <t>ACQUA  DREN  INGENIERIA S.A. DE C.V.</t>
  </si>
  <si>
    <t>CE-926006995-E24-2016</t>
  </si>
  <si>
    <t>CE-966006995-E17-2016</t>
  </si>
  <si>
    <t>EST. 09</t>
  </si>
  <si>
    <t>SIDUR-ED-16-185</t>
  </si>
  <si>
    <t>SUPERVISION EXTERNA Y CONTROL DE CALIDAD DE LA REHABILITACION DE RED DE CARRETERAS ALIMENTADORAS EN LA REGION DEL RIO SONORA; SUBTRAMO KM 75+000 AL KM 149+000</t>
  </si>
  <si>
    <t>CE-966006995-E68-2016</t>
  </si>
  <si>
    <t>SIDUR-PF-15-095</t>
  </si>
  <si>
    <t>SIDUR-ED-16-157</t>
  </si>
  <si>
    <t>MONTO DE CONTRATO</t>
  </si>
  <si>
    <t>SIDUR-PF-15-087</t>
  </si>
  <si>
    <t>VERIFICACION DE INSTALACIONES ELECTRICAS DE LA CONSTRUCCION DE LA BODEGA DE EVIDENCIAS DEL DISTRITO DE HERMOSILLO, PRIMERA ETAPA</t>
  </si>
  <si>
    <t>SIDUR-PF-15-031</t>
  </si>
  <si>
    <t>SUPERVISION EXTERNA Y CONTROL DE CALIDAD DE LA OBRA: REMODELACION DEL PARQUE INFANTIL EN LA LOCALIDAD Y MUNICIPIO DE HERMOSILLO, SONORA.</t>
  </si>
  <si>
    <t>SIDUR-PF-15-063</t>
  </si>
  <si>
    <t>SO-926006995-N25-2015</t>
  </si>
  <si>
    <t>CE-926006995-E37-2016</t>
  </si>
  <si>
    <t>CE-926006995-E35-2016</t>
  </si>
  <si>
    <t>CE-926006995-E36-2016</t>
  </si>
  <si>
    <t>CE-926006995-E16-2016</t>
  </si>
  <si>
    <t>RECONSTRUCCION DEL CAMINO CALLE 1900</t>
  </si>
  <si>
    <t>C-00054/0027</t>
  </si>
  <si>
    <t>CE-926006995-E14-2016</t>
  </si>
  <si>
    <t>MODERNIZACION Y RECONSTRUCCION DEL TRAMO ETCHOJOA-BACOBAMPO</t>
  </si>
  <si>
    <t>CE-926006995-E18-2016</t>
  </si>
  <si>
    <t>CE-926006995-E21-2016</t>
  </si>
  <si>
    <t>CONSERVACION Y RECONSTRUCCION DE LA CARRETERA SAN IGNACIO-JUPATAHUECA</t>
  </si>
  <si>
    <t>CE-926006995-E28-2016</t>
  </si>
  <si>
    <t>3. ENTRGADA A DGPE</t>
  </si>
  <si>
    <t>5. SOL. PEDIDO</t>
  </si>
  <si>
    <t>FECHA MEMO</t>
  </si>
  <si>
    <t>SIDUR-ED-16-210</t>
  </si>
  <si>
    <t>SIDUR-PF-16-252</t>
  </si>
  <si>
    <t>REHABILITACION DE PAVIMENTOS A BASE DE RECARPETEO EN CALLE MONTEVERDE ENTRE BLVD. PROGRESO Y VERACRUZ EN LA LOCALIDAD Y MUNICIPIO DE HERMOSILLO, SONORA</t>
  </si>
  <si>
    <t>PROYECTOS Y CONSTRUCCIONES VIRGO, S. A. DE C. V.</t>
  </si>
  <si>
    <t>C-00052/0175</t>
  </si>
  <si>
    <t>LO-926006995-E84-2016</t>
  </si>
  <si>
    <t>C-00052/0174</t>
  </si>
  <si>
    <t>CONSTRUCCION DE PUENTE VEHICULAR SOBRE RIO MAYO, EN EL PERIFERICO PONIENTE EN NAVOJOA</t>
  </si>
  <si>
    <t>ING. LUIS EDUARDO GUERRA ESQUIVEL</t>
  </si>
  <si>
    <t>R23 PROY. D. REGIONAL</t>
  </si>
  <si>
    <t>RECARPETEO CON MICROCARPETA ASFALTICA DE 3.0 CM DE ESPESOR EN VARIAS CALLES Y AVENIDAS</t>
  </si>
  <si>
    <t>CE-926006995-E8-2016</t>
  </si>
  <si>
    <t>CALLE REFORMA CONSTRUPIMA</t>
  </si>
  <si>
    <t>CONSERVACION DEL CAMINO ACCESO AL DELFINARIO</t>
  </si>
  <si>
    <t>SIDUR-PF-15-091</t>
  </si>
  <si>
    <t>CONSTRUCCION DEL CENTRO CULTURAL AL NORTE DE HERMOSILLO</t>
  </si>
  <si>
    <t>C-00111/0001</t>
  </si>
  <si>
    <t>C01-C03</t>
  </si>
  <si>
    <t>COLECTOR Y CARCAMO DE BOMBEO EN SAN IGNACIO RIO MUERTO</t>
  </si>
  <si>
    <t>SUPERVISION EXTERNA Y CONTROL DE CALIDAD DE LA OBRA: RECONSTRUCCION DE LA CALLE GUERRERO DEL KM 0+000 AL 6+020 EN VARIAS LOCALIDADES DEL MUNICIPIO DE HERMOSILLO, SONORA.</t>
  </si>
  <si>
    <t>ALCCON SIGLO XXI, S.A. DE C.V.</t>
  </si>
  <si>
    <t>SIDUR-ED-16-177</t>
  </si>
  <si>
    <t>CONSERVACION Y RECONSTRUCCION DE LA VIALIDAD YAQUI-MAYO</t>
  </si>
  <si>
    <t>CE-926006995-E27-2016</t>
  </si>
  <si>
    <t>Total general</t>
  </si>
  <si>
    <t>PAVIMENTACION CON CONCRETO HIDRAULICO DEL BLVD. LAZARO GUTIERREZ DE LARA</t>
  </si>
  <si>
    <t>PREMEZCLADOS NOGALES, S.A. DE C.V.</t>
  </si>
  <si>
    <t>CANANEA</t>
  </si>
  <si>
    <t>SIDUR-ED-16-249</t>
  </si>
  <si>
    <t>CE-926006995-E81-2016</t>
  </si>
  <si>
    <t>FAFEF 2015</t>
  </si>
  <si>
    <t>C-00052/0181</t>
  </si>
  <si>
    <t>TRAMITE DE ANTICIPO DE LA CALLE 4 SUR</t>
  </si>
  <si>
    <t>SIDUR-ED-16-175</t>
  </si>
  <si>
    <t>SUPERVISION EXTERNA Y CONTROL DE CALIDAD DE LA CONSTRUCCION DE LA CARRETERA E.C. CALLE 4 SUR- (ALFREDO V. BONFIL) TRAMO DEL KM 1+700 AL KM 5+000</t>
  </si>
  <si>
    <t>SUPERVISION EXTERNA Y CONTROL DE CALIDAD DE LA CONSTRUCCION DEL PUENTE VEHICULAR SOBRE EL RIO MAYO EN EL PERIFERICO PONIENTE EN LA LOCALIDAD Y MUNICIPIO DE NAVOJOA</t>
  </si>
  <si>
    <t>MODERNIZACION DE LA CALLE ROSALES ETAPA 1 EN HERMOSILLO</t>
  </si>
  <si>
    <t>SIDUR-ED-16-250</t>
  </si>
  <si>
    <t>SIDUR-ED-16-251</t>
  </si>
  <si>
    <t>REUBICACION DE COLECTOR Y CARCAMO DE BOMBEO</t>
  </si>
  <si>
    <t>CONSTRUCTORA KIOKI, S. A. DE C. V.</t>
  </si>
  <si>
    <t>SAN IGNACIO RIO MUERTO</t>
  </si>
  <si>
    <t>C-00051/0005</t>
  </si>
  <si>
    <t>CONSERVACION Y RECONSTRUCCION DEL CAMINO DE ACCESO AL DELFINARIO, DESDE EL BLVD. MANLIO FABIO BELTRONES AL BLVD. ENCINAS JOHNSON</t>
  </si>
  <si>
    <t>C-00054/0076</t>
  </si>
  <si>
    <t>CONSTRUCCIONES ALVERLI DEL NOROESTE, S. A. DE C. V.</t>
  </si>
  <si>
    <t>SIDUR-ED-16-256</t>
  </si>
  <si>
    <t>CONSTRUPIMA, S.A. DE C.V.</t>
  </si>
  <si>
    <t>SIDUR-PF-16-253</t>
  </si>
  <si>
    <t>C-00052/0177</t>
  </si>
  <si>
    <t>REHABILITACION DE PAVIMIENTOS A BASE DE RECARPETEO EN CALLE REFORMA EN LOS TRAMOS DE PROGRESO Y AVE 13 DE JOSE CARMELO A AVE 8 Y DE BLVD SERNA A BLVD LUIS ENCINAS EN LA LOCALIDAD Y MUNICIPIO DE HERMOSILLO, SON</t>
  </si>
  <si>
    <t>CE-926006995-E82-2016</t>
  </si>
  <si>
    <t>CE-926006995-E88-2016</t>
  </si>
  <si>
    <t>SUPERVISION EXTERNA Y CONTROL DE CALIDAD DE LA OBRA: CONSTRUCCION DE PUENTE VEHICULAR SOBRE RIO MAYO, EN EL PERIFERICO PONIENTE EN NAVOJOA</t>
  </si>
  <si>
    <t>SH-ED-16-093</t>
  </si>
  <si>
    <t>CE-926006995-E83-2016</t>
  </si>
  <si>
    <t>LO-956006995-E85-2016</t>
  </si>
  <si>
    <t>SALDO DE ANTICIPO</t>
  </si>
  <si>
    <t>CONSTRUCCIONES EL LLANO, S.A. DE C.V.</t>
  </si>
  <si>
    <t>SIDUR-PF-16-255</t>
  </si>
  <si>
    <t>REHABILITACIÓN DE PAVIMENTOS A BASE DE RECARPETEO EN BLVD. GARCIA MORALES ENTRE ANTONIO QUIROGA Y ACCESO AL AEROPUERTO EN LA LOCALIDAD Y MUNICIPIO DE HERMOSILLO, SONORA.</t>
  </si>
  <si>
    <t>LO-956006995-E87-2016</t>
  </si>
  <si>
    <t>SIDUR-ED-16-257</t>
  </si>
  <si>
    <t>EST. 17</t>
  </si>
  <si>
    <t>EST. 18</t>
  </si>
  <si>
    <t>EST. 19</t>
  </si>
  <si>
    <t>AV. FIN.
COBRADO</t>
  </si>
  <si>
    <t>SIDUR-PF-15-094</t>
  </si>
  <si>
    <t>CANCHA DE FUTBOL DE PASTO SINTETICO PARA LA ESCUELA PRIMARIA ESTHER QUIJADA DOMINGUEZ</t>
  </si>
  <si>
    <t>GRUPO DESARROLLO CONGRUUS SA DE CV</t>
  </si>
  <si>
    <t>SH-NC-16-R-002</t>
  </si>
  <si>
    <t>ECONOMIA O DEFICIT</t>
  </si>
  <si>
    <t>SIDUR-ED-16-228</t>
  </si>
  <si>
    <t>SUPERVISION Y CONTROL DE CALIDAD DE LA OBRA: RECONSTRUCCION DE E.C. (HERMOSILLO -  BAHIA DE KINO) - GRANJA ACUICOLA SAN NICOLAS DEL KM 0+000 AL KM 10+410 EN VARIAS LOCALIDADES DE HERMOSILLO, SONORA.</t>
  </si>
  <si>
    <t>DAPCI, S.A. DE C.V.</t>
  </si>
  <si>
    <t>C-00052/0179</t>
  </si>
  <si>
    <t>CONSTRUCCION DE PARQUE, PLAYA Y BALNEARIO "KINO MAGICO" (ETAPA 1) EN LA COMISARIA DE BAHIA DE KINO</t>
  </si>
  <si>
    <t>CONSERVACIÓN DEL TRAMO NOVILLO - BACANORA - SAHUARIPA -  SAN NICOLÁS EN VARIAS LOCALIDADES DE VARIOS MUNICIPIOS DEL ESTADO DE SONORA.</t>
  </si>
  <si>
    <t>CONSTRUCCIONES VILLA DE SERIS, S. A. DE C. V.</t>
  </si>
  <si>
    <t>MODERNIZACION DEL PERIFERICO PONIENTE (1 ETAPA), NAVOJOA</t>
  </si>
  <si>
    <t>LC PROYECTOS Y CONSTRUCCIONES S.A. DE C.V.</t>
  </si>
  <si>
    <t>CE-926006995-E26-2016</t>
  </si>
  <si>
    <t>SIDUR-ED-16-248</t>
  </si>
  <si>
    <t>MODERNIZACIÓN DE LA CALLE ROSALES, ETAPA 1 EN  HERMOSILLO, SONORA.</t>
  </si>
  <si>
    <t>CONSTRUCTORA PARGEL, S. A. DE C. V.</t>
  </si>
  <si>
    <t>C-00052/0180</t>
  </si>
  <si>
    <t>CE-926006995-E80-2016</t>
  </si>
  <si>
    <t>1. S.H. PAGADO</t>
  </si>
  <si>
    <t>2. S.H. PENDIENTE</t>
  </si>
  <si>
    <t>3. O.P. DGPE</t>
  </si>
  <si>
    <t>4. ESPERA FACT.</t>
  </si>
  <si>
    <t>4.1 DEV. FACT.</t>
  </si>
  <si>
    <t>6. DGEO REV.</t>
  </si>
  <si>
    <t>7. SUP. SIDUR</t>
  </si>
  <si>
    <t>8. REV. SUP. EXT.</t>
  </si>
  <si>
    <t>SIDUR-PF-15-017</t>
  </si>
  <si>
    <t>SIDUR-PF-16-254</t>
  </si>
  <si>
    <t>GRUPO CONSTRUCCIONES PLANIFICADAS, SA DE CV</t>
  </si>
  <si>
    <t>REHABILITACION DE PAVIMENTOS A BASE DE RECARPETEO EN AVE JOSE S. HEALY, AVE JOSE CARMELO Y PERIMETRAL NORTE</t>
  </si>
  <si>
    <t>C-00052/0178</t>
  </si>
  <si>
    <t>SUPERVISION EXTERNA Y CONTROL DE CALIDAD DE LA OBRA: CONSTRUCCIÓN DE CENTRO DE REHABILITACIÓN Y EDUCACIÓN ESPECIAL EN LA LOCALIDAD DE CD. OBREGON MUNICIPIO DE CAJEME, SONORA.</t>
  </si>
  <si>
    <t>J.G. SERRANO Y ASOCIADOS, S.C.</t>
  </si>
  <si>
    <t>8. EN REV. POR LA SUPERV. EXTERNA</t>
  </si>
  <si>
    <t>7. EN REV. POR EL SUPERV. DE SIDUR</t>
  </si>
  <si>
    <t>6. EN REV. POR LA D.G. DE EJEC. DE OBRAS</t>
  </si>
  <si>
    <t>5. SE SOLICITA PEDIDO A D.G. PROG. Y EVAL.</t>
  </si>
  <si>
    <t>4. EN ESPERA O CORRECCION DE FACTURA</t>
  </si>
  <si>
    <t>3. ORDEN DE PAGO EN D.G. PROG. Y EVAL.</t>
  </si>
  <si>
    <t>2. TESORERIA PENDIENTE DE PAGO</t>
  </si>
  <si>
    <t>1. HACIENDA PADADO</t>
  </si>
  <si>
    <t>ESTADO DE ESTIMACIÓN</t>
  </si>
  <si>
    <t>MONTO NETO</t>
  </si>
  <si>
    <t>Total</t>
  </si>
  <si>
    <t>ESTADO DE ESTIMACIÓN NO PAGADAS</t>
  </si>
  <si>
    <t>M. CONTRATADO</t>
  </si>
  <si>
    <t>AVANCE FINCIERO ESTIMADO</t>
  </si>
  <si>
    <t>AV.FIN. EST.</t>
  </si>
  <si>
    <t>RETEN.</t>
  </si>
  <si>
    <t>AV. FINANCIERO TOTAL</t>
  </si>
  <si>
    <t>C04</t>
  </si>
  <si>
    <t>SIDUR-PF-15-089</t>
  </si>
  <si>
    <t>SANTA CRUZ</t>
  </si>
  <si>
    <t>PROMOCIONES TESIA, S.A. DE C.V.</t>
  </si>
  <si>
    <t>REHABILITACION DE PAVIMENTOS DE AV. MIGUEL HIDALGO EN LA LOCALIDAD Y MUNICIPIO DE SANTA CRUZ, SONORA.</t>
  </si>
  <si>
    <t>SIDUR-PF-16-306</t>
  </si>
  <si>
    <t>AO-926006995-E111-2016</t>
  </si>
  <si>
    <t>SH-NC-16-100</t>
  </si>
  <si>
    <t>C-00052/0203</t>
  </si>
  <si>
    <t>PAVIMENTACION CON CARPETA ASFALTICA DE 5CMS DE ESPESOR DE LA AVENIDA FABRICA DE LOS ANGELES Y AV. PRINCIPAL DE LA LOCALIDAD FABRICA DE LOS ANGELES</t>
  </si>
  <si>
    <t>C-00052/0200</t>
  </si>
  <si>
    <t>PROYECTOS Y EDIFICACIONES RANDA, S.A. DE C.V.</t>
  </si>
  <si>
    <t>SIDUR-PF-16-303</t>
  </si>
  <si>
    <t>IO-926006995-E104-2016</t>
  </si>
  <si>
    <t>SAN MIGUEL DE HORCASITAS</t>
  </si>
  <si>
    <t>SH-NC-16-093</t>
  </si>
  <si>
    <t>AV. FISICO</t>
  </si>
  <si>
    <t>REHABILITACION DE PAVIMENTOS A BASE DE RECARPETEO CON CARPETA ASFALTICA DE 3CM ESPESOR, EN 12 CALLES DE LA LOCALIDAD DE EMPALME</t>
  </si>
  <si>
    <t>CONCRETOS Y AGREGADOS DE CAJEME, S.A. DE C.V.</t>
  </si>
  <si>
    <t>SIDUR-PF-16-291</t>
  </si>
  <si>
    <t>C-00052/0231</t>
  </si>
  <si>
    <t>BANAMICHI</t>
  </si>
  <si>
    <t>ORTOPLAN CONSULTORES S. A. DE C. V.</t>
  </si>
  <si>
    <t>PAVIMENTACION CON CONCRETO HIDRAULICO EN LA CALLE AGUSTIN FIGUEROA EN LA LOCALIDAD DE BANAMICHI, SONORA</t>
  </si>
  <si>
    <t>SIDUR-PF-16-304</t>
  </si>
  <si>
    <t>C-00052/0204</t>
  </si>
  <si>
    <t>10-926006995-E105-2016</t>
  </si>
  <si>
    <t>ACONCHI</t>
  </si>
  <si>
    <t>PAVIMENTACION CON CONCRETO HIDRAULICO DE 15 CMS DE ESPESOR EN LAS CALLES JOSE A. LUNA Y VICENTE GUERRERO EN LA LOCALIDAD Y MUNICIPIO DE ACONCHI, SONORA</t>
  </si>
  <si>
    <t>SIDUR-PF-16-305</t>
  </si>
  <si>
    <t>C-00052/0214</t>
  </si>
  <si>
    <t>10-926006995-E106-2016</t>
  </si>
  <si>
    <t>C1</t>
  </si>
  <si>
    <t>EDIFICACION INTEGRAL DEL NOROESTE S. A. DE C. V.</t>
  </si>
  <si>
    <t>REHABILITACION DE PAVIMENTOS EN 12 CALLES DE CD. OBREGON NORTE EN LA LOCALIDAD DE CD. OBREGON MUNICIPIO DE CAJEME, SONORA.</t>
  </si>
  <si>
    <t>SIDUR-PF-16-296</t>
  </si>
  <si>
    <t>TRINCHERAS</t>
  </si>
  <si>
    <t>SOL Y MAR CONSTRUCCIONES JEEV, S. DE R. L. DE C. V.</t>
  </si>
  <si>
    <t>PAVIMENTACION CON CONCRETO HIDRAULICO DE 15 CMS DE ESPESOR EN CALLE GALEANA EN LA LOCALIDAD Y MUNICIPIO DE TRINCHERAS, SONORA</t>
  </si>
  <si>
    <t>SIDUR-PF-16-314</t>
  </si>
  <si>
    <t>C-00052/0211</t>
  </si>
  <si>
    <t>IO-926006995-E100-2016</t>
  </si>
  <si>
    <t>SIDUR-PF-16-299</t>
  </si>
  <si>
    <t>REHABILITACION DE PAVIMENTOS DE VARIAS CALLES CON MICROCARPETA EN LA LOCALIDAD Y MUNICIPIO DE PITIQUITO, SONORA</t>
  </si>
  <si>
    <t>C-00052/0194</t>
  </si>
  <si>
    <t>IO-926006995-E112-2016</t>
  </si>
  <si>
    <t>EST. 20</t>
  </si>
  <si>
    <t>CE-926006995-E19-2016</t>
  </si>
  <si>
    <t>CONSTRUCCION DE EQUIPAMIENTO DE UNIDAD DEPORTIVA MUNICIPAL HONOFRE GRACIA SANCHEZ EN LA LOCALIDAD Y MUNICIPIO DE MAZATAN</t>
  </si>
  <si>
    <t>OBRAS Y BASTIMENTOS DEL NOROESTE, S.A. DE C.V.</t>
  </si>
  <si>
    <t>C-00109/0002</t>
  </si>
  <si>
    <t>OM-NC-15-196</t>
  </si>
  <si>
    <t>CONSTRUCCION Y EQUIPAMIENTO DE UNIDAD DEPORTIVA MUNICIPAL EL ANDADOR EN LA LOCALIDAD Y MUNICIPIO DE SANTA ANA, SONORA.</t>
  </si>
  <si>
    <t>C-00109/0004</t>
  </si>
  <si>
    <t>CONSTRUCCION Y EQUIPAMIENTO DE LA UNIDAD DEPORTIVA AURELIO RODRIGUEZ EN LA LOCALIDAD Y MUNICIPIO DE CANANEA, SONORA.</t>
  </si>
  <si>
    <t>CONSTRU ELECTRICA R Y R, S.A. DE C.V.</t>
  </si>
  <si>
    <t>OM-NC-15-203</t>
  </si>
  <si>
    <t>CONSTRUCCION, REHABILITACION Y EQUIPAMIENTO DE ESTADIO MUNDIALISTA EN LA LOCALIDAD Y MUNICIPIO DE HERMOSILLO, SONORA.</t>
  </si>
  <si>
    <t>SIGNS MANUFACTURAS Y CONSTRUCCIONES, S.A. DE C.V.</t>
  </si>
  <si>
    <t>CONSTRUCCION, REHABILITACION Y EQUIPAMIENTO DE UNIDAD DEPORTIVA BALDOMERO ALDAMA EN LA LOCALIDAD Y MUNICIPIO DE HUATABAMPO, SONORA</t>
  </si>
  <si>
    <t>RECONSTRUCCION DEL CAMINO BACABACHI HUATABAMPO VARIOS TRAMOS DEL KM 5+600 AL KM 25+500 EN LA LOCALIDAD Y MUNCIPIO DE NAVOJOA, SONORA.</t>
  </si>
  <si>
    <t>RECONSTRUCCION DE CAMINO CALLE 600 VARIOS TRAMOS DEL KM 20+100 AL KM 40+700, EN VARIAS LOCALIDADES DE CAJEME, SONORA.</t>
  </si>
  <si>
    <t>MEZQUITE CONSTRUCCIONES, S.A. DE C.V.</t>
  </si>
  <si>
    <t>PAVIMENTACION CON CONCRETO HIDRAULICO DE CALLE SIN NOMBRE EN LA LOCALIDAD DE MAZATAN</t>
  </si>
  <si>
    <t>SIDUR-PF-16-323</t>
  </si>
  <si>
    <t>C-00052/0205</t>
  </si>
  <si>
    <t>CONSTRUCTORES LISTA BLANCA, S.A.DE C.V.</t>
  </si>
  <si>
    <t>AO-926006995-E122-2016</t>
  </si>
  <si>
    <t>SIDUR-PF-16-300</t>
  </si>
  <si>
    <t>PAVIMENTACION A BASE DE CONCRETO HIDRAULICO DE LA CALLE TEPACHE ENTRE VERACRUZ Y CALLE MUNICIPIO DE BACANORA</t>
  </si>
  <si>
    <t>C-00052/0236</t>
  </si>
  <si>
    <t>IO-926006995-E101-2016</t>
  </si>
  <si>
    <t>BENJAMIN HILL</t>
  </si>
  <si>
    <t>VICOMMING, S.A. DE C.V.</t>
  </si>
  <si>
    <t>C-00052/0189</t>
  </si>
  <si>
    <t>IO-926006995-E108-2016</t>
  </si>
  <si>
    <t>PAVIMENTACION CON CONCRETO HIDRAULICO DE 15CMS DE ESPESOR EN BLVD. MIGUEL ALEMAN EN LA LOCALIDAD DE BENJAMIN HILL</t>
  </si>
  <si>
    <t>SIDUR-PF-16-308</t>
  </si>
  <si>
    <t>BENITO JUAREZ</t>
  </si>
  <si>
    <t>PAVIMENTACION CON CONCRETO HIDRAULICO EN LA CALLE 2 DE ABRIL EN LA LOCALIDAD DE VILLA JUAREZ</t>
  </si>
  <si>
    <t>SIDUR-PF-16-295</t>
  </si>
  <si>
    <t>C-00052/0206</t>
  </si>
  <si>
    <t>LO-926006995-E96-2016</t>
  </si>
  <si>
    <t>ARIZPE</t>
  </si>
  <si>
    <t>PAVIMENTACION CON CONCRETO HIDRAULICO DE VARIAS CALLES Y AVENIDAS EN LA LOCALIDAD DE ARIZPE</t>
  </si>
  <si>
    <t>GRUPO MERCLA S.A DE C. V.</t>
  </si>
  <si>
    <t>SIDUR-PF-16-328</t>
  </si>
  <si>
    <t>C-00052/0193</t>
  </si>
  <si>
    <t>IO-926006995-E121-2016</t>
  </si>
  <si>
    <t>GROBSON S. DE R. L.</t>
  </si>
  <si>
    <t>REHABILITACION DE PAVIMENTO EN 4 CALLES DE CD. OBREGON SUR EN LA LOCALIDAD DE CD. OBREGON MUNICIPIO DE CAJEME, SONROA</t>
  </si>
  <si>
    <t>SIDUR-PF-16-309</t>
  </si>
  <si>
    <t>C-00052/0220</t>
  </si>
  <si>
    <t>11000002002201E201K02203A614202165FN11</t>
  </si>
  <si>
    <t>LO-926006995-E109-2016</t>
  </si>
  <si>
    <t>REHABILITACION DE PAVIMENTO EN 4 CALLES DE CD. OBREGON SUR EN LA LOCALIDAD DE CD. OBREGON MUNICPIO DE CAJEME, SONORA</t>
  </si>
  <si>
    <t>C4</t>
  </si>
  <si>
    <t>SIDUR-ED-16-292</t>
  </si>
  <si>
    <t>BOULEVARD DE ACCESO A LA LOCALIDAD Y MUNICIPIO DE BENJAMIN HILL, SONORA</t>
  </si>
  <si>
    <t>MCO-850128-MP3</t>
  </si>
  <si>
    <t>C02-C3</t>
  </si>
  <si>
    <t>REHABILITACION DE PAVIMENTOS DE VARIAS CALLES Y AVENIDAD EN LA LOCALIDAD DE MATAPE</t>
  </si>
  <si>
    <t>SIDUR-PF-16-330</t>
  </si>
  <si>
    <t>C-00052/0198</t>
  </si>
  <si>
    <t>IO-926006995-E126-2016</t>
  </si>
  <si>
    <t>MOCUZARI CONSTRUCTORA, S.A. DE C.V.</t>
  </si>
  <si>
    <t>VILLA PESQUEIRA</t>
  </si>
  <si>
    <t>PAVIMENTACION CON CONCRETO HIDRAULICO EN LA CALLE CANANEA EN LA LOCALIDAD Y MUNICIPIO DE BACOACHI, SONORA</t>
  </si>
  <si>
    <t>DCR CONSULTORIA Y CONSTRUCCION, S.A. DE C.V.</t>
  </si>
  <si>
    <t>SIDUR-PF-16-335</t>
  </si>
  <si>
    <t>C-00052/0234</t>
  </si>
  <si>
    <t>IO-926006995-E131-2016</t>
  </si>
  <si>
    <t>BACOACHI</t>
  </si>
  <si>
    <t>SIDUR-PF-15-021</t>
  </si>
  <si>
    <t>CARBO</t>
  </si>
  <si>
    <t>MURRIETA SOLUCIONES, S.A. DE C.V.</t>
  </si>
  <si>
    <t>REMODELACION DE PLAZA PUBLICA MUNICIPAL</t>
  </si>
  <si>
    <t>11000002002202E406K17104A614192155GL05</t>
  </si>
  <si>
    <t>C-00093/0016</t>
  </si>
  <si>
    <t>IO-926006995-N16-2015</t>
  </si>
  <si>
    <t>REHABILITACION DE PAVIMENTOS DE VARIAS CALLES Y AVENIDAS EN LA LOCALIDAD DE ADIVINO</t>
  </si>
  <si>
    <t>SIDUR-PF-16-341</t>
  </si>
  <si>
    <t>C-00052/0238</t>
  </si>
  <si>
    <t>10.09%</t>
  </si>
  <si>
    <t>6.25%</t>
  </si>
  <si>
    <t>16.66%</t>
  </si>
  <si>
    <t xml:space="preserve"> 26,465,400.00</t>
  </si>
  <si>
    <t>7.72%</t>
  </si>
  <si>
    <t>5.55%</t>
  </si>
  <si>
    <t>Total SIDUR-ED-16-003</t>
  </si>
  <si>
    <t xml:space="preserve"> 83,353,232.65</t>
  </si>
  <si>
    <t>3.86%</t>
  </si>
  <si>
    <t>2.96%</t>
  </si>
  <si>
    <t>21.34%</t>
  </si>
  <si>
    <t>Total SIDUR-ED-16-007</t>
  </si>
  <si>
    <t xml:space="preserve"> 28,542,774.78</t>
  </si>
  <si>
    <t>41.86%</t>
  </si>
  <si>
    <t>Total SIDUR-ED-16-008</t>
  </si>
  <si>
    <t xml:space="preserve"> 24,701,108.24</t>
  </si>
  <si>
    <t>16.64%</t>
  </si>
  <si>
    <t>Total SIDUR-ED-16-012</t>
  </si>
  <si>
    <t>Total SIDUR-ED-16-014</t>
  </si>
  <si>
    <t xml:space="preserve"> 79,892,690.27</t>
  </si>
  <si>
    <t>9.22%</t>
  </si>
  <si>
    <t>Total SIDUR-ED-16-015</t>
  </si>
  <si>
    <t xml:space="preserve"> 112,909,841.56</t>
  </si>
  <si>
    <t>11.54%</t>
  </si>
  <si>
    <t>12.28%</t>
  </si>
  <si>
    <t>Total SIDUR-ED-16-017</t>
  </si>
  <si>
    <t xml:space="preserve"> 33,809,827.16</t>
  </si>
  <si>
    <t>29.72%</t>
  </si>
  <si>
    <t>Total SIDUR-ED-16-019</t>
  </si>
  <si>
    <t xml:space="preserve"> 40,380,067.49</t>
  </si>
  <si>
    <t>23.43%</t>
  </si>
  <si>
    <t>3.89%</t>
  </si>
  <si>
    <t>Total SIDUR-ED-16-023</t>
  </si>
  <si>
    <t xml:space="preserve"> 25,694,303.85</t>
  </si>
  <si>
    <t>Total SIDUR-ED-16-024</t>
  </si>
  <si>
    <t>Total SIDUR-ED-16-025</t>
  </si>
  <si>
    <t xml:space="preserve"> 20,287,001.81</t>
  </si>
  <si>
    <t>3.50%</t>
  </si>
  <si>
    <t>Total SIDUR-ED-16-026</t>
  </si>
  <si>
    <t xml:space="preserve"> 31,555,491.96</t>
  </si>
  <si>
    <t>10.08%</t>
  </si>
  <si>
    <t>Total SIDUR-ED-16-027</t>
  </si>
  <si>
    <t xml:space="preserve"> 27,782,320.26</t>
  </si>
  <si>
    <t>0.70%</t>
  </si>
  <si>
    <t>Total SIDUR-ED-16-038</t>
  </si>
  <si>
    <t>2.79%</t>
  </si>
  <si>
    <t xml:space="preserve"> 20,694,418.35</t>
  </si>
  <si>
    <t>13.66%</t>
  </si>
  <si>
    <t>Total SIDUR-ED-16-043</t>
  </si>
  <si>
    <t>7.44%</t>
  </si>
  <si>
    <t>Total SIDUR-ED-16-044</t>
  </si>
  <si>
    <t xml:space="preserve"> 45,827,894.39</t>
  </si>
  <si>
    <t>Total SIDUR-ED-16-045</t>
  </si>
  <si>
    <t xml:space="preserve"> 19,015,925.61</t>
  </si>
  <si>
    <t>5.30%</t>
  </si>
  <si>
    <t>20.97%</t>
  </si>
  <si>
    <t>Total SIDUR-ED-16-046</t>
  </si>
  <si>
    <t xml:space="preserve"> 22,599,852.19</t>
  </si>
  <si>
    <t>4.48%</t>
  </si>
  <si>
    <t>Total SIDUR-ED-16-047</t>
  </si>
  <si>
    <t>25.00%</t>
  </si>
  <si>
    <t xml:space="preserve"> 525,494.24</t>
  </si>
  <si>
    <t>Total SIDUR-ED-16-057</t>
  </si>
  <si>
    <t xml:space="preserve"> 703,223.55</t>
  </si>
  <si>
    <t>Total SIDUR-ED-16-058</t>
  </si>
  <si>
    <t xml:space="preserve"> 1,055,021.97</t>
  </si>
  <si>
    <t>12.50%</t>
  </si>
  <si>
    <t>Total SIDUR-ED-16-060</t>
  </si>
  <si>
    <t xml:space="preserve"> 2,497,488.54</t>
  </si>
  <si>
    <t>14.29%</t>
  </si>
  <si>
    <t>Total SIDUR-ED-16-061</t>
  </si>
  <si>
    <t xml:space="preserve"> 338,488.93</t>
  </si>
  <si>
    <t xml:space="preserve"> 189,320.00</t>
  </si>
  <si>
    <t>20.00%</t>
  </si>
  <si>
    <t>Total SIDUR-ED-16-072</t>
  </si>
  <si>
    <t>Total SIDUR-ED-16-079</t>
  </si>
  <si>
    <t xml:space="preserve"> 2,299,094.85</t>
  </si>
  <si>
    <t>17.67%</t>
  </si>
  <si>
    <t>Total SIDUR-ED-16-103</t>
  </si>
  <si>
    <t xml:space="preserve"> 1,146,994.15</t>
  </si>
  <si>
    <t>17.02%</t>
  </si>
  <si>
    <t>Total SIDUR-ED-16-104</t>
  </si>
  <si>
    <t xml:space="preserve"> 1,648,266.09</t>
  </si>
  <si>
    <t>16.67%</t>
  </si>
  <si>
    <t>Total SIDUR-ED-16-105</t>
  </si>
  <si>
    <t xml:space="preserve"> 2,445,138.97</t>
  </si>
  <si>
    <t>Total SIDUR-ED-16-107</t>
  </si>
  <si>
    <t xml:space="preserve"> 1,948,486.80</t>
  </si>
  <si>
    <t>Total SIDUR-ED-16-108</t>
  </si>
  <si>
    <t>Total SIDUR-ED-16-109</t>
  </si>
  <si>
    <t xml:space="preserve"> 2,428,933.57</t>
  </si>
  <si>
    <t>Total SIDUR-ED-16-111</t>
  </si>
  <si>
    <t xml:space="preserve"> 1,028,990.34</t>
  </si>
  <si>
    <t>Total SIDUR-ED-16-113</t>
  </si>
  <si>
    <t xml:space="preserve"> 1,216,824.22</t>
  </si>
  <si>
    <t>Total SIDUR-ED-16-114</t>
  </si>
  <si>
    <t xml:space="preserve"> 706,809.62</t>
  </si>
  <si>
    <t>Total SIDUR-ED-16-123</t>
  </si>
  <si>
    <t xml:space="preserve"> 798,051.37</t>
  </si>
  <si>
    <t>23.28%</t>
  </si>
  <si>
    <t>24.87%</t>
  </si>
  <si>
    <t>26.46%</t>
  </si>
  <si>
    <t>25.40%</t>
  </si>
  <si>
    <t>Total SIDUR-ED-16-124</t>
  </si>
  <si>
    <t>33.33%</t>
  </si>
  <si>
    <t xml:space="preserve"> 623,622.72</t>
  </si>
  <si>
    <t>Total SIDUR-ED-16-126</t>
  </si>
  <si>
    <t xml:space="preserve"> 739,633.54</t>
  </si>
  <si>
    <t>Total SIDUR-ED-16-131</t>
  </si>
  <si>
    <t xml:space="preserve"> 470,588.81</t>
  </si>
  <si>
    <t>Total SIDUR-ED-16-133</t>
  </si>
  <si>
    <t xml:space="preserve"> 823,528.08</t>
  </si>
  <si>
    <t>Total SIDUR-ED-16-146</t>
  </si>
  <si>
    <t xml:space="preserve"> 674,014.68</t>
  </si>
  <si>
    <t>33.00%</t>
  </si>
  <si>
    <t>Total SIDUR-ED-16-148</t>
  </si>
  <si>
    <t xml:space="preserve"> 44,459.99</t>
  </si>
  <si>
    <t>Total SIDUR-ED-16-154</t>
  </si>
  <si>
    <t xml:space="preserve"> 121,939.99</t>
  </si>
  <si>
    <t>Total SIDUR-ED-16-157</t>
  </si>
  <si>
    <t xml:space="preserve"> 878,717.92</t>
  </si>
  <si>
    <t>20.60%</t>
  </si>
  <si>
    <t>Total SIDUR-ED-16-173</t>
  </si>
  <si>
    <t xml:space="preserve"> 790,968.61</t>
  </si>
  <si>
    <t>Total SIDUR-ED-16-175</t>
  </si>
  <si>
    <t xml:space="preserve"> 70,967.48</t>
  </si>
  <si>
    <t>Total SIDUR-ED-16-180</t>
  </si>
  <si>
    <t xml:space="preserve"> 4,585,637.60</t>
  </si>
  <si>
    <t>7.84%</t>
  </si>
  <si>
    <t>15.36%</t>
  </si>
  <si>
    <t>16.34%</t>
  </si>
  <si>
    <t>15.69%</t>
  </si>
  <si>
    <t>Total SIDUR-ED-16-182</t>
  </si>
  <si>
    <t xml:space="preserve"> 2,706,741.39</t>
  </si>
  <si>
    <t>19.92%</t>
  </si>
  <si>
    <t>21.19%</t>
  </si>
  <si>
    <t>20.34%</t>
  </si>
  <si>
    <t>10.17%</t>
  </si>
  <si>
    <t>Total SIDUR-ED-16-183</t>
  </si>
  <si>
    <t xml:space="preserve"> 2,329,580.42</t>
  </si>
  <si>
    <t>8.67%</t>
  </si>
  <si>
    <t>9.33%</t>
  </si>
  <si>
    <t>8.50%</t>
  </si>
  <si>
    <t>Total SIDUR-ED-16-184</t>
  </si>
  <si>
    <t xml:space="preserve"> 2,346,107.56</t>
  </si>
  <si>
    <t>Total SIDUR-ED-16-185</t>
  </si>
  <si>
    <t xml:space="preserve"> 1,369,447.44</t>
  </si>
  <si>
    <t>Total SIDUR-ED-16-186</t>
  </si>
  <si>
    <t xml:space="preserve"> 11,695,805.57</t>
  </si>
  <si>
    <t>Total SIDUR-ED-16-187</t>
  </si>
  <si>
    <t xml:space="preserve"> 87,577,216.61</t>
  </si>
  <si>
    <t>4.56%</t>
  </si>
  <si>
    <t>Total SIDUR-ED-16-189</t>
  </si>
  <si>
    <t xml:space="preserve"> 608,472.50</t>
  </si>
  <si>
    <t>17.22%</t>
  </si>
  <si>
    <t>Total SIDUR-ED-16-194</t>
  </si>
  <si>
    <t xml:space="preserve"> 573,551.26</t>
  </si>
  <si>
    <t>Total SIDUR-ED-16-228</t>
  </si>
  <si>
    <t xml:space="preserve"> 3,398,669.09</t>
  </si>
  <si>
    <t>16.16%</t>
  </si>
  <si>
    <t>20.96%</t>
  </si>
  <si>
    <t>Total SIDUR-ED-16-256</t>
  </si>
  <si>
    <t>12.21%</t>
  </si>
  <si>
    <t>6.76%</t>
  </si>
  <si>
    <t xml:space="preserve"> 19,069,990.46</t>
  </si>
  <si>
    <t>Total SIDUR-PF-16-255</t>
  </si>
  <si>
    <t xml:space="preserve"> 14,487,117.35</t>
  </si>
  <si>
    <t>Total SIDUR-PF-16-295</t>
  </si>
  <si>
    <t xml:space="preserve"> 3,223,256.02</t>
  </si>
  <si>
    <t>Total SIDUR-PF-16-299</t>
  </si>
  <si>
    <t xml:space="preserve"> 8,091,604.44</t>
  </si>
  <si>
    <t>Total SIDUR-PF-16-300</t>
  </si>
  <si>
    <t xml:space="preserve"> 851,581.37</t>
  </si>
  <si>
    <t>Total SIDUR-PF-16-306</t>
  </si>
  <si>
    <t xml:space="preserve"> 3,149,792.52</t>
  </si>
  <si>
    <t>Total SIDUR-PF-16-308</t>
  </si>
  <si>
    <t xml:space="preserve"> 9,501,178.96</t>
  </si>
  <si>
    <t>Total SIDUR-PF-16-309</t>
  </si>
  <si>
    <t xml:space="preserve"> 1,976,714.43</t>
  </si>
  <si>
    <t>Total SIDUR-PF-16-314</t>
  </si>
  <si>
    <t xml:space="preserve"> 861,118.90</t>
  </si>
  <si>
    <t>Total SIDUR-PF-16-323</t>
  </si>
  <si>
    <t xml:space="preserve"> 1,971,899.46</t>
  </si>
  <si>
    <t>Total SIDUR-PF-16-328</t>
  </si>
  <si>
    <t xml:space="preserve"> 1,199,939.89</t>
  </si>
  <si>
    <t>Total SIDUR-PF-16-330</t>
  </si>
  <si>
    <t xml:space="preserve"> 1,899,536.81</t>
  </si>
  <si>
    <t>Total SIDUR-PF-16-335</t>
  </si>
  <si>
    <t>Total SIDUR-PF-16-341</t>
  </si>
  <si>
    <t>LUIS ALFONSO CORDOVA CONTRERAS</t>
  </si>
  <si>
    <t>PAVIMENTACION CON CONCRETO HIDRAULICO DE LA CALLE SALIDA A HUEPARI EN LA LOCALIDAD Y MUNICIPIO DE SAN PEDRO DE LA CUEVA</t>
  </si>
  <si>
    <t>SIDUR-PF-16-307</t>
  </si>
  <si>
    <t>C-00052/0217</t>
  </si>
  <si>
    <t>IO-926006995-E107-2016</t>
  </si>
  <si>
    <t>LA COLORADA</t>
  </si>
  <si>
    <t>PAVIMENTACION CON CONCRETO HIDRAULICO DE 15 CMS DE ESPESOR EN CALLE PARQUE BARRIO BAJO EN LA LOCALIDAD DE TECORIPA MUNICIPIO DE LA COLORADA, SONORA</t>
  </si>
  <si>
    <t>SIDUR-PF-16-333</t>
  </si>
  <si>
    <t>C-00052/0216</t>
  </si>
  <si>
    <t>IO-926006995-E129-2016</t>
  </si>
  <si>
    <t>VLEXEL, S. C.</t>
  </si>
  <si>
    <t>PAVIMENTACION CON CARPETA ASFALTICA DE 5 CMS DE ESPESOR EN LA CALLE COAHUILA ENTRE CANANEA Y LAGO MAGDA, EN LA LOCALIDAD DE CIUDAD OBREGON MUNICIPIO DE CAJEME, SONORA</t>
  </si>
  <si>
    <t>SIDUR-PF-16-325</t>
  </si>
  <si>
    <t>C-00052/0228</t>
  </si>
  <si>
    <t>AO-926006995-E124-2016</t>
  </si>
  <si>
    <t>SIDUR-PF-16-326</t>
  </si>
  <si>
    <t>SARIC</t>
  </si>
  <si>
    <t>DESARROLLOS CORCON, S. DE R. L. DE C. V.</t>
  </si>
  <si>
    <t>PAVIMENTACION CON CONCRETO HIDRAULICO DE 15 CMS DE ESPESOR EN CALLE INDEPENDENCIA EN LA LOCALIDAD Y MUNICIPIO DE SARIC, SONORA</t>
  </si>
  <si>
    <t>C-00052/0237</t>
  </si>
  <si>
    <t>IO-926006995-E119-2016</t>
  </si>
  <si>
    <t>INGENIERIA UNIVERSAL S. A. DE C. V.</t>
  </si>
  <si>
    <t>PAVIMENTACION CON CONCRETO HIDRAULICO EN CALLE 10 ENTRE AVENIDA QUIROZ MORA Y AVENIDA H. COLEGIO MILITAR (CALLE N) EN LA LOCALIDAD Y MUNICIPIO DE CABORCA, SONORA</t>
  </si>
  <si>
    <t>SIDUR-PF-16-294</t>
  </si>
  <si>
    <t>C-00052/0223</t>
  </si>
  <si>
    <t>LO-926006995-E95-2016</t>
  </si>
  <si>
    <t>GRUPO PROFING CONSTRUCCIONES Y DESARROLLOS, S. A. DE C. V.</t>
  </si>
  <si>
    <t>PAVIMENTACION CON CONCRETO HIDRAULICO DE CALLE GRAL. ESTEBAN BACA CALDERON ENTRE BENITO JUAREZ Y RAHAM EN LA LOCALIDAD Y MUNICIPIO DE SAN IGNACIO RIO MUERTO</t>
  </si>
  <si>
    <t>SIDUR-PF-16-315</t>
  </si>
  <si>
    <t>C-00052/0187</t>
  </si>
  <si>
    <t>LO-926006995-E113-2016</t>
  </si>
  <si>
    <t>TUBUTAMA</t>
  </si>
  <si>
    <t>PAVIMENTACION CON CONCRETO HIDRAULICO DE 15 CMS DE ESPESOR EN LA CALLE LOMAS DE FATIMA EN LA LOCALIDAD Y MUNICIPIO DE TUBUTAMA, SONORA</t>
  </si>
  <si>
    <t>SIDUR-PF-16-350</t>
  </si>
  <si>
    <t>C-00052/0215</t>
  </si>
  <si>
    <t>IO-926006995-E141-2016</t>
  </si>
  <si>
    <t>PREMEZCLADOS NOGALES S.A. DE C.V.</t>
  </si>
  <si>
    <t>SIDUR-PF-16-298</t>
  </si>
  <si>
    <t>PAVIMENTACION A BASE DE CONCRETO HIDRAULICO DE LAS CALLES MPIO. DE BACANORA ENTRE ORIZABA Y MPIO. BACERAC Y MPIO. BACERAC ENTRE MPIO. DE BACANORA Y MPIO. DE BENJAMIN HILL, 15CMS DE ESPESOR EN CALLE MORELIA EN LA LOCALIDAD DE NOGALES</t>
  </si>
  <si>
    <t>C-00052/0197</t>
  </si>
  <si>
    <t>C-00052/0219</t>
  </si>
  <si>
    <t xml:space="preserve"> 10,237,851.95</t>
  </si>
  <si>
    <t xml:space="preserve"> 15,642,799.04</t>
  </si>
  <si>
    <t>Total SIDUR-PF-16-296</t>
  </si>
  <si>
    <t xml:space="preserve"> 6,725,615.25</t>
  </si>
  <si>
    <t>Total SIDUR-PF-16-298</t>
  </si>
  <si>
    <t xml:space="preserve"> 1,256,127.72</t>
  </si>
  <si>
    <t>Total SIDUR-PF-16-333</t>
  </si>
  <si>
    <t xml:space="preserve"> 534,054.88</t>
  </si>
  <si>
    <t xml:space="preserve"> 789,105.03</t>
  </si>
  <si>
    <t>Total SIDUR-ED-16-056</t>
  </si>
  <si>
    <t>40.89%</t>
  </si>
  <si>
    <t>17.70%</t>
  </si>
  <si>
    <t>17.52%</t>
  </si>
  <si>
    <t>Total SIDUR-ED-16-066</t>
  </si>
  <si>
    <t>80.00%</t>
  </si>
  <si>
    <t xml:space="preserve"> 110,854.24</t>
  </si>
  <si>
    <t>46.81%</t>
  </si>
  <si>
    <t>32.79%</t>
  </si>
  <si>
    <t>14.80%</t>
  </si>
  <si>
    <t>2.80%</t>
  </si>
  <si>
    <t>Total SIDUR-ED-16-073</t>
  </si>
  <si>
    <t>2.77%</t>
  </si>
  <si>
    <t xml:space="preserve"> 3,389,999.24</t>
  </si>
  <si>
    <t>Total SIDUR-ED-16-106</t>
  </si>
  <si>
    <t xml:space="preserve"> 1,367,299.18</t>
  </si>
  <si>
    <t>23.48%</t>
  </si>
  <si>
    <t>22.07%</t>
  </si>
  <si>
    <t>Total SIDUR-ED-16-112</t>
  </si>
  <si>
    <t>21.00%</t>
  </si>
  <si>
    <t xml:space="preserve"> 333,168.80</t>
  </si>
  <si>
    <t>30.00%</t>
  </si>
  <si>
    <t>Total SIDUR-ED-16-115</t>
  </si>
  <si>
    <t xml:space="preserve"> 779,094.22</t>
  </si>
  <si>
    <t>Total SIDUR-ED-16-125</t>
  </si>
  <si>
    <t xml:space="preserve"> 449,609.84</t>
  </si>
  <si>
    <t>Total SIDUR-ED-16-127</t>
  </si>
  <si>
    <t xml:space="preserve"> 838,791.85</t>
  </si>
  <si>
    <t>Total SIDUR-ED-16-132</t>
  </si>
  <si>
    <t xml:space="preserve"> 36,659.00</t>
  </si>
  <si>
    <t>57.41%</t>
  </si>
  <si>
    <t>Total SIDUR-ED-16-151</t>
  </si>
  <si>
    <t xml:space="preserve"> 72,670.00</t>
  </si>
  <si>
    <t>52.87%</t>
  </si>
  <si>
    <t>Total SIDUR-ED-16-152</t>
  </si>
  <si>
    <t xml:space="preserve"> 57,460.00</t>
  </si>
  <si>
    <t>50.00%</t>
  </si>
  <si>
    <t>Total SIDUR-ED-16-153</t>
  </si>
  <si>
    <t>Total SIDUR-ED-16-158</t>
  </si>
  <si>
    <t xml:space="preserve"> 73,189.99</t>
  </si>
  <si>
    <t>Total SIDUR-ED-16-159</t>
  </si>
  <si>
    <t xml:space="preserve"> 227,629.99</t>
  </si>
  <si>
    <t>57.05%</t>
  </si>
  <si>
    <t>Total SIDUR-ED-16-164</t>
  </si>
  <si>
    <t>Total SIDUR-ED-16-166</t>
  </si>
  <si>
    <t>9.40%</t>
  </si>
  <si>
    <t xml:space="preserve"> 529,215.08</t>
  </si>
  <si>
    <t>6.79%</t>
  </si>
  <si>
    <t>16.47%</t>
  </si>
  <si>
    <t>Total SIDUR-ED-16-177</t>
  </si>
  <si>
    <t xml:space="preserve"> 659,996.82</t>
  </si>
  <si>
    <t>Total SIDUR-ED-16-178</t>
  </si>
  <si>
    <t xml:space="preserve"> 247,814.28</t>
  </si>
  <si>
    <t>Total SIDUR-ED-16-179</t>
  </si>
  <si>
    <t>29.33%</t>
  </si>
  <si>
    <t>8.00%</t>
  </si>
  <si>
    <t>4.61%</t>
  </si>
  <si>
    <t>1.67%</t>
  </si>
  <si>
    <t xml:space="preserve"> 1,131,962.70</t>
  </si>
  <si>
    <t>Total SIDUR-ED-16-257</t>
  </si>
  <si>
    <t>18.41%</t>
  </si>
  <si>
    <t>17.21%</t>
  </si>
  <si>
    <t>2.48%</t>
  </si>
  <si>
    <t>40.00%</t>
  </si>
  <si>
    <t>8.33%</t>
  </si>
  <si>
    <t>4.32%</t>
  </si>
  <si>
    <t>AV. FINANCIERO GENERAL</t>
  </si>
  <si>
    <t>100.00%</t>
  </si>
  <si>
    <t>AV. FIN.</t>
  </si>
  <si>
    <t xml:space="preserve"> 42,349,187.57</t>
  </si>
  <si>
    <t>21.80%</t>
  </si>
  <si>
    <t>36.98%</t>
  </si>
  <si>
    <t>22.13%</t>
  </si>
  <si>
    <t>19.09%</t>
  </si>
  <si>
    <t>Total SIDUR-ED-16-001</t>
  </si>
  <si>
    <t xml:space="preserve"> 22,980,026.97</t>
  </si>
  <si>
    <t>17.86%</t>
  </si>
  <si>
    <t>12.20%</t>
  </si>
  <si>
    <t>7.16%</t>
  </si>
  <si>
    <t>17.72%</t>
  </si>
  <si>
    <t>25.94%</t>
  </si>
  <si>
    <t>2.47%</t>
  </si>
  <si>
    <t>Total SIDUR-ED-16-002</t>
  </si>
  <si>
    <t>13.14%</t>
  </si>
  <si>
    <t>19.75%</t>
  </si>
  <si>
    <t>18.47%</t>
  </si>
  <si>
    <t>7.63%</t>
  </si>
  <si>
    <t>14.47%</t>
  </si>
  <si>
    <t>12.03%</t>
  </si>
  <si>
    <t xml:space="preserve"> 17,283,667.42</t>
  </si>
  <si>
    <t>1.64%</t>
  </si>
  <si>
    <t>7.89%</t>
  </si>
  <si>
    <t>31.46%</t>
  </si>
  <si>
    <t>44.95%</t>
  </si>
  <si>
    <t>14.06%</t>
  </si>
  <si>
    <t>Total SIDUR-ED-16-004</t>
  </si>
  <si>
    <t>Total SIDUR-ED-16-005</t>
  </si>
  <si>
    <t xml:space="preserve"> 22,955,014.68</t>
  </si>
  <si>
    <t>4.10%</t>
  </si>
  <si>
    <t>26.91%</t>
  </si>
  <si>
    <t>18.76%</t>
  </si>
  <si>
    <t>Total SIDUR-ED-16-006</t>
  </si>
  <si>
    <t>1.35%</t>
  </si>
  <si>
    <t>5.39%</t>
  </si>
  <si>
    <t>8.79%</t>
  </si>
  <si>
    <t xml:space="preserve"> 37,981,342.78</t>
  </si>
  <si>
    <t>24.15%</t>
  </si>
  <si>
    <t>32.75%</t>
  </si>
  <si>
    <t>31.16%</t>
  </si>
  <si>
    <t>8.78%</t>
  </si>
  <si>
    <t>Total SIDUR-ED-16-011</t>
  </si>
  <si>
    <t>12.46%</t>
  </si>
  <si>
    <t>3.67%</t>
  </si>
  <si>
    <t>2.87%</t>
  </si>
  <si>
    <t>12.33%</t>
  </si>
  <si>
    <t xml:space="preserve"> 63,672,479.11</t>
  </si>
  <si>
    <t>0.06%</t>
  </si>
  <si>
    <t>4.07%</t>
  </si>
  <si>
    <t>4.05%</t>
  </si>
  <si>
    <t>Total SIDUR-ED-16-016</t>
  </si>
  <si>
    <t xml:space="preserve"> 78,902,188.12</t>
  </si>
  <si>
    <t>74.16%</t>
  </si>
  <si>
    <t>10.59%</t>
  </si>
  <si>
    <t>13.72%</t>
  </si>
  <si>
    <t>17.03%</t>
  </si>
  <si>
    <t>21.23%</t>
  </si>
  <si>
    <t>11.59%</t>
  </si>
  <si>
    <t>Total SIDUR-ED-16-018</t>
  </si>
  <si>
    <t>14.83%</t>
  </si>
  <si>
    <t xml:space="preserve"> 21,349,397.86</t>
  </si>
  <si>
    <t>14.91%</t>
  </si>
  <si>
    <t>14.22%</t>
  </si>
  <si>
    <t>11.91%</t>
  </si>
  <si>
    <t>48.88%</t>
  </si>
  <si>
    <t>Total SIDUR-ED-16-020</t>
  </si>
  <si>
    <t xml:space="preserve"> 11,799,981.39</t>
  </si>
  <si>
    <t>4.64%</t>
  </si>
  <si>
    <t>39.52%</t>
  </si>
  <si>
    <t>Total SIDUR-ED-16-021</t>
  </si>
  <si>
    <t xml:space="preserve"> 14,898,875.88</t>
  </si>
  <si>
    <t>4.28%</t>
  </si>
  <si>
    <t>Total SIDUR-ED-16-022</t>
  </si>
  <si>
    <t>0.51%</t>
  </si>
  <si>
    <t>25.58%</t>
  </si>
  <si>
    <t>33.17%</t>
  </si>
  <si>
    <t>18.24%</t>
  </si>
  <si>
    <t>21.92%</t>
  </si>
  <si>
    <t>36.56%</t>
  </si>
  <si>
    <t>38.01%</t>
  </si>
  <si>
    <t xml:space="preserve"> 23,895,598.40</t>
  </si>
  <si>
    <t>11.75%</t>
  </si>
  <si>
    <t>27.31%</t>
  </si>
  <si>
    <t>Total SIDUR-ED-16-037</t>
  </si>
  <si>
    <t>3.96%</t>
  </si>
  <si>
    <t xml:space="preserve"> 76,463,113.20</t>
  </si>
  <si>
    <t>2.70%</t>
  </si>
  <si>
    <t>3.07%</t>
  </si>
  <si>
    <t>5.96%</t>
  </si>
  <si>
    <t>11.11%</t>
  </si>
  <si>
    <t>Total SIDUR-ED-16-041</t>
  </si>
  <si>
    <t xml:space="preserve"> 79,270,178.98</t>
  </si>
  <si>
    <t>1.41%</t>
  </si>
  <si>
    <t>2.95%</t>
  </si>
  <si>
    <t>13.53%</t>
  </si>
  <si>
    <t>6.30%</t>
  </si>
  <si>
    <t>Total SIDUR-ED-16-042</t>
  </si>
  <si>
    <t xml:space="preserve"> 91,796,179.20</t>
  </si>
  <si>
    <t>Total SIDUR-ED-16-121</t>
  </si>
  <si>
    <t xml:space="preserve"> 82,488,388.80</t>
  </si>
  <si>
    <t>Total SIDUR-ED-16-210</t>
  </si>
  <si>
    <t xml:space="preserve"> 6,757,250.37</t>
  </si>
  <si>
    <t>9.47%</t>
  </si>
  <si>
    <t>38.86%</t>
  </si>
  <si>
    <t>24.01%</t>
  </si>
  <si>
    <t>19.41%</t>
  </si>
  <si>
    <t>8.25%</t>
  </si>
  <si>
    <t>13.59%</t>
  </si>
  <si>
    <t>6.35%</t>
  </si>
  <si>
    <t>AV.FIS. EST.</t>
  </si>
  <si>
    <t>C3-C4</t>
  </si>
  <si>
    <t>CERTUS GERENCIA DE PROYECTOS S. A. DE C. V.</t>
  </si>
  <si>
    <t>CE-926006995-E146-2016</t>
  </si>
  <si>
    <t>RAYON</t>
  </si>
  <si>
    <t>CINCO H INGENIERIA Y TERRACERIAS, S.A. DE C.V.</t>
  </si>
  <si>
    <t>PAVIMENTACION CON CONCRETO HIDRAULICO DE CALLE BARTOLOME DE LAS CASAS EN LA LOCALIDAD DE RAYON</t>
  </si>
  <si>
    <t>SIDUR-PF-16-355</t>
  </si>
  <si>
    <t>C-00052/0195</t>
  </si>
  <si>
    <t>IO-926006995-E147-2016</t>
  </si>
  <si>
    <t>C3</t>
  </si>
  <si>
    <t>SIDUR-PF-16-345</t>
  </si>
  <si>
    <t>C-00052/0233</t>
  </si>
  <si>
    <t>PAVIMENTACION CON CONCRETO HIDRAHULICO DE AVENIDA PROFA. JULIA GALAZ EN LA LOCALIDAD DE BACADEHUACHI</t>
  </si>
  <si>
    <t>ADOBE DESARROLLOS, S.A. DE C.V.</t>
  </si>
  <si>
    <t>IO-926006995-E144-2016</t>
  </si>
  <si>
    <t>BACADEHUACHI</t>
  </si>
  <si>
    <t>PAVIMENTACION CON CONCRETO HIDRAULICO EN LA AVENIDA DE LA CASA EN LA LOCALIDAD DE BACERAC</t>
  </si>
  <si>
    <t>SIDUR-PF-16-347</t>
  </si>
  <si>
    <t>C-00052/0196</t>
  </si>
  <si>
    <t>IO-926006995-E138-2016</t>
  </si>
  <si>
    <t>BACERAC</t>
  </si>
  <si>
    <t>SIDUR-PF-16-331</t>
  </si>
  <si>
    <t>C-00052/0218</t>
  </si>
  <si>
    <t>PAVIMENTACION CON CONCRETO HIDRAULICO DE VARIAS CALLES EN LA LOCALIDAD DE ARIVECHI</t>
  </si>
  <si>
    <t>IO-926006995-E127-2016</t>
  </si>
  <si>
    <t>EDIVIA DESARROLLOS, S.A. DE C.V.</t>
  </si>
  <si>
    <t>SIDUR-PF-16-337</t>
  </si>
  <si>
    <t>CW METAL S.A DE C.V.</t>
  </si>
  <si>
    <t>C-00052/0208</t>
  </si>
  <si>
    <t>IO-926006995-E133-2016</t>
  </si>
  <si>
    <t>IMURIS</t>
  </si>
  <si>
    <t>SIDUR-PF-16-332</t>
  </si>
  <si>
    <t>PAVIMENTACION CON CONCRETO HIDRAULICO DE LAS CALLES NACOZARI, CAJEME Y LA AV. PLUTARCO ELIAS CALLES EN LA LOCALIDAD DE YÉCORA</t>
  </si>
  <si>
    <t>JASA INSTALACIONES Y ALCANTARILLADO, S.A. DE C.V.</t>
  </si>
  <si>
    <t>C-00052/0188</t>
  </si>
  <si>
    <t>IO-926006995-E128-2016</t>
  </si>
  <si>
    <t>C-00058/0011</t>
  </si>
  <si>
    <t>CONSTRUCCION DEL CENTRO DE TRANSICION AL NUEVO SISTEMA DE JUSTICIA PENAL DE HERMOSILLO</t>
  </si>
  <si>
    <t>SH-FIES-16-001</t>
  </si>
  <si>
    <t>11000002001202E104K06104A622012165HY07</t>
  </si>
  <si>
    <t>SIDUR-PF-16-316</t>
  </si>
  <si>
    <t>LO-926006995-E114-2016</t>
  </si>
  <si>
    <t>INMOBILIARIA Y CONSTRUCTORA HARBOR, S.A. DE C.V.</t>
  </si>
  <si>
    <t>REHABILITACION DE PAVIMENTOS EN 13 CALLES DE CD. OBREGON ORIENTE</t>
  </si>
  <si>
    <t>SIDUR-PF-16-310</t>
  </si>
  <si>
    <t>C-00052/0221</t>
  </si>
  <si>
    <t>LO-926006995-E110-2016</t>
  </si>
  <si>
    <t>SIDUR-PF-16-334</t>
  </si>
  <si>
    <t>REHABILITACION DE PAVIMENTOS DE 4 CALLES EN LA LOCALIDAD DE IMURIS</t>
  </si>
  <si>
    <t>C-00052/0210</t>
  </si>
  <si>
    <t>IO-926006995-E130-2016</t>
  </si>
  <si>
    <t>PAVIMENTACION CON CONCRETO HIDRAULICO DE 15 CMS DE ESPESOR EN CALLE 3 EN LA LOCALIDAD DE NACORI CHICO</t>
  </si>
  <si>
    <t>SIDUR-PF-16-344</t>
  </si>
  <si>
    <t>C-00052/0186</t>
  </si>
  <si>
    <t>IO-926006995-E135-2016</t>
  </si>
  <si>
    <t>NACORI CHICO</t>
  </si>
  <si>
    <t>5.17%</t>
  </si>
  <si>
    <t>4.90%</t>
  </si>
  <si>
    <t>0.75%</t>
  </si>
  <si>
    <t>0.74%</t>
  </si>
  <si>
    <t>31.01%</t>
  </si>
  <si>
    <t xml:space="preserve"> 154,846,331.36</t>
  </si>
  <si>
    <t>3.78%</t>
  </si>
  <si>
    <t>15.21%</t>
  </si>
  <si>
    <t>7.21%</t>
  </si>
  <si>
    <t>29.65%</t>
  </si>
  <si>
    <t>Total SIDUR-ED-16-013</t>
  </si>
  <si>
    <t>8.52%</t>
  </si>
  <si>
    <t>6.64%</t>
  </si>
  <si>
    <t>22.54%</t>
  </si>
  <si>
    <t xml:space="preserve"> 61,862,670.98</t>
  </si>
  <si>
    <t>0.40%</t>
  </si>
  <si>
    <t>0.65%</t>
  </si>
  <si>
    <t>Total SIDUR-ED-16-031</t>
  </si>
  <si>
    <t xml:space="preserve"> 15,890,776.26</t>
  </si>
  <si>
    <t>0.05%</t>
  </si>
  <si>
    <t>8.06%</t>
  </si>
  <si>
    <t>25.56%</t>
  </si>
  <si>
    <t>Total SIDUR-ED-16-039</t>
  </si>
  <si>
    <t xml:space="preserve"> 34,216,706.50</t>
  </si>
  <si>
    <t>4.71%</t>
  </si>
  <si>
    <t>35.65%</t>
  </si>
  <si>
    <t>Total SIDUR-ED-16-040</t>
  </si>
  <si>
    <t>3.43%</t>
  </si>
  <si>
    <t>8.96%</t>
  </si>
  <si>
    <t>Total SIDUR-ED-16-102</t>
  </si>
  <si>
    <t xml:space="preserve"> 38,949,797.34</t>
  </si>
  <si>
    <t>Total SIDUR-ED-16-168</t>
  </si>
  <si>
    <t xml:space="preserve"> 2,145,846.29</t>
  </si>
  <si>
    <t>Total SIDUR-ED-16-170</t>
  </si>
  <si>
    <t xml:space="preserve"> 29,931,744.36</t>
  </si>
  <si>
    <t>Total SIDUR-ED-16-248</t>
  </si>
  <si>
    <t xml:space="preserve"> 32,938,936.05</t>
  </si>
  <si>
    <t>Total SIDUR-ED-16-249</t>
  </si>
  <si>
    <t xml:space="preserve"> 12,899,260.78</t>
  </si>
  <si>
    <t>Total SIDUR-ED-16-250</t>
  </si>
  <si>
    <t xml:space="preserve"> 15,121,824.33</t>
  </si>
  <si>
    <t>Total SIDUR-ED-16-251</t>
  </si>
  <si>
    <t>1.24%</t>
  </si>
  <si>
    <t>11.96%</t>
  </si>
  <si>
    <t>2.99%</t>
  </si>
  <si>
    <t>10.43%</t>
  </si>
  <si>
    <t>9.27%</t>
  </si>
  <si>
    <t>5.82%</t>
  </si>
  <si>
    <t>7.28%</t>
  </si>
  <si>
    <t>16.50%</t>
  </si>
  <si>
    <t>9.51%</t>
  </si>
  <si>
    <t>3.83%</t>
  </si>
  <si>
    <t>10.34%</t>
  </si>
  <si>
    <t>7.24%</t>
  </si>
  <si>
    <t xml:space="preserve"> 19,539,418.57</t>
  </si>
  <si>
    <t>Total SIDUR-PF-16-252</t>
  </si>
  <si>
    <t xml:space="preserve"> 22,873,151.76</t>
  </si>
  <si>
    <t>Total SIDUR-PF-16-253</t>
  </si>
  <si>
    <t xml:space="preserve"> 26,153,970.38</t>
  </si>
  <si>
    <t>Total SIDUR-PF-16-254</t>
  </si>
  <si>
    <t>Total SIDUR-PF-16-291</t>
  </si>
  <si>
    <t xml:space="preserve"> 3,979,000.91</t>
  </si>
  <si>
    <t>Total SIDUR-PF-16-303</t>
  </si>
  <si>
    <t xml:space="preserve"> 1,890,844.29</t>
  </si>
  <si>
    <t>Total SIDUR-PF-16-304</t>
  </si>
  <si>
    <t xml:space="preserve"> 2,595,924.53</t>
  </si>
  <si>
    <t>Total SIDUR-PF-16-305</t>
  </si>
  <si>
    <t>12.43%</t>
  </si>
  <si>
    <t>30.55%</t>
  </si>
  <si>
    <t>50.70%</t>
  </si>
  <si>
    <t>14.66%</t>
  </si>
  <si>
    <t xml:space="preserve"> 220,885.44</t>
  </si>
  <si>
    <t>60.00%</t>
  </si>
  <si>
    <t>Total SIDUR-ED-16-063</t>
  </si>
  <si>
    <t>23.47%</t>
  </si>
  <si>
    <t>22.53%</t>
  </si>
  <si>
    <t>10.81%</t>
  </si>
  <si>
    <t>8.17%</t>
  </si>
  <si>
    <t xml:space="preserve"> 11,512,863.19</t>
  </si>
  <si>
    <t>Total SIDUR-PF-16-294</t>
  </si>
  <si>
    <t xml:space="preserve"> 1,799,973.59</t>
  </si>
  <si>
    <t>Total SIDUR-PF-16-307</t>
  </si>
  <si>
    <t xml:space="preserve"> 18,299,948.47</t>
  </si>
  <si>
    <t>Total SIDUR-PF-16-310</t>
  </si>
  <si>
    <t xml:space="preserve"> 8,795,522.28</t>
  </si>
  <si>
    <t>Total SIDUR-PF-16-315</t>
  </si>
  <si>
    <t xml:space="preserve"> 32,294,129.84</t>
  </si>
  <si>
    <t>Total SIDUR-PF-16-316</t>
  </si>
  <si>
    <t xml:space="preserve"> 626,656.36</t>
  </si>
  <si>
    <t>Total SIDUR-PF-16-325</t>
  </si>
  <si>
    <t xml:space="preserve"> 1,621,630.07</t>
  </si>
  <si>
    <t>Total SIDUR-PF-16-331</t>
  </si>
  <si>
    <t xml:space="preserve"> 3,909,669.34</t>
  </si>
  <si>
    <t>Total SIDUR-PF-16-332</t>
  </si>
  <si>
    <t xml:space="preserve"> 2,725,991.13</t>
  </si>
  <si>
    <t>Total SIDUR-PF-16-334</t>
  </si>
  <si>
    <t xml:space="preserve"> 2,899,984.17</t>
  </si>
  <si>
    <t>Total SIDUR-PF-16-337</t>
  </si>
  <si>
    <t xml:space="preserve"> 1,916,424.39</t>
  </si>
  <si>
    <t>Total SIDUR-PF-16-344</t>
  </si>
  <si>
    <t>Total SIDUR-PF-16-345</t>
  </si>
  <si>
    <t xml:space="preserve"> 1,318,284.40</t>
  </si>
  <si>
    <t>Total SIDUR-PF-16-347</t>
  </si>
  <si>
    <t xml:space="preserve"> 1,997,998.34</t>
  </si>
  <si>
    <t>Total SIDUR-PF-16-350</t>
  </si>
  <si>
    <t xml:space="preserve"> 1,968,982.56</t>
  </si>
  <si>
    <t>Total SIDUR-PF-16-355</t>
  </si>
  <si>
    <t xml:space="preserve"> 2,209,859.44</t>
  </si>
  <si>
    <t>34.28%</t>
  </si>
  <si>
    <t>21.57%</t>
  </si>
  <si>
    <t>SIDUR-PF-16-348</t>
  </si>
  <si>
    <t>PAVIMENTACION CON CONCRETO HIDRAULICO DE LAS CALLES NORTE (EPIFANIO LEYVA SOTO) Y CUAUHTEMOC</t>
  </si>
  <si>
    <t>PROTEKO DESARROLLOS E INFRAESTRUCTURA S.A. DE C.V.</t>
  </si>
  <si>
    <t>C-00052/0213</t>
  </si>
  <si>
    <t>ROSARIO</t>
  </si>
  <si>
    <t>IO-926006995-E139-2016</t>
  </si>
  <si>
    <t>SIDUR-PF-16-343</t>
  </si>
  <si>
    <t>PAVIMENTACION CON CONCRETO HIDRAULICO DE VARIAS CALLES Y AVENIDAS DE VARIAS COLONIAS EN NACOZARI DE GARCIA</t>
  </si>
  <si>
    <t>C-00052/0235</t>
  </si>
  <si>
    <t>IO-926006995-E134-2016</t>
  </si>
  <si>
    <t>NACOZARI DE GARCIA</t>
  </si>
  <si>
    <t>PAVIMENTACION CON CONCRETO HIDRAULICO EN LA CALLE LOS OLIVOS EN LA LOCALIDAD DE BAVIACORA</t>
  </si>
  <si>
    <t>SIDUR-PF-16-336</t>
  </si>
  <si>
    <t>VALPA SUPERVISIONES, S.A. DE C.V.</t>
  </si>
  <si>
    <t>C-00052/0183</t>
  </si>
  <si>
    <t>BAVIACORA</t>
  </si>
  <si>
    <t>IO-926006995-E132-2016</t>
  </si>
  <si>
    <t>CONSTRUCTORA GARPE, S.A. DE C.V.</t>
  </si>
  <si>
    <t>SIDUR-PF-16-363</t>
  </si>
  <si>
    <t>PAVIMENTACION CON CONCRETO HIDRAULICO DE 15CM DE ESPESOR DE LA CALLE 16 DE SEPTIEMBRE</t>
  </si>
  <si>
    <t>C-00052/0207</t>
  </si>
  <si>
    <t>IO-926006995-E152-2016</t>
  </si>
  <si>
    <t>BACUM</t>
  </si>
  <si>
    <t>SIDUR-PF-16-297</t>
  </si>
  <si>
    <t>REHABILITACION DE PAVIMENTOS EN 15 CALLES DE CD. OBREGON CENTRO</t>
  </si>
  <si>
    <t>C-00052/0222</t>
  </si>
  <si>
    <t>LO-926006995-E98-2016</t>
  </si>
  <si>
    <t xml:space="preserve"> C-00061/0022</t>
  </si>
  <si>
    <t>C-00061/0021</t>
  </si>
  <si>
    <t xml:space="preserve"> CONSTRUCCION Y REHABILITACION DE CENTRO COMUNITARIO DE APRENDIZAJE EN LA LOCALIDAD DE TIERRA BLANCA MUNICIPIO DE NAVOJOA, SONORA</t>
  </si>
  <si>
    <t xml:space="preserve">CONSTRUCCION DE CENTRO COMUNITARIO DE APRENDIZAJE EN LA LOCALIDAD DE POZO DULCE MUNICIPIO DE HUATABAMPO </t>
  </si>
  <si>
    <t>SIDUR-ED-16-367.</t>
  </si>
  <si>
    <t>SUPERVISION EXTERNA Y CONTROL DE CALIDAD: CONSTRUCCIÓN DE PASO A DESNIVEL DENOMINADO "PUENTE UNIVERSITARIO", UBICADO SOBRE LA CARRETERA INTERNACIONAL 15 (UNISON, UTN, ACCESO AL HOSPITAL NUEVO IMSS)</t>
  </si>
  <si>
    <t>TOCA INGENIEROS, S.C.</t>
  </si>
  <si>
    <t>SH-ED-16-124</t>
  </si>
  <si>
    <t>CE-926006995-E156-2016</t>
  </si>
  <si>
    <t>SIDUR-PF-16-352</t>
  </si>
  <si>
    <t>RUVERSA, S.A. DE C.V.</t>
  </si>
  <si>
    <t>PAVIMENTACION CON CONCRETO HIDRAULICO DE 15CMS DE ESPESOR EN CALLE MORELIA EN LA LOCALIDAD DE CARBO</t>
  </si>
  <si>
    <t>C-00052/0191</t>
  </si>
  <si>
    <t>IO-926006995-E143-2016</t>
  </si>
  <si>
    <t>ING. GAUDENCIO RAMOS MONTEON</t>
  </si>
  <si>
    <t>SIDUR-ED-16-353</t>
  </si>
  <si>
    <t>C-00061/0019</t>
  </si>
  <si>
    <t>CE-926006995-E145-2016</t>
  </si>
  <si>
    <t>SIDUR-ED-16-353.</t>
  </si>
  <si>
    <t>CONSTRUCCION DE CENTRO COMUNITARIO DE APRENDIZAJE EN LA LOCALIDAD DE MESA COLORADA, MUNICIPIO DE ALAMOS</t>
  </si>
  <si>
    <t>C-00061/0020</t>
  </si>
  <si>
    <t>SIDUR-ED-16-354-1</t>
  </si>
  <si>
    <t>SIDUR-ED-16-354-2</t>
  </si>
  <si>
    <t>SIDUR-PF-16-329</t>
  </si>
  <si>
    <t>PAVIMENTACION CON CARPETA ASFALTICA EN LAS CALLES AV. SAN LUIS, ALVARO OBREGON Y ABELARDO L. RODRIGUEZ</t>
  </si>
  <si>
    <t>C-00052/0229</t>
  </si>
  <si>
    <t>LO-926006995-E125-2016</t>
  </si>
  <si>
    <t>SIDUR-PF-16-364</t>
  </si>
  <si>
    <t>C-00052/0184</t>
  </si>
  <si>
    <t>PAVIMENTACION CON CONCRETO HIDRAULICO DE 15CMS DE ESPESOR EN CALLE PRINCIPAL EN LA LOCALIDAD DE QUIRIEGO</t>
  </si>
  <si>
    <t>DISEÑOS Y CONSTRUCCIONES LOAR S.A. DE C.V.</t>
  </si>
  <si>
    <t>IO-92600995-E153-2016</t>
  </si>
  <si>
    <t>QUIRIEGO</t>
  </si>
  <si>
    <t>VILLA JUAREZ</t>
  </si>
  <si>
    <t>SIDUR-PF-16-346</t>
  </si>
  <si>
    <t>RECARPETEO CON MICROCARPETA ASFALTICA EN 12 CALLES Y AVENIDAS Y LOCALIDADES DE MOCTEZUMA</t>
  </si>
  <si>
    <t>JUAN DIEGO AVILES MARTINEZ</t>
  </si>
  <si>
    <t>C-00052/0225</t>
  </si>
  <si>
    <t>IO-926006995-E137-2016</t>
  </si>
  <si>
    <t>MOCTEZUMA</t>
  </si>
  <si>
    <t>PAVIMENTACION CON CONCRETO HIDRAULICO EN LA CALLE BENITO JUAREZ EN LA LOCALIDAD DE SAHUARIPA</t>
  </si>
  <si>
    <t>SIDUR-PF-16-369</t>
  </si>
  <si>
    <t>CONSTRUVISAC, S.A. DE C.V.</t>
  </si>
  <si>
    <t>C-00052/0190</t>
  </si>
  <si>
    <t>IO-926006995-E158-2016</t>
  </si>
  <si>
    <t xml:space="preserve"> 2,299,957.30</t>
  </si>
  <si>
    <t>Total SIDUR-PF-16-326</t>
  </si>
  <si>
    <t>37.51%</t>
  </si>
  <si>
    <t>18.74%</t>
  </si>
  <si>
    <t>11.83%</t>
  </si>
  <si>
    <t>9.39%</t>
  </si>
  <si>
    <t>36.04%</t>
  </si>
  <si>
    <t>54.00%</t>
  </si>
  <si>
    <t>46.00%</t>
  </si>
  <si>
    <t>Total SIDUR-ED-16-064</t>
  </si>
  <si>
    <t>30.67%</t>
  </si>
  <si>
    <t xml:space="preserve"> 7,078,846.07</t>
  </si>
  <si>
    <t>Total SIDUR-ED-16-292</t>
  </si>
  <si>
    <t>Total SIDUR-ED-16-353</t>
  </si>
  <si>
    <t>Total SIDUR-ED-16-353.</t>
  </si>
  <si>
    <t xml:space="preserve"> 2,113,583.09</t>
  </si>
  <si>
    <t>Total SIDUR-ED-16-354-1</t>
  </si>
  <si>
    <t>CONSTRUCCION DE CENTRO COMUNITARIO DE APRENDIZAJE EN LA LOCALIDAD DE POZO DULCE MUNICIPIO DE HUATABAMPO</t>
  </si>
  <si>
    <t xml:space="preserve"> 2,246,395.02</t>
  </si>
  <si>
    <t>Total SIDUR-ED-16-354-2</t>
  </si>
  <si>
    <t xml:space="preserve"> 3,390,447.65</t>
  </si>
  <si>
    <t>Total SIDUR-ED-16-367.</t>
  </si>
  <si>
    <t xml:space="preserve"> 22,807,797.98</t>
  </si>
  <si>
    <t>Total SIDUR-PF-16-297</t>
  </si>
  <si>
    <t xml:space="preserve"> 9,494,347.93</t>
  </si>
  <si>
    <t>Total SIDUR-PF-16-329</t>
  </si>
  <si>
    <t xml:space="preserve"> 1,797,489.34</t>
  </si>
  <si>
    <t>Total SIDUR-PF-16-336</t>
  </si>
  <si>
    <t xml:space="preserve"> 8,449,393.54</t>
  </si>
  <si>
    <t>Total SIDUR-PF-16-343</t>
  </si>
  <si>
    <t xml:space="preserve"> 2,855,324.57</t>
  </si>
  <si>
    <t>Total SIDUR-PF-16-346</t>
  </si>
  <si>
    <t xml:space="preserve"> 3,392,572.89</t>
  </si>
  <si>
    <t>Total SIDUR-PF-16-348</t>
  </si>
  <si>
    <t xml:space="preserve"> 2,609,103.95</t>
  </si>
  <si>
    <t>Total SIDUR-PF-16-352</t>
  </si>
  <si>
    <t xml:space="preserve"> 3,690,591.47</t>
  </si>
  <si>
    <t>Total SIDUR-PF-16-363</t>
  </si>
  <si>
    <t xml:space="preserve"> 1,499,699.33</t>
  </si>
  <si>
    <t>Total SIDUR-PF-16-364</t>
  </si>
  <si>
    <t xml:space="preserve"> 3,795,808.73</t>
  </si>
  <si>
    <t>Total SIDUR-PF-16-369</t>
  </si>
  <si>
    <t>17.73%</t>
  </si>
  <si>
    <t>55.72%</t>
  </si>
  <si>
    <t>11.47%</t>
  </si>
  <si>
    <t>SIDUR-PF-16-351</t>
  </si>
  <si>
    <t>PAVIMENTACIÓN CON CONCRETO HIDRAULICO DE CALLE ADOLFO DE LA HUERTA EN LA LOCALIDAD DE QUEROBABI</t>
  </si>
  <si>
    <t>INGENIERIA INTEGRAL LA ISLETA, S.A. DE C.V.</t>
  </si>
  <si>
    <t>C-00052/0185</t>
  </si>
  <si>
    <t>QUEROBABI</t>
  </si>
  <si>
    <t>IO-926006995-E142-2016</t>
  </si>
  <si>
    <t>SIDUR-PF-16-293</t>
  </si>
  <si>
    <t>REHABILITACION DE PAVIMENTOS A BASE DE RECARPETEO EN BLVD. LUIS ENCINAS ENTRE BENITO JUAREZ Y PERIFERICO ORIENTE</t>
  </si>
  <si>
    <t>C-00052/0226</t>
  </si>
  <si>
    <t>LO-926006995-E94-2016</t>
  </si>
  <si>
    <t>C-00052/0230</t>
  </si>
  <si>
    <t>REHABILITACION DE PAVIMENTOS A BASE DE RECARPETEO EN 4 CALLES EN LAS COLONIAS AL NORTE DE LA CIUDAD HEROICA GUAYMAS</t>
  </si>
  <si>
    <t>SIDUR-PF-16-302</t>
  </si>
  <si>
    <t>IO-926006995-E103-2016</t>
  </si>
  <si>
    <t>VERIFICACION DE INSTALACIONES ELECTRICAS DE LA OBRA: CONSTRUCCION DE CENTRO DE ATENCION TEMPRANA EN EL DISTRITO DE CAJEME</t>
  </si>
  <si>
    <t>SIDUR-ED-16-165</t>
  </si>
  <si>
    <t>C-00098/0016</t>
  </si>
  <si>
    <t>11000002002207E201K021D4A622212161A013</t>
  </si>
  <si>
    <t>REHABILITACION DE COLECTOR DE AGUAS RESIDUALES</t>
  </si>
  <si>
    <t>C-00051/0003</t>
  </si>
  <si>
    <t>SIDUR-ED-16-376</t>
  </si>
  <si>
    <t>SIDUR-PF-16-356</t>
  </si>
  <si>
    <t>PAVIMENTACION CON CONCRETO HIDRAULICO DE 15CM DE ESPESOR EN LAS CALLES FERROCARRIL Y SONORA EN LA LOCALIDAD DE ESQUEDA</t>
  </si>
  <si>
    <t>SEÑALAMIENTOS Y SERVICIOS INTEGRALES DEL NOROESTE, S.A. DE C.V.</t>
  </si>
  <si>
    <t>C-00052/0209</t>
  </si>
  <si>
    <t>FRONTERAS</t>
  </si>
  <si>
    <t>IO-926006995-E148-2016</t>
  </si>
  <si>
    <t>SIDUR-ED-16-377</t>
  </si>
  <si>
    <t>REHABILITACION DEL DELFINARIO SONORA(SEGUNDA ETAPA) EN LA LOCALIDAD DE SAN CARLOS, MUNICIPIO DE GUAYMAS</t>
  </si>
  <si>
    <t>C-00061/0018</t>
  </si>
  <si>
    <t>CE-926006995-E161-2016</t>
  </si>
  <si>
    <t>18.85%</t>
  </si>
  <si>
    <t>18.56%</t>
  </si>
  <si>
    <t>42.60%</t>
  </si>
  <si>
    <t>47.13%</t>
  </si>
  <si>
    <t xml:space="preserve"> 51,999.99</t>
  </si>
  <si>
    <t>Total SIDUR-ED-16-165</t>
  </si>
  <si>
    <t>23.37%</t>
  </si>
  <si>
    <t xml:space="preserve"> 1,284,585.54</t>
  </si>
  <si>
    <t>Total SIDUR-ED-16-376</t>
  </si>
  <si>
    <t xml:space="preserve"> 8,591,026.32</t>
  </si>
  <si>
    <t>Total SIDUR-ED-16-377</t>
  </si>
  <si>
    <t xml:space="preserve"> 14,497,968.36</t>
  </si>
  <si>
    <t>Total SIDUR-PF-16-293</t>
  </si>
  <si>
    <t xml:space="preserve"> 6,446,641.32</t>
  </si>
  <si>
    <t>Total SIDUR-PF-16-302</t>
  </si>
  <si>
    <t xml:space="preserve"> 2,851,069.39</t>
  </si>
  <si>
    <t>Total SIDUR-PF-16-351</t>
  </si>
  <si>
    <t xml:space="preserve"> 5,679,511.01</t>
  </si>
  <si>
    <t>Total SIDUR-PF-16-356</t>
  </si>
  <si>
    <t xml:space="preserve"> 1,590,534.08</t>
  </si>
  <si>
    <t>SIDUR-PF-16-370</t>
  </si>
  <si>
    <t>CONSTRUSERVICIOS Y EDIFICACIONES BAJAMAR DE MEXICO S.A. DE C.V.</t>
  </si>
  <si>
    <t>PAVIMENTACIÓN CON CARPETA ASFALTICA DE 5CMS DE ESPESOR EN 3 CALLES, GENERAL PLUTARCO ELIAS CALLES</t>
  </si>
  <si>
    <t>C-00052/0176</t>
  </si>
  <si>
    <t>IO-926006995-E159-2016</t>
  </si>
  <si>
    <t>GRAL. PLUTARCO ELIAS CALLES</t>
  </si>
  <si>
    <t>SIDUR-ED-16-375</t>
  </si>
  <si>
    <t>SH-ED-16-123.</t>
  </si>
  <si>
    <t>SIDUR-PF-16-371</t>
  </si>
  <si>
    <t>REHABILITACION DE PAVIMENTOS A BASE DE RECARPETEO EN CALLE GARCIA MORALES ENTRE HIDALGO Y RAYON, ENTRE QUINTANA ROO Y BRAVO, Y ENTRE ABASOLO Y JOSEFA ORTIZ DE DOMINGUEZ</t>
  </si>
  <si>
    <t>C-00052/0232</t>
  </si>
  <si>
    <t>IO-926006995-E160-2016</t>
  </si>
  <si>
    <t>SIDUR-PF-15-037</t>
  </si>
  <si>
    <t>PAVIMENTACION DE LA CALLE JUVENTINO ROSAS, ENTRE LOPEZ MATEOS Y JUAN ALDAMA</t>
  </si>
  <si>
    <t>CONSTRUCTORA OSAL, S.A. DE C.V.</t>
  </si>
  <si>
    <t>OM-NC-15-185</t>
  </si>
  <si>
    <t>11000002002201E41K901A000614202155GL01</t>
  </si>
  <si>
    <t>C-00093/0023</t>
  </si>
  <si>
    <t>IO-926006995-N31-2015</t>
  </si>
  <si>
    <t>12.75%</t>
  </si>
  <si>
    <t>23.00%</t>
  </si>
  <si>
    <t>7.33%</t>
  </si>
  <si>
    <t>9.67%</t>
  </si>
  <si>
    <t>2.40%</t>
  </si>
  <si>
    <t>3.75%</t>
  </si>
  <si>
    <t>31.67%</t>
  </si>
  <si>
    <t>13.33%</t>
  </si>
  <si>
    <t>21.67%</t>
  </si>
  <si>
    <t>31.34%</t>
  </si>
  <si>
    <t xml:space="preserve"> 826,057.46</t>
  </si>
  <si>
    <t>Total SIDUR-ED-16-375</t>
  </si>
  <si>
    <t>99.99%</t>
  </si>
  <si>
    <t>26.43%</t>
  </si>
  <si>
    <t xml:space="preserve"> 5,165,280.09</t>
  </si>
  <si>
    <t>Total SIDUR-PF-16-370</t>
  </si>
  <si>
    <t xml:space="preserve"> 1,881,441.35</t>
  </si>
  <si>
    <t>Total SIDUR-PF-16-371</t>
  </si>
  <si>
    <t xml:space="preserve"> 2,879,975.40</t>
  </si>
  <si>
    <t xml:space="preserve"> 2,879,974.93</t>
  </si>
  <si>
    <t>SIDUR-PF-16-357</t>
  </si>
  <si>
    <t>CONSTRUCCIONES Y TERRACERIAS MOVAKAR, S.A. DE C.V.</t>
  </si>
  <si>
    <t>PAVIMENTACION CON CARPETA ASFÁLTICA EN 3 CALLES, EN LA LOCALIDAD DE EMILIANO ZAPATA, MUNICIPIO DE SAN LUIS RIO COLORADO.</t>
  </si>
  <si>
    <t>C-00052/0201</t>
  </si>
  <si>
    <t>IO-926006995-E149-2016</t>
  </si>
  <si>
    <t>SIDUR-PF-16-301</t>
  </si>
  <si>
    <t>REHABILITACION DE PAVIMENTOS A BASE DE RECARPETEO EN VARIAS CALLES Y AVENIDAS EN COLONIAS DE EL CENTRO DE LA CIUDAD HEROICA GUAYMAS</t>
  </si>
  <si>
    <t>C-00052/0224</t>
  </si>
  <si>
    <t>IO-926006995-E102-2016</t>
  </si>
  <si>
    <t>PAVIMENTACION CON CONCRETO HIDRAULICO DE CALLE LAZARO CARDENAS Y CALLE AQUILES SERDAN EN LA LOCALIDAD DE PUERTO LIBERTAD</t>
  </si>
  <si>
    <t>SIDUR-PF-16-358</t>
  </si>
  <si>
    <t>CONSTRUCTORA E INMOBILIARIA VELIS, S.A. DE C.V.</t>
  </si>
  <si>
    <t>C-00052/0192</t>
  </si>
  <si>
    <t>IO-926006995-E150-2016</t>
  </si>
  <si>
    <t>1.73%</t>
  </si>
  <si>
    <t>2.89%</t>
  </si>
  <si>
    <t>33.56%</t>
  </si>
  <si>
    <t>7.59%</t>
  </si>
  <si>
    <t>8.01%</t>
  </si>
  <si>
    <t>1.62%</t>
  </si>
  <si>
    <t>6.27%</t>
  </si>
  <si>
    <t>7.71%</t>
  </si>
  <si>
    <t>27.33%</t>
  </si>
  <si>
    <t>14.48%</t>
  </si>
  <si>
    <t xml:space="preserve"> 439,187.60</t>
  </si>
  <si>
    <t>Total SIDUR-ED-16-174</t>
  </si>
  <si>
    <t xml:space="preserve"> 6,189,552.56</t>
  </si>
  <si>
    <t>Total SIDUR-PF-16-301</t>
  </si>
  <si>
    <t xml:space="preserve"> 3,354,071.51</t>
  </si>
  <si>
    <t>Total SIDUR-PF-16-357</t>
  </si>
  <si>
    <t xml:space="preserve"> 2,752,337.34</t>
  </si>
  <si>
    <t>Total SIDUR-PF-16-358</t>
  </si>
  <si>
    <t>SUPERVISION EXTERNA Y CONTROL DE CALIDAD DE LA OBRA: PAVIMENTACION CON CONCRETO HIDRAULICO DEL BOULEVARD LAZARO GUTIERREZ DE LARA</t>
  </si>
  <si>
    <t>SIDUR-ED-16-366</t>
  </si>
  <si>
    <t>CE-926006995-2016</t>
  </si>
  <si>
    <t>7.99%</t>
  </si>
  <si>
    <t>7.82%</t>
  </si>
  <si>
    <t>15.70%</t>
  </si>
  <si>
    <t>11.38%</t>
  </si>
  <si>
    <t>19.17%</t>
  </si>
  <si>
    <t>22.58%</t>
  </si>
  <si>
    <t>54.47%</t>
  </si>
  <si>
    <t>3.25%</t>
  </si>
  <si>
    <t>7.36%</t>
  </si>
  <si>
    <t>5.92%</t>
  </si>
  <si>
    <t>4.70%</t>
  </si>
  <si>
    <t>16.82%</t>
  </si>
  <si>
    <t>9.11%</t>
  </si>
  <si>
    <t>50.16%</t>
  </si>
  <si>
    <t>C1-C4</t>
  </si>
  <si>
    <t>SIDUR-ED-16-368</t>
  </si>
  <si>
    <t>PRIMERA ETAPA DE LA CONSTRUCCION DE COMPLEJO INTEGRAL DE PROCURACION DE JUSTICIA (CIUDAD DE LA JUSTICIA) EN LA LOCALIDAD Y MUNICIPIO DE HERMOSILLO, SONORA</t>
  </si>
  <si>
    <t>BEJIM, PLANEA Y CONSTRUYE, S.A. DE C.V.</t>
  </si>
  <si>
    <t>C-00129/0002</t>
  </si>
  <si>
    <t>11000002001202E104K06104A622012165DM07</t>
  </si>
  <si>
    <t>SH-FAFEF-16-023</t>
  </si>
  <si>
    <t>CE-926006995-E157-2016</t>
  </si>
  <si>
    <t>EST. 21</t>
  </si>
  <si>
    <t>REHABILITACION DE PAVIMENTOS A BASE DE RECARPETEO EN CALLE OBREGON ENTRE ABELARDO L. RODRIGUEZ Y HACIA EL ESTE EN EL POBLADO DE SANTA CLARA.</t>
  </si>
  <si>
    <t>SIDUR-PF-16-324</t>
  </si>
  <si>
    <t>C-00052/0227</t>
  </si>
  <si>
    <t>AO-926006995-E123-2016</t>
  </si>
  <si>
    <t>PAVIMENTACION CON CONCRETO HIDRAULICO DE 16CM DE ESPESOR EN LA CALLE RUBEN POMPA ENTRE AVE. RODOLFO GODINEZ Y AVE. FRESNO</t>
  </si>
  <si>
    <t>SIDUR-PF-16-359</t>
  </si>
  <si>
    <t>C-00052/0212</t>
  </si>
  <si>
    <t>RENTA, MOVIMIENTO DE CONTRUCCION EQUIPEN, S.A. DE C.V.</t>
  </si>
  <si>
    <t>C6-CIM</t>
  </si>
  <si>
    <t>SIDUR-PF-15-036</t>
  </si>
  <si>
    <t>PAVIMENTACION DEL BOULEVARD FRANCISCO HIGUERA PADILLA, ENTRE AVENIDA CONSTITUCION Y AVENIDA PUERTO ENSENADA</t>
  </si>
  <si>
    <t>11000002002201E201K02203A614202155GL01</t>
  </si>
  <si>
    <t>C-00093/0022</t>
  </si>
  <si>
    <t>IO-926006995-N30-2015</t>
  </si>
  <si>
    <t>84.14%</t>
  </si>
  <si>
    <t>4.88%</t>
  </si>
  <si>
    <t>21.73%</t>
  </si>
  <si>
    <t>20.66%</t>
  </si>
  <si>
    <t>4.46%</t>
  </si>
  <si>
    <t>96.68%</t>
  </si>
  <si>
    <t>99.67%</t>
  </si>
  <si>
    <t>20.56%</t>
  </si>
  <si>
    <t>4.26%</t>
  </si>
  <si>
    <t>7.34%</t>
  </si>
  <si>
    <t>2.37%</t>
  </si>
  <si>
    <t>38.09%</t>
  </si>
  <si>
    <t>8.88%</t>
  </si>
  <si>
    <t>5.95%</t>
  </si>
  <si>
    <t>2.74%</t>
  </si>
  <si>
    <t>23.33%</t>
  </si>
  <si>
    <t>34.00%</t>
  </si>
  <si>
    <t>8.60%</t>
  </si>
  <si>
    <t>24.44%</t>
  </si>
  <si>
    <t>34.44%</t>
  </si>
  <si>
    <t>7.00%</t>
  </si>
  <si>
    <t>0.78%</t>
  </si>
  <si>
    <t>6.67%</t>
  </si>
  <si>
    <t>16.49%</t>
  </si>
  <si>
    <t>17.54%</t>
  </si>
  <si>
    <t>3.61%</t>
  </si>
  <si>
    <t xml:space="preserve"> 986,157.02</t>
  </si>
  <si>
    <t>Total SIDUR-ED-16-366</t>
  </si>
  <si>
    <t xml:space="preserve"> 392,965.69</t>
  </si>
  <si>
    <t>Total SIDUR-PF-16-324</t>
  </si>
  <si>
    <t xml:space="preserve"> 5,629,974.51</t>
  </si>
  <si>
    <t>Total SIDUR-PF-16-359</t>
  </si>
  <si>
    <t>C03</t>
  </si>
  <si>
    <t>SIDUR-PF-16-320</t>
  </si>
  <si>
    <t>AO-926006995-E116-2016</t>
  </si>
  <si>
    <t>SIDUR-PF-16-322</t>
  </si>
  <si>
    <t>CONTROL DE CALIDAD DE LA OBRA: REHABILITACION DE PAVIMENTOS A BASE DE RECARPETEO EN BLVD. GARCIA MORALES ENTRE BLVD. QUIROGA Y ACCESO AL AEROPUERTO</t>
  </si>
  <si>
    <t>AO-926006995-E118-2016</t>
  </si>
  <si>
    <t>EST. 22</t>
  </si>
  <si>
    <t>CIM</t>
  </si>
  <si>
    <t>CONTROL DE CALIDAD DE LA OBRA: REHABILITACION DE PAVIMENTOS A BASE DE RECARPETEO EN AVE JOSE S. HEALY, AVE JOSE CARMELO Y PERIMETRAL NORTE ENTRE BLVD. SOLIDARIDAD Y LÁZARO MERCADO</t>
  </si>
  <si>
    <t>SIDUR-ED-16-387</t>
  </si>
  <si>
    <t>SIDUR-PF-16-319</t>
  </si>
  <si>
    <t>SIDUR-PF-16-321</t>
  </si>
  <si>
    <t>CONTROL DE CALIDAD DE LA OBRA: REHABILITACION DE PAVIMENTOS A BASE DE RECARPETEO EN CALLE REFORMA, VARIOS TRAMOS, HERMOSILLO</t>
  </si>
  <si>
    <t>OESTEC DE MEXICO S.A. DE C.V.</t>
  </si>
  <si>
    <t>CONTROL DE CALIDAD DE LA OBRA: REHABILITACION DE PAVIMENTOS A BASE DE RECARPETEO EN CALLE MONTEVERDE ENTRE PROGRESO Y VERACRUZ, EN HERMOSILLO</t>
  </si>
  <si>
    <t>AO-926006995-E115-2016</t>
  </si>
  <si>
    <t>VERIFICACIÓN DE INSTACIONES ELÉCTRICAS DE LA OBRA: CONSTRUCCION DE PARQUE Y BALNEARIO "KINO MAGICO" (ETAPA 1) EN LA COMISARIA DE BAHIA DE KINO</t>
  </si>
  <si>
    <t>SIDUR-ED-16-394</t>
  </si>
  <si>
    <t>SUPERVISION EXTERNA Y CONTROL DE CALIDAD PARA LA OBRA: CONSTRUCCION DEL CENTRO DE TRANSICION AL NUEVO SISTEMA DE JUSTICIA PENAL DE HERMOSILLO</t>
  </si>
  <si>
    <t>CERTUS GERENCIA DE PROYECTOS, S.A. DE C.V.</t>
  </si>
  <si>
    <t>11000002001202E104K06104A622202165HY07</t>
  </si>
  <si>
    <t>CE-926006995-E165-2016</t>
  </si>
  <si>
    <t>C3-C4-CIM</t>
  </si>
  <si>
    <t>SIDUR-ED-16-374</t>
  </si>
  <si>
    <t>REHABILITACION DE ESTRUCTURA PARA MALLA SOMBRA EN CASA HOGAR JINESEKI, EN LA LOCALIDAD Y MUNICIPIO DE HERMOSILLO</t>
  </si>
  <si>
    <t>RAYDA CONSTRUCTORES, S.A. DE C.V.</t>
  </si>
  <si>
    <t>11000002002202E402K17105A612032165DM07</t>
  </si>
  <si>
    <t>C-00061/0017</t>
  </si>
  <si>
    <t>5.69%</t>
  </si>
  <si>
    <t>20.46%</t>
  </si>
  <si>
    <t>0.46%</t>
  </si>
  <si>
    <t>5.21%</t>
  </si>
  <si>
    <t>2.50%</t>
  </si>
  <si>
    <t>6.53%</t>
  </si>
  <si>
    <t>16.01%</t>
  </si>
  <si>
    <t>20.70%</t>
  </si>
  <si>
    <t>43.55%</t>
  </si>
  <si>
    <t>98.69%</t>
  </si>
  <si>
    <t>29.61%</t>
  </si>
  <si>
    <t>0.20%</t>
  </si>
  <si>
    <t>23.88%</t>
  </si>
  <si>
    <t>21.50%</t>
  </si>
  <si>
    <t>28.81%</t>
  </si>
  <si>
    <t>21.18%</t>
  </si>
  <si>
    <t>94.25%</t>
  </si>
  <si>
    <t>7.66%</t>
  </si>
  <si>
    <t>91.94%</t>
  </si>
  <si>
    <t>8.26%</t>
  </si>
  <si>
    <t>14.34%</t>
  </si>
  <si>
    <t>13.73%</t>
  </si>
  <si>
    <t>20.48%</t>
  </si>
  <si>
    <t>74.31%</t>
  </si>
  <si>
    <t>13.31%</t>
  </si>
  <si>
    <t>2.53%</t>
  </si>
  <si>
    <t>17.37%</t>
  </si>
  <si>
    <t>18.03%</t>
  </si>
  <si>
    <t>11.70%</t>
  </si>
  <si>
    <t>19.62%</t>
  </si>
  <si>
    <t>17.96%</t>
  </si>
  <si>
    <t>20.67%</t>
  </si>
  <si>
    <t>22.55%</t>
  </si>
  <si>
    <t>5.03%</t>
  </si>
  <si>
    <t>43.21%</t>
  </si>
  <si>
    <t>20.13%</t>
  </si>
  <si>
    <t>6.95%</t>
  </si>
  <si>
    <t>19.01%</t>
  </si>
  <si>
    <t>20.22%</t>
  </si>
  <si>
    <t>11.33%</t>
  </si>
  <si>
    <t>6.77%</t>
  </si>
  <si>
    <t>35.56%</t>
  </si>
  <si>
    <t>23.26%</t>
  </si>
  <si>
    <t xml:space="preserve"> 161,330.94</t>
  </si>
  <si>
    <t>Total SIDUR-ED-16-374</t>
  </si>
  <si>
    <t xml:space="preserve"> 297,888.00</t>
  </si>
  <si>
    <t>50.04%</t>
  </si>
  <si>
    <t>Total SIDUR-ED-16-387</t>
  </si>
  <si>
    <t xml:space="preserve"> 968,879.00</t>
  </si>
  <si>
    <t>Total SIDUR-ED-16-394</t>
  </si>
  <si>
    <t xml:space="preserve"> 354,935.96</t>
  </si>
  <si>
    <t>Total SIDUR-PF-16-319</t>
  </si>
  <si>
    <t xml:space="preserve"> 500,112.28</t>
  </si>
  <si>
    <t>Total SIDUR-PF-16-320</t>
  </si>
  <si>
    <t xml:space="preserve"> 401,357.31</t>
  </si>
  <si>
    <t>Total SIDUR-PF-16-321</t>
  </si>
  <si>
    <t xml:space="preserve"> 365,787.30</t>
  </si>
  <si>
    <t>Total SIDUR-PF-16-322</t>
  </si>
  <si>
    <t>87.77%</t>
  </si>
  <si>
    <t>SIDUR-PF-15-076</t>
  </si>
  <si>
    <t>CONSTRUCCION DE EDIFICIO PARA ALBERGAR EL JUZGADO DE ORALIDAD PENAL DE NOGALES</t>
  </si>
  <si>
    <t>SH-FAFEF-16-029</t>
  </si>
  <si>
    <t>11000002001202E104K06104A622012155DM03</t>
  </si>
  <si>
    <t>C-00058/0021</t>
  </si>
  <si>
    <t>C05</t>
  </si>
  <si>
    <t>SIDUR-PF-15-081.</t>
  </si>
  <si>
    <t>CONSTRUCCION Y REMODELACION DEL CENTRO DE ATENCION TEMPRANA EN EL DISTRITO DE SAN LUIS RIO COLORADO</t>
  </si>
  <si>
    <t>URBANIZADORA OASIS, S.A. DE C.V.</t>
  </si>
  <si>
    <t>11000002001202E104K06104A622012155DM01</t>
  </si>
  <si>
    <t>SIDUR-PF-15-082</t>
  </si>
  <si>
    <t>CONSTRUCCION DEL CENTRO DE ATENCION TEMPRANA EN EL DISTRITO DE ALTAR CON SEDE EN CABORCA</t>
  </si>
  <si>
    <t>SH-FAFEF-16-028</t>
  </si>
  <si>
    <t>C-00058/0022</t>
  </si>
  <si>
    <t>11000002001202E104K06104A622012165DM02</t>
  </si>
  <si>
    <t>SIDUR-PF-15-079</t>
  </si>
  <si>
    <t>CONSTRUCCION DE DENTRO DE ATENCION TEMPRANA EN EL DISTRITO DE NAVOJOA</t>
  </si>
  <si>
    <t>C-00058/0019</t>
  </si>
  <si>
    <t>1000002001202E104K06104A622012155DM12</t>
  </si>
  <si>
    <t>REHABILITACION PAVIMENTO CON CARPETA ASFALTICA EN CALLE MIGUEL HIDALGO EN LA LOCALIDAD Y MUNICIPIO DE ETCHOJOA</t>
  </si>
  <si>
    <t>C-00052/0242</t>
  </si>
  <si>
    <t>SIDUR-ED-16-378</t>
  </si>
  <si>
    <t>C-00058/0027</t>
  </si>
  <si>
    <t>OBRA COMPLEMENTARIA DE CONSTRUCCION DE EDIFICIO PARA ALBERGAR JUZGADO DE ORALIDAD PENAL CON SEDE EN AGUA PRIETA, EN LA LOCALIDAD Y MUNICIPIO DE AGUA PRIETA, SONORA.</t>
  </si>
  <si>
    <t>SH-FAFEF-16-031</t>
  </si>
  <si>
    <t>11000002001202E104K06104A622012155DM04</t>
  </si>
  <si>
    <t>SIDUR-ED-16-415</t>
  </si>
  <si>
    <t>INMOBILIARIA TIERRAS DEL DESIERTO, S. A. DE C. V.</t>
  </si>
  <si>
    <t>SIDUR-ED-16-398</t>
  </si>
  <si>
    <t>TERMINACION DE LA REMODELACION DEL AREA DE ATENCION TEMPRANA DEL CENTRO INTEGRAL DE JUSTICIA EN EL DISTRITO DE NOGALES</t>
  </si>
  <si>
    <t>SIDUR-ED-16-396.</t>
  </si>
  <si>
    <t>11000002001202E104K06104A622032155DM03</t>
  </si>
  <si>
    <t>TERMINACION DE LA CONSTRUCCION DE EDIFICIO PARA ALBERGAR JUZGADO DE ORALIDAD PENAL CON SEDE EN AGUA PRIETA</t>
  </si>
  <si>
    <t>SH-FAFEF-16-027.</t>
  </si>
  <si>
    <t>11000002001202E104K06104A622012135DM04</t>
  </si>
  <si>
    <t>SIDUR-ED-16-397</t>
  </si>
  <si>
    <t>SAN LUIS RIO COLORADO</t>
  </si>
  <si>
    <t>TERMINACION DE LA REHABILITACION DE EDIFICIO PARA ALBERGAR JUZGADO DE ORALIDAD PENAL CON SEDE EN SAN LUIS RIO COLORADO</t>
  </si>
  <si>
    <t>C-00058/0020</t>
  </si>
  <si>
    <t>11000002001202E104K06104A622032155DM01</t>
  </si>
  <si>
    <t>SIDUR-ED-16-395.</t>
  </si>
  <si>
    <t>OBRAS DE REHABILITACION Y CONSTRUCCION DE NUEVOS ESPACIOS EN EL DELFINARIO SONORA EN LA LOCALIDAD DE SAN CARLOS, MUNICIPIO DE GUAYMAS</t>
  </si>
  <si>
    <t>C-00061/0024.</t>
  </si>
  <si>
    <t>SIDUR-PF-14-246</t>
  </si>
  <si>
    <t>SEINMI, S.A. DE C.V.</t>
  </si>
  <si>
    <t>EQUIPAMIENTO DE GIMNASIO DE HALTEROFILIA EN UNIDAD DEPORTIVA GUAYMAS SUR</t>
  </si>
  <si>
    <t>SH-ED-16-226</t>
  </si>
  <si>
    <t>11000002002401E406K07203A612112161A010</t>
  </si>
  <si>
    <t>C-00064/0043</t>
  </si>
  <si>
    <t>PALO FIERRO CONSTRUCCIONES, S.A. DE C.V.</t>
  </si>
  <si>
    <t>OBRA COMPLEMENTARIA PARA LA REMODELACION DE CENTRO INTEGRAL DE JUSTICIA EN EL DISTRITO DE HERMOSILLO.</t>
  </si>
  <si>
    <t>SIDUR-ED-16-414</t>
  </si>
  <si>
    <t>C-00058/0031</t>
  </si>
  <si>
    <t>KONSTRIKSYON, S.A. DE C.V.</t>
  </si>
  <si>
    <t>REHABILITACION Y EQUIPAMIENTO DE LA UNIDAD DEPORTIVA AURELIO RODRIGUEZ</t>
  </si>
  <si>
    <t>C-00064/0042</t>
  </si>
  <si>
    <t>11000002002401E406K07203A612112165DM04</t>
  </si>
  <si>
    <t>SIDUR-ED-16-417</t>
  </si>
  <si>
    <t>SIDUR-PF-16-492</t>
  </si>
  <si>
    <t>CASA FUTURA GISA, S.A. DE C.V.</t>
  </si>
  <si>
    <t>SUPERVISION EXTERNA Y CONTROL DE CALIDAD DE LA OBRA: CREACION DEL CENTRO DE JUSTICIA PARA LAS MUJERES EN LA LOCALIDAD Y MUNICIPIO DE HERMOSILLO.</t>
  </si>
  <si>
    <t>C-00058/0026</t>
  </si>
  <si>
    <t>11000002001202E105K03205K622012165HR07</t>
  </si>
  <si>
    <t>SH-NC-16-148</t>
  </si>
  <si>
    <t>TERMINACION DE LA AMPLIACION DE EDIFICIO PARA ALBERGAR JUZGADO DE ORALIDAD PENAL CON SEDE EN LA LOCALIDAD Y MUNICIPIO DE SONORA.</t>
  </si>
  <si>
    <t>SIDUR-ED-16-418</t>
  </si>
  <si>
    <t>C-00058/0023</t>
  </si>
  <si>
    <t>11000002001202E104A62202165DM12</t>
  </si>
  <si>
    <t>SIDUR-PF-16-393</t>
  </si>
  <si>
    <t>CREACION DEL CENTRO DE JUSTICIA PARA LAS MUJERES EN LA LOCALIDAD Y MUNICIPIO DE HERMOSILLO, SONORA.</t>
  </si>
  <si>
    <t>GRUPO CONSTRUCTOR TERRO, S.A. DE C.V.</t>
  </si>
  <si>
    <t>LO-926006995-E164-2016</t>
  </si>
  <si>
    <t>ING. JULIO CESAR FERRA GUTIERREZ</t>
  </si>
  <si>
    <t>DIRECTOR RESPONSABLE DE OBRA: CREACION DEL CENTRO DE JUSTICIA PARA LAS MUJERES EN LA LOCALIDAD Y MUNICIPIO DE SONORA.</t>
  </si>
  <si>
    <t>SIDUR-PF-16-491</t>
  </si>
  <si>
    <t>SIDUR-ED-16-423</t>
  </si>
  <si>
    <t>SIDUR-ED-16-440</t>
  </si>
  <si>
    <t>SIDUR-ED-16-441</t>
  </si>
  <si>
    <t>10.26%</t>
  </si>
  <si>
    <t>12.41%</t>
  </si>
  <si>
    <t>15.67%</t>
  </si>
  <si>
    <t>20.52%</t>
  </si>
  <si>
    <t>88.40%</t>
  </si>
  <si>
    <t>5.84%</t>
  </si>
  <si>
    <t>2.55%</t>
  </si>
  <si>
    <t>75.70%</t>
  </si>
  <si>
    <t>27.44%</t>
  </si>
  <si>
    <t>45.09%</t>
  </si>
  <si>
    <t>21.56%</t>
  </si>
  <si>
    <t>39.68%</t>
  </si>
  <si>
    <t>99.37%</t>
  </si>
  <si>
    <t>9.83%</t>
  </si>
  <si>
    <t>7.18%</t>
  </si>
  <si>
    <t>92.90%</t>
  </si>
  <si>
    <t>72.15%</t>
  </si>
  <si>
    <t>6.36%</t>
  </si>
  <si>
    <t>5.53%</t>
  </si>
  <si>
    <t>9.73%</t>
  </si>
  <si>
    <t>50.46%</t>
  </si>
  <si>
    <t>11.81%</t>
  </si>
  <si>
    <t>98.07%</t>
  </si>
  <si>
    <t>9.44%</t>
  </si>
  <si>
    <t>40.69%</t>
  </si>
  <si>
    <t>98.28%</t>
  </si>
  <si>
    <t>15.49%</t>
  </si>
  <si>
    <t>6.26%</t>
  </si>
  <si>
    <t>16.80%</t>
  </si>
  <si>
    <t>9.92%</t>
  </si>
  <si>
    <t>17.06%</t>
  </si>
  <si>
    <t>39.26%</t>
  </si>
  <si>
    <t>13.23%</t>
  </si>
  <si>
    <t>66.14%</t>
  </si>
  <si>
    <t>18.13%</t>
  </si>
  <si>
    <t>33.49%</t>
  </si>
  <si>
    <t>27.00%</t>
  </si>
  <si>
    <t>23.41%</t>
  </si>
  <si>
    <t>9.99%</t>
  </si>
  <si>
    <t>40.06%</t>
  </si>
  <si>
    <t>40.63%</t>
  </si>
  <si>
    <t>34.32%</t>
  </si>
  <si>
    <t>6.17%</t>
  </si>
  <si>
    <t>43.66%</t>
  </si>
  <si>
    <t>25.93%</t>
  </si>
  <si>
    <t>49.74%</t>
  </si>
  <si>
    <t>28.47%</t>
  </si>
  <si>
    <t>86.18%</t>
  </si>
  <si>
    <t>40.19%</t>
  </si>
  <si>
    <t>40.07%</t>
  </si>
  <si>
    <t>10.57%</t>
  </si>
  <si>
    <t>42.50%</t>
  </si>
  <si>
    <t>17.85%</t>
  </si>
  <si>
    <t>38.68%</t>
  </si>
  <si>
    <t>12.40%</t>
  </si>
  <si>
    <t>2.58%</t>
  </si>
  <si>
    <t>31.22%</t>
  </si>
  <si>
    <t xml:space="preserve"> 6,532,283.41</t>
  </si>
  <si>
    <t>44.96%</t>
  </si>
  <si>
    <t>Total SIDUR-ED-16-378</t>
  </si>
  <si>
    <t xml:space="preserve"> 16,098,814.93</t>
  </si>
  <si>
    <t>Total SIDUR-ED-16-395.</t>
  </si>
  <si>
    <t xml:space="preserve"> 818,779.01</t>
  </si>
  <si>
    <t>Total SIDUR-ED-16-396.</t>
  </si>
  <si>
    <t xml:space="preserve"> 820,789.33</t>
  </si>
  <si>
    <t>Total SIDUR-ED-16-397</t>
  </si>
  <si>
    <t xml:space="preserve"> 593,752.25</t>
  </si>
  <si>
    <t>53.93%</t>
  </si>
  <si>
    <t>37.39%</t>
  </si>
  <si>
    <t>8.68%</t>
  </si>
  <si>
    <t>Total SIDUR-ED-16-398</t>
  </si>
  <si>
    <t xml:space="preserve"> 847,189.76</t>
  </si>
  <si>
    <t>Total SIDUR-ED-16-414</t>
  </si>
  <si>
    <t xml:space="preserve"> 135,261.80</t>
  </si>
  <si>
    <t>Total SIDUR-ED-16-415</t>
  </si>
  <si>
    <t xml:space="preserve"> 1,408,614.85</t>
  </si>
  <si>
    <t>Total SIDUR-ED-16-417</t>
  </si>
  <si>
    <t xml:space="preserve"> 2,108,203.22</t>
  </si>
  <si>
    <t>Total SIDUR-ED-16-418</t>
  </si>
  <si>
    <t xml:space="preserve"> 638,000.00</t>
  </si>
  <si>
    <t>Total SIDUR-PF-16-491</t>
  </si>
  <si>
    <t xml:space="preserve"> 233,558.91</t>
  </si>
  <si>
    <t>Total SIDUR-PF-16-492</t>
  </si>
  <si>
    <t>C-00058/0010</t>
  </si>
  <si>
    <t>C-00052/0202</t>
  </si>
  <si>
    <t>C-00058/0016</t>
  </si>
  <si>
    <t>C-00058/0018</t>
  </si>
  <si>
    <t>C-00109/0003</t>
  </si>
  <si>
    <t>TERMINACION DE LA AMPLIACION DE EDIFICIO PARA ALBERGAR JUZGADO DE ORALIDAD PENAL CON SEDE EN LA LOCALIDAD Y MUNICIPIO DE CABORCA, SONORA.</t>
  </si>
  <si>
    <t>C-00058/0025</t>
  </si>
  <si>
    <t>11000002001202E104K06104A622022165DM02</t>
  </si>
  <si>
    <t>OBRA COMPLEMENTARIA PARA LA CONSTRUCCION Y REMODELACION DEL CENTRO DE ATENCION TEMPRANA EN EL DISTRITO DE SAN LUIS RIO COLORADO EN LA LOCALIDAD Y MUNICIPIO DE SAN LUIS RIO COLORADO, SONORA.</t>
  </si>
  <si>
    <t>C-00058/0029</t>
  </si>
  <si>
    <t>OBRA COMPLEMENTARIA PARA LA CONSTRUCCION DE CENTRO DE ATENCION TEMPRANA EN EL DISTRITO DE ALTAR, CON SEDE EN LA LOCALIDAD Y MUNICIPIO DE CABORCA, SONORA</t>
  </si>
  <si>
    <t>C-00058/0032</t>
  </si>
  <si>
    <t>11000002001202E104K06104A622012165DM02C</t>
  </si>
  <si>
    <t>SH-FAFEF-16-032</t>
  </si>
  <si>
    <t>98.19%</t>
  </si>
  <si>
    <t>38.18%</t>
  </si>
  <si>
    <t>6.14%</t>
  </si>
  <si>
    <t xml:space="preserve"> 2,068,451.35</t>
  </si>
  <si>
    <t>Total SIDUR-ED-16-423</t>
  </si>
  <si>
    <t xml:space="preserve"> 2,104,279.17</t>
  </si>
  <si>
    <t>20.50%</t>
  </si>
  <si>
    <t>79.92%</t>
  </si>
  <si>
    <t>Total SIDUR-ED-16-440</t>
  </si>
  <si>
    <t xml:space="preserve"> 24,023,981.97</t>
  </si>
  <si>
    <t>34.69%</t>
  </si>
  <si>
    <t>13.55%</t>
  </si>
  <si>
    <t>4.02%</t>
  </si>
  <si>
    <t>99.16%</t>
  </si>
  <si>
    <t>76.59%</t>
  </si>
  <si>
    <t>46.63%</t>
  </si>
  <si>
    <t>20.30%</t>
  </si>
  <si>
    <t>presupuesto 2016</t>
  </si>
  <si>
    <t>SH-NC-17-R-004</t>
  </si>
  <si>
    <t>SH-NC-17-R-005</t>
  </si>
  <si>
    <t>REHABILITACION DE PAVIMENTOS DE 9 CALLES EN LA LOCALIDAD DE TERRENATE</t>
  </si>
  <si>
    <t>CORPORATIVO DE SERVICIOS &amp; PLANEACION EN INFRAESTRUCTURA, S.A. DE C.V.</t>
  </si>
  <si>
    <t>SH-NC-17-R-009</t>
  </si>
  <si>
    <t>REHABILITACION DE PAVIMENTOS DE 24 CALLES EN LA LOCALIDAD DE HUATABAMPO, MUNICIPIO DE HUATABAMPO</t>
  </si>
  <si>
    <t xml:space="preserve">C-00052/0243 </t>
  </si>
  <si>
    <t>SH-NC-17-R-006</t>
  </si>
  <si>
    <t>11000002002201E202K05186A614202165FQ12</t>
  </si>
  <si>
    <t xml:space="preserve">C-00052/0244 </t>
  </si>
  <si>
    <t>11000002002201E202K05186A614202165FQ03</t>
  </si>
  <si>
    <t>RECARPETEO CON MICROCARPETA ASFALTICA DE 3.0 CMS DE ESPESOR EN VARIAS CALLES Y AVENIDAS EN LA LOCALIDAD Y MUNICIPIO DE MAGDALENA</t>
  </si>
  <si>
    <t>C-00052/0245</t>
  </si>
  <si>
    <t xml:space="preserve"> MAGDALENA</t>
  </si>
  <si>
    <t>PAVIMENTACION DE VARIAS CALLES Y AVENIDAS EN LA LOCALIDAD DE ETCHOJOA Y MUNICIPIO DE ETCHOJOA</t>
  </si>
  <si>
    <t xml:space="preserve">C-00052/0246 </t>
  </si>
  <si>
    <t>REHABILITACION DE PAVIMENTOS DE VARIAS CALLES Y AVENIDAS, EN LA LOCALIDAD DE AGUA PRIETA, MUNICIPIO DE AGUA PRIETA</t>
  </si>
  <si>
    <t>C-00052/0247</t>
  </si>
  <si>
    <t>11000002002201E202K05186A614202165FQ04</t>
  </si>
  <si>
    <t>REHABILITACION DE PAVIMENTOS A BASE DE RECARPETEO DE LA CALLE ISRAEL GONZALEZ ENTRE AVENIDA SEGURO SOCIAL Y CALLE UNO, Y CALLE GRAL. PIÑA ENTRE PERIFERICO NORTE Y AVE. GASTON MADRID, EN LA CIUDAD DE HERMOSILLO</t>
  </si>
  <si>
    <t>C-00052/0248</t>
  </si>
  <si>
    <t>11000002002201E202K05186A614202165FQ07</t>
  </si>
  <si>
    <t>REHABILITACION DE PAVIMENTOS A BASE DE RECARPETEO EN CALLE LOPEZ DEL CASTILLO ENTRE YECORA Y ALBERTO GUTIERREZ Y CALLE DR. OLIVARES ENTRE BLVD. PROGRESO Y JOSE CARMELO, EN LA CIUDAD DE HERMOSILLO</t>
  </si>
  <si>
    <t>C-00052/0249</t>
  </si>
  <si>
    <t>REHABILITACION DE PAVIMENTOS A BASE DE RECARPETEO EN BLVD. MORELOS ENTRE BLVD. RODRIGUEZ E IGNACIO SOTO, EN LA CIUDAD DE HERMOSILLO</t>
  </si>
  <si>
    <t>C-00052/0250</t>
  </si>
  <si>
    <t>REHABILITACION DE PAVIMENTOS A BASE DE RECARPETEO EN PERIFERICO SUR (LATERALES DEL PUENTE "EL GALLO") ENTRE BLVD. AGUSTIN DE VILDOSOLA Y CALLE MECANICOS EN LA LOCALIDAD DE HERMOSILLO</t>
  </si>
  <si>
    <t>C-00052/0199</t>
  </si>
  <si>
    <t>11000002002201E201K02203A614202165FC07</t>
  </si>
  <si>
    <t>SIDUR-PF-16-420</t>
  </si>
  <si>
    <t>SIDUR-PF-16-419</t>
  </si>
  <si>
    <t>SIDUR-PF-16-405</t>
  </si>
  <si>
    <t>SIDUR-PF-16-421</t>
  </si>
  <si>
    <t>REHABILITACION DE PAVIMENTOS DE 15 CALLES EN LA LOCALIDAD DE SANTA ANA, MUNICIPIO DE SANTA ANA</t>
  </si>
  <si>
    <t>SUPERVISION Y CONTROL DE CALIDAD LEYZA, S.A. DE C.V.</t>
  </si>
  <si>
    <t>SIDUR-PF-16-422</t>
  </si>
  <si>
    <t>SIDUR-PF-16-403</t>
  </si>
  <si>
    <t>CEBB TERRACERIA Y PAVIMENTOS S.A DE C.V.</t>
  </si>
  <si>
    <t>Cc01</t>
  </si>
  <si>
    <t>SIDUR-PF-16-409</t>
  </si>
  <si>
    <t>SIDUR-PF-16-404</t>
  </si>
  <si>
    <t>PROYECTOS Y CONSTRUCCIONES VIRGO, S.A. DE C.V.</t>
  </si>
  <si>
    <t>LO-926006995-E173-2016</t>
  </si>
  <si>
    <t>SIDUR-PF-16-402</t>
  </si>
  <si>
    <t>LO-926006995-E171-2016</t>
  </si>
  <si>
    <t>5.1 ESPERA OFICIO</t>
  </si>
  <si>
    <t>31.14%</t>
  </si>
  <si>
    <t>1.63%</t>
  </si>
  <si>
    <t>0.00%</t>
  </si>
  <si>
    <t>17.00%</t>
  </si>
  <si>
    <t>36.66%</t>
  </si>
  <si>
    <t>70.84%</t>
  </si>
  <si>
    <t>35.79%</t>
  </si>
  <si>
    <t>34.89%</t>
  </si>
  <si>
    <t>60.03%</t>
  </si>
  <si>
    <t>9.90%</t>
  </si>
  <si>
    <t>4.08%</t>
  </si>
  <si>
    <t>95.92%</t>
  </si>
  <si>
    <t>0.90%</t>
  </si>
  <si>
    <t>63.26%</t>
  </si>
  <si>
    <t>47.52%</t>
  </si>
  <si>
    <t>75.25%</t>
  </si>
  <si>
    <t>64.65%</t>
  </si>
  <si>
    <t>47.50%</t>
  </si>
  <si>
    <t>45.55%</t>
  </si>
  <si>
    <t>20.82%</t>
  </si>
  <si>
    <t xml:space="preserve"> 2,072,248.64</t>
  </si>
  <si>
    <t>Total SIDUR-ED-16-441</t>
  </si>
  <si>
    <t>11000002002201E202K05186A614202165CN07</t>
  </si>
  <si>
    <t>11000002002201E202K05186A614202165FN07</t>
  </si>
  <si>
    <t>11000002002201E202K05186A614202165FN02</t>
  </si>
  <si>
    <t>11000002002201E202K05186A614202165FN12</t>
  </si>
  <si>
    <t>11000002002201E202K05186A614202165FN11</t>
  </si>
  <si>
    <t>11000002002201E202K05186A614202165FC03C</t>
  </si>
  <si>
    <t>11000002002201E202K05186A614202165FC03</t>
  </si>
  <si>
    <t>11000002002201E202K05186A614202165FN10</t>
  </si>
  <si>
    <t>11000002002201E202K05186A614202165FC05</t>
  </si>
  <si>
    <t>11000002002201E202K05186A614202165FN05</t>
  </si>
  <si>
    <t>11000002002201E202K05186A614202165FN08C</t>
  </si>
  <si>
    <t>11000002002201E202K05186A614202165FC02</t>
  </si>
  <si>
    <t>11000002002201E202K05186A614202165FC10</t>
  </si>
  <si>
    <t>11000002002201E202K05186A614242165CN07</t>
  </si>
  <si>
    <t>11000002002201E202K05186A614202165FN08</t>
  </si>
  <si>
    <t>11000002002201E202K05186A614202165FN01</t>
  </si>
  <si>
    <t>11000002002201E202K05186A614202165FC08</t>
  </si>
  <si>
    <t>11000002002201E202K05186A614202165FN09</t>
  </si>
  <si>
    <t>11000002002201E202K05186A614202165FC09</t>
  </si>
  <si>
    <t>11000002002201E202K05186A614202165FN03</t>
  </si>
  <si>
    <t>11000002002201E202K05186A614202165FC06</t>
  </si>
  <si>
    <t>11000002002201E202K05186A614202165FN06</t>
  </si>
  <si>
    <t>11000002002201E202K05186A614202165FN04</t>
  </si>
  <si>
    <t>11000002002201E202K05186A614202165FC12</t>
  </si>
  <si>
    <t>SIDUR-ED-16-501</t>
  </si>
  <si>
    <t>RECONSTRUCCION DE LA CALLE 20 SUR DEL KM 0+000 AL KM 27+000 (PRIMERA ETAPA) EN VARIAS LOCALIDADES DEL MUNICIPIO DE HERMOSILLO, SONORA</t>
  </si>
  <si>
    <t>C-00054/0079</t>
  </si>
  <si>
    <t>CE-926006995-E186-2016</t>
  </si>
  <si>
    <t>C1-C02</t>
  </si>
  <si>
    <t>SH-NC-17-R-008</t>
  </si>
  <si>
    <t>11000002002201E202K05186A614202165FM04</t>
  </si>
  <si>
    <t>11000002002201E202K05185A614202165FM03</t>
  </si>
  <si>
    <t>11000002002201E202K05186A614202165FM02</t>
  </si>
  <si>
    <t>11000002002201E202K05186A614222165FM08</t>
  </si>
  <si>
    <t>SH-FAFEF-17-R-001</t>
  </si>
  <si>
    <t>11000002002201E202K06024A614092165DM10</t>
  </si>
  <si>
    <t>1000002002201E202K05186A614222165DM03</t>
  </si>
  <si>
    <t>11000002002202E401K04039A612032165DM10</t>
  </si>
  <si>
    <t>11000002002302E401K04039K612032165DM12</t>
  </si>
  <si>
    <t>11000002003501E204K08063A625012165DM10</t>
  </si>
  <si>
    <t>11000002001202E105K13041A622032165DM07</t>
  </si>
  <si>
    <t>SH-FAFEF-17-R-002</t>
  </si>
  <si>
    <t>11000002002201E202K05186A614202165DM10</t>
  </si>
  <si>
    <t>11000002002201E202K05186A614202165DM12</t>
  </si>
  <si>
    <t>11000002002202E401K04039A622032165DM10</t>
  </si>
  <si>
    <t>SH-FAFEF-17-R-003</t>
  </si>
  <si>
    <t>11000002002201E202K05186A614222155DM04</t>
  </si>
  <si>
    <t>11000002002201E202K05186A614202165CN01</t>
  </si>
  <si>
    <t>1000002002201E202K05186A614202165FM06</t>
  </si>
  <si>
    <t>11000002002201E202K05251A614202165DM07</t>
  </si>
  <si>
    <t>7.12%</t>
  </si>
  <si>
    <t>74.00%</t>
  </si>
  <si>
    <t>23.18%</t>
  </si>
  <si>
    <t>65.79%</t>
  </si>
  <si>
    <t>24.23%</t>
  </si>
  <si>
    <t>76.37%</t>
  </si>
  <si>
    <t>13.90%</t>
  </si>
  <si>
    <t>11.16%</t>
  </si>
  <si>
    <t>95.57%</t>
  </si>
  <si>
    <t>34.17%</t>
  </si>
  <si>
    <t>86.90%</t>
  </si>
  <si>
    <t>34.82%</t>
  </si>
  <si>
    <t>27.38%</t>
  </si>
  <si>
    <t>51.67%</t>
  </si>
  <si>
    <t>17.64%</t>
  </si>
  <si>
    <t>96.03%</t>
  </si>
  <si>
    <t>41.02%</t>
  </si>
  <si>
    <t>32.49%</t>
  </si>
  <si>
    <t>7.31%</t>
  </si>
  <si>
    <t>24.38%</t>
  </si>
  <si>
    <t>38.31%</t>
  </si>
  <si>
    <t>11.87%</t>
  </si>
  <si>
    <t>39.86%</t>
  </si>
  <si>
    <t>14.08%</t>
  </si>
  <si>
    <t>11000002002202E401K04039A612032161A010</t>
  </si>
  <si>
    <t>SH-ED-17-R-003</t>
  </si>
  <si>
    <t>11000002002201E202K05250A614202162A203</t>
  </si>
  <si>
    <t>SH-ED-17-R-004</t>
  </si>
  <si>
    <t>11000002002201E202K05186A614202162A212</t>
  </si>
  <si>
    <t>11000002002201E202K05250A615122162A212</t>
  </si>
  <si>
    <t>11000002002303E412K27152A622102162A211</t>
  </si>
  <si>
    <t>11000002003501E204K08063A625012162A207</t>
  </si>
  <si>
    <t>11000002003501E204K08063A625012162A212</t>
  </si>
  <si>
    <t>11000002003501E204K08063A625012162A213</t>
  </si>
  <si>
    <t>11000002003701E305K07123A612092162A207</t>
  </si>
  <si>
    <t>11000002002203E208K13021A614082162A202</t>
  </si>
  <si>
    <t>9.18%</t>
  </si>
  <si>
    <t>XX-926006995-X35-2015</t>
  </si>
  <si>
    <t>2.31%</t>
  </si>
  <si>
    <t>88.95%</t>
  </si>
  <si>
    <t>52.94%</t>
  </si>
  <si>
    <t>36.49%</t>
  </si>
  <si>
    <t>52.97%</t>
  </si>
  <si>
    <t>36.68%</t>
  </si>
  <si>
    <t xml:space="preserve"> 12,456,963.14</t>
  </si>
  <si>
    <t>Total SIDUR-PF-16-403</t>
  </si>
  <si>
    <t xml:space="preserve"> 9,516,565.08</t>
  </si>
  <si>
    <t>Total SIDUR-PF-16-404</t>
  </si>
  <si>
    <t xml:space="preserve"> 28,150,335.90</t>
  </si>
  <si>
    <t>Total SIDUR-PF-16-405</t>
  </si>
  <si>
    <t xml:space="preserve"> 6,490,215.81</t>
  </si>
  <si>
    <t>Total SIDUR-PF-16-419</t>
  </si>
  <si>
    <t xml:space="preserve"> 5,188,754.83</t>
  </si>
  <si>
    <t>Total SIDUR-PF-16-420</t>
  </si>
  <si>
    <t xml:space="preserve"> 6,186,834.07</t>
  </si>
  <si>
    <t>Total SIDUR-PF-16-421</t>
  </si>
  <si>
    <t xml:space="preserve"> 7,191,166.09</t>
  </si>
  <si>
    <t>Total SIDUR-PF-16-422</t>
  </si>
  <si>
    <t>99.92%</t>
  </si>
  <si>
    <t>61.98%</t>
  </si>
  <si>
    <t>38.20%</t>
  </si>
  <si>
    <t>7.53%</t>
  </si>
  <si>
    <t>73.45%</t>
  </si>
  <si>
    <t>11.90%</t>
  </si>
  <si>
    <t>C06-C07</t>
  </si>
  <si>
    <t>6.05%</t>
  </si>
  <si>
    <t>72.07%</t>
  </si>
  <si>
    <t>26.70%</t>
  </si>
  <si>
    <t>39.58%</t>
  </si>
  <si>
    <t>12.79%</t>
  </si>
  <si>
    <t>75.73%</t>
  </si>
  <si>
    <t>39.39%</t>
  </si>
  <si>
    <t xml:space="preserve"> 1,118,120.47</t>
  </si>
  <si>
    <t>Total SIDUR-PF-16-409</t>
  </si>
  <si>
    <t>85.99%</t>
  </si>
  <si>
    <t>16.84%</t>
  </si>
  <si>
    <t>C-00061/0023</t>
  </si>
  <si>
    <t>11000002002202E401K04039A612032161A007</t>
  </si>
  <si>
    <t>SIDUR-ED-16-489</t>
  </si>
  <si>
    <t>TRABAJOS DE REHABILITACION Y REMODELACION DE EDIFICIO DE CENTRO DE ATENCION A MENORES "UNACARI", UBICADO EN PERIFERICO ORIENTE NO. 15, COLONIA LOS NARANJOS, EN HERMOSILLO, MUNICIPIO DE HERMOSILLO</t>
  </si>
  <si>
    <t>VISOR ELECTRICIDAD S.A. DE C.V.</t>
  </si>
  <si>
    <t>CE-926006995-E183-2016</t>
  </si>
  <si>
    <t>97.22%</t>
  </si>
  <si>
    <t>59.93%</t>
  </si>
  <si>
    <t>10.32%</t>
  </si>
  <si>
    <t>21.21%</t>
  </si>
  <si>
    <t>59.85%</t>
  </si>
  <si>
    <t>4.00%</t>
  </si>
  <si>
    <t>18.51%</t>
  </si>
  <si>
    <t>SH-ED-17-R-013</t>
  </si>
  <si>
    <t>SH-ED-17-R-007</t>
  </si>
  <si>
    <t>11000002002103E202K06023A614092162A202</t>
  </si>
  <si>
    <t>11000002002201E202K05186A614202162A203</t>
  </si>
  <si>
    <t>11000002002203E208K13020A614082162A208</t>
  </si>
  <si>
    <t>11000002003501E203K03204k08063A625012162A207</t>
  </si>
  <si>
    <t>11000002003501E204K08063A625012162A211</t>
  </si>
  <si>
    <t>11000002003501E204K08063A625012162A202</t>
  </si>
  <si>
    <t>1100002003501E204K08063A625012162A213</t>
  </si>
  <si>
    <t>11000002003501E204K08063A625012162213</t>
  </si>
  <si>
    <t>11000002003501E204K08063A625012162A205</t>
  </si>
  <si>
    <t>110000002003501E204K08063A625012162A213</t>
  </si>
  <si>
    <t>C01-C02-C03</t>
  </si>
  <si>
    <t>89.18%</t>
  </si>
  <si>
    <t>75.00%</t>
  </si>
  <si>
    <t xml:space="preserve"> 16,201,052.08</t>
  </si>
  <si>
    <t>Total SIDUR-PF-16-402</t>
  </si>
  <si>
    <t>98.98%</t>
  </si>
  <si>
    <t>20.83%</t>
  </si>
  <si>
    <t>12.83%</t>
  </si>
  <si>
    <t>17.66%</t>
  </si>
  <si>
    <t>1.12%</t>
  </si>
  <si>
    <t>4.80%</t>
  </si>
  <si>
    <t>30.21%</t>
  </si>
  <si>
    <t>37.14%</t>
  </si>
  <si>
    <t>73.43%</t>
  </si>
  <si>
    <t>35.07%</t>
  </si>
  <si>
    <t>38.74%</t>
  </si>
  <si>
    <t>12.49%</t>
  </si>
  <si>
    <t>48.93%</t>
  </si>
  <si>
    <t>85.33%</t>
  </si>
  <si>
    <t>33.41%</t>
  </si>
  <si>
    <t>55.97%</t>
  </si>
  <si>
    <t>10.92%</t>
  </si>
  <si>
    <t>16.10%</t>
  </si>
  <si>
    <t>52.78%</t>
  </si>
  <si>
    <t>11000002003701E306K05101A121012162A207</t>
  </si>
  <si>
    <t>CONSTRUCCION DE CENTRO COMUNITARIO DE APRENDIZAJE EN LA LOCALIDAD DE GUAJARAY, MUNICIPIO DE ALAMOS</t>
  </si>
  <si>
    <t>SIDUR-ED-16-442</t>
  </si>
  <si>
    <t>CONSTRUCCION DE LINEA DE CONDUCCION DEL POZO EXISTENTE A LA CAJA DE ALMACENAMIENTO (AMPLIACION)</t>
  </si>
  <si>
    <t>13.01%</t>
  </si>
  <si>
    <t>11.79%</t>
  </si>
  <si>
    <t>16.76%</t>
  </si>
  <si>
    <t>73.02%</t>
  </si>
  <si>
    <t>25.01%</t>
  </si>
  <si>
    <t>16.37%</t>
  </si>
  <si>
    <t>5.48%</t>
  </si>
  <si>
    <t xml:space="preserve"> 4,605,867.65</t>
  </si>
  <si>
    <t>2.43%</t>
  </si>
  <si>
    <t>43.33%</t>
  </si>
  <si>
    <t>11.86%</t>
  </si>
  <si>
    <t>85.56%</t>
  </si>
  <si>
    <t>31.93%</t>
  </si>
  <si>
    <t>4.63%</t>
  </si>
  <si>
    <t>64.15%</t>
  </si>
  <si>
    <t>36.84%</t>
  </si>
  <si>
    <t>8.47%</t>
  </si>
  <si>
    <t>33.14%</t>
  </si>
  <si>
    <t>34.72%</t>
  </si>
  <si>
    <t>0.55%</t>
  </si>
  <si>
    <t>6.20%</t>
  </si>
  <si>
    <t>44.61%</t>
  </si>
  <si>
    <t>18.17%</t>
  </si>
  <si>
    <t>36.41%</t>
  </si>
  <si>
    <t>3.17%</t>
  </si>
  <si>
    <t xml:space="preserve"> 28,623,613.55</t>
  </si>
  <si>
    <t>Total SIDUR-PF-16-393</t>
  </si>
  <si>
    <t xml:space="preserve"> 18,797,996.92</t>
  </si>
  <si>
    <t>Total SIDUR-ED-16-368</t>
  </si>
  <si>
    <t>C-00061/0015</t>
  </si>
  <si>
    <t>REMODELACION DE EDIFICIO PARA PERSONAS VULNERABLES (SISTEMA PARA EL DESARROLLO INTEGRAL DE LA FAMILIA - DIF), EN LA LOCALIDAD Y MUNICIPIO DE NAVOJOA, SONORA</t>
  </si>
  <si>
    <t>ARQ. LAMBERTO BETANZOS ENCINAS</t>
  </si>
  <si>
    <t>SIDUR-ED-16-362.</t>
  </si>
  <si>
    <t>11000002002201E202K05186A614202165FC01</t>
  </si>
  <si>
    <t xml:space="preserve"> 689,526.99</t>
  </si>
  <si>
    <t>Total SIDUR-ED-16-362.</t>
  </si>
  <si>
    <t>3.1 O.P. DGPE S/CONV.</t>
  </si>
  <si>
    <t>SH-ED-17-009</t>
  </si>
  <si>
    <t>11000002001202E105K13041K622012172A207</t>
  </si>
  <si>
    <t>C-00052/0241</t>
  </si>
  <si>
    <t>11000002002207E202K05200A62222161A013</t>
  </si>
  <si>
    <t>SH-ED-17-R-018</t>
  </si>
  <si>
    <t>96.14%</t>
  </si>
  <si>
    <t>22.47%</t>
  </si>
  <si>
    <t>95.18%</t>
  </si>
  <si>
    <t>9.02%</t>
  </si>
  <si>
    <t>98.83%</t>
  </si>
  <si>
    <t>12.36%</t>
  </si>
  <si>
    <t>51.89%</t>
  </si>
  <si>
    <t>15.82%</t>
  </si>
  <si>
    <t>14.81%</t>
  </si>
  <si>
    <t>65.01%</t>
  </si>
  <si>
    <t>6.28%</t>
  </si>
  <si>
    <t>8.61%</t>
  </si>
  <si>
    <t>47.62%</t>
  </si>
  <si>
    <t>3.59%</t>
  </si>
  <si>
    <t>35.86%</t>
  </si>
  <si>
    <t>19.31%</t>
  </si>
  <si>
    <t>53.02%</t>
  </si>
  <si>
    <t>32.88%</t>
  </si>
  <si>
    <t>CE-926006995-E162-2016</t>
  </si>
  <si>
    <t>IO-926006995-E180-2016</t>
  </si>
  <si>
    <t>IO-926006995-E182-2016</t>
  </si>
  <si>
    <t>IO-926006995-E179-2016</t>
  </si>
  <si>
    <t>IO-926006995-E181-2016</t>
  </si>
  <si>
    <t>LO-926006995-E174-2016</t>
  </si>
  <si>
    <t>LO-926006995-E172-2016</t>
  </si>
  <si>
    <t>IO-926006995-E151-E2016</t>
  </si>
  <si>
    <t>AO-926006995-E136-2016</t>
  </si>
  <si>
    <t>IO-926006995-E99-2016</t>
  </si>
  <si>
    <t>LO-926006995-E97-2016</t>
  </si>
  <si>
    <t>LO-926006995-E92-2016</t>
  </si>
  <si>
    <t>LO-926006995-E86-2016</t>
  </si>
  <si>
    <t>CE-926006995-E15-2016</t>
  </si>
  <si>
    <t>CE-926006995-E22-2016</t>
  </si>
  <si>
    <t>CE-926006995-E33-2016</t>
  </si>
  <si>
    <t>CE-926006995-E89-2016</t>
  </si>
  <si>
    <t>CE-926006995-E170-2016</t>
  </si>
  <si>
    <t>14.05%</t>
  </si>
  <si>
    <t>89.79%</t>
  </si>
  <si>
    <t>10.67%</t>
  </si>
  <si>
    <t>34.54%</t>
  </si>
  <si>
    <t>76.89%</t>
  </si>
  <si>
    <t>32.11%</t>
  </si>
  <si>
    <t>11.80%</t>
  </si>
  <si>
    <t>44.41%</t>
  </si>
  <si>
    <t>20.59%</t>
  </si>
  <si>
    <t>96.51%</t>
  </si>
  <si>
    <t>35.76%</t>
  </si>
  <si>
    <t>47.88%</t>
  </si>
  <si>
    <t>5.10%</t>
  </si>
  <si>
    <t>20.45%</t>
  </si>
  <si>
    <t>TERRENATE</t>
  </si>
  <si>
    <t>DE NACORI CHICO</t>
  </si>
  <si>
    <t>98.31%</t>
  </si>
  <si>
    <t>7.35%</t>
  </si>
  <si>
    <t>8.56%</t>
  </si>
  <si>
    <t>39.03%</t>
  </si>
  <si>
    <t>19.32%</t>
  </si>
  <si>
    <t>42.78%</t>
  </si>
  <si>
    <t>14.99%</t>
  </si>
  <si>
    <t>3.26%</t>
  </si>
  <si>
    <t>52.46%</t>
  </si>
  <si>
    <t>73.00%</t>
  </si>
  <si>
    <t>33.78%</t>
  </si>
  <si>
    <t>5.40%</t>
  </si>
  <si>
    <t>65.19%</t>
  </si>
  <si>
    <t>19.89%</t>
  </si>
  <si>
    <t>43.11%</t>
  </si>
  <si>
    <t>6.10%</t>
  </si>
  <si>
    <t>9.84%</t>
  </si>
  <si>
    <t>29.60%</t>
  </si>
  <si>
    <t xml:space="preserve"> 572,888.27</t>
  </si>
  <si>
    <t>89.45%</t>
  </si>
  <si>
    <t>Total SIDUR-ED-16-442</t>
  </si>
  <si>
    <t xml:space="preserve"> 4,834,566.10</t>
  </si>
  <si>
    <t>Total SIDUR-ED-16-489</t>
  </si>
  <si>
    <t xml:space="preserve"> 15,506,134.64</t>
  </si>
  <si>
    <t>Total SIDUR-ED-16-501</t>
  </si>
  <si>
    <t xml:space="preserve"> 60,543,852.31</t>
  </si>
  <si>
    <t>1.09%</t>
  </si>
  <si>
    <t>2.36%</t>
  </si>
  <si>
    <t>33.69%</t>
  </si>
  <si>
    <t>26.23%</t>
  </si>
  <si>
    <t>17.77%</t>
  </si>
  <si>
    <t>7.87%</t>
  </si>
  <si>
    <t>6.68%</t>
  </si>
  <si>
    <t>4.31%</t>
  </si>
  <si>
    <t xml:space="preserve"> 18,289,741.39</t>
  </si>
  <si>
    <t>2.56%</t>
  </si>
  <si>
    <t>25.13%</t>
  </si>
  <si>
    <t>27.98%</t>
  </si>
  <si>
    <t>32.58%</t>
  </si>
  <si>
    <t>0.30%</t>
  </si>
  <si>
    <t>4.33%</t>
  </si>
  <si>
    <t>SH-ED-17-R-024</t>
  </si>
  <si>
    <t>11000002002207E202K05079A622212161A013</t>
  </si>
  <si>
    <t>LO-926006995-N54-2015</t>
  </si>
  <si>
    <t>LO-926006995-N52-2015</t>
  </si>
  <si>
    <t>IO-926006995-N61-2015</t>
  </si>
  <si>
    <t>IO-926006995-N50-2015</t>
  </si>
  <si>
    <t>SH-ED-17-027</t>
  </si>
  <si>
    <t>11000002001202E105K13204A622012172A207</t>
  </si>
  <si>
    <t>11000002002202E401K04038K612032172A212</t>
  </si>
  <si>
    <t>EST.04</t>
  </si>
  <si>
    <t>SIDUR-ED-16-490</t>
  </si>
  <si>
    <t>CONSTRUCCIONES ANFRE, S.A. DE C.V.</t>
  </si>
  <si>
    <t>DIRECTOR RESPONSABLE DE OBRA: CONSTRUCCIÓN DE CENTRO CULTURAL AL NORTE</t>
  </si>
  <si>
    <t>SIDUR-ED-17-003</t>
  </si>
  <si>
    <t>OBRAS CIVILES URBANAS, S.A. DE C.V.</t>
  </si>
  <si>
    <t>REHABILITACION Y MODERNIZACION DE CASETA DE PEAJE EN EL PUENTE SAN LUIS RIO COLORADO, EN LA LOCALIDAD Y MUNICIPIO DE SAN LUIS RIO COLORADO</t>
  </si>
  <si>
    <t>C-00123/0021-2017</t>
  </si>
  <si>
    <t>11000002003501E201K08120A623032165E001</t>
  </si>
  <si>
    <t>SH-ED-17-002</t>
  </si>
  <si>
    <t>CE-926006995-E3-2017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</si>
</sst>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"/>
    <numFmt numFmtId="165" formatCode="&quot;$&quot;#,##0.00"/>
    <numFmt numFmtId="166" formatCode="[$-816]d/mmm;@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0"/>
      <name val="Calibri Light"/>
      <family val="2"/>
    </font>
    <font>
      <b/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43" fontId="0" fillId="0" borderId="1" xfId="1" applyFont="1" applyBorder="1" applyAlignment="1">
      <alignment wrapText="1"/>
    </xf>
    <xf numFmtId="0" fontId="0" fillId="0" borderId="2" xfId="0" applyBorder="1" applyAlignment="1">
      <alignment wrapText="1"/>
    </xf>
    <xf numFmtId="43" fontId="0" fillId="0" borderId="2" xfId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3" fontId="0" fillId="0" borderId="4" xfId="1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43" fontId="0" fillId="0" borderId="1" xfId="1" applyFont="1" applyBorder="1"/>
    <xf numFmtId="0" fontId="0" fillId="0" borderId="1" xfId="0" applyFont="1" applyBorder="1" applyAlignment="1">
      <alignment horizontal="left" wrapText="1"/>
    </xf>
    <xf numFmtId="11" fontId="0" fillId="0" borderId="1" xfId="0" applyNumberFormat="1" applyFont="1" applyBorder="1" applyAlignment="1">
      <alignment wrapText="1"/>
    </xf>
    <xf numFmtId="43" fontId="2" fillId="0" borderId="1" xfId="1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Font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43" fontId="0" fillId="0" borderId="1" xfId="0" applyNumberFormat="1" applyFont="1" applyBorder="1"/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vertical="center" wrapText="1"/>
    </xf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wrapText="1"/>
    </xf>
    <xf numFmtId="49" fontId="4" fillId="0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43" fontId="2" fillId="0" borderId="1" xfId="1" applyFont="1" applyBorder="1" applyAlignment="1">
      <alignment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wrapText="1"/>
    </xf>
    <xf numFmtId="0" fontId="6" fillId="0" borderId="0" xfId="0" applyFont="1"/>
    <xf numFmtId="0" fontId="7" fillId="3" borderId="1" xfId="0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>
      <alignment horizontal="justify" vertical="center" wrapText="1" shrinkToFi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6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/>
    </xf>
    <xf numFmtId="43" fontId="6" fillId="0" borderId="1" xfId="0" applyNumberFormat="1" applyFont="1" applyBorder="1"/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4" fontId="6" fillId="0" borderId="1" xfId="0" applyNumberFormat="1" applyFont="1" applyBorder="1"/>
    <xf numFmtId="49" fontId="0" fillId="0" borderId="4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43" fontId="6" fillId="0" borderId="1" xfId="1" applyFont="1" applyBorder="1"/>
    <xf numFmtId="0" fontId="0" fillId="4" borderId="1" xfId="0" applyFill="1" applyBorder="1" applyAlignment="1">
      <alignment wrapText="1"/>
    </xf>
    <xf numFmtId="43" fontId="0" fillId="0" borderId="1" xfId="1" applyFont="1" applyFill="1" applyBorder="1"/>
    <xf numFmtId="0" fontId="0" fillId="0" borderId="1" xfId="0" applyBorder="1" applyAlignment="1">
      <alignment horizontal="justify" wrapText="1"/>
    </xf>
    <xf numFmtId="0" fontId="6" fillId="0" borderId="1" xfId="0" applyFont="1" applyBorder="1" applyAlignment="1">
      <alignment horizontal="center"/>
    </xf>
    <xf numFmtId="14" fontId="0" fillId="0" borderId="1" xfId="0" applyNumberFormat="1" applyBorder="1" applyAlignment="1">
      <alignment wrapText="1"/>
    </xf>
    <xf numFmtId="16" fontId="0" fillId="0" borderId="1" xfId="0" applyNumberFormat="1" applyBorder="1" applyAlignment="1">
      <alignment wrapText="1"/>
    </xf>
    <xf numFmtId="16" fontId="0" fillId="0" borderId="0" xfId="0" applyNumberFormat="1" applyAlignment="1">
      <alignment wrapText="1"/>
    </xf>
    <xf numFmtId="43" fontId="6" fillId="0" borderId="1" xfId="0" applyNumberFormat="1" applyFont="1" applyBorder="1" applyProtection="1"/>
    <xf numFmtId="0" fontId="0" fillId="0" borderId="1" xfId="0" applyNumberFormat="1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0" borderId="0" xfId="0" pivotButton="1"/>
    <xf numFmtId="0" fontId="0" fillId="5" borderId="1" xfId="0" applyFill="1" applyBorder="1" applyAlignment="1">
      <alignment wrapText="1"/>
    </xf>
    <xf numFmtId="165" fontId="0" fillId="0" borderId="0" xfId="0" applyNumberFormat="1"/>
    <xf numFmtId="0" fontId="0" fillId="2" borderId="2" xfId="0" applyFill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43" fontId="0" fillId="0" borderId="1" xfId="1" applyFont="1" applyFill="1" applyBorder="1" applyAlignment="1">
      <alignment wrapText="1"/>
    </xf>
    <xf numFmtId="4" fontId="0" fillId="0" borderId="1" xfId="0" applyNumberFormat="1" applyBorder="1" applyAlignment="1">
      <alignment wrapText="1"/>
    </xf>
    <xf numFmtId="16" fontId="2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43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justify" wrapText="1"/>
    </xf>
    <xf numFmtId="0" fontId="0" fillId="0" borderId="8" xfId="0" applyBorder="1" applyAlignment="1">
      <alignment horizontal="center" wrapText="1"/>
    </xf>
    <xf numFmtId="10" fontId="0" fillId="0" borderId="1" xfId="2" applyNumberFormat="1" applyFont="1" applyBorder="1" applyAlignment="1">
      <alignment wrapText="1"/>
    </xf>
    <xf numFmtId="0" fontId="0" fillId="0" borderId="0" xfId="0" pivotButton="1" applyAlignment="1">
      <alignment horizontal="center" wrapText="1"/>
    </xf>
    <xf numFmtId="0" fontId="0" fillId="6" borderId="1" xfId="0" applyFill="1" applyBorder="1" applyAlignment="1">
      <alignment wrapText="1"/>
    </xf>
    <xf numFmtId="43" fontId="6" fillId="0" borderId="2" xfId="0" applyNumberFormat="1" applyFont="1" applyBorder="1"/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2"/>
    </xf>
    <xf numFmtId="0" fontId="0" fillId="7" borderId="1" xfId="0" applyFill="1" applyBorder="1" applyAlignment="1">
      <alignment wrapText="1"/>
    </xf>
    <xf numFmtId="44" fontId="0" fillId="0" borderId="1" xfId="0" applyNumberFormat="1" applyFont="1" applyBorder="1" applyAlignment="1">
      <alignment wrapText="1"/>
    </xf>
    <xf numFmtId="44" fontId="0" fillId="0" borderId="1" xfId="1" applyNumberFormat="1" applyFont="1" applyBorder="1" applyAlignment="1">
      <alignment wrapText="1"/>
    </xf>
    <xf numFmtId="44" fontId="0" fillId="0" borderId="1" xfId="1" applyNumberFormat="1" applyFont="1" applyBorder="1"/>
    <xf numFmtId="9" fontId="9" fillId="0" borderId="0" xfId="0" applyNumberFormat="1" applyFont="1" applyAlignment="1">
      <alignment horizontal="left"/>
    </xf>
    <xf numFmtId="0" fontId="0" fillId="8" borderId="1" xfId="0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center" wrapText="1"/>
    </xf>
    <xf numFmtId="43" fontId="0" fillId="0" borderId="10" xfId="1" applyFont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1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6" fontId="0" fillId="0" borderId="0" xfId="0" applyNumberFormat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43" fontId="0" fillId="0" borderId="0" xfId="0" applyNumberFormat="1" applyAlignment="1">
      <alignment wrapText="1"/>
    </xf>
    <xf numFmtId="0" fontId="0" fillId="14" borderId="1" xfId="0" applyFill="1" applyBorder="1" applyAlignment="1">
      <alignment wrapText="1"/>
    </xf>
    <xf numFmtId="43" fontId="0" fillId="0" borderId="1" xfId="1" applyNumberFormat="1" applyFont="1" applyBorder="1" applyAlignment="1">
      <alignment wrapText="1"/>
    </xf>
    <xf numFmtId="0" fontId="0" fillId="15" borderId="1" xfId="0" applyFill="1" applyBorder="1" applyAlignment="1">
      <alignment wrapText="1"/>
    </xf>
    <xf numFmtId="17" fontId="0" fillId="0" borderId="0" xfId="0" applyNumberFormat="1" applyAlignment="1">
      <alignment wrapText="1"/>
    </xf>
    <xf numFmtId="0" fontId="0" fillId="16" borderId="1" xfId="0" applyFill="1" applyBorder="1" applyAlignment="1">
      <alignment wrapText="1"/>
    </xf>
    <xf numFmtId="43" fontId="0" fillId="0" borderId="1" xfId="3" applyFon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4" fontId="0" fillId="11" borderId="1" xfId="0" applyNumberFormat="1" applyFill="1" applyBorder="1" applyAlignment="1">
      <alignment wrapText="1"/>
    </xf>
    <xf numFmtId="164" fontId="0" fillId="14" borderId="1" xfId="0" applyNumberFormat="1" applyFill="1" applyBorder="1" applyAlignment="1">
      <alignment wrapText="1"/>
    </xf>
    <xf numFmtId="164" fontId="0" fillId="13" borderId="1" xfId="0" applyNumberFormat="1" applyFill="1" applyBorder="1" applyAlignment="1">
      <alignment wrapText="1"/>
    </xf>
    <xf numFmtId="0" fontId="6" fillId="0" borderId="0" xfId="0" applyFont="1" applyBorder="1" applyAlignment="1">
      <alignment horizontal="center" vertical="center"/>
    </xf>
    <xf numFmtId="43" fontId="6" fillId="0" borderId="2" xfId="1" applyFont="1" applyBorder="1"/>
    <xf numFmtId="9" fontId="6" fillId="0" borderId="1" xfId="0" applyNumberFormat="1" applyFont="1" applyBorder="1" applyAlignment="1">
      <alignment horizontal="center" wrapText="1"/>
    </xf>
    <xf numFmtId="43" fontId="6" fillId="0" borderId="1" xfId="1" applyFont="1" applyBorder="1" applyAlignment="1">
      <alignment wrapText="1"/>
    </xf>
    <xf numFmtId="43" fontId="6" fillId="0" borderId="2" xfId="0" applyNumberFormat="1" applyFont="1" applyBorder="1" applyAlignment="1">
      <alignment wrapText="1"/>
    </xf>
    <xf numFmtId="43" fontId="6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horizontal="center" vertical="center" wrapText="1"/>
    </xf>
    <xf numFmtId="43" fontId="6" fillId="0" borderId="1" xfId="0" applyNumberFormat="1" applyFont="1" applyBorder="1" applyAlignment="1" applyProtection="1">
      <alignment wrapText="1"/>
    </xf>
    <xf numFmtId="0" fontId="6" fillId="0" borderId="0" xfId="0" applyFont="1" applyAlignment="1">
      <alignment wrapText="1"/>
    </xf>
    <xf numFmtId="164" fontId="0" fillId="9" borderId="1" xfId="0" applyNumberFormat="1" applyFill="1" applyBorder="1" applyAlignment="1">
      <alignment wrapText="1"/>
    </xf>
    <xf numFmtId="49" fontId="2" fillId="0" borderId="0" xfId="0" applyNumberFormat="1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</cellXfs>
  <cellStyles count="4">
    <cellStyle name="Millares" xfId="1" builtinId="3"/>
    <cellStyle name="Millares 3" xfId="3"/>
    <cellStyle name="Normal" xfId="0" builtinId="0"/>
    <cellStyle name="Porcentaje" xfId="2" builtinId="5"/>
  </cellStyles>
  <dxfs count="147">
    <dxf>
      <alignment horizontal="right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alignment horizontal="right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3" formatCode="0%"/>
    </dxf>
    <dxf>
      <alignment relativeIndent="1" readingOrder="0"/>
    </dxf>
    <dxf>
      <alignment relativeIndent="-1" readingOrder="0"/>
    </dxf>
    <dxf>
      <alignment horizontal="left" relativeIndent="1" readingOrder="0"/>
    </dxf>
    <dxf>
      <alignment wrapText="1" readingOrder="0"/>
    </dxf>
    <dxf>
      <alignment horizontal="left" readingOrder="0"/>
    </dxf>
    <dxf>
      <alignment horizontal="general" indent="0" readingOrder="0"/>
    </dxf>
    <dxf>
      <alignment horizontal="left" readingOrder="0"/>
    </dxf>
    <dxf>
      <alignment horizontal="general" indent="0" readingOrder="0"/>
    </dxf>
    <dxf>
      <font>
        <b/>
      </font>
    </dxf>
    <dxf>
      <alignment horizontal="righ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justify" readingOrder="0"/>
    </dxf>
    <dxf>
      <alignment wrapText="1" indent="0" readingOrder="0"/>
    </dxf>
    <dxf>
      <alignment horizontal="right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736184018664337"/>
          <c:y val="0.15513423322084738"/>
          <c:w val="0.53533829104695252"/>
          <c:h val="0.82595050618672661"/>
        </c:manualLayout>
      </c:layout>
      <c:pieChart>
        <c:varyColors val="1"/>
        <c:ser>
          <c:idx val="0"/>
          <c:order val="0"/>
          <c:tx>
            <c:strRef>
              <c:f>'RESUMEN DE PAGOS'!$A$5</c:f>
              <c:strCache>
                <c:ptCount val="1"/>
                <c:pt idx="0">
                  <c:v>ESTADO DE ESTIMACIÓN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EA-4D6C-9ECD-83F5926ED80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EA-4D6C-9ECD-83F5926ED80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EA-4D6C-9ECD-83F5926ED80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EA-4D6C-9ECD-83F5926ED80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EA-4D6C-9ECD-83F5926ED80F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EA-4D6C-9ECD-83F5926ED80F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EA-4D6C-9ECD-83F5926ED80F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EA-4D6C-9ECD-83F5926ED80F}"/>
              </c:ext>
            </c:extLst>
          </c:dPt>
          <c:dLbls>
            <c:dLbl>
              <c:idx val="1"/>
              <c:layout>
                <c:manualLayout>
                  <c:x val="-1.4145927120022215E-17"/>
                  <c:y val="2.142857142857142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4EA-4D6C-9ECD-83F5926ED80F}"/>
                </c:ext>
              </c:extLst>
            </c:dLbl>
            <c:dLbl>
              <c:idx val="2"/>
              <c:layout>
                <c:manualLayout>
                  <c:x val="-2.5917926565874782E-2"/>
                  <c:y val="2.243590309809786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4EA-4D6C-9ECD-83F5926ED80F}"/>
                </c:ext>
              </c:extLst>
            </c:dLbl>
            <c:dLbl>
              <c:idx val="3"/>
              <c:layout>
                <c:manualLayout>
                  <c:x val="-7.6206323586675104E-2"/>
                  <c:y val="1.377920803377838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4EA-4D6C-9ECD-83F5926ED80F}"/>
                </c:ext>
              </c:extLst>
            </c:dLbl>
            <c:dLbl>
              <c:idx val="4"/>
              <c:layout>
                <c:manualLayout>
                  <c:x val="-2.2650056625141562E-2"/>
                  <c:y val="1.391304347826089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4EA-4D6C-9ECD-83F5926ED80F}"/>
                </c:ext>
              </c:extLst>
            </c:dLbl>
            <c:dLbl>
              <c:idx val="5"/>
              <c:layout>
                <c:manualLayout>
                  <c:x val="-4.7507453414302826E-2"/>
                  <c:y val="-2.086956521739130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4EA-4D6C-9ECD-83F5926ED80F}"/>
                </c:ext>
              </c:extLst>
            </c:dLbl>
            <c:dLbl>
              <c:idx val="6"/>
              <c:layout>
                <c:manualLayout>
                  <c:x val="-1.1167726344512711E-2"/>
                  <c:y val="-4.95030469017459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4EA-4D6C-9ECD-83F5926ED80F}"/>
                </c:ext>
              </c:extLst>
            </c:dLbl>
            <c:dLbl>
              <c:idx val="7"/>
              <c:layout>
                <c:manualLayout>
                  <c:x val="4.9382716049382713E-2"/>
                  <c:y val="-1.19047619047619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4EA-4D6C-9ECD-83F5926ED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'RESUMEN DE PAGOS'!$A$6:$B$13</c:f>
              <c:multiLvlStrCache>
                <c:ptCount val="8"/>
                <c:lvl>
                  <c:pt idx="0">
                    <c:v> 2,023,465,257.18 </c:v>
                  </c:pt>
                  <c:pt idx="1">
                    <c:v> 57,678,988.11 </c:v>
                  </c:pt>
                  <c:pt idx="2">
                    <c:v> 56,050,817.25 </c:v>
                  </c:pt>
                  <c:pt idx="3">
                    <c:v> 25,326,956.51 </c:v>
                  </c:pt>
                  <c:pt idx="4">
                    <c:v> 38,088,150.76 </c:v>
                  </c:pt>
                  <c:pt idx="5">
                    <c:v> 58,914.38 </c:v>
                  </c:pt>
                  <c:pt idx="6">
                    <c:v> 3,144,373.60 </c:v>
                  </c:pt>
                  <c:pt idx="7">
                    <c:v> 1,279,368.25 </c:v>
                  </c:pt>
                </c:lvl>
                <c:lvl>
                  <c:pt idx="0">
                    <c:v>1. HACIENDA PADADO</c:v>
                  </c:pt>
                  <c:pt idx="1">
                    <c:v>2. TESORERIA PENDIENTE DE PAGO</c:v>
                  </c:pt>
                  <c:pt idx="2">
                    <c:v>3. ORDEN DE PAGO EN D.G. PROG. Y EVAL.</c:v>
                  </c:pt>
                  <c:pt idx="3">
                    <c:v>4. EN ESPERA O CORRECCION DE FACTURA</c:v>
                  </c:pt>
                  <c:pt idx="4">
                    <c:v>5. SE SOLICITA PEDIDO A D.G. PROG. Y EVAL.</c:v>
                  </c:pt>
                  <c:pt idx="5">
                    <c:v>6. EN REV. POR LA D.G. DE EJEC. DE OBRAS</c:v>
                  </c:pt>
                  <c:pt idx="6">
                    <c:v>7. EN REV. POR EL SUPERV. DE SIDUR</c:v>
                  </c:pt>
                  <c:pt idx="7">
                    <c:v>8. EN REV. POR LA SUPERV. EXTERNA</c:v>
                  </c:pt>
                </c:lvl>
              </c:multiLvlStrCache>
            </c:multiLvlStrRef>
          </c:cat>
          <c:val>
            <c:numRef>
              <c:f>'RESUMEN DE PAGOS'!$B$6:$B$13</c:f>
              <c:numCache>
                <c:formatCode>_(* #,##0.00_);_(* \(#,##0.00\);_(* "-"??_);_(@_)</c:formatCode>
                <c:ptCount val="8"/>
                <c:pt idx="0">
                  <c:v>2023465257.1800001</c:v>
                </c:pt>
                <c:pt idx="1">
                  <c:v>57678988.109999999</c:v>
                </c:pt>
                <c:pt idx="2">
                  <c:v>56050817.25</c:v>
                </c:pt>
                <c:pt idx="3">
                  <c:v>25326956.510000002</c:v>
                </c:pt>
                <c:pt idx="4">
                  <c:v>38088150.759999998</c:v>
                </c:pt>
                <c:pt idx="5">
                  <c:v>58914.38</c:v>
                </c:pt>
                <c:pt idx="6">
                  <c:v>3144373.6</c:v>
                </c:pt>
                <c:pt idx="7">
                  <c:v>1279368.25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EA-4D6C-9ECD-83F5926ED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51101738632567"/>
          <c:y val="0.17948545817823999"/>
          <c:w val="0.21371518624966693"/>
          <c:h val="0.6858991232331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57150</xdr:rowOff>
    </xdr:from>
    <xdr:to>
      <xdr:col>8</xdr:col>
      <xdr:colOff>704850</xdr:colOff>
      <xdr:row>30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67824071" backgroundQuery="1" createdVersion="5" refreshedVersion="5" minRefreshableVersion="3" recordCount="0" supportSubquery="1" supportAdvancedDrill="1">
  <cacheSource type="external" connectionId="1"/>
  <cacheFields count="10">
    <cacheField name="[Measures].[Suma de NETO A PAGAR]" caption="Suma de NETO A PAGAR" numFmtId="0" hierarchy="27" level="32767"/>
    <cacheField name="[Rango].[ESTATUS].[ESTATUS]" caption="ESTATUS" numFmtId="0" hierarchy="20" level="1">
      <sharedItems count="10">
        <s v="1. S.H. PAGADO"/>
        <s v="7. SUP. SIDUR"/>
        <s v="4. ESPERA FACT."/>
        <s v="2. S.H. PENDIENTE"/>
        <s v="5. SOL. PEDIDO"/>
        <s v="3. O.P. DGPE"/>
        <s v="3.1 O.P. DGPE S/CONV."/>
        <s v="6. DGEO REV."/>
        <s v="5.1 ESPERA OFICIO"/>
        <s v="8. REV. SUP. EXT."/>
      </sharedItems>
    </cacheField>
    <cacheField name="[Rango].[MONTO DE CONTRATO].[MONTO DE CONTRATO]" caption="MONTO DE CONTRATO" numFmtId="0" hierarchy="22" level="1">
      <sharedItems count="210">
        <s v=" 42,349,187.57"/>
        <s v=" 22,980,026.97"/>
        <s v=" 26,465,400.00"/>
        <s v=" 17,283,667.42"/>
        <s v=" 6,757,250.37"/>
        <s v=" 22,955,014.68"/>
        <s v=" 83,353,232.65"/>
        <s v=" 28,542,774.78"/>
        <s v=" 37,981,342.78"/>
        <s v=" 24,701,108.24"/>
        <s v=" 154,846,331.36"/>
        <s v=" 60,543,852.31"/>
        <s v=" 79,892,690.27"/>
        <s v=" 63,672,479.11"/>
        <s v=" 112,909,841.56"/>
        <s v=" 78,902,188.12"/>
        <s v=" 33,809,827.16"/>
        <s v=" 21,349,397.86"/>
        <s v=" 11,799,981.39"/>
        <s v=" 14,898,875.88"/>
        <s v=" 40,380,067.49"/>
        <s v=" 25,694,303.85"/>
        <s v=" 24,023,981.97"/>
        <s v=" 20,287,001.81"/>
        <s v=" 31,555,491.96"/>
        <s v=" 61,862,670.98"/>
        <s v=" 23,895,598.40"/>
        <s v=" 27,782,320.26"/>
        <s v=" 15,890,776.26"/>
        <s v=" 34,216,706.50"/>
        <s v=" 76,463,113.20"/>
        <s v=" 79,270,178.98"/>
        <s v=" 20,694,418.35"/>
        <s v=" 18,289,741.39"/>
        <s v=" 45,827,894.39"/>
        <s v=" 19,015,925.61"/>
        <s v=" 22,599,852.19"/>
        <s v=" 789,105.03"/>
        <s v=" 525,494.24"/>
        <s v=" 703,223.55"/>
        <s v=" 1,055,021.97"/>
        <s v=" 2,497,488.54"/>
        <s v=" 220,885.44"/>
        <s v=" 338,488.93"/>
        <s v=" 189,320.00"/>
        <s v=" 110,854.24"/>
        <s v=" 2,209,859.44"/>
        <s v=" 2,299,094.85"/>
        <s v=" 1,146,994.15"/>
        <s v=" 1,648,266.09"/>
        <s v=" 3,389,999.24"/>
        <s v=" 2,445,138.97"/>
        <s v=" 1,948,486.80"/>
        <s v=" 4,605,867.65"/>
        <s v=" 2,428,933.57"/>
        <s v=" 1,367,299.18"/>
        <s v=" 1,028,990.34"/>
        <s v=" 1,216,824.22"/>
        <s v=" 333,168.80"/>
        <s v=" 91,796,179.20"/>
        <s v=" 706,809.62"/>
        <s v=" 798,051.37"/>
        <s v=" 779,094.22"/>
        <s v=" 623,622.72"/>
        <s v=" 449,609.84"/>
        <s v=" 739,633.54"/>
        <s v=" 838,791.85"/>
        <s v=" 470,588.81"/>
        <s v=" 823,528.08"/>
        <s v=" 674,014.68"/>
        <s v=" 36,659.00"/>
        <s v=" 72,670.00"/>
        <s v=" 57,460.00"/>
        <s v=" 44,459.99"/>
        <s v=" 121,939.99"/>
        <s v=" 73,189.99"/>
        <s v=" 227,629.99"/>
        <s v=" 51,999.99"/>
        <s v=" 38,949,797.34"/>
        <s v=" 2,145,846.29"/>
        <s v=" 878,717.92"/>
        <s v=" 439,187.60"/>
        <s v=" 790,968.61"/>
        <s v=" 529,215.08"/>
        <s v=" 659,996.82"/>
        <s v=" 247,814.28"/>
        <s v=" 70,967.48"/>
        <s v=" 4,585,637.60"/>
        <s v=" 2,706,741.39"/>
        <s v=" 2,329,580.42"/>
        <s v=" 2,346,107.56"/>
        <s v=" 1,369,447.44"/>
        <s v=" 11,695,805.57"/>
        <s v=" 87,577,216.61"/>
        <s v=" 608,472.50"/>
        <s v=" 82,488,388.80"/>
        <s v=" 573,551.26"/>
        <s v=" 29,931,744.36"/>
        <s v=" 32,938,936.05"/>
        <s v=" 12,899,260.78"/>
        <s v=" 15,121,824.33"/>
        <s v=" 3,398,669.09"/>
        <s v=" 1,131,962.70"/>
        <s v=" 7,078,846.07"/>
        <s v=" 2,879,975.40"/>
        <s v=" 2,879,974.93"/>
        <s v=" 2,113,583.09"/>
        <s v=" 2,246,395.02"/>
        <s v=" 689,526.99"/>
        <s v=" 986,157.02"/>
        <s v=" 3,390,447.65"/>
        <s v=" 18,797,996.92"/>
        <s v=" 161,330.94"/>
        <s v=" 826,057.46"/>
        <s v=" 1,284,585.54"/>
        <s v=" 8,591,026.32"/>
        <s v=" 6,532,283.41"/>
        <s v=" 297,888.00"/>
        <s v=" 968,879.00"/>
        <s v=" 16,098,814.93"/>
        <s v=" 818,779.01"/>
        <s v=" 820,789.33"/>
        <s v=" 593,752.25"/>
        <s v=" 847,189.76"/>
        <s v=" 135,261.80"/>
        <s v=" 1,408,614.85"/>
        <s v=" 2,108,203.22"/>
        <s v=" 2,068,451.35"/>
        <s v=" 2,104,279.17"/>
        <s v=" 2,072,248.64"/>
        <s v=" 572,888.27"/>
        <s v=" 4,834,566.10"/>
        <s v=" 15,506,134.64"/>
        <s v=" 19,539,418.57"/>
        <s v=" 22,873,151.76"/>
        <s v=" 26,153,970.38"/>
        <s v=" 19,069,990.46"/>
        <s v=" 10,237,851.95"/>
        <s v=" 14,497,968.36"/>
        <s v=" 11,512,863.19"/>
        <s v=" 14,487,117.35"/>
        <s v=" 15,642,799.04"/>
        <s v=" 22,807,797.98"/>
        <s v=" 6,725,615.25"/>
        <s v=" 3,223,256.02"/>
        <s v=" 8,091,604.44"/>
        <s v=" 6,189,552.56"/>
        <s v=" 6,446,641.32"/>
        <s v=" 3,979,000.91"/>
        <s v=" 1,890,844.29"/>
        <s v=" 2,595,924.53"/>
        <s v=" 851,581.37"/>
        <s v=" 1,799,973.59"/>
        <s v=" 3,149,792.52"/>
        <s v=" 9,501,178.96"/>
        <s v=" 18,299,948.47"/>
        <s v=" 1,976,714.43"/>
        <s v=" 8,795,522.28"/>
        <s v=" 32,294,129.84"/>
        <s v=" 354,935.96"/>
        <s v=" 500,112.28"/>
        <s v=" 401,357.31"/>
        <s v=" 365,787.30"/>
        <s v=" 861,118.90"/>
        <s v=" 392,965.69"/>
        <s v=" 626,656.36"/>
        <s v=" 2,299,957.30"/>
        <s v=" 1,971,899.46"/>
        <s v=" 9,494,347.93"/>
        <s v=" 1,199,939.89"/>
        <s v=" 1,621,630.07"/>
        <s v=" 3,909,669.34"/>
        <s v=" 1,256,127.72"/>
        <s v=" 2,725,991.13"/>
        <s v=" 1,899,536.81"/>
        <s v=" 1,797,489.34"/>
        <s v=" 2,899,984.17"/>
        <s v=" 534,054.88"/>
        <s v=" 8,449,393.54"/>
        <s v=" 1,916,424.39"/>
        <s v=" 1,590,534.08"/>
        <s v=" 2,855,324.57"/>
        <s v=" 1,318,284.40"/>
        <s v=" 3,392,572.89"/>
        <s v=" 1,997,998.34"/>
        <s v=" 2,851,069.39"/>
        <s v=" 2,609,103.95"/>
        <s v=" 1,968,982.56"/>
        <s v=" 5,679,511.01"/>
        <s v=" 3,354,071.51"/>
        <s v=" 2,752,337.34"/>
        <s v=" 5,629,974.51"/>
        <s v=" 3,690,591.47"/>
        <s v=" 1,499,699.33"/>
        <s v=" 3,795,808.73"/>
        <s v=" 5,165,280.09"/>
        <s v=" 1,881,441.35"/>
        <s v=" 28,623,613.55"/>
        <s v=" 16,201,052.08"/>
        <s v=" 12,456,963.14"/>
        <s v=" 9,516,565.08"/>
        <s v=" 28,150,335.90"/>
        <s v=" 1,118,120.47"/>
        <s v=" 6,490,215.81"/>
        <s v=" 5,188,754.83"/>
        <s v=" 6,186,834.07"/>
        <s v=" 7,191,166.09"/>
        <s v=" 638,000.00"/>
        <s v=" 233,558.91"/>
        <s v=" 25,515,708.31" u="1"/>
      </sharedItems>
    </cacheField>
    <cacheField name="[Rango].[CONTRATO].[CONTRATO]" caption="CONTRATO" numFmtId="0" hierarchy="4" level="1">
      <sharedItems count="213">
        <s v="SIDUR-ED-16-001"/>
        <s v="SIDUR-ED-16-002"/>
        <s v="SIDUR-ED-16-003"/>
        <s v="SIDUR-ED-16-004"/>
        <s v="SIDUR-ED-16-005"/>
        <s v="SIDUR-ED-16-006"/>
        <s v="SIDUR-ED-16-007"/>
        <s v="SIDUR-ED-16-008"/>
        <s v="SIDUR-ED-16-011"/>
        <s v="SIDUR-ED-16-012"/>
        <s v="SIDUR-ED-16-013"/>
        <s v="SIDUR-ED-16-014"/>
        <s v="SIDUR-ED-16-015"/>
        <s v="SIDUR-ED-16-016"/>
        <s v="SIDUR-ED-16-017"/>
        <s v="SIDUR-ED-16-018"/>
        <s v="SIDUR-ED-16-019"/>
        <s v="SIDUR-ED-16-020"/>
        <s v="SIDUR-ED-16-021"/>
        <s v="SIDUR-ED-16-022"/>
        <s v="SIDUR-ED-16-023"/>
        <s v="SIDUR-ED-16-024"/>
        <s v="SIDUR-ED-16-025"/>
        <s v="SIDUR-ED-16-026"/>
        <s v="SIDUR-ED-16-027"/>
        <s v="SIDUR-ED-16-031"/>
        <s v="SIDUR-ED-16-037"/>
        <s v="SIDUR-ED-16-038"/>
        <s v="SIDUR-ED-16-039"/>
        <s v="SIDUR-ED-16-040"/>
        <s v="SIDUR-ED-16-041"/>
        <s v="SIDUR-ED-16-042"/>
        <s v="SIDUR-ED-16-043"/>
        <s v="SIDUR-ED-16-044"/>
        <s v="SIDUR-ED-16-045"/>
        <s v="SIDUR-ED-16-046"/>
        <s v="SIDUR-ED-16-047"/>
        <s v="SIDUR-ED-16-056"/>
        <s v="SIDUR-ED-16-057"/>
        <s v="SIDUR-ED-16-058"/>
        <s v="SIDUR-ED-16-060"/>
        <s v="SIDUR-ED-16-061"/>
        <s v="SIDUR-ED-16-063"/>
        <s v="SIDUR-ED-16-064"/>
        <s v="SIDUR-ED-16-066"/>
        <s v="SIDUR-ED-16-072"/>
        <s v="SIDUR-ED-16-073"/>
        <s v="SIDUR-ED-16-079"/>
        <s v="SIDUR-ED-16-102"/>
        <s v="SIDUR-ED-16-103"/>
        <s v="SIDUR-ED-16-104"/>
        <s v="SIDUR-ED-16-105"/>
        <s v="SIDUR-ED-16-106"/>
        <s v="SIDUR-ED-16-107"/>
        <s v="SIDUR-ED-16-108"/>
        <s v="SIDUR-ED-16-109"/>
        <s v="SIDUR-ED-16-111"/>
        <s v="SIDUR-ED-16-112"/>
        <s v="SIDUR-ED-16-113"/>
        <s v="SIDUR-ED-16-114"/>
        <s v="SIDUR-ED-16-115"/>
        <s v="SIDUR-ED-16-121"/>
        <s v="SIDUR-ED-16-123"/>
        <s v="SIDUR-ED-16-124"/>
        <s v="SIDUR-ED-16-125"/>
        <s v="SIDUR-ED-16-126"/>
        <s v="SIDUR-ED-16-127"/>
        <s v="SIDUR-ED-16-131"/>
        <s v="SIDUR-ED-16-132"/>
        <s v="SIDUR-ED-16-133"/>
        <s v="SIDUR-ED-16-146"/>
        <s v="SIDUR-ED-16-148"/>
        <s v="SIDUR-ED-16-151"/>
        <s v="SIDUR-ED-16-152"/>
        <s v="SIDUR-ED-16-153"/>
        <s v="SIDUR-ED-16-154"/>
        <s v="SIDUR-ED-16-157"/>
        <s v="SIDUR-ED-16-158"/>
        <s v="SIDUR-ED-16-159"/>
        <s v="SIDUR-ED-16-164"/>
        <s v="SIDUR-ED-16-165"/>
        <s v="SIDUR-ED-16-166"/>
        <s v="SIDUR-ED-16-168"/>
        <s v="SIDUR-ED-16-170"/>
        <s v="SIDUR-ED-16-173"/>
        <s v="SIDUR-ED-16-174"/>
        <s v="SIDUR-ED-16-175"/>
        <s v="SIDUR-ED-16-177"/>
        <s v="SIDUR-ED-16-178"/>
        <s v="SIDUR-ED-16-179"/>
        <s v="SIDUR-ED-16-180"/>
        <s v="SIDUR-ED-16-182"/>
        <s v="SIDUR-ED-16-183"/>
        <s v="SIDUR-ED-16-184"/>
        <s v="SIDUR-ED-16-185"/>
        <s v="SIDUR-ED-16-186"/>
        <s v="SIDUR-ED-16-187"/>
        <s v="SIDUR-ED-16-189"/>
        <s v="SIDUR-ED-16-194"/>
        <s v="SIDUR-ED-16-210"/>
        <s v="SIDUR-ED-16-228"/>
        <s v="SIDUR-ED-16-248"/>
        <s v="SIDUR-ED-16-249"/>
        <s v="SIDUR-ED-16-250"/>
        <s v="SIDUR-ED-16-251"/>
        <s v="SIDUR-ED-16-256"/>
        <s v="SIDUR-ED-16-257"/>
        <s v="SIDUR-ED-16-292"/>
        <s v="SIDUR-ED-16-353"/>
        <s v="SIDUR-ED-16-353."/>
        <s v="SIDUR-ED-16-354-1"/>
        <s v="SIDUR-ED-16-354-2"/>
        <s v="SIDUR-ED-16-362."/>
        <s v="SIDUR-ED-16-366"/>
        <s v="SIDUR-ED-16-367."/>
        <s v="SIDUR-ED-16-368"/>
        <s v="SIDUR-ED-16-374"/>
        <s v="SIDUR-ED-16-375"/>
        <s v="SIDUR-ED-16-376"/>
        <s v="SIDUR-ED-16-377"/>
        <s v="SIDUR-ED-16-378"/>
        <s v="SIDUR-ED-16-387"/>
        <s v="SIDUR-ED-16-394"/>
        <s v="SIDUR-ED-16-395."/>
        <s v="SIDUR-ED-16-396."/>
        <s v="SIDUR-ED-16-397"/>
        <s v="SIDUR-ED-16-398"/>
        <s v="SIDUR-ED-16-414"/>
        <s v="SIDUR-ED-16-415"/>
        <s v="SIDUR-ED-16-417"/>
        <s v="SIDUR-ED-16-418"/>
        <s v="SIDUR-ED-16-423"/>
        <s v="SIDUR-ED-16-440"/>
        <s v="SIDUR-ED-16-441"/>
        <s v="SIDUR-ED-16-442"/>
        <s v="SIDUR-ED-16-489"/>
        <s v="SIDUR-ED-16-501"/>
        <s v="SIDUR-PF-16-252"/>
        <s v="SIDUR-PF-16-253"/>
        <s v="SIDUR-PF-16-254"/>
        <s v="SIDUR-PF-16-255"/>
        <s v="SIDUR-PF-16-291"/>
        <s v="SIDUR-PF-16-293"/>
        <s v="SIDUR-PF-16-294"/>
        <s v="SIDUR-PF-16-295"/>
        <s v="SIDUR-PF-16-296"/>
        <s v="SIDUR-PF-16-297"/>
        <s v="SIDUR-PF-16-298"/>
        <s v="SIDUR-PF-16-299"/>
        <s v="SIDUR-PF-16-300"/>
        <s v="SIDUR-PF-16-301"/>
        <s v="SIDUR-PF-16-302"/>
        <s v="SIDUR-PF-16-303"/>
        <s v="SIDUR-PF-16-304"/>
        <s v="SIDUR-PF-16-305"/>
        <s v="SIDUR-PF-16-306"/>
        <s v="SIDUR-PF-16-307"/>
        <s v="SIDUR-PF-16-308"/>
        <s v="SIDUR-PF-16-309"/>
        <s v="SIDUR-PF-16-310"/>
        <s v="SIDUR-PF-16-314"/>
        <s v="SIDUR-PF-16-315"/>
        <s v="SIDUR-PF-16-316"/>
        <s v="SIDUR-PF-16-319"/>
        <s v="SIDUR-PF-16-320"/>
        <s v="SIDUR-PF-16-321"/>
        <s v="SIDUR-PF-16-322"/>
        <s v="SIDUR-PF-16-323"/>
        <s v="SIDUR-PF-16-324"/>
        <s v="SIDUR-PF-16-325"/>
        <s v="SIDUR-PF-16-326"/>
        <s v="SIDUR-PF-16-328"/>
        <s v="SIDUR-PF-16-329"/>
        <s v="SIDUR-PF-16-330"/>
        <s v="SIDUR-PF-16-331"/>
        <s v="SIDUR-PF-16-332"/>
        <s v="SIDUR-PF-16-333"/>
        <s v="SIDUR-PF-16-334"/>
        <s v="SIDUR-PF-16-335"/>
        <s v="SIDUR-PF-16-336"/>
        <s v="SIDUR-PF-16-337"/>
        <s v="SIDUR-PF-16-341"/>
        <s v="SIDUR-PF-16-343"/>
        <s v="SIDUR-PF-16-344"/>
        <s v="SIDUR-PF-16-345"/>
        <s v="SIDUR-PF-16-346"/>
        <s v="SIDUR-PF-16-347"/>
        <s v="SIDUR-PF-16-348"/>
        <s v="SIDUR-PF-16-350"/>
        <s v="SIDUR-PF-16-351"/>
        <s v="SIDUR-PF-16-352"/>
        <s v="SIDUR-PF-16-355"/>
        <s v="SIDUR-PF-16-356"/>
        <s v="SIDUR-PF-16-357"/>
        <s v="SIDUR-PF-16-358"/>
        <s v="SIDUR-PF-16-359"/>
        <s v="SIDUR-PF-16-363"/>
        <s v="SIDUR-PF-16-364"/>
        <s v="SIDUR-PF-16-369"/>
        <s v="SIDUR-PF-16-370"/>
        <s v="SIDUR-PF-16-371"/>
        <s v="SIDUR-PF-16-393"/>
        <s v="SIDUR-PF-16-402"/>
        <s v="SIDUR-PF-16-403"/>
        <s v="SIDUR-PF-16-404"/>
        <s v="SIDUR-PF-16-405"/>
        <s v="SIDUR-PF-16-409"/>
        <s v="SIDUR-PF-16-419"/>
        <s v="SIDUR-PF-16-420"/>
        <s v="SIDUR-PF-16-421"/>
        <s v="SIDUR-PF-16-422"/>
        <s v="SIDUR-PF-16-491"/>
        <s v="SIDUR-PF-16-492"/>
      </sharedItems>
    </cacheField>
    <cacheField name="[Rango].[OBRA].[OBRA]" caption="OBRA" numFmtId="0" hierarchy="3" level="1">
      <sharedItems count="213" longText="1">
        <s v="RECONSTRUCCIÓN DEL CAMINO NAVOJOA-ETCHOJOA-HUATABAMPO"/>
        <s v="RECONSTRUCCION DEL CAMINO E.C. FEDERAL- LAS BOCAS EN VARIAS LOCALIDADES DEL MUNICIPIO DE HUATABAMPO, SONORA."/>
        <s v="RECONSTRUCCIÓN DEL CAMINO CALLE 16 EN VARIAS LOCALIDADES DEL MUNICIPIO DE CAJEME, SONORA."/>
        <s v="RECONSTRUCCION DEL CAMINO HUATABAMPO-YAVAROS EN VARIAS LOCALIDADES DEL MUNICIPIO DE HUATABAMPO, SONORA."/>
        <s v="RECONSTRUCCIÓN DEL CAMINO BACAME NUEVO"/>
        <s v="RECONSTRUCCION DEL CAMINO CALLE 12 SUR EN VARIAS LOCALIDADES, MUNICIPIO DE HERMOSILLO, SONORA"/>
        <s v="RECONSTRUCCIÓN DE CAMINO HORNOS-ROSARIO"/>
        <s v="RECARPETEO CON MICROCARPETA ASFALTICA DE 3.0 CM DE ESPESOR EN VARIAS CALLES Y AVENIDAS"/>
        <s v="RECONSTRUCCION DEL CAMINO HERMOSILLO-BAHIA DE KINO"/>
        <s v="RECONSTRUCCION DEL CAMINO CALLE 1900"/>
        <s v="MODERNIZACION DEL PERIFERICO PONIENTE (1 ETAPA), NAVOJOA"/>
        <s v="CONSERVACION Y RECONSTRUCCION DEL TRAMO MOCTEZUMA- EL CRUCERO (TRAMO KM 164+500 AL KM 210+750) EN LA REGION DE LA SIERRA."/>
        <s v="CONCLUSION DE LA MODERNIZACION Y RECONSTRUCCION DEL TRAMO ESPERANZA - HORNOS (DEL KM 8 + 800 AL KM 17 + 400)"/>
        <s v="MODERNIZACION Y RECONSTRUCCION DEL TRAMO ETCHOJOA-BACOBAMPO"/>
        <s v="CONSERVACIÓN DEL TRAMO NOVILLO - BACANORA - SAHUARIPA -  SAN NICOLÁS EN VARIAS LOCALIDADES DE VARIOS MUNICIPIOS DEL ESTADO DE SONORA."/>
        <s v="CONSTRUCCION Y RECONSTRUCCION DEL TRAMO CABORCA-Y GRIEGA"/>
        <s v="CONSERVACIÓN Y RECONSTRUCCION DEL TRAMO MAZATÁN-VILLA PESQUEIRA-SAN PEDRO DE LA CUEVA EN LA REGION DE LA SIERRA EN VARIAS LOCALIDADES DE VARIOS MUNICIPIOS EN SONORA."/>
        <s v="CONSERVACION Y RECONSTRUCCION DE CARRETERAS ALIMENTADORAS REGION GUAYMAS--EMPALME, TRAMO: AGUILITAS-BRINGAS DEL KM 0+000 AL KM 10+500"/>
        <s v="CONSERVACION Y RECONSTRUCCION DE CARRETERAS ALIMENTADORAS REGION GUAYMAS-EMPALME, TRAMO: MI PATRIA ES PRIMERO DEL KM 0+000 AL 3+400 Y TRAMO BARCENAS-MAYTORENA, DEL KM 0+000 AL 3+400"/>
        <s v="CONSERVACION Y RECONSTRUCCION DE CARRETERAS ALIMENTADORAS REGION GUAYMAS-EMPALME, TRAMO: URSULO GALVAN-JUNELANCAHUI, DEL KM 0+000 AL KM 5+600"/>
        <s v="CONSERVACION Y RECONSTRUCCION DEL TRAMO URES-PUEBLO DE ALAMOS"/>
        <s v="CONSERVACION Y RECONSTRUCCION DEL TRAMO MAZATAN-HERMOSILLO"/>
        <s v="CONSERVACION Y RECONSTRUCCION DE LA VIALIDAD YAQUI-MAYO"/>
        <s v="CONSERVACION Y RECONSTRUCCION DE LA CARRETERA SAN IGNACIO-JUPATAHUECA"/>
        <s v="CONSERVACION Y RECONSTRUCCION DE CARRETERAS ALIMENTADORAS REGION GUAYMAS-EMPALME, TRAMO: E.C. (PROVIDENCIA-ORTIZ)-LA MISA"/>
        <s v="CONSTRUCCION DE PARQUE, PLAYA Y BALNEARIO &quot;KINO MAGICO&quot; (ETAPA 1) EN LA COMISARIA DE BAHIA DE KINO"/>
        <s v="CONSTRUCCION DE LA CARRETERA E.C. 4 SUR (ALFREDO V. BONFIL) TRAMO DEL KM 1+700 AL KM 5+600 EN VARIAS LOCALIDADES DEL MUNICIPIO DE HERMOSILLO"/>
        <s v="CONSERVACION Y RECONSTRUCCION DEL TRAMO EL CRUCERO- VILLA HIDALGO (KM 0+000 AL 28+500)"/>
        <s v="CONSERVACION Y RECONSTRUCCION DEL TRAMO EL CRUCERO-GRANADOS DEL KM 0+000 AL KM 7+250"/>
        <s v="OBRAS DE REHABILITACION DEL DELFINARIO SONORA (PRIMERA ETAPA)"/>
        <s v="REHABILITACION DE RED DE CARRETERAS ALIMENTADORAS EN LA REGION DEL RIO DE SONORA EN EL ESTADO DE SONORA; SUBTRAMO KM 0+000 AL KM 75+000"/>
        <s v="REHABILITACION DE RED DE CARRETERAS ALIMENTADORAS EN LA REGION DEL RIO SONORA EN EL ESTADO DE SONORA; SUBTRAMO KM 75+000 AL KM 149+000."/>
        <s v="RECONSTRUCCION DE CALLE 28 NORTE, DEL KM 0 + 000 AL KM 10+160, Y DEL KM 17+210 AL 17+982, HERMOSILLO"/>
        <s v="RECONSTRUCCION DE LA CALLE GUERRERO DEL KM 0+000 AL KM 6+020"/>
        <s v="RECONSTRUCCION DE CALLE 26 DEL KM 70+000 AL 101+300 EN VARIAS LOCALIDADES DEL MUNICIPIO DE HERMOSILLO, SONORA"/>
        <s v="RECONSTRUCCION DE E. C. (HERMOSILLO-BAHIA DE KINO)- GRANJA ACUICOLA SAN NICOLAS DEL KM 0+000 AL KM 10+410, HERMOSILLO"/>
        <s v="RECONSTRUCCION DE E.C. (CALLE 36 SUR) GRANJAS ACUICOLAS DEL KM 0+000 AL KM 12+660, EN VARIAS LOCALIDADES DEL MUNICIPIO DE HERMOSILLO."/>
        <s v="SUPERVISION EXTERNA Y CONTROL DE CALIDAD DE LA OBRA RECONSTRUCCIÓN DEL CAMINO CALLE 16 EN VARIAS LOCALIDADES DEL MUNICIPIO DE CAJEME, SONORA."/>
        <s v="SUPERVISION EXTERNA Y CONTROL DE CALIDAD PARA LA OBRA RECONSTRUCCION DE CAMINO HUATABAMPO - YAVAROS EN VARIAS LOCALIDADES DEL MUNICIPIO DE HUATABAMPO."/>
        <s v="SUPERVISION EXTERNA Y CONTROL DE CALIDAD PARA LA OBRA: RECONSTRUCCIÓN DEL CAMINO CALLE 12 SUR, HERMOSILLO, SONORA."/>
        <s v="SUPERVISION EXTERNA Y CONTROL DE CALIDAD PARA LA OBRA RECONSTRUCCION DEL CAMINO NAVOJOA-ETCHOJOA-HUATABAMPO DE VARIAS LOCALIDADES Y MUNICIPIOS DE SONORA."/>
        <s v="SUPERVISION EXTERNA Y CONTROL DE CALIDAD PARA LA OBRA RECONSTRUCCION DE CAMINO HORNOS - ROSARIO EN VARIAS LOCALIDADES DE VARIOS MUNICIPIOS DEL ESTADO DE SONORA."/>
        <s v="SUPERVISION EXTERNA Y CONTROL DE CALIDAD PARA LA OBRA RECONSTRUCCION DE CAMINO CALLE 600 VARIOS TRAMOS DEL KM 20+100 AL KM 40+700 EN VARIAS LOCALIDADES DEL MUNICIPIO DE CAJEME, SONORA"/>
        <s v="SUPERVISION EXTERNA Y CONTROL DE CALIDAD PARA LA OBRA RECONSTRUCCION DE CAMINO CALLE 900 VARIOS TRAMOS DEL KM 8+200 AL KM 36+139 EN VARIAS LOCALIDADES DEL MUNICIPIO DE CAJEME, SONORA"/>
        <s v="SUPERVISION EXTERNA Y CONTROL DE CALIDAD DE LA CONSTRUCCION DE CENTRO DE ATENCION TEMPRANA EN EL DISTRITO DE NAVOJOA"/>
        <s v="SUPERVISION EXTERNA Y CONTROL DE CALIDAD DE LA RECONSTRUCCIÓN DEL CAMINO BACAME NUEVO"/>
        <s v="DIRECTOR RESPONSABLE DE OBRA: CONSTRUCCIÓN DE BODEGA DE EVIDENCIAS EN EL DISTRITO DE HERMOSILLO PRIMERA ETAPA, EN LA LOCALIDAD Y MUNICIPIO DE HERMOSILLO, SONORA."/>
        <s v="SUPERVISION EXTERNA Y CONTROL DE CALIDAD PARA LA OBRA: CONSTRUCCION, REHABILITACION Y EQUIPAMIENTO DE UNIDAD DEPORTIVA FAUSTINO FELIX ETAPA 3, EN LA LOCALIDAD Y MUNICIPIO DE NAVOJOA, SONORA."/>
        <s v="CONSTRUCCION DE LINEA DE CONDUCCION DEL POZO EXISTENTE A LA CAJA DE ALMACENAMIENTO"/>
        <s v="SUPERVISION EXTERNA Y CONTROL DE CALIDAD CONSTRUCCION Y RECONSTRUCCION DEL TRAMO CABORCA-Y GRIEGA EN LA LOCALIDAD DE CABORCA, SONORA"/>
        <s v="SUPERVISION EXTERNA Y CONTROL DE CALIDAD DE RECONSTRUCCION DEL CAMINO HERMOSILLO-BAHIA DE KINO EN VARIAS LOCALIADES DEL MUNICIPIO DE HERMOSILLO, SONORA."/>
        <s v="SUPERVISION EXTERNA Y CONTROL DE CALIDAD DE CONSERVACION Y RECONSTRUCCION DEL TRAMO MOCTEZUMA - EL CRUCERO (TRAMO KM 164+500 AL KM 210+750) EN LA REGION DE LA SIERRA EN VARIAS LOCALIDADES DE VARIOS MUNICPIOS DEL ESTADO DE SONORA."/>
        <s v="SUPERVISION EXTERNA Y CONTROL DE CALIDAD DE CONSERVACION Y RECONSTRUCCION DEL TRAMO NOVILLO - BACANORA - SAHUARIPA - SAN NICOLAS EN VARIAS LOCALIDADES DE VARIOS MUNICIPIOS DEL ESTADO DE SONORA."/>
        <s v="SUPERVISION EXTERNA Y CONTROL DE CALIDAD CONCLUSION DE LA MODERNIZACION Y RECONSTRUCCION DEL TRAMO ESPERANZA - HORNOS (DEL KM 8 + 800 AL KM 17 + 400)"/>
        <s v="SUPERVISION EXTERNA Y CONTROL DE CALIDAD DE MODERIZACION Y RECONSTRUCCION DEL TRAMO ETCHOJOA - BACOBAMPO EN VARIAS LOCALIDADES DEL MUNICIPIO DE ETCHOJOA, SONORA."/>
        <s v="VERIFICACION DE CALIDAD DE LAS PRUEBAS Y MATERIALES UTILIZADOS EN LA RECONSTRUCCION DE LA RED DE CARRETERAS ESTATALES Y EL CUMPLIMIENTO DE LAS ESPECIFICACIONES Y NORMATIVIDAD TECNICA DE SCT APLICABLES EN VARIAS LOCALIDADES Y VARIOS MUNICIPIOS DEL ESTADO DE SONORA."/>
        <s v="SUPERVISION EXTERNA PARA LA OBRA: CONSTRUCCION DE PARQUE, PLAYA Y BALNEARIO KINO MAGICO (ETAPA 1) EN LA COMISARIA DE BAHIA DE KINO MUNICIPIO DE HERMOSILLO, SONORA."/>
        <s v="SUPERVISION EXTERNA Y CONTROL DE CALIDAD DE LAS OBRAS DE REHABILITACION DEL DELFINARIO SONORA (PRIMERA ETAPA)"/>
        <s v="SUPERVISION EXTERNA Y CONTROL DE CALIDAD PARA LA OBRA: CONSERVACIÓN Y RECONSTRUCCION DEL TRAMO MAZATÁN-VILLA PESQUEIRA-SAN PEDRO DE LA CUEVA EN LA REGION DE LA SIERRA EN VARIAS LOCALIDADES DE VARIOS MUNICIPIOS EN SONORA."/>
        <s v="SUPERVISION EXTERNA Y CONSTROL DE CALIDAD DE LA OBRA: CONSERVACION Y RECONSTRUCCION DEL TRAMO URES - PUEBLO DE ALAMOS EN VARIAS LOCALIDADES DEL MUNICIPIO DE URES."/>
        <s v="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"/>
        <s v="MODERNIZACION Y RECONSTRUCCION DEL PERIFERICO EN NAVOJOA (E.C. MEXICO 15 - TETANCHOPO) DEL KM 7+031 AL KM 13+126 EN LA LOCALIDAD Y MUNICIPIO DE NAVOJOA, SONORA."/>
        <s v="SUPERVISION EXTERNA Y CONTROL DE CALIDAD PARA LA OBRA: RECONSTRUCCION DEL CAMINO E.C. FEDERAL 15-LAS BOCAS"/>
        <s v="SUPERVISION EXTERNA Y CONTROL DE CALIDAD DE LA CONSERVACION Y RECONSTRUCCION DE LA VIALIDAD YAQUI-MAYO"/>
        <s v="SUPERVISION EXTERNA Y CONTROL DE CALIDAD DE LA OBRA: CONSERVACION Y RECONSTRUCCION DEL TRAMO MAZATAN - HERMOSILLO EN VARIAS LOCALIDADES DE VARIOS MUNICIPIOS DEL ESTADO DE SONORA."/>
        <s v="SUPERVISION EXYERNA Y CONTROL DE CALIDAD DE LA CONSERVACION Y RECONSTRUCCION DE CARRETERAS ALIMENTADORAS REGION GUAYMAS--EMPALME, TRAMO: AGUILITAS-BRINGAS DEL KM 0+000 AL KM 10+500"/>
        <s v="SUPERVISION EXTERNA Y CONTROL DE CALIDAD DE LA CONSERVACION Y RECONSTRUCCION DE CARRETERAS ALIMENTADORAS REGION GUAYMAS-EMPALME, TRAMO: URSULO GALVAN-JUNELANCAHUI, DEL KM 0+000 AL KM 5+600"/>
        <s v="SUPERVISION EXTERNA Y CONTROL DE CALIDAD DE LA OBRA: RECONSTRUCCION  DEL CAMINO  CALLE 1900 EN VARIAS LOCALIDADES DEL MUNICIPIO DE CAJEME, SONORA."/>
        <s v=" SUPERVISION EXTERNA Y CONTROL DE CALIDAD DE LA CONSERVACION Y RECONSTRUCCION DE CARRETERAS ALIMENTADORAS REGION GUAYMAS-EMPALME, TRAMO: E.C. (PROVIDENCIA-ORTIZ)-LA MISA"/>
        <s v="SUPERVISION EXTERNA Y CONTROL DE CALIDAD DE LA CONSERVACION Y RECONSTRUCCION DEL TRAMO EL CRUCERO-GRANADOS DEL KM 0+000 AL KM 7+250"/>
        <s v="SUPERVISION EXTERNA Y CONTROL DE CALIDAD DE LA CONSERVACION Y RECONSTRUCCION DEL TRAMO EL CRUCERO- VILLA HIDALGO (KM 0+000 AL 28+500)"/>
        <s v="SUPERVISION Y CONTROL DE CALIDAD DE LA CONSERVACION Y RECONSTRUCCION DE LA CARRETERA SAN IGNACIO-JUPATAHUECA"/>
        <s v="VERIFICACION DE INSTALACIONES ELECTRICAS EN LA  REHABILITACION DE EDIFICIO PARA ALBERGAR JUZGADO DE ORALIDAD PENAL CON SEDE EN SAN LUIS RIO COLORADO"/>
        <s v="VERIFICACION DE INSTALACIONES ELECTRICAS DE LA CONSTRUCCION Y REMODELACION DEL CENTRO DE ATENCION TEMPRANA EN EL DISTRITO DE SAN LUIS RIO COLORADO"/>
        <s v="VERIFICACION DE INSTALACIONES ELECTRICAS DE LA AMPLIACION DE EDIFICIO PARA ALBERGAR JUZGADO DE ORALIDAD PENAL CON SEDE EN CABORCA"/>
        <s v="VERIFICACION DE INSTALACIONES ELECTRICAS DE LA CONTRUCCION DE CENTRO DE ATENCION TEMPRANA EN EL DISTRITO DE ALTAR CON SEDE EN CABORCA."/>
        <s v="VERIFICACION DE INSTALACIONES ELECTRICAS DE LA CONSTRUCCION DE LA BODEGA DE EVIDENCIAS DEL DISTRITO DE HERMOSILLO, PRIMERA ETAPA"/>
        <s v="VERIFICACION DE INSTALACIONES ELECTRICAS EN LA CONSTRUCCION DE EDIFICIO PARA ALBERGAR EL JUZGADO DE ORALIDAD PENAL DE GUAYMAS"/>
        <s v="VERIFICACION DE INSTALACIONES ELECTRICAS DE LA CONSTRUCCION DE CENTRO DE ATENCION TEMPRANA EN EL DISTRITO DE GUAYMAS"/>
        <s v="VERIFICACION DE INSTALACIONES ELECTRICAS DE LA CONSTRUCCION DEL EDIFICIO PARA ALBERGAR EL JUZGADO DE ORALIDAD PENAL CON SEDE EN CIUDAD OBREGON."/>
        <s v="VERIFICACION DE INSTALACIONES ELECTRICAS DE LA OBRA: CONSTRUCCION DE CENTRO DE ATENCION TEMPRANA EN EL DISTRITO DE CAJEME"/>
        <s v="VERIFICACION DE INSTALACIONES ELECTRICAS DE LA CONSTRUCCION DE EDIFICIO PARA ALBERGAR EL JUZGADO DE ORALIDAD PENAL DE NOGALES."/>
        <s v="CONSTRUCCIÓN DE CENTRO DE REHABILITACIÓN Y EDUCACIÓN ESPECIAL, CD. OBREGON, CAJEME"/>
        <s v="REHABILITACION DE EDIFICIO PARA ALBERGAR JUZGADO DE ORALIDAD PENAL DEL DISTRITO JUDICIAL CON SEDE EN HERMOSILLO 2DA ETAPA (SEGUNDO NIVEL) EN LA LOCALIDAD Y MUNICIPIO DE HERMOSILLO, SONORA."/>
        <s v="SUPERVISOR EXTERNA Y CONTROL CALIDAD DE RECARPETEO CON MICROCARPETA ASFALTICA DE 3.0 CM DE ESPESOR EN VARIAS CALLES Y AVENIDAS"/>
        <s v="SUPERVISION EXTERNA Y CONTROL DE CALIDAD DE LA RECONSTRUCCION DE CAMINO BACABACHI HUATABAMPO VARIOS TRAMOS DEL KM 5+600 AL KM 25+500"/>
        <s v="SUPERVISION EXTERNA Y CONTROL DE CALIDAD DE LA CONSTRUCCION DE LA CARRETERA E.C. CALLE 4 SUR- (ALFREDO V. BONFIL) TRAMO DEL KM 1+700 AL KM 5+000"/>
        <s v="SUPERVISION EXTERNA Y CONTROL DE CALIDAD DE LA OBRA: RECONSTRUCCION DE LA CALLE GUERRERO DEL KM 0+000 AL 6+020 EN VARIAS LOCALIDADES DEL MUNICIPIO DE HERMOSILLO, SONORA."/>
        <s v="SUPERVISION EXTERNA Y CONTROL DE CALIDADES DE LA RECONSTRUCCION DE E.C. (CALLE 36 SUR) - GRANJAS ACUICOLAS, DEL KM. 0 + 000 AL KM 12 + 660, HERMOSILLO"/>
        <s v="SUPERVISION EXTERNA Y CONTROL DE CALIDAD DE CONSTRUCCION DE LA BODEGA DE EVIDENCIAS DEL DISTRITO DE HERMOSILLO, PRIMERA ETAPA"/>
        <s v="SUPERVISION EXTERNA Y CONTROL DE CALIDAD DE LA REHABILITACION DE EDIFICIO PARA ALBERGAR JUZGADO DE ORALIDAD PENAL DEL DISTRITO JUDICIAL CON SEDE EN HERMOSILLO, 2DA ETAPA"/>
        <s v="SUPERVISION EXTERNA Y CONTROL DE CALIDAD DE LA MODERNIZACION DEL PERIFERICO PONIENTE (1 ETAPA), NAVOJOA"/>
        <s v="SUPERVISION EXTERNA Y CONTROL DE CALIDAD DE LA MODERNIZACION Y RECONSTRUCCION DEL PERIFERICO EN NAVOJOA (E.C. MEXICO 15-TETANCHOPO DEL KM 7+031 AL KM 13+326"/>
        <s v="SUPERVISION EXTERNA Y CONTROL DE CALIDAD DE LA REHABILITACION DE RED DE CARRETERAS ALIMENTADORAS EN LA REGION DEL RIO SONORA; SUBTRAMO KM 0+000 AL KM 75+000"/>
        <s v="SUPERVISION EXTERNA Y CONTROL DE CALIDAD DE LA REHABILITACION DE RED DE CARRETERAS ALIMENTADORAS EN LA REGION DEL RIO SONORA; SUBTRAMO KM 75+000 AL KM 149+000"/>
        <s v="SUPERVISION EXTERNA Y CONTROL DE CALIDAD DE LA RECONSTRUCCION DE CALLE 26, DEL KM 70+000 AL KM 101+300, HERMOSILLO"/>
        <s v="CONSTRUCCION DE LINEA DE CONDUCCION DE POZO EXISTENTE A TANQUE DE ALMACENAMIENTO EN LA LOCALIDAD Y MUNICIPIO DE ALTAR."/>
        <s v="CONSTRUCCION DE PASO A DESNIVEL DENOMINADO &quot;PUENTE UNIVERSITARIO&quot;, UBICADO SOBRE LA INTERNACIONAL 15 (UNISON, UTN, ACCESO AL HOSPITAL NUEVO IMSS) EN LA LOCALIDAD Y MUNICIPIO DE NOGALES, SONORA."/>
        <s v="SUPERVISION EXTERNA Y CONTROL DE CALIDAD DE LA RECONSTRUCCION DE CALLE 28 NORTE, DEL KM 0 + 000 AL KM 10+160, Y DEL KM 17+210 AL 17+982, HERMOSILLO"/>
        <s v="CONSTRUCCION DE PUENTE VEHICULAR SOBRE RIO MAYO, EN EL PERIFERICO PONIENTE EN NAVOJOA"/>
        <s v="SUPERVISION Y CONTROL DE CALIDAD DE LA OBRA: RECONSTRUCCION DE E.C. (HERMOSILLO -  BAHIA DE KINO) - GRANJA ACUICOLA SAN NICOLAS DEL KM 0+000 AL KM 10+410 EN VARIAS LOCALIDADES DE HERMOSILLO, SONORA."/>
        <s v="MODERNIZACIÓN DE LA CALLE ROSALES, ETAPA 1 EN  HERMOSILLO, SONORA."/>
        <s v="PAVIMENTACION CON CONCRETO HIDRAULICO DEL BLVD. LAZARO GUTIERREZ DE LARA"/>
        <s v="REUBICACION DE COLECTOR Y CARCAMO DE BOMBEO"/>
        <s v="CONSERVACION Y RECONSTRUCCION DEL CAMINO DE ACCESO AL DELFINARIO, DESDE EL BLVD. MANLIO FABIO BELTRONES AL BLVD. ENCINAS JOHNSON"/>
        <s v="SUPERVISION EXTERNA Y CONTROL DE CALIDAD DE LA OBRA: CONSTRUCCION DE PUENTE VEHICULAR SOBRE RIO MAYO, EN EL PERIFERICO PONIENTE EN NAVOJOA"/>
        <s v="SUPERVISION EXTERNA Y CONTROL DE CALIDAD DE LA OBRA: CONSTRUCCIÓN DE CENTRO DE REHABILITACIÓN Y EDUCACIÓN ESPECIAL EN LA LOCALIDAD DE CD. OBREGON MUNICIPIO DE CAJEME, SONORA."/>
        <s v="BOULEVARD DE ACCESO A LA LOCALIDAD Y MUNICIPIO DE BENJAMIN HILL, SONORA"/>
        <s v="CONSTRUCCION DE CENTRO COMUNITARIO DE APRENDIZAJE EN LA LOCALIDAD DE GUAJARAY, MUNICIPIO DE ALAMOS"/>
        <s v="CONSTRUCCION DE CENTRO COMUNITARIO DE APRENDIZAJE EN LA LOCALIDAD DE MESA COLORADA, MUNICIPIO DE ALAMOS"/>
        <s v=" CONSTRUCCION Y REHABILITACION DE CENTRO COMUNITARIO DE APRENDIZAJE EN LA LOCALIDAD DE TIERRA BLANCA MUNICIPIO DE NAVOJOA, SONORA"/>
        <s v="CONSTRUCCION DE CENTRO COMUNITARIO DE APRENDIZAJE EN LA LOCALIDAD DE POZO DULCE MUNICIPIO DE HUATABAMPO"/>
        <s v="REMODELACION DE EDIFICIO PARA PERSONAS VULNERABLES (SISTEMA PARA EL DESARROLLO INTEGRAL DE LA FAMILIA - DIF), EN LA LOCALIDAD Y MUNICIPIO DE NAVOJOA, SONORA"/>
        <s v="SUPERVISION EXTERNA Y CONTROL DE CALIDAD DE LA OBRA: PAVIMENTACION CON CONCRETO HIDRAULICO DEL BOULEVARD LAZARO GUTIERREZ DE LARA"/>
        <s v="SUPERVISION EXTERNA Y CONTROL DE CALIDAD: CONSTRUCCIÓN DE PASO A DESNIVEL DENOMINADO &quot;PUENTE UNIVERSITARIO&quot;, UBICADO SOBRE LA CARRETERA INTERNACIONAL 15 (UNISON, UTN, ACCESO AL HOSPITAL NUEVO IMSS)"/>
        <s v="PRIMERA ETAPA DE LA CONSTRUCCION DE COMPLEJO INTEGRAL DE PROCURACION DE JUSTICIA (CIUDAD DE LA JUSTICIA) EN LA LOCALIDAD Y MUNICIPIO DE HERMOSILLO, SONORA"/>
        <s v="REHABILITACION DE ESTRUCTURA PARA MALLA SOMBRA EN CASA HOGAR JINESEKI, EN LA LOCALIDAD Y MUNICIPIO DE HERMOSILLO"/>
        <s v="REHABILITACION DE COLECTOR DE AGUAS RESIDUALES"/>
        <s v="REHABILITACION DEL DELFINARIO SONORA(SEGUNDA ETAPA) EN LA LOCALIDAD DE SAN CARLOS, MUNICIPIO DE GUAYMAS"/>
        <s v="REHABILITACION PAVIMENTO CON CARPETA ASFALTICA EN CALLE MIGUEL HIDALGO EN LA LOCALIDAD Y MUNICIPIO DE ETCHOJOA"/>
        <s v="VERIFICACIÓN DE INSTACIONES ELÉCTRICAS DE LA OBRA: CONSTRUCCION DE PARQUE Y BALNEARIO &quot;KINO MAGICO&quot; (ETAPA 1) EN LA COMISARIA DE BAHIA DE KINO"/>
        <s v="SUPERVISION EXTERNA Y CONTROL DE CALIDAD PARA LA OBRA: CONSTRUCCION DEL CENTRO DE TRANSICION AL NUEVO SISTEMA DE JUSTICIA PENAL DE HERMOSILLO"/>
        <s v="OBRAS DE REHABILITACION Y CONSTRUCCION DE NUEVOS ESPACIOS EN EL DELFINARIO SONORA EN LA LOCALIDAD DE SAN CARLOS, MUNICIPIO DE GUAYMAS"/>
        <s v="TERMINACION DE LA REMODELACION DEL AREA DE ATENCION TEMPRANA DEL CENTRO INTEGRAL DE JUSTICIA EN EL DISTRITO DE NOGALES"/>
        <s v="TERMINACION DE LA REHABILITACION DE EDIFICIO PARA ALBERGAR JUZGADO DE ORALIDAD PENAL CON SEDE EN SAN LUIS RIO COLORADO"/>
        <s v="TERMINACION DE LA CONSTRUCCION DE EDIFICIO PARA ALBERGAR JUZGADO DE ORALIDAD PENAL CON SEDE EN AGUA PRIETA"/>
        <s v="OBRA COMPLEMENTARIA PARA LA REMODELACION DE CENTRO INTEGRAL DE JUSTICIA EN EL DISTRITO DE HERMOSILLO."/>
        <s v="OBRA COMPLEMENTARIA DE CONSTRUCCION DE EDIFICIO PARA ALBERGAR JUZGADO DE ORALIDAD PENAL CON SEDE EN AGUA PRIETA, EN LA LOCALIDAD Y MUNICIPIO DE AGUA PRIETA, SONORA."/>
        <s v="REHABILITACION Y EQUIPAMIENTO DE LA UNIDAD DEPORTIVA AURELIO RODRIGUEZ"/>
        <s v="TERMINACION DE LA AMPLIACION DE EDIFICIO PARA ALBERGAR JUZGADO DE ORALIDAD PENAL CON SEDE EN LA LOCALIDAD Y MUNICIPIO DE SONORA."/>
        <s v="TERMINACION DE LA AMPLIACION DE EDIFICIO PARA ALBERGAR JUZGADO DE ORALIDAD PENAL CON SEDE EN LA LOCALIDAD Y MUNICIPIO DE CABORCA, SONORA."/>
        <s v="OBRA COMPLEMENTARIA PARA LA CONSTRUCCION DE CENTRO DE ATENCION TEMPRANA EN EL DISTRITO DE ALTAR, CON SEDE EN LA LOCALIDAD Y MUNICIPIO DE CABORCA, SONORA"/>
        <s v="OBRA COMPLEMENTARIA PARA LA CONSTRUCCION Y REMODELACION DEL CENTRO DE ATENCION TEMPRANA EN EL DISTRITO DE SAN LUIS RIO COLORADO EN LA LOCALIDAD Y MUNICIPIO DE SAN LUIS RIO COLORADO, SONORA."/>
        <s v="CONSTRUCCION DE LINEA DE CONDUCCION DEL POZO EXISTENTE A LA CAJA DE ALMACENAMIENTO (AMPLIACION)"/>
        <s v="TRABAJOS DE REHABILITACION Y REMODELACION DE EDIFICIO DE CENTRO DE ATENCION A MENORES &quot;UNACARI&quot;, UBICADO EN PERIFERICO ORIENTE NO. 15, COLONIA LOS NARANJOS, EN HERMOSILLO, MUNICIPIO DE HERMOSILLO"/>
        <s v="RECONSTRUCCION DE LA CALLE 20 SUR DEL KM 0+000 AL KM 27+000 (PRIMERA ETAPA) EN VARIAS LOCALIDADES DEL MUNICIPIO DE HERMOSILLO, SONORA"/>
        <s v="REHABILITACION DE PAVIMENTOS A BASE DE RECARPETEO EN CALLE MONTEVERDE ENTRE BLVD. PROGRESO Y VERACRUZ EN LA LOCALIDAD Y MUNICIPIO DE HERMOSILLO, SONORA"/>
        <s v="REHABILITACION DE PAVIMIENTOS A BASE DE RECARPETEO EN CALLE REFORMA EN LOS TRAMOS DE PROGRESO Y AVE 13 DE JOSE CARMELO A AVE 8 Y DE BLVD SERNA A BLVD LUIS ENCINAS EN LA LOCALIDAD Y MUNICIPIO DE HERMOSILLO, SON"/>
        <s v="REHABILITACION DE PAVIMENTOS A BASE DE RECARPETEO EN AVE JOSE S. HEALY, AVE JOSE CARMELO Y PERIMETRAL NORTE"/>
        <s v="REHABILITACIÓN DE PAVIMENTOS A BASE DE RECARPETEO EN BLVD. GARCIA MORALES ENTRE ANTONIO QUIROGA Y ACCESO AL AEROPUERTO EN LA LOCALIDAD Y MUNICIPIO DE HERMOSILLO, SONORA."/>
        <s v="REHABILITACION DE PAVIMENTOS A BASE DE RECARPETEO CON CARPETA ASFALTICA DE 3CM ESPESOR, EN 12 CALLES DE LA LOCALIDAD DE EMPALME"/>
        <s v="REHABILITACION DE PAVIMENTOS A BASE DE RECARPETEO EN BLVD. LUIS ENCINAS ENTRE BENITO JUAREZ Y PERIFERICO ORIENTE"/>
        <s v="PAVIMENTACION CON CONCRETO HIDRAULICO EN CALLE 10 ENTRE AVENIDA QUIROZ MORA Y AVENIDA H. COLEGIO MILITAR (CALLE N) EN LA LOCALIDAD Y MUNICIPIO DE CABORCA, SONORA"/>
        <s v="PAVIMENTACION CON CONCRETO HIDRAULICO EN LA CALLE 2 DE ABRIL EN LA LOCALIDAD DE VILLA JUAREZ"/>
        <s v="REHABILITACION DE PAVIMENTOS EN 12 CALLES DE CD. OBREGON NORTE EN LA LOCALIDAD DE CD. OBREGON MUNICIPIO DE CAJEME, SONORA."/>
        <s v="REHABILITACION DE PAVIMENTOS EN 15 CALLES DE CD. OBREGON CENTRO"/>
        <s v="PAVIMENTACION A BASE DE CONCRETO HIDRAULICO DE LAS CALLES MPIO. DE BACANORA ENTRE ORIZABA Y MPIO. BACERAC Y MPIO. BACERAC ENTRE MPIO. DE BACANORA Y MPIO. DE BENJAMIN HILL, 15CMS DE ESPESOR EN CALLE MORELIA EN LA LOCALIDAD DE NOGALES"/>
        <s v="REHABILITACION DE PAVIMENTOS DE VARIAS CALLES CON MICROCARPETA EN LA LOCALIDAD Y MUNICIPIO DE PITIQUITO, SONORA"/>
        <s v="PAVIMENTACION A BASE DE CONCRETO HIDRAULICO DE LA CALLE TEPACHE ENTRE VERACRUZ Y CALLE MUNICIPIO DE BACANORA"/>
        <s v="REHABILITACION DE PAVIMENTOS A BASE DE RECARPETEO EN VARIAS CALLES Y AVENIDAS EN COLONIAS DE EL CENTRO DE LA CIUDAD HEROICA GUAYMAS"/>
        <s v="REHABILITACION DE PAVIMENTOS A BASE DE RECARPETEO EN 4 CALLES EN LAS COLONIAS AL NORTE DE LA CIUDAD HEROICA GUAYMAS"/>
        <s v="PAVIMENTACION CON CARPETA ASFALTICA DE 5CMS DE ESPESOR DE LA AVENIDA FABRICA DE LOS ANGELES Y AV. PRINCIPAL DE LA LOCALIDAD FABRICA DE LOS ANGELES"/>
        <s v="PAVIMENTACION CON CONCRETO HIDRAULICO EN LA CALLE AGUSTIN FIGUEROA EN LA LOCALIDAD DE BANAMICHI, SONORA"/>
        <s v="PAVIMENTACION CON CONCRETO HIDRAULICO DE 15 CMS DE ESPESOR EN LAS CALLES JOSE A. LUNA Y VICENTE GUERRERO EN LA LOCALIDAD Y MUNICIPIO DE ACONCHI, SONORA"/>
        <s v="REHABILITACION DE PAVIMENTOS DE AV. MIGUEL HIDALGO EN LA LOCALIDAD Y MUNICIPIO DE SANTA CRUZ, SONORA."/>
        <s v="PAVIMENTACION CON CONCRETO HIDRAULICO DE LA CALLE SALIDA A HUEPARI EN LA LOCALIDAD Y MUNICIPIO DE SAN PEDRO DE LA CUEVA"/>
        <s v="PAVIMENTACION CON CONCRETO HIDRAULICO DE 15CMS DE ESPESOR EN BLVD. MIGUEL ALEMAN EN LA LOCALIDAD DE BENJAMIN HILL"/>
        <s v="REHABILITACION DE PAVIMENTO EN 4 CALLES DE CD. OBREGON SUR EN LA LOCALIDAD DE CD. OBREGON MUNICIPIO DE CAJEME, SONROA"/>
        <s v="REHABILITACION DE PAVIMENTO EN 4 CALLES DE CD. OBREGON SUR EN LA LOCALIDAD DE CD. OBREGON MUNICPIO DE CAJEME, SONORA"/>
        <s v="REHABILITACION DE PAVIMENTOS EN 13 CALLES DE CD. OBREGON ORIENTE"/>
        <s v="PAVIMENTACION CON CONCRETO HIDRAULICO DE 15 CMS DE ESPESOR EN CALLE GALEANA EN LA LOCALIDAD Y MUNICIPIO DE TRINCHERAS, SONORA"/>
        <s v="PAVIMENTACION CON CONCRETO HIDRAULICO DE CALLE GRAL. ESTEBAN BACA CALDERON ENTRE BENITO JUAREZ Y RAHAM EN LA LOCALIDAD Y MUNICIPIO DE SAN IGNACIO RIO MUERTO"/>
        <s v="CONSTRUCCION DEL CENTRO DE TRANSICION AL NUEVO SISTEMA DE JUSTICIA PENAL DE HERMOSILLO"/>
        <s v="CONTROL DE CALIDAD DE LA OBRA: REHABILITACION DE PAVIMENTOS A BASE DE RECARPETEO EN CALLE MONTEVERDE ENTRE PROGRESO Y VERACRUZ, EN HERMOSILLO"/>
        <s v="CONTROL DE CALIDAD DE LA OBRA: REHABILITACION DE PAVIMENTOS A BASE DE RECARPETEO EN AVE JOSE S. HEALY, AVE JOSE CARMELO Y PERIMETRAL NORTE ENTRE BLVD. SOLIDARIDAD Y LÁZARO MERCADO"/>
        <s v="CONTROL DE CALIDAD DE LA OBRA: REHABILITACION DE PAVIMENTOS A BASE DE RECARPETEO EN CALLE REFORMA, VARIOS TRAMOS, HERMOSILLO"/>
        <s v="CONTROL DE CALIDAD DE LA OBRA: REHABILITACION DE PAVIMENTOS A BASE DE RECARPETEO EN BLVD. GARCIA MORALES ENTRE BLVD. QUIROGA Y ACCESO AL AEROPUERTO"/>
        <s v="PAVIMENTACION CON CONCRETO HIDRAULICO DE CALLE SIN NOMBRE EN LA LOCALIDAD DE MAZATAN"/>
        <s v="REHABILITACION DE PAVIMENTOS A BASE DE RECARPETEO EN CALLE OBREGON ENTRE ABELARDO L. RODRIGUEZ Y HACIA EL ESTE EN EL POBLADO DE SANTA CLARA."/>
        <s v="PAVIMENTACION CON CARPETA ASFALTICA DE 5 CMS DE ESPESOR EN LA CALLE COAHUILA ENTRE CANANEA Y LAGO MAGDA, EN LA LOCALIDAD DE CIUDAD OBREGON MUNICIPIO DE CAJEME, SONORA"/>
        <s v="PAVIMENTACION CON CONCRETO HIDRAULICO DE 15 CMS DE ESPESOR EN CALLE INDEPENDENCIA EN LA LOCALIDAD Y MUNICIPIO DE SARIC, SONORA"/>
        <s v="PAVIMENTACION CON CONCRETO HIDRAULICO DE VARIAS CALLES Y AVENIDAS EN LA LOCALIDAD DE ARIZPE"/>
        <s v="PAVIMENTACION CON CARPETA ASFALTICA EN LAS CALLES AV. SAN LUIS, ALVARO OBREGON Y ABELARDO L. RODRIGUEZ"/>
        <s v="REHABILITACION DE PAVIMENTOS DE VARIAS CALLES Y AVENIDAD EN LA LOCALIDAD DE MATAPE"/>
        <s v="PAVIMENTACION CON CONCRETO HIDRAULICO DE VARIAS CALLES EN LA LOCALIDAD DE ARIVECHI"/>
        <s v="PAVIMENTACION CON CONCRETO HIDRAULICO DE LAS CALLES NACOZARI, CAJEME Y LA AV. PLUTARCO ELIAS CALLES EN LA LOCALIDAD DE YÉCORA"/>
        <s v="PAVIMENTACION CON CONCRETO HIDRAULICO DE 15 CMS DE ESPESOR EN CALLE PARQUE BARRIO BAJO EN LA LOCALIDAD DE TECORIPA MUNICIPIO DE LA COLORADA, SONORA"/>
        <s v="REHABILITACION DE PAVIMENTOS DE 4 CALLES EN LA LOCALIDAD DE IMURIS"/>
        <s v="PAVIMENTACION CON CONCRETO HIDRAULICO EN LA CALLE CANANEA EN LA LOCALIDAD Y MUNICIPIO DE BACOACHI, SONORA"/>
        <s v="PAVIMENTACION CON CONCRETO HIDRAULICO EN LA CALLE LOS OLIVOS EN LA LOCALIDAD DE BAVIACORA"/>
        <s v="REHABILITACION DE PAVIMENTOS DE 9 CALLES EN LA LOCALIDAD DE TERRENATE"/>
        <s v="REHABILITACION DE PAVIMENTOS DE VARIAS CALLES Y AVENIDAS EN LA LOCALIDAD DE ADIVINO"/>
        <s v="PAVIMENTACION CON CONCRETO HIDRAULICO DE VARIAS CALLES Y AVENIDAS DE VARIAS COLONIAS EN NACOZARI DE GARCIA"/>
        <s v="PAVIMENTACION CON CONCRETO HIDRAULICO DE 15 CMS DE ESPESOR EN CALLE 3 EN LA LOCALIDAD DE NACORI CHICO"/>
        <s v="PAVIMENTACION CON CONCRETO HIDRAHULICO DE AVENIDA PROFA. JULIA GALAZ EN LA LOCALIDAD DE BACADEHUACHI"/>
        <s v="RECARPETEO CON MICROCARPETA ASFALTICA EN 12 CALLES Y AVENIDAS Y LOCALIDADES DE MOCTEZUMA"/>
        <s v="PAVIMENTACION CON CONCRETO HIDRAULICO EN LA AVENIDA DE LA CASA EN LA LOCALIDAD DE BACERAC"/>
        <s v="PAVIMENTACION CON CONCRETO HIDRAULICO DE LAS CALLES NORTE (EPIFANIO LEYVA SOTO) Y CUAUHTEMOC"/>
        <s v="PAVIMENTACION CON CONCRETO HIDRAULICO DE 15 CMS DE ESPESOR EN LA CALLE LOMAS DE FATIMA EN LA LOCALIDAD Y MUNICIPIO DE TUBUTAMA, SONORA"/>
        <s v="PAVIMENTACIÓN CON CONCRETO HIDRAULICO DE CALLE ADOLFO DE LA HUERTA EN LA LOCALIDAD DE QUEROBABI"/>
        <s v="PAVIMENTACION CON CONCRETO HIDRAULICO DE 15CMS DE ESPESOR EN CALLE MORELIA EN LA LOCALIDAD DE CARBO"/>
        <s v="PAVIMENTACION CON CONCRETO HIDRAULICO DE CALLE BARTOLOME DE LAS CASAS EN LA LOCALIDAD DE RAYON"/>
        <s v="PAVIMENTACION CON CONCRETO HIDRAULICO DE 15CM DE ESPESOR EN LAS CALLES FERROCARRIL Y SONORA EN LA LOCALIDAD DE ESQUEDA"/>
        <s v="PAVIMENTACION CON CARPETA ASFÁLTICA EN 3 CALLES, EN LA LOCALIDAD DE EMILIANO ZAPATA, MUNICIPIO DE SAN LUIS RIO COLORADO."/>
        <s v="PAVIMENTACION CON CONCRETO HIDRAULICO DE CALLE LAZARO CARDENAS Y CALLE AQUILES SERDAN EN LA LOCALIDAD DE PUERTO LIBERTAD"/>
        <s v="PAVIMENTACION CON CONCRETO HIDRAULICO DE 16CM DE ESPESOR EN LA CALLE RUBEN POMPA ENTRE AVE. RODOLFO GODINEZ Y AVE. FRESNO"/>
        <s v="PAVIMENTACION CON CONCRETO HIDRAULICO DE 15CM DE ESPESOR DE LA CALLE 16 DE SEPTIEMBRE"/>
        <s v="PAVIMENTACION CON CONCRETO HIDRAULICO DE 15CMS DE ESPESOR EN CALLE PRINCIPAL EN LA LOCALIDAD DE QUIRIEGO"/>
        <s v="PAVIMENTACION CON CONCRETO HIDRAULICO EN LA CALLE BENITO JUAREZ EN LA LOCALIDAD DE SAHUARIPA"/>
        <s v="PAVIMENTACIÓN CON CARPETA ASFALTICA DE 5CMS DE ESPESOR EN 3 CALLES, GENERAL PLUTARCO ELIAS CALLES"/>
        <s v="REHABILITACION DE PAVIMENTOS A BASE DE RECARPETEO EN CALLE GARCIA MORALES ENTRE HIDALGO Y RAYON, ENTRE QUINTANA ROO Y BRAVO, Y ENTRE ABASOLO Y JOSEFA ORTIZ DE DOMINGUEZ"/>
        <s v="CREACION DEL CENTRO DE JUSTICIA PARA LAS MUJERES EN LA LOCALIDAD Y MUNICIPIO DE HERMOSILLO, SONORA."/>
        <s v="REHABILITACION DE PAVIMENTOS DE 24 CALLES EN LA LOCALIDAD DE HUATABAMPO, MUNICIPIO DE HUATABAMPO"/>
        <s v="PAVIMENTACION DE VARIAS CALLES Y AVENIDAS EN LA LOCALIDAD DE ETCHOJOA Y MUNICIPIO DE ETCHOJOA"/>
        <s v="REHABILITACION DE PAVIMENTOS A BASE DE RECARPETEO DE LA CALLE ISRAEL GONZALEZ ENTRE AVENIDA SEGURO SOCIAL Y CALLE UNO, Y CALLE GRAL. PIÑA ENTRE PERIFERICO NORTE Y AVE. GASTON MADRID, EN LA CIUDAD DE HERMOSILLO"/>
        <s v="REHABILITACION DE PAVIMENTOS A BASE DE RECARPETEO EN CALLE LOPEZ DEL CASTILLO ENTRE YECORA Y ALBERTO GUTIERREZ Y CALLE DR. OLIVARES ENTRE BLVD. PROGRESO Y JOSE CARMELO, EN LA CIUDAD DE HERMOSILLO"/>
        <s v="REHABILITACION DE PAVIMENTOS A BASE DE RECARPETEO EN PERIFERICO SUR (LATERALES DEL PUENTE &quot;EL GALLO&quot;) ENTRE BLVD. AGUSTIN DE VILDOSOLA Y CALLE MECANICOS EN LA LOCALIDAD DE HERMOSILLO"/>
        <s v="REHABILITACION DE PAVIMENTOS A BASE DE RECARPETEO EN BLVD. MORELOS ENTRE BLVD. RODRIGUEZ E IGNACIO SOTO, EN LA CIUDAD DE HERMOSILLO"/>
        <s v="RECARPETEO CON MICROCARPETA ASFALTICA DE 3.0 CMS DE ESPESOR EN VARIAS CALLES Y AVENIDAS EN LA LOCALIDAD Y MUNICIPIO DE MAGDALENA"/>
        <s v="REHABILITACION DE PAVIMENTOS DE VARIAS CALLES Y AVENIDAS, EN LA LOCALIDAD DE AGUA PRIETA, MUNICIPIO DE AGUA PRIETA"/>
        <s v="REHABILITACION DE PAVIMENTOS DE 15 CALLES EN LA LOCALIDAD DE SANTA ANA, MUNICIPIO DE SANTA ANA"/>
        <s v="DIRECTOR RESPONSABLE DE OBRA: CREACION DEL CENTRO DE JUSTICIA PARA LAS MUJERES EN LA LOCALIDAD Y MUNICIPIO DE SONORA."/>
        <s v="SUPERVISION EXTERNA Y CONTROL DE CALIDAD DE LA OBRA: CREACION DEL CENTRO DE JUSTICIA PARA LAS MUJERES EN LA LOCALIDAD Y MUNICIPIO DE HERMOSILLO."/>
      </sharedItems>
    </cacheField>
    <cacheField name="[Rango].[ESTIM.].[ESTIM.]" caption="ESTIM." numFmtId="0" hierarchy="7" level="1">
      <sharedItems count="12">
        <s v="ANTICIPO"/>
        <s v="EST. 01"/>
        <s v="EST. 02"/>
        <s v="EST. 03"/>
        <s v="EST. 04"/>
        <s v="EST. 05"/>
        <s v="EST. 06"/>
        <s v="EST. 07"/>
        <s v="EST. 08"/>
        <s v="EST. 09"/>
        <s v="EST. 10"/>
        <s v="EST. 11"/>
      </sharedItems>
    </cacheField>
    <cacheField name="[Rango].[CONTRATISTA].[CONTRATISTA]" caption="CONTRATISTA" numFmtId="0" hierarchy="16" level="1">
      <sharedItems count="140">
        <s v="CONSTRUKINO, S.A. DE C.V."/>
        <s v="EDIFICACIÓN INTEGRAL DEL NOROESTE, S.A. DE C.V."/>
        <s v="TEKTON INGENIERIA, S.A. DE C.V."/>
        <s v="CONSTRUCTORA SIVIRAL, S.A. DE C.V."/>
        <s v="GIBHER CONSTRUCTORES, S.A. DE C.V."/>
        <s v="GALEONEZS LM CONSTRUCCIONES, S. A. DE C. V."/>
        <s v="ADMINISTRADORA DE OBRAS OACSA, S.A. DE C.V."/>
        <s v="D'MARSELLA TERRACERIAS, S.A. DE C.V."/>
        <s v="REVAL DESARROLLOS Y MATERIALES, S.A. DE C.V."/>
        <s v="NA CONSTRUCCIONES DEL PACIFICO, S.A. DE C.V."/>
        <s v="LC PROYECTOS Y CONSTRUCCIONES S.A. DE C.V."/>
        <s v="LA AZTECA CONSTRUCCIONES Y URBANIZACIONES, S.A. DE C.V."/>
        <s v="INGENIEROS CIVILES, S.A. DE C.V."/>
        <s v="EDIFICACIONES BOZA S.A. DE C.V."/>
        <s v="CONSTRUCCIONES VILLA DE SERIS, S. A. DE C. V."/>
        <s v="MEZQUITE CONSTRUCCIONES,S.A.DE C.V."/>
        <s v="GRUPO EMPRESARIAL BABASAC, S. A. DE C. V."/>
        <s v="MAQUINARIA Y AGREGADOS GALA S.A. DE C.V."/>
        <s v="DESARROLLOS TIBURCIO, S.A. DE C.V."/>
        <s v="ACQUA  DREN  INGENIERIA S.A. DE C.V."/>
        <s v="GLUYAS CONSTRUCCIONES S.A. DE C.V."/>
        <s v="TECNOASFALTOS Y TERRACERIAS, S.A. DE C.V."/>
        <s v="GRUPO MESIS, S.A. DE C.V."/>
        <s v="GILA MINAS Y DESARROLLOS SA DE CV"/>
        <s v="PROMOTORA MAJERUS, S. DE R.L."/>
        <s v="EDIFICACIONES Y PROYECTOS MOCELIK, S.A. DE C.V."/>
        <s v="CONSTRUCTORA SAITE, S.A. DE C.V."/>
        <s v="CONOSON SA DE CV"/>
        <s v="CONSTRUCTORA MIRAMAR, S.A. DE C.V."/>
        <s v="IKARO INGENIERIA Y ARQUITECTURA, S.A. DE C.V"/>
        <s v="RENTA, MOVIMIENTO DE CONSTRUCCION EQUIPEN, S.A. DE C.V."/>
        <s v="ZERO EDIFICACIONES,S.A. DE C.V."/>
        <s v="GYEMM INMOBILIARIA Y DISEÑOS EN INGENIERIA Y ARQUITECTURA, S.A. DE C.V."/>
        <s v="PROTEKO DESARROLLOS E INFRAESTRUCTURA, S.A. DE C.V."/>
        <s v="GRUPO GUIMEL, S.A. DE C.V."/>
        <s v="SEI TETRA, S. A. DE C. V."/>
        <s v="ADRIANA BELTRAN LAGARDA"/>
        <s v="OESTEC DE MEXICO SA DE CV"/>
        <s v="ING. IVAN MLADOSICH ESTRADA"/>
        <s v="ARQ. JORGE LUIS CARDENAS LOPEZ"/>
        <s v="ING. FEDERICO SOLORIO VALENZUELA"/>
        <s v="ING. JOSE RAFAEL CANO AVILA"/>
        <s v="CONSTRUCCIONES Y DISEÑOS OPOSURA, S.A. DE C.V."/>
        <s v="JRM CONSULTORES, S.A. DE C.V"/>
        <s v="PROYECTOS Y SUPERVISION, J.H. ROMERO, S.A. DE C.V."/>
        <s v="LABORATORIO, ESTUDIOS Y SERVICIOS PROFESIONALES DE INGENIERIA, S.A. DE C.V."/>
        <s v="CONSTRUCCIONES MAGUS, S.A. DE C.V."/>
        <s v="RL INFRAESTRUCTURA, S.A. DE C.V."/>
        <s v="CONSULTORIA Y CONSTRUCCION DEL NOROESTE"/>
        <s v="ING. DANIEL ACEVEDO ESMERIO"/>
        <s v="GO SUPERVISION, PROYECTOS, ESTUDIOS Y CONSTROL DE CALIDAD DE OBRAS CIVILES, S.A. DE C.V."/>
        <s v="ISAFRA CONSTRUCCIONES, S.A. DE C.V."/>
        <s v="ING. JOEL TOSAME IBARRA"/>
        <s v="PROYECTOS Y CONSTRUCCIONES MAGUS, S.A. DE C.V."/>
        <s v="ACSA CONSTRUCTORES S.A. DE C.V."/>
        <s v="ING. MARIANO HOYOS ARVIZU"/>
        <s v="PROYECTOS Y CONSTRUCCIONES ALHER, S.A. DE C.V."/>
        <s v="INMOBILIARIA TIERRAS DEL DESIERTO, S.A. DE C.V."/>
        <s v="PROMOTORES ADMINISTRATIVOS ASOCIADOS, S.C."/>
        <s v="ALCCON SIGLO XXI, S.A. DE C.V."/>
        <s v="ALAMOS INGENIERIA, SA DE CV"/>
        <s v="GYS CONSTRUCTORES S.A. DE C.V."/>
        <s v="UNIVERSO ROJO, S.A. DE C.V."/>
        <s v="ESCOBO S.A. DE C.V."/>
        <s v="GM3 INGENIERIA Y SERVICIOS, S. DE R.L. DE C.V."/>
        <s v="BARREDA PROYECTO Y CONSTRUCCIONES, S.A. DE C.V."/>
        <s v="SATI CONSTRUCCIONES Y POYECTOS S.A. DE C.V."/>
        <s v="ING. LUIS EDUARDO GUERRA ESQUIVEL"/>
        <s v="DAPCI, S.A. DE C.V."/>
        <s v="CONSTRUCTORA PARGEL, S. A. DE C. V."/>
        <s v="PREMEZCLADOS NOGALES, S.A. DE C.V."/>
        <s v="CONSTRUCTORA KIOKI, S. A. DE C. V."/>
        <s v="EDIFICADORA CABO HARO, S.A. DE C.V."/>
        <s v="CONSTRUCCIONES ALVERLI DEL NOROESTE, S. A. DE C. V."/>
        <s v="J.G. SERRANO Y ASOCIADOS, S.C."/>
        <s v="ING. GAUDENCIO RAMOS MONTEON"/>
        <s v="CERTUS GERENCIA DE PROYECTOS S. A. DE C. V."/>
        <s v="ARQ. LAMBERTO BETANZOS ENCINAS"/>
        <s v="TOCA INGENIEROS, S.C."/>
        <s v="BEJIM, PLANEA Y CONSTRUYE, S.A. DE C.V."/>
        <s v="RAYDA CONSTRUCTORES, S.A. DE C.V."/>
        <s v="CERTUS GERENCIA DE PROYECTOS, S.A. DE C.V."/>
        <s v="URBANIZADORA OASIS, S.A. DE C.V."/>
        <s v="INMOBILIARIA TIERRAS DEL DESIERTO, S. A. DE C. V."/>
        <s v="PALO FIERRO CONSTRUCCIONES, S.A. DE C.V."/>
        <s v="KONSTRIKSYON, S.A. DE C.V."/>
        <s v="VISOR ELECTRICIDAD S.A. DE C.V."/>
        <s v="GRUPO CONSTRUCCIONES PLANIFICADAS, SA DE CV"/>
        <s v="PROYECTOS Y CONSTRUCCIONES VIRGO, S. A. DE C. V."/>
        <s v="CONSTRUPIMA, S.A. DE C.V."/>
        <s v="CONSTRUCCIONES EL LLANO, S.A. DE C.V."/>
        <s v="CONCRETOS Y AGREGADOS DE CAJEME, S.A. DE C.V."/>
        <s v="INGENIERIA UNIVERSAL S. A. DE C. V."/>
        <s v="ING. LUIS ENRIQUE PEÑA RODRIGO"/>
        <s v="EDIFICACION INTEGRAL DEL NOROESTE S. A. DE C. V."/>
        <s v="CORPORATIVO DE SERVICIOS &amp; PLANEACION EN INFRAESTRUCTURA, S.A. DE C.V."/>
        <s v="PREMEZCLADOS NOGALES S.A. DE C.V."/>
        <s v="SOL Y MAR CONSTRUCCIONES JEEV, S. DE R. L. DE C. V."/>
        <s v="PROMOCIONES TESIA, S.A. DE C.V."/>
        <s v="INMOBILIARIA SOCE, S.A. DE C.V."/>
        <s v="PROYECTOS Y EDIFICACIONES RANDA, S.A. DE C.V."/>
        <s v="ORTOPLAN CONSULTORES S. A. DE C. V."/>
        <s v="LUIS ALFONSO CORDOVA CONTRERAS"/>
        <s v="VICOMMING, S.A. DE C.V."/>
        <s v="GROBSON S. DE R. L."/>
        <s v="INMOBILIARIA Y CONSTRUCTORA HARBOR, S.A. DE C.V."/>
        <s v="GRUPO PROFING CONSTRUCCIONES Y DESARROLLOS, S. A. DE C. V."/>
        <s v="CONSTRUMIL, S.A. DE C.V."/>
        <s v="OESTEC DE MEXICO S.A. DE C.V."/>
        <s v="CONSTRUCTORES LISTA BLANCA, S.A.DE C.V."/>
        <s v="VLEXEL, S. C."/>
        <s v="DESARROLLOS CORCON, S. DE R. L. DE C. V."/>
        <s v="GRUPO MERCLA S.A DE C. V."/>
        <s v="MOCUZARI CONSTRUCTORA, S.A. DE C.V."/>
        <s v="EDIVIA DESARROLLOS, S.A. DE C.V."/>
        <s v="JASA INSTALACIONES Y ALCANTARILLADO, S.A. DE C.V."/>
        <s v="CW METAL S.A DE C.V."/>
        <s v="DCR CONSULTORIA Y CONSTRUCCION, S.A. DE C.V."/>
        <s v="VALPA SUPERVISIONES, S.A. DE C.V."/>
        <s v="SIGNS MANUFACTURAS Y CONSTRUCCIONES, S.A. DE C.V."/>
        <s v="ADOBE DESARROLLOS, S.A. DE C.V."/>
        <s v="JUAN DIEGO AVILES MARTINEZ"/>
        <s v="PROTEKO DESARROLLOS E INFRAESTRUCTURA S.A. DE C.V."/>
        <s v="INGENIERIA INTEGRAL LA ISLETA, S.A. DE C.V."/>
        <s v="RUVERSA, S.A. DE C.V."/>
        <s v="CINCO H INGENIERIA Y TERRACERIAS, S.A. DE C.V."/>
        <s v="SEÑALAMIENTOS Y SERVICIOS INTEGRALES DEL NOROESTE, S.A. DE C.V."/>
        <s v="CONSTRUCCIONES Y TERRACERIAS MOVAKAR, S.A. DE C.V."/>
        <s v="CONSTRUCTORA E INMOBILIARIA VELIS, S.A. DE C.V."/>
        <s v="RENTA, MOVIMIENTO DE CONTRUCCION EQUIPEN, S.A. DE C.V."/>
        <s v="CONSTRUCTORA GARPE, S.A. DE C.V."/>
        <s v="DISEÑOS Y CONSTRUCCIONES LOAR S.A. DE C.V."/>
        <s v="CONSTRUVISAC, S.A. DE C.V."/>
        <s v="CONSTRUSERVICIOS Y EDIFICACIONES BAJAMAR DE MEXICO S.A. DE C.V."/>
        <s v="GRUPO CONSTRUCTOR TERRO, S.A. DE C.V."/>
        <s v="CEBB TERRACERIA Y PAVIMENTOS S.A DE C.V."/>
        <s v="PROYECTOS Y CONSTRUCCIONES VIRGO, S.A. DE C.V."/>
        <s v="SUPERVISION Y CONTROL DE CALIDAD LEYZA, S.A. DE C.V."/>
        <s v="ING. JULIO CESAR FERRA GUTIERREZ"/>
        <s v="CASA FUTURA GISA, S.A. DE C.V."/>
      </sharedItems>
    </cacheField>
    <cacheField name="[Rango].[FECHA].[FECHA]" caption="FECHA" numFmtId="0" hierarchy="21" level="1">
      <sharedItems containsSemiMixedTypes="0" containsNonDate="0" containsDate="1" containsString="0" minDate="2016-03-04T00:00:00" maxDate="2017-11-24T00:00:00" count="125">
        <d v="2016-03-18T00:00:00"/>
        <d v="2016-08-11T00:00:00"/>
        <d v="2016-09-19T00:00:00"/>
        <d v="2016-09-30T00:00:00"/>
        <d v="2016-10-28T00:00:00"/>
        <d v="2016-03-17T00:00:00"/>
        <d v="2016-06-08T00:00:00"/>
        <d v="2016-06-14T00:00:00"/>
        <d v="2016-06-11T00:00:00"/>
        <d v="2016-03-16T00:00:00"/>
        <d v="2016-06-23T00:00:00"/>
        <d v="2016-10-13T00:00:00"/>
        <d v="2016-10-20T00:00:00"/>
        <d v="2016-11-11T00:00:00"/>
        <d v="2016-12-08T00:00:00"/>
        <d v="2017-01-04T00:00:00"/>
        <d v="2016-03-04T00:00:00"/>
        <d v="2017-01-27T00:00:00"/>
        <d v="2016-04-07T00:00:00"/>
        <d v="2016-10-10T00:00:00"/>
        <d v="2016-04-12T00:00:00"/>
        <d v="2016-12-13T00:00:00"/>
        <d v="2016-12-30T00:00:00"/>
        <d v="2016-04-08T00:00:00"/>
        <d v="2017-02-14T00:00:00"/>
        <d v="2016-04-27T00:00:00"/>
        <d v="2016-05-20T00:00:00"/>
        <d v="2017-01-20T00:00:00"/>
        <d v="2017-03-17T00:00:00"/>
        <d v="2016-12-14T00:00:00"/>
        <d v="2017-03-16T00:00:00"/>
        <d v="2017-03-03T00:00:00"/>
        <d v="2016-05-12T00:00:00"/>
        <d v="2016-12-19T00:00:00"/>
        <d v="2017-01-23T00:00:00"/>
        <d v="2017-01-25T00:00:00"/>
        <d v="2017-03-09T00:00:00"/>
        <d v="2017-03-07T00:00:00"/>
        <d v="2016-12-16T00:00:00"/>
        <d v="2016-12-25T00:00:00"/>
        <d v="2017-02-03T00:00:00"/>
        <d v="2016-05-25T00:00:00"/>
        <d v="2016-09-22T00:00:00"/>
        <d v="2016-12-21T00:00:00"/>
        <d v="2016-09-20T00:00:00"/>
        <d v="2016-11-16T00:00:00"/>
        <d v="2017-02-02T00:00:00"/>
        <d v="2016-12-20T00:00:00"/>
        <d v="2016-06-10T00:00:00"/>
        <d v="2016-10-04T00:00:00"/>
        <d v="2016-12-28T00:00:00"/>
        <d v="2016-09-27T00:00:00"/>
        <d v="2016-10-05T00:00:00"/>
        <d v="2016-12-06T00:00:00"/>
        <d v="2017-01-13T00:00:00"/>
        <d v="2016-11-24T00:00:00"/>
        <d v="2016-11-25T00:00:00"/>
        <d v="2016-11-29T00:00:00"/>
        <d v="2016-10-31T00:00:00"/>
        <d v="2017-03-15T00:00:00"/>
        <d v="2017-03-14T00:00:00"/>
        <d v="2016-12-22T00:00:00"/>
        <d v="2017-02-08T00:00:00"/>
        <d v="2017-03-13T00:00:00"/>
        <d v="2016-06-17T00:00:00"/>
        <d v="2017-02-15T00:00:00"/>
        <d v="2016-09-14T00:00:00"/>
        <d v="2016-11-23T00:00:00"/>
        <d v="2016-06-24T00:00:00"/>
        <d v="2016-10-21T00:00:00"/>
        <d v="2016-12-09T00:00:00"/>
        <d v="2016-06-16T00:00:00"/>
        <d v="2017-11-23T00:00:00"/>
        <d v="2016-06-02T00:00:00"/>
        <d v="2016-10-19T00:00:00"/>
        <d v="2017-01-09T00:00:00"/>
        <d v="2016-06-30T00:00:00"/>
        <d v="2017-01-06T00:00:00"/>
        <d v="2016-08-23T00:00:00"/>
        <d v="2016-04-26T00:00:00"/>
        <d v="2016-07-13T00:00:00"/>
        <d v="2016-06-28T00:00:00"/>
        <d v="2016-06-20T00:00:00"/>
        <d v="2017-01-10T00:00:00"/>
        <d v="2016-08-31T00:00:00"/>
        <d v="2016-12-01T00:00:00"/>
        <d v="2016-07-22T00:00:00"/>
        <d v="2016-08-09T00:00:00"/>
        <d v="2016-08-22T00:00:00"/>
        <d v="2016-09-09T00:00:00"/>
        <d v="2017-03-18T00:00:00"/>
        <d v="2016-10-17T00:00:00"/>
        <d v="2016-11-04T00:00:00"/>
        <d v="2016-09-13T00:00:00"/>
        <d v="2016-09-05T00:00:00"/>
        <d v="2016-09-06T00:00:00"/>
        <d v="2016-12-29T00:00:00"/>
        <d v="2017-02-17T00:00:00"/>
        <d v="2016-11-18T00:00:00"/>
        <d v="2017-03-10T00:00:00"/>
        <d v="2017-03-06T00:00:00"/>
        <d v="2017-02-07T00:00:00"/>
        <d v="2016-11-28T00:00:00"/>
        <d v="2017-02-28T00:00:00"/>
        <d v="2016-12-15T00:00:00"/>
        <d v="2016-12-23T00:00:00"/>
        <d v="2017-01-24T00:00:00"/>
        <d v="2017-02-01T00:00:00"/>
        <d v="2016-09-01T00:00:00"/>
        <d v="2016-10-03T00:00:00"/>
        <d v="2017-02-23T00:00:00"/>
        <d v="2016-11-09T00:00:00"/>
        <d v="2016-11-03T00:00:00"/>
        <d v="2016-10-26T00:00:00"/>
        <d v="2016-11-17T00:00:00"/>
        <d v="2016-11-08T00:00:00"/>
        <d v="2017-01-26T00:00:00"/>
        <d v="2016-10-14T00:00:00"/>
        <d v="2016-11-15T00:00:00"/>
        <d v="2017-03-08T00:00:00"/>
        <d v="2016-11-22T00:00:00"/>
        <d v="2016-12-27T00:00:00"/>
        <d v="2016-11-30T00:00:00"/>
        <d v="2017-03-01T00:00:00"/>
        <d v="2017-02-22T00:00:00"/>
      </sharedItems>
    </cacheField>
    <cacheField name="[Rango].[AVANCE FINCIERO ESTIMADO].[AVANCE FINCIERO ESTIMADO]" caption="AVANCE FINCIERO ESTIMADO" numFmtId="0" hierarchy="23" level="1">
      <sharedItems count="501">
        <s v=""/>
        <s v="21.80%"/>
        <s v="36.98%"/>
        <s v="22.13%"/>
        <s v="19.09%"/>
        <s v="17.86%"/>
        <s v="12.20%"/>
        <s v="7.16%"/>
        <s v="17.72%"/>
        <s v="16.66%"/>
        <s v="25.94%"/>
        <s v="2.47%"/>
        <s v="13.14%"/>
        <s v="19.75%"/>
        <s v="18.47%"/>
        <s v="7.63%"/>
        <s v="14.47%"/>
        <s v="12.03%"/>
        <s v="7.72%"/>
        <s v="5.55%"/>
        <s v="1.24%"/>
        <s v="1.64%"/>
        <s v="7.89%"/>
        <s v="31.46%"/>
        <s v="44.95%"/>
        <s v="14.06%"/>
        <s v="9.47%"/>
        <s v="38.86%"/>
        <s v="24.01%"/>
        <s v="19.41%"/>
        <s v="8.25%"/>
        <s v="4.10%"/>
        <s v="26.91%"/>
        <s v="18.76%"/>
        <s v="18.74%"/>
        <s v="29.61%"/>
        <s v="1.35%"/>
        <s v="5.39%"/>
        <s v="8.79%"/>
        <s v="17.21%"/>
        <s v="7.44%"/>
        <s v="3.86%"/>
        <s v="2.96%"/>
        <s v="21.34%"/>
        <s v="11.83%"/>
        <s v="9.39%"/>
        <s v="9.83%"/>
        <s v="4.90%"/>
        <s v="0.75%"/>
        <s v="0.74%"/>
        <s v="31.01%"/>
        <s v="41.86%"/>
        <s v="4.88%"/>
        <s v="24.15%"/>
        <s v="32.75%"/>
        <s v="31.16%"/>
        <s v="8.78%"/>
        <s v="0.20%"/>
        <s v="12.46%"/>
        <s v="3.67%"/>
        <s v="16.64%"/>
        <s v="33.56%"/>
        <s v="20.66%"/>
        <s v="13.01%"/>
        <s v="3.78%"/>
        <s v="15.21%"/>
        <s v="7.21%"/>
        <s v="29.65%"/>
        <s v="21.73%"/>
        <s v="5.84%"/>
        <s v="1.09%"/>
        <s v="2.36%"/>
        <s v="33.69%"/>
        <s v="26.23%"/>
        <s v="17.77%"/>
        <s v="7.87%"/>
        <s v="4.31%"/>
        <s v="6.68%"/>
        <s v="2.87%"/>
        <s v="12.33%"/>
        <s v="9.22%"/>
        <s v="12.43%"/>
        <s v="7.59%"/>
        <s v="4.46%"/>
        <s v="11.79%"/>
        <s v="16.76%"/>
        <s v="5.82%"/>
        <s v="0.06%"/>
        <s v="4.07%"/>
        <s v="4.05%"/>
        <s v="7.99%"/>
        <s v="7.82%"/>
        <s v="15.70%"/>
        <s v="23.88%"/>
        <s v="16.84%"/>
        <s v="11.54%"/>
        <s v="12.28%"/>
        <s v="8.01%"/>
        <s v="11.38%"/>
        <s v="21.50%"/>
        <s v="7.18%"/>
        <s v="9.02%"/>
        <s v="10.59%"/>
        <s v="13.72%"/>
        <s v="17.03%"/>
        <s v="21.23%"/>
        <s v="11.59%"/>
        <s v="14.83%"/>
        <s v="29.72%"/>
        <s v="28.81%"/>
        <s v="16.50%"/>
        <s v="14.91%"/>
        <s v="14.22%"/>
        <s v="11.91%"/>
        <s v="48.88%"/>
        <s v="6.76%"/>
        <s v="4.64%"/>
        <s v="39.52%"/>
        <s v="30.55%"/>
        <s v="20.56%"/>
        <s v="4.26%"/>
        <s v="4.28%"/>
        <s v="12.21%"/>
        <s v="7.34%"/>
        <s v="21.18%"/>
        <s v="0.51%"/>
        <s v="25.58%"/>
        <s v="33.17%"/>
        <s v="3.89%"/>
        <s v="23.43%"/>
        <s v="7.66%"/>
        <s v="18.24%"/>
        <s v="50.70%"/>
        <s v="19.17%"/>
        <s v="6.36%"/>
        <s v="5.53%"/>
        <s v="34.69%"/>
        <s v="26.43%"/>
        <s v="20.46%"/>
        <s v="13.55%"/>
        <s v="4.02%"/>
        <s v="21.92%"/>
        <s v="36.56%"/>
        <s v="38.01%"/>
        <s v="3.50%"/>
        <s v="8.52%"/>
        <s v="6.64%"/>
        <s v="22.54%"/>
        <s v="11.47%"/>
        <s v="10.08%"/>
        <s v="10.09%"/>
        <s v="8.26%"/>
        <s v="14.34%"/>
        <s v="0.40%"/>
        <s v="0.65%"/>
        <s v="1.62%"/>
        <s v="2.99%"/>
        <s v="6.27%"/>
        <s v="7.71%"/>
        <s v="6.05%"/>
        <s v="7.28%"/>
        <s v="11.75%"/>
        <s v="27.31%"/>
        <s v="2.37%"/>
        <s v="13.73%"/>
        <s v="9.73%"/>
        <s v="20.83%"/>
        <s v="12.83%"/>
        <s v="3.96%"/>
        <s v="0.70%"/>
        <s v="12.75%"/>
        <s v="11.81%"/>
        <s v="0.05%"/>
        <s v="2.79%"/>
        <s v="8.06%"/>
        <s v="25.56%"/>
        <s v="25.01%"/>
        <s v="4.71%"/>
        <s v="35.65%"/>
        <s v="27.33%"/>
        <s v="9.33%"/>
        <s v="2.70%"/>
        <s v="3.07%"/>
        <s v="5.96%"/>
        <s v="11.11%"/>
        <s v="18.85%"/>
        <s v="20.48%"/>
        <s v="16.37%"/>
        <s v="12.36%"/>
        <s v="1.41%"/>
        <s v="2.95%"/>
        <s v="13.53%"/>
        <s v="6.30%"/>
        <s v="18.56%"/>
        <s v="7.24%"/>
        <s v="13.31%"/>
        <s v="13.66%"/>
        <s v="14.66%"/>
        <s v="7.36%"/>
        <s v="20.30%"/>
        <s v="19.01%"/>
        <s v="17.66%"/>
        <s v="7.35%"/>
        <s v="2.56%"/>
        <s v="7.12%"/>
        <s v="25.13%"/>
        <s v="27.98%"/>
        <s v="32.58%"/>
        <s v="0.30%"/>
        <s v="4.33%"/>
        <s v="3.43%"/>
        <s v="8.96%"/>
        <s v="13.59%"/>
        <s v="5.92%"/>
        <s v="4.70%"/>
        <s v="4.56%"/>
        <s v="2.58%"/>
        <s v="6.28%"/>
        <s v="5.30%"/>
        <s v="20.97%"/>
        <s v="36.04%"/>
        <s v="20.22%"/>
        <s v="6.35%"/>
        <s v="4.48%"/>
        <s v="1.73%"/>
        <s v="3.83%"/>
        <s v="2.89%"/>
        <s v="5.95%"/>
        <s v="4.80%"/>
        <s v="5.48%"/>
        <s v="8.61%"/>
        <s v="19.92%"/>
        <s v="25.00%"/>
        <s v="40.89%"/>
        <s v="17.70%"/>
        <s v="17.52%"/>
        <s v="18.41%"/>
        <s v="2.74%"/>
        <s v="12.50%"/>
        <s v="14.29%"/>
        <s v="60.00%"/>
        <s v="40.00%"/>
        <s v="54.00%"/>
        <s v="46.00%"/>
        <s v="80.00%"/>
        <s v="20.00%"/>
        <s v="46.81%"/>
        <s v="32.79%"/>
        <s v="14.80%"/>
        <s v="2.80%"/>
        <s v="34.28%"/>
        <s v="21.57%"/>
        <s v="2.77%"/>
        <s v="17.67%"/>
        <s v="10.26%"/>
        <s v="2.48%"/>
        <s v="17.02%"/>
        <s v="16.67%"/>
        <s v="17.73%"/>
        <s v="12.41%"/>
        <s v="6.53%"/>
        <s v="2.43%"/>
        <s v="11.86%"/>
        <s v="23.48%"/>
        <s v="22.07%"/>
        <s v="23.47%"/>
        <s v="22.53%"/>
        <s v="21.00%"/>
        <s v="30.00%"/>
        <s v="23.00%"/>
        <s v="7.33%"/>
        <s v="9.67%"/>
        <s v="2.40%"/>
        <s v="3.75%"/>
        <s v="2.53%"/>
        <s v="6.77%"/>
        <s v="15.82%"/>
        <s v="23.28%"/>
        <s v="24.87%"/>
        <s v="26.46%"/>
        <s v="25.40%"/>
        <s v="33.33%"/>
        <s v="31.67%"/>
        <s v="13.33%"/>
        <s v="21.67%"/>
        <s v="8.33%"/>
        <s v="23.33%"/>
        <s v="1.67%"/>
        <s v="33.00%"/>
        <s v="34.00%"/>
        <s v="57.41%"/>
        <s v="42.60%"/>
        <s v="52.87%"/>
        <s v="47.13%"/>
        <s v="50.00%"/>
        <s v="55.72%"/>
        <s v="57.05%"/>
        <s v="100.00%"/>
        <s v="2.55%"/>
        <s v="3.17%"/>
        <s v="10.81%"/>
        <s v="11.33%"/>
        <s v="31.22%"/>
        <s v="14.05%"/>
        <s v="46.63%"/>
        <s v="9.40%"/>
        <s v="20.60%"/>
        <s v="8.60%"/>
        <s v="24.44%"/>
        <s v="34.44%"/>
        <s v="7.00%"/>
        <s v="0.78%"/>
        <s v="6.79%"/>
        <s v="16.47%"/>
        <s v="16.82%"/>
        <s v="9.11%"/>
        <s v="6.67%"/>
        <s v="16.49%"/>
        <s v="17.54%"/>
        <s v="8.56%"/>
        <s v="29.33%"/>
        <s v="30.67%"/>
        <s v="7.84%"/>
        <s v="15.36%"/>
        <s v="16.34%"/>
        <s v="15.69%"/>
        <s v="10.17%"/>
        <s v="21.19%"/>
        <s v="20.34%"/>
        <s v="8.67%"/>
        <s v="8.00%"/>
        <s v="8.50%"/>
        <s v="8.17%"/>
        <s v="15.67%"/>
        <s v="3.61%"/>
        <s v="16.01%"/>
        <s v="4.61%"/>
        <s v="23.37%"/>
        <s v="14.48%"/>
        <s v="27.44%"/>
        <s v="17.22%"/>
        <s v="31.34%"/>
        <s v="17.37%"/>
        <s v="1.12%"/>
        <s v="14.81%"/>
        <s v="4.32%"/>
        <s v="0.46%"/>
        <s v="5.21%"/>
        <s v="6.14%"/>
        <s v="2.50%"/>
        <s v="9.27%"/>
        <s v="19.32%"/>
        <s v="21.56%"/>
        <s v="35.56%"/>
        <s v="16.16%"/>
        <s v="20.96%"/>
        <s v="20.52%"/>
        <s v="20.70%"/>
        <s v="39.68%"/>
        <s v="23.18%"/>
        <s v="11.87%"/>
        <s v="14.08%"/>
        <s v="23.26%"/>
        <s v="50.16%"/>
        <s v="43.11%"/>
        <s v="6.10%"/>
        <s v="89.18%"/>
        <s v="44.96%"/>
        <s v="9.84%"/>
        <s v="50.04%"/>
        <s v="29.60%"/>
        <s v="53.93%"/>
        <s v="37.39%"/>
        <s v="8.68%"/>
        <s v="20.50%"/>
        <s v="79.92%"/>
        <s v="89.45%"/>
        <s v="37.51%"/>
        <s v="38.09%"/>
        <s v="9.44%"/>
        <s v="8.88%"/>
        <s v="18.03%"/>
        <s v="24.23%"/>
        <s v="11.70%"/>
        <s v="19.62%"/>
        <s v="40.69%"/>
        <s v="22.47%"/>
        <s v="22.58%"/>
        <s v="17.96%"/>
        <s v="15.49%"/>
        <s v="6.26%"/>
        <s v="16.80%"/>
        <s v="1.63%"/>
        <s v="0.00%"/>
        <s v="30.21%"/>
        <s v="31.93%"/>
        <s v="5.03%"/>
        <s v="5.17%"/>
        <s v="9.92%"/>
        <s v="17.06%"/>
        <s v="35.07%"/>
        <s v="20.67%"/>
        <s v="17.00%"/>
        <s v="13.90%"/>
        <s v="14.99%"/>
        <s v="3.26%"/>
        <s v="13.23%"/>
        <s v="11.16%"/>
        <s v="10.43%"/>
        <s v="3.59%"/>
        <s v="9.51%"/>
        <s v="22.55%"/>
        <s v="35.79%"/>
        <s v="54.47%"/>
        <s v="34.17%"/>
        <s v="3.25%"/>
        <s v="43.21%"/>
        <s v="34.82%"/>
        <s v="34.89%"/>
        <s v="60.03%"/>
        <s v="2.31%"/>
        <s v="18.13%"/>
        <s v="33.49%"/>
        <s v="4.63%"/>
        <s v="27.38%"/>
        <s v="9.90%"/>
        <s v="10.32%"/>
        <s v="27.00%"/>
        <s v="73.00%"/>
        <s v="6.25%"/>
        <s v="5.69%"/>
        <s v="36.84%"/>
        <s v="5.40%"/>
        <s v="4.08%"/>
        <s v="95.92%"/>
        <s v="61.98%"/>
        <s v="38.20%"/>
        <s v="12.49%"/>
        <s v="23.41%"/>
        <s v="9.99%"/>
        <s v="26.70%"/>
        <s v="0.90%"/>
        <s v="12.79%"/>
        <s v="40.06%"/>
        <s v="40.63%"/>
        <s v="19.31%"/>
        <s v="9.18%"/>
        <s v="21.21%"/>
        <s v="19.89%"/>
        <s v="6.17%"/>
        <s v="11.96%"/>
        <s v="43.66%"/>
        <s v="47.52%"/>
        <s v="25.93%"/>
        <s v="39.39%"/>
        <s v="28.47%"/>
        <s v="64.65%"/>
        <s v="40.19%"/>
        <s v="40.07%"/>
        <s v="20.13%"/>
        <s v="4.00%"/>
        <s v="18.51%"/>
        <s v="10.57%"/>
        <s v="52.94%"/>
        <s v="36.49%"/>
        <s v="17.85%"/>
        <s v="48.93%"/>
        <s v="32.11%"/>
        <s v="11.80%"/>
        <s v="10.34%"/>
        <s v="52.97%"/>
        <s v="36.68%"/>
        <s v="20.59%"/>
        <s v="51.67%"/>
        <s v="33.41%"/>
        <s v="17.64%"/>
        <s v="8.47%"/>
        <s v="33.14%"/>
        <s v="35.76%"/>
        <s v="6.95%"/>
        <s v="47.50%"/>
        <s v="45.55%"/>
        <s v="7.53%"/>
        <s v="73.45%"/>
        <s v="11.90%"/>
        <s v="0.55%"/>
        <s v="6.20%"/>
        <s v="18.17%"/>
        <s v="5.10%"/>
        <s v="20.45%"/>
        <s v="20.82%"/>
        <s v="41.02%"/>
        <s v="32.49%"/>
        <s v="10.92%"/>
        <s v="16.10%"/>
        <s v="12.40%"/>
        <s v="7.31%"/>
        <s v="24.38%"/>
        <s v="10.67%"/>
        <s v="34.54%"/>
        <s v="32.88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" maxValue="1.1404000000000001" count="125">
        <n v="1"/>
        <n v="0.98119999999999996"/>
        <n v="0.99390000000000001"/>
        <n v="0.84140000000000004"/>
        <n v="0.83420000000000005"/>
        <n v="0.98319999999999996"/>
        <n v="0.80410000000000004"/>
        <n v="0.93110000000000004"/>
        <n v="0.74160000000000004"/>
        <n v="0.89859999999999995"/>
        <n v="0.96679999999999999"/>
        <n v="0.99529999999999996"/>
        <n v="0.60219999999999996"/>
        <n v="0.94240000000000002"/>
        <n v="0.99150000000000005"/>
        <n v="0.99990000000000001"/>
        <n v="0.9194"/>
        <n v="0.32969999999999999"/>
        <n v="0.98550000000000004"/>
        <n v="0.29220000000000002"/>
        <n v="0.61470000000000002"/>
        <n v="0.9748"/>
        <n v="0.98340000000000005"/>
        <n v="0.63300000000000001"/>
        <n v="0.50019999999999998"/>
        <n v="0.82530000000000003"/>
        <n v="0.66990000000000005"/>
        <n v="1.0003"/>
        <n v="0.97199999999999998"/>
        <n v="1.0002"/>
        <n v="0.16669999999999999"/>
        <n v="0.96409999999999996"/>
        <n v="0.71450000000000002"/>
        <n v="0.91549999999999998"/>
        <n v="0.50009999999999999"/>
        <n v="0.81"/>
        <n v="0.31269999999999998"/>
        <n v="1.0001"/>
        <n v="0.91659999999999997"/>
        <n v="0.66659999999999997"/>
        <n v="0.55720000000000003"/>
        <n v="0.5"/>
        <n v="0.57050000000000001"/>
        <n v="9.2200000000000004E-2"/>
        <n v="1.1404000000000001"/>
        <n v="0.998"/>
        <n v="0.49259999999999998"/>
        <n v="0.70589999999999997"/>
        <n v="0.91539999999999999"/>
        <n v="0.92679999999999996"/>
        <n v="0.78280000000000005"/>
        <n v="1.0639000000000001"/>
        <n v="0.65290000000000004"/>
        <n v="0.19359999999999999"/>
        <n v="0.77780000000000005"/>
        <n v="0.64639999999999997"/>
        <n v="0.71"/>
        <n v="0.1181"/>
        <n v="0.31090000000000001"/>
        <n v="0.21560000000000001"/>
        <n v="0.67730000000000001"/>
        <n v="0.57640000000000002"/>
        <n v="0.621"/>
        <n v="0.62860000000000005"/>
        <n v="0.19040000000000001"/>
        <n v="0.1187"/>
        <n v="0.14080000000000001"/>
        <n v="0"/>
        <n v="0.2326"/>
        <n v="0.99370000000000003"/>
        <n v="0.89180000000000004"/>
        <n v="0.54800000000000004"/>
        <n v="0.50039999999999996"/>
        <n v="0.29599999999999999"/>
        <n v="1.0042"/>
        <n v="0.89449999999999996"/>
        <n v="0.97240000000000004"/>
        <n v="0.51139999999999997"/>
        <n v="0.94479999999999997"/>
        <n v="0.97560000000000002"/>
        <n v="1.6299999999999999E-2"/>
        <n v="0.79359999999999997"/>
        <n v="0.10199999999999999"/>
        <n v="0.62050000000000005"/>
        <n v="0.6623"/>
        <n v="0.1825"/>
        <n v="0.1323"/>
        <n v="0.25180000000000002"/>
        <n v="9.5100000000000004E-2"/>
        <n v="0.58340000000000003"/>
        <n v="0.93669999999999998"/>
        <n v="0.81279999999999997"/>
        <n v="0.97230000000000005"/>
        <n v="0.51619999999999999"/>
        <n v="8.3799999999999999E-2"/>
        <n v="0.32090000000000002"/>
        <n v="0.42770000000000002"/>
        <n v="0.48780000000000001"/>
        <n v="5.3999999999999999E-2"/>
        <n v="0.75"/>
        <n v="1.0018"/>
        <n v="0.1249"/>
        <n v="0.60099999999999998"/>
        <n v="0.13689999999999999"/>
        <n v="0.50280000000000002"/>
        <n v="6.1699999999999998E-2"/>
        <n v="0.88949999999999996"/>
        <n v="0.47520000000000001"/>
        <n v="0.6532"/>
        <n v="0.28470000000000001"/>
        <n v="0.64649999999999996"/>
        <n v="0.80259999999999998"/>
        <n v="0.4264"/>
        <n v="0.17849999999999999"/>
        <n v="0.2059"/>
        <n v="0.8508"/>
        <n v="0.95009999999999994"/>
        <n v="6.7500000000000004E-2"/>
        <n v="0.2087"/>
        <n v="0.2555"/>
        <n v="0.94330000000000003"/>
        <n v="0.371"/>
        <n v="0.124"/>
        <n v="0.85419999999999996"/>
        <n v="0.32879999999999998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0" memberValueDatatype="130" unbalanced="0"/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69444441" backgroundQuery="1" createdVersion="5" refreshedVersion="5" minRefreshableVersion="3" recordCount="0" supportSubquery="1" supportAdvancedDrill="1">
  <cacheSource type="external" connectionId="1"/>
  <cacheFields count="10">
    <cacheField name="[Measures].[Suma de NETO A PAGAR]" caption="Suma de NETO A PAGAR" numFmtId="0" hierarchy="27" level="32767"/>
    <cacheField name="[Rango].[ESTATUS].[ESTATUS]" caption="ESTATUS" numFmtId="0" hierarchy="20" level="1">
      <sharedItems count="5">
        <s v="1. S.H. PAGADO"/>
        <s v="5. SOL. PEDIDO"/>
        <s v="7. SUP. SIDUR"/>
        <s v="3.1 O.P. DGPE S/CONV."/>
        <s v="2. S.H. PENDIENTE"/>
      </sharedItems>
    </cacheField>
    <cacheField name="[Rango].[MONTO DE CONTRATO].[MONTO DE CONTRATO]" caption="MONTO DE CONTRATO" numFmtId="0" hierarchy="22" level="1">
      <sharedItems count="4">
        <s v=" 2,145,846.29"/>
        <s v=" 18,797,996.92"/>
        <s v=" 28,623,613.55"/>
        <s v=" 25,515,708.31" u="1"/>
      </sharedItems>
    </cacheField>
    <cacheField name="[Rango].[CONTRATO].[CONTRATO]" caption="CONTRATO" numFmtId="0" hierarchy="4" level="1">
      <sharedItems count="4">
        <s v="SIDUR-ED-16-170"/>
        <s v="SIDUR-ED-16-368"/>
        <s v="SIDUR-PF-16-393"/>
        <s v="SIDUR-ED-15-004" u="1"/>
      </sharedItems>
    </cacheField>
    <cacheField name="[Rango].[OBRA].[OBRA]" caption="OBRA" numFmtId="0" hierarchy="3" level="1">
      <sharedItems count="4">
        <s v="REHABILITACION DE EDIFICIO PARA ALBERGAR JUZGADO DE ORALIDAD PENAL DEL DISTRITO JUDICIAL CON SEDE EN HERMOSILLO 2DA ETAPA (SEGUNDO NIVEL) EN LA LOCALIDAD Y MUNICIPIO DE HERMOSILLO, SONORA."/>
        <s v="PRIMERA ETAPA DE LA CONSTRUCCION DE COMPLEJO INTEGRAL DE PROCURACION DE JUSTICIA (CIUDAD DE LA JUSTICIA) EN LA LOCALIDAD Y MUNICIPIO DE HERMOSILLO, SONORA"/>
        <s v="CREACION DEL CENTRO DE JUSTICIA PARA LAS MUJERES EN LA LOCALIDAD Y MUNICIPIO DE HERMOSILLO, SONORA."/>
        <s v="CONSTRUCCION Y MODERNIZACION EN DISTRIBUIDOR VIAL EN LA LOCALIDAD Y MUNICIPIO DE NOGALES, SONORA" u="1"/>
      </sharedItems>
    </cacheField>
    <cacheField name="[Rango].[ESTIM.].[ESTIM.]" caption="ESTIM." numFmtId="0" hierarchy="7" level="1">
      <sharedItems count="5">
        <s v="ANTICIPO"/>
        <s v="EST. 01"/>
        <s v="EST. 02"/>
        <s v="EST. 03"/>
        <s v="EST. 04"/>
      </sharedItems>
    </cacheField>
    <cacheField name="[Rango].[CONTRATISTA].[CONTRATISTA]" caption="CONTRATISTA" numFmtId="0" hierarchy="16" level="1">
      <sharedItems count="4">
        <s v="INMOBILIARIA TIERRAS DEL DESIERTO, S.A. DE C.V."/>
        <s v="BEJIM, PLANEA Y CONSTRUYE, S.A. DE C.V."/>
        <s v="GRUPO CONSTRUCTOR TERRO, S.A. DE C.V."/>
        <s v="LA GRANDE CONSTRUCTORA S.A. DE C.V." u="1"/>
      </sharedItems>
    </cacheField>
    <cacheField name="[Rango].[FECHA].[FECHA]" caption="FECHA" numFmtId="0" hierarchy="21" level="1">
      <sharedItems containsSemiMixedTypes="0" containsNonDate="0" containsDate="1" containsString="0" minDate="2016-06-17T00:00:00" maxDate="2017-03-17T00:00:00" count="7">
        <d v="2016-08-22T00:00:00"/>
        <d v="2016-12-06T00:00:00"/>
        <d v="2016-12-30T00:00:00"/>
        <d v="2017-03-16T00:00:00"/>
        <d v="2017-01-13T00:00:00"/>
        <d v="2017-03-06T00:00:00"/>
        <d v="2016-06-17T00:00:00" u="1"/>
      </sharedItems>
    </cacheField>
    <cacheField name="[Rango].[AVANCE FINCIERO ESTIMADO].[AVANCE FINCIERO ESTIMADO]" caption="AVANCE FINCIERO ESTIMADO" numFmtId="0" hierarchy="23" level="1">
      <sharedItems count="7">
        <s v=""/>
        <s v="10.81%"/>
        <s v="11.33%"/>
        <s v="31.22%"/>
        <s v="14.05%"/>
        <s v="46.63%"/>
        <s v="8.79%" u="1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" maxValue="1" count="10">
        <n v="0.52910000000000001"/>
        <n v="0.61019999999999996"/>
        <n v="0.88149999999999995"/>
        <n v="5.67E-2"/>
        <n v="2.5000000000000001E-2"/>
        <n v="0"/>
        <n v="1"/>
        <n v="0.19159999999999999"/>
        <n v="0.28839999999999999"/>
        <n v="0.91520000000000001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0" memberValueDatatype="130" unbalanced="0"/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71412034" backgroundQuery="1" createdVersion="5" refreshedVersion="5" minRefreshableVersion="3" recordCount="0" supportSubquery="1" supportAdvancedDrill="1">
  <cacheSource type="external" connectionId="1"/>
  <cacheFields count="11">
    <cacheField name="[Measures].[Suma de NETO A PAGAR]" caption="Suma de NETO A PAGAR" numFmtId="0" hierarchy="27" level="32767"/>
    <cacheField name="[Rango].[ESTATUS].[ESTATUS]" caption="ESTATUS" numFmtId="0" hierarchy="20" level="1">
      <sharedItems count="5">
        <s v="1. S.H. PAGADO"/>
        <s v="2. S.H. PENDIENTE"/>
        <s v="4. ESPERA FACT."/>
        <s v="3.1 O.P. DGPE S/CONV."/>
        <s v="5. SOL. PEDIDO"/>
      </sharedItems>
    </cacheField>
    <cacheField name="[Rango].[MONTO DE CONTRATO].[MONTO DE CONTRATO]" caption="MONTO DE CONTRATO" numFmtId="0" hierarchy="22" level="1">
      <sharedItems count="12">
        <s v=" 19,539,418.57"/>
        <s v=" 22,873,151.76"/>
        <s v=" 26,153,970.38"/>
        <s v=" 19,069,990.46"/>
        <s v=" 3,223,256.02"/>
        <s v=" 6,189,552.56"/>
        <s v=" 354,935.96"/>
        <s v=" 500,112.28"/>
        <s v=" 401,357.31"/>
        <s v=" 365,787.30"/>
        <s v=" 5,165,280.09"/>
        <s v=" 25,515,708.31" u="1"/>
      </sharedItems>
    </cacheField>
    <cacheField name="[Rango].[CONTRATO].[CONTRATO]" caption="CONTRATO" numFmtId="0" hierarchy="4" level="1">
      <sharedItems count="12">
        <s v="SIDUR-PF-16-252"/>
        <s v="SIDUR-PF-16-253"/>
        <s v="SIDUR-PF-16-254"/>
        <s v="SIDUR-PF-16-255"/>
        <s v="SIDUR-PF-16-299"/>
        <s v="SIDUR-PF-16-301"/>
        <s v="SIDUR-PF-16-319"/>
        <s v="SIDUR-PF-16-320"/>
        <s v="SIDUR-PF-16-321"/>
        <s v="SIDUR-PF-16-322"/>
        <s v="SIDUR-PF-16-370"/>
        <s v="SIDUR-ED-15-004" u="1"/>
      </sharedItems>
    </cacheField>
    <cacheField name="[Rango].[OBRA].[OBRA]" caption="OBRA" numFmtId="0" hierarchy="3" level="1">
      <sharedItems count="12">
        <s v="REHABILITACION DE PAVIMENTOS A BASE DE RECARPETEO EN CALLE MONTEVERDE ENTRE BLVD. PROGRESO Y VERACRUZ EN LA LOCALIDAD Y MUNICIPIO DE HERMOSILLO, SONORA"/>
        <s v="REHABILITACION DE PAVIMIENTOS A BASE DE RECARPETEO EN CALLE REFORMA EN LOS TRAMOS DE PROGRESO Y AVE 13 DE JOSE CARMELO A AVE 8 Y DE BLVD SERNA A BLVD LUIS ENCINAS EN LA LOCALIDAD Y MUNICIPIO DE HERMOSILLO, SON"/>
        <s v="REHABILITACION DE PAVIMENTOS A BASE DE RECARPETEO EN AVE JOSE S. HEALY, AVE JOSE CARMELO Y PERIMETRAL NORTE"/>
        <s v="REHABILITACIÓN DE PAVIMENTOS A BASE DE RECARPETEO EN BLVD. GARCIA MORALES ENTRE ANTONIO QUIROGA Y ACCESO AL AEROPUERTO EN LA LOCALIDAD Y MUNICIPIO DE HERMOSILLO, SONORA."/>
        <s v="REHABILITACION DE PAVIMENTOS DE VARIAS CALLES CON MICROCARPETA EN LA LOCALIDAD Y MUNICIPIO DE PITIQUITO, SONORA"/>
        <s v="REHABILITACION DE PAVIMENTOS A BASE DE RECARPETEO EN VARIAS CALLES Y AVENIDAS EN COLONIAS DE EL CENTRO DE LA CIUDAD HEROICA GUAYMAS"/>
        <s v="CONTROL DE CALIDAD DE LA OBRA: REHABILITACION DE PAVIMENTOS A BASE DE RECARPETEO EN CALLE MONTEVERDE ENTRE PROGRESO Y VERACRUZ, EN HERMOSILLO"/>
        <s v="CONTROL DE CALIDAD DE LA OBRA: REHABILITACION DE PAVIMENTOS A BASE DE RECARPETEO EN AVE JOSE S. HEALY, AVE JOSE CARMELO Y PERIMETRAL NORTE ENTRE BLVD. SOLIDARIDAD Y LÁZARO MERCADO"/>
        <s v="CONTROL DE CALIDAD DE LA OBRA: REHABILITACION DE PAVIMENTOS A BASE DE RECARPETEO EN CALLE REFORMA, VARIOS TRAMOS, HERMOSILLO"/>
        <s v="CONTROL DE CALIDAD DE LA OBRA: REHABILITACION DE PAVIMENTOS A BASE DE RECARPETEO EN BLVD. GARCIA MORALES ENTRE BLVD. QUIROGA Y ACCESO AL AEROPUERTO"/>
        <s v="PAVIMENTACIÓN CON CARPETA ASFALTICA DE 5CMS DE ESPESOR EN 3 CALLES, GENERAL PLUTARCO ELIAS CALLES"/>
        <s v="CONSTRUCCION Y MODERNIZACION EN DISTRIBUIDOR VIAL EN LA LOCALIDAD Y MUNICIPIO DE NOGALES, SONORA" u="1"/>
      </sharedItems>
    </cacheField>
    <cacheField name="[Rango].[ESTIM.].[ESTIM.]" caption="ESTIM." numFmtId="0" hierarchy="7" level="1">
      <sharedItems count="7">
        <s v="ANTICIPO"/>
        <s v="EST. 01"/>
        <s v="EST. 02"/>
        <s v="EST. 03"/>
        <s v="EST. 04"/>
        <s v="EST. 05"/>
        <s v="EST. 06"/>
      </sharedItems>
    </cacheField>
    <cacheField name="[Rango].[CONTRATISTA].[CONTRATISTA]" caption="CONTRATISTA" numFmtId="0" hierarchy="16" level="1">
      <sharedItems count="10">
        <s v="PROYECTOS Y CONSTRUCCIONES VIRGO, S. A. DE C. V."/>
        <s v="CONSTRUPIMA, S.A. DE C.V."/>
        <s v="GRUPO CONSTRUCCIONES PLANIFICADAS, SA DE CV"/>
        <s v="CONSTRUCCIONES EL LLANO, S.A. DE C.V."/>
        <s v="SOL Y MAR CONSTRUCCIONES JEEV, S. DE R. L. DE C. V."/>
        <s v="INMOBILIARIA SOCE, S.A. DE C.V."/>
        <s v="OESTEC DE MEXICO S.A. DE C.V."/>
        <s v="ALCCON SIGLO XXI, S.A. DE C.V."/>
        <s v="CONSTRUSERVICIOS Y EDIFICACIONES BAJAMAR DE MEXICO S.A. DE C.V."/>
        <s v="LA GRANDE CONSTRUCTORA S.A. DE C.V." u="1"/>
      </sharedItems>
    </cacheField>
    <cacheField name="[Rango].[FECHA].[FECHA]" caption="FECHA" numFmtId="0" hierarchy="21" level="1">
      <sharedItems containsSemiMixedTypes="0" containsNonDate="0" containsDate="1" containsString="0" minDate="2016-06-17T00:00:00" maxDate="2017-03-18T00:00:00" count="24">
        <d v="2016-09-01T00:00:00"/>
        <d v="2016-11-28T00:00:00"/>
        <d v="2016-12-06T00:00:00"/>
        <d v="2017-03-17T00:00:00"/>
        <d v="2016-09-06T00:00:00"/>
        <d v="2016-12-23T00:00:00"/>
        <d v="2016-12-29T00:00:00"/>
        <d v="2017-03-10T00:00:00"/>
        <d v="2016-09-13T00:00:00"/>
        <d v="2017-01-24T00:00:00"/>
        <d v="2017-03-13T00:00:00"/>
        <d v="2016-10-03T00:00:00"/>
        <d v="2016-12-30T00:00:00"/>
        <d v="2016-12-28T00:00:00"/>
        <d v="2017-03-16T00:00:00"/>
        <d v="2016-11-03T00:00:00"/>
        <d v="2017-02-28T00:00:00"/>
        <d v="2017-01-25T00:00:00"/>
        <d v="2017-03-06T00:00:00"/>
        <d v="2017-03-03T00:00:00"/>
        <d v="2017-03-15T00:00:00"/>
        <d v="2016-11-25T00:00:00"/>
        <d v="2017-03-08T00:00:00"/>
        <d v="2016-06-17T00:00:00" u="1"/>
      </sharedItems>
    </cacheField>
    <cacheField name="[Rango].[AVANCE FINCIERO ESTIMADO].[AVANCE FINCIERO ESTIMADO]" caption="AVANCE FINCIERO ESTIMADO" numFmtId="0" hierarchy="23" level="1">
      <sharedItems count="26">
        <s v=""/>
        <s v="12.20%"/>
        <s v="37.51%"/>
        <s v="38.09%"/>
        <s v="9.44%"/>
        <s v="8.88%"/>
        <s v="18.03%"/>
        <s v="24.23%"/>
        <s v="11.70%"/>
        <s v="19.62%"/>
        <s v="40.69%"/>
        <s v="22.47%"/>
        <s v="22.58%"/>
        <s v="17.96%"/>
        <s v="15.49%"/>
        <s v="6.26%"/>
        <s v="18.47%"/>
        <s v="16.80%"/>
        <s v="13.23%"/>
        <s v="25.00%"/>
        <s v="8.52%"/>
        <s v="7.31%"/>
        <s v="24.38%"/>
        <s v="10.67%"/>
        <s v="34.54%"/>
        <s v="8.79%" u="1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" maxValue="1" count="10">
        <n v="0.52910000000000001"/>
        <n v="0.61019999999999996"/>
        <n v="0.88149999999999995"/>
        <n v="5.67E-2"/>
        <n v="2.5000000000000001E-2"/>
        <n v="0"/>
        <n v="1"/>
        <n v="0.19159999999999999"/>
        <n v="0.28839999999999999"/>
        <n v="0.91520000000000001"/>
      </sharedItems>
    </cacheField>
    <cacheField name="[Rango].[AV. FINANCIERO GENERAL].[AV. FINANCIERO GENERAL]" caption="AV. FINANCIERO GENERAL" numFmtId="0" hierarchy="25" level="1">
      <sharedItems count="9">
        <s v="98.07%"/>
        <s v="65.79%"/>
        <s v="96.14%"/>
        <s v="98.28%"/>
        <s v="39.26%"/>
        <s v="30.00%"/>
        <s v="75.00%"/>
        <s v="100.00%"/>
        <s v="89.79%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2" memberValueDatatype="130" unbalanced="0">
      <fieldsUsage count="2">
        <fieldUsage x="-1"/>
        <fieldUsage x="10"/>
      </fieldsUsage>
    </cacheHierarchy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73958336" backgroundQuery="1" createdVersion="5" refreshedVersion="5" minRefreshableVersion="3" recordCount="0" supportSubquery="1" supportAdvancedDrill="1">
  <cacheSource type="external" connectionId="1"/>
  <cacheFields count="11">
    <cacheField name="[Measures].[Suma de NETO A PAGAR]" caption="Suma de NETO A PAGAR" numFmtId="0" hierarchy="27" level="32767"/>
    <cacheField name="[Rango].[ESTATUS].[ESTATUS]" caption="ESTATUS" numFmtId="0" hierarchy="20" level="1">
      <sharedItems count="8">
        <s v="1. S.H. PAGADO"/>
        <s v="7. SUP. SIDUR"/>
        <s v="4. ESPERA FACT."/>
        <s v="5. SOL. PEDIDO"/>
        <s v="3. O.P. DGPE"/>
        <s v="3.1 O.P. DGPE S/CONV."/>
        <s v="6. DGEO REV."/>
        <s v="2. S.H. PENDIENTE"/>
      </sharedItems>
    </cacheField>
    <cacheField name="[Rango].[MONTO DE CONTRATO].[MONTO DE CONTRATO]" caption="MONTO DE CONTRATO" numFmtId="0" hierarchy="22" level="1">
      <sharedItems count="32">
        <s v=" 42,349,187.57"/>
        <s v=" 22,980,026.97"/>
        <s v=" 26,465,400.00"/>
        <s v=" 17,283,667.42"/>
        <s v=" 6,757,250.37"/>
        <s v=" 22,955,014.68"/>
        <s v=" 83,353,232.65"/>
        <s v=" 37,981,342.78"/>
        <s v=" 24,701,108.24"/>
        <s v=" 60,543,852.31"/>
        <s v=" 79,892,690.27"/>
        <s v=" 63,672,479.11"/>
        <s v=" 112,909,841.56"/>
        <s v=" 78,902,188.12"/>
        <s v=" 33,809,827.16"/>
        <s v=" 21,349,397.86"/>
        <s v=" 11,799,981.39"/>
        <s v=" 14,898,875.88"/>
        <s v=" 40,380,067.49"/>
        <s v=" 25,694,303.85"/>
        <s v=" 24,023,981.97"/>
        <s v=" 20,287,001.81"/>
        <s v=" 31,555,491.96"/>
        <s v=" 23,895,598.40"/>
        <s v=" 27,782,320.26"/>
        <s v=" 15,890,776.26"/>
        <s v=" 76,463,113.20"/>
        <s v=" 79,270,178.98"/>
        <s v=" 20,694,418.35"/>
        <s v=" 91,796,179.20"/>
        <s v=" 82,488,388.80"/>
        <s v=" 25,515,708.31" u="1"/>
      </sharedItems>
    </cacheField>
    <cacheField name="[Rango].[CONTRATO].[CONTRATO]" caption="CONTRATO" numFmtId="0" hierarchy="4" level="1">
      <sharedItems count="31">
        <s v="SIDUR-ED-16-001"/>
        <s v="SIDUR-ED-16-002"/>
        <s v="SIDUR-ED-16-003"/>
        <s v="SIDUR-ED-16-004"/>
        <s v="SIDUR-ED-16-005"/>
        <s v="SIDUR-ED-16-006"/>
        <s v="SIDUR-ED-16-007"/>
        <s v="SIDUR-ED-16-011"/>
        <s v="SIDUR-ED-16-012"/>
        <s v="SIDUR-ED-16-014"/>
        <s v="SIDUR-ED-16-015"/>
        <s v="SIDUR-ED-16-016"/>
        <s v="SIDUR-ED-16-017"/>
        <s v="SIDUR-ED-16-018"/>
        <s v="SIDUR-ED-16-019"/>
        <s v="SIDUR-ED-16-020"/>
        <s v="SIDUR-ED-16-021"/>
        <s v="SIDUR-ED-16-022"/>
        <s v="SIDUR-ED-16-023"/>
        <s v="SIDUR-ED-16-024"/>
        <s v="SIDUR-ED-16-025"/>
        <s v="SIDUR-ED-16-026"/>
        <s v="SIDUR-ED-16-027"/>
        <s v="SIDUR-ED-16-037"/>
        <s v="SIDUR-ED-16-038"/>
        <s v="SIDUR-ED-16-039"/>
        <s v="SIDUR-ED-16-041"/>
        <s v="SIDUR-ED-16-042"/>
        <s v="SIDUR-ED-16-043"/>
        <s v="SIDUR-ED-16-121"/>
        <s v="SIDUR-ED-16-210"/>
      </sharedItems>
    </cacheField>
    <cacheField name="[Rango].[OBRA].[OBRA]" caption="OBRA" numFmtId="0" hierarchy="3" level="1">
      <sharedItems count="31">
        <s v="RECONSTRUCCIÓN DEL CAMINO NAVOJOA-ETCHOJOA-HUATABAMPO"/>
        <s v="RECONSTRUCCION DEL CAMINO E.C. FEDERAL- LAS BOCAS EN VARIAS LOCALIDADES DEL MUNICIPIO DE HUATABAMPO, SONORA."/>
        <s v="RECONSTRUCCIÓN DEL CAMINO CALLE 16 EN VARIAS LOCALIDADES DEL MUNICIPIO DE CAJEME, SONORA."/>
        <s v="RECONSTRUCCION DEL CAMINO HUATABAMPO-YAVAROS EN VARIAS LOCALIDADES DEL MUNICIPIO DE HUATABAMPO, SONORA."/>
        <s v="RECONSTRUCCIÓN DEL CAMINO BACAME NUEVO"/>
        <s v="RECONSTRUCCION DEL CAMINO CALLE 12 SUR EN VARIAS LOCALIDADES, MUNICIPIO DE HERMOSILLO, SONORA"/>
        <s v="RECONSTRUCCIÓN DE CAMINO HORNOS-ROSARIO"/>
        <s v="RECONSTRUCCION DEL CAMINO HERMOSILLO-BAHIA DE KINO"/>
        <s v="RECONSTRUCCION DEL CAMINO CALLE 1900"/>
        <s v="CONSERVACION Y RECONSTRUCCION DEL TRAMO MOCTEZUMA- EL CRUCERO (TRAMO KM 164+500 AL KM 210+750) EN LA REGION DE LA SIERRA."/>
        <s v="CONCLUSION DE LA MODERNIZACION Y RECONSTRUCCION DEL TRAMO ESPERANZA - HORNOS (DEL KM 8 + 800 AL KM 17 + 400)"/>
        <s v="MODERNIZACION Y RECONSTRUCCION DEL TRAMO ETCHOJOA-BACOBAMPO"/>
        <s v="CONSERVACIÓN DEL TRAMO NOVILLO - BACANORA - SAHUARIPA -  SAN NICOLÁS EN VARIAS LOCALIDADES DE VARIOS MUNICIPIOS DEL ESTADO DE SONORA."/>
        <s v="CONSTRUCCION Y RECONSTRUCCION DEL TRAMO CABORCA-Y GRIEGA"/>
        <s v="CONSERVACIÓN Y RECONSTRUCCION DEL TRAMO MAZATÁN-VILLA PESQUEIRA-SAN PEDRO DE LA CUEVA EN LA REGION DE LA SIERRA EN VARIAS LOCALIDADES DE VARIOS MUNICIPIOS EN SONORA."/>
        <s v="CONSERVACION Y RECONSTRUCCION DE CARRETERAS ALIMENTADORAS REGION GUAYMAS--EMPALME, TRAMO: AGUILITAS-BRINGAS DEL KM 0+000 AL KM 10+500"/>
        <s v="CONSERVACION Y RECONSTRUCCION DE CARRETERAS ALIMENTADORAS REGION GUAYMAS-EMPALME, TRAMO: MI PATRIA ES PRIMERO DEL KM 0+000 AL 3+400 Y TRAMO BARCENAS-MAYTORENA, DEL KM 0+000 AL 3+400"/>
        <s v="CONSERVACION Y RECONSTRUCCION DE CARRETERAS ALIMENTADORAS REGION GUAYMAS-EMPALME, TRAMO: URSULO GALVAN-JUNELANCAHUI, DEL KM 0+000 AL KM 5+600"/>
        <s v="CONSERVACION Y RECONSTRUCCION DEL TRAMO URES-PUEBLO DE ALAMOS"/>
        <s v="CONSERVACION Y RECONSTRUCCION DEL TRAMO MAZATAN-HERMOSILLO"/>
        <s v="CONSERVACION Y RECONSTRUCCION DE LA VIALIDAD YAQUI-MAYO"/>
        <s v="CONSERVACION Y RECONSTRUCCION DE LA CARRETERA SAN IGNACIO-JUPATAHUECA"/>
        <s v="CONSERVACION Y RECONSTRUCCION DE CARRETERAS ALIMENTADORAS REGION GUAYMAS-EMPALME, TRAMO: E.C. (PROVIDENCIA-ORTIZ)-LA MISA"/>
        <s v="CONSTRUCCION DE LA CARRETERA E.C. 4 SUR (ALFREDO V. BONFIL) TRAMO DEL KM 1+700 AL KM 5+600 EN VARIAS LOCALIDADES DEL MUNICIPIO DE HERMOSILLO"/>
        <s v="CONSERVACION Y RECONSTRUCCION DEL TRAMO EL CRUCERO- VILLA HIDALGO (KM 0+000 AL 28+500)"/>
        <s v="CONSERVACION Y RECONSTRUCCION DEL TRAMO EL CRUCERO-GRANADOS DEL KM 0+000 AL KM 7+250"/>
        <s v="REHABILITACION DE RED DE CARRETERAS ALIMENTADORAS EN LA REGION DEL RIO DE SONORA EN EL ESTADO DE SONORA; SUBTRAMO KM 0+000 AL KM 75+000"/>
        <s v="REHABILITACION DE RED DE CARRETERAS ALIMENTADORAS EN LA REGION DEL RIO SONORA EN EL ESTADO DE SONORA; SUBTRAMO KM 75+000 AL KM 149+000."/>
        <s v="RECONSTRUCCION DE CALLE 28 NORTE, DEL KM 0 + 000 AL KM 10+160, Y DEL KM 17+210 AL 17+982, HERMOSILLO"/>
        <s v="MODERNIZACION Y RECONSTRUCCION DEL PERIFERICO EN NAVOJOA (E.C. MEXICO 15 - TETANCHOPO) DEL KM 7+031 AL KM 13+126 EN LA LOCALIDAD Y MUNICIPIO DE NAVOJOA, SONORA."/>
        <s v="CONSTRUCCION DE PUENTE VEHICULAR SOBRE RIO MAYO, EN EL PERIFERICO PONIENTE EN NAVOJOA"/>
      </sharedItems>
    </cacheField>
    <cacheField name="[Rango].[ESTIM.].[ESTIM.]" caption="ESTIM." numFmtId="0" hierarchy="7" level="1">
      <sharedItems count="12">
        <s v="ANTICIPO"/>
        <s v="EST. 01"/>
        <s v="EST. 02"/>
        <s v="EST. 03"/>
        <s v="EST. 04"/>
        <s v="EST. 05"/>
        <s v="EST. 06"/>
        <s v="EST. 07"/>
        <s v="EST. 08"/>
        <s v="EST. 09"/>
        <s v="EST. 10"/>
        <s v="EST. 11"/>
      </sharedItems>
    </cacheField>
    <cacheField name="[Rango].[CONTRATISTA].[CONTRATISTA]" caption="CONTRATISTA" numFmtId="0" hierarchy="16" level="1">
      <sharedItems count="28">
        <s v="CONSTRUKINO, S.A. DE C.V."/>
        <s v="EDIFICACIÓN INTEGRAL DEL NOROESTE, S.A. DE C.V."/>
        <s v="TEKTON INGENIERIA, S.A. DE C.V."/>
        <s v="CONSTRUCTORA SIVIRAL, S.A. DE C.V."/>
        <s v="GIBHER CONSTRUCTORES, S.A. DE C.V."/>
        <s v="GALEONEZS LM CONSTRUCCIONES, S. A. DE C. V."/>
        <s v="ADMINISTRADORA DE OBRAS OACSA, S.A. DE C.V."/>
        <s v="REVAL DESARROLLOS Y MATERIALES, S.A. DE C.V."/>
        <s v="NA CONSTRUCCIONES DEL PACIFICO, S.A. DE C.V."/>
        <s v="LA AZTECA CONSTRUCCIONES Y URBANIZACIONES, S.A. DE C.V."/>
        <s v="INGENIEROS CIVILES, S.A. DE C.V."/>
        <s v="EDIFICACIONES BOZA S.A. DE C.V."/>
        <s v="CONSTRUCCIONES VILLA DE SERIS, S. A. DE C. V."/>
        <s v="MEZQUITE CONSTRUCCIONES,S.A.DE C.V."/>
        <s v="GRUPO EMPRESARIAL BABASAC, S. A. DE C. V."/>
        <s v="MAQUINARIA Y AGREGADOS GALA S.A. DE C.V."/>
        <s v="DESARROLLOS TIBURCIO, S.A. DE C.V."/>
        <s v="ACQUA  DREN  INGENIERIA S.A. DE C.V."/>
        <s v="GLUYAS CONSTRUCCIONES S.A. DE C.V."/>
        <s v="TECNOASFALTOS Y TERRACERIAS, S.A. DE C.V."/>
        <s v="GRUPO MESIS, S.A. DE C.V."/>
        <s v="GILA MINAS Y DESARROLLOS SA DE CV"/>
        <s v="EDIFICACIONES Y PROYECTOS MOCELIK, S.A. DE C.V."/>
        <s v="CONSTRUCTORA SAITE, S.A. DE C.V."/>
        <s v="CONOSON SA DE CV"/>
        <s v="IKARO INGENIERIA Y ARQUITECTURA, S.A. DE C.V"/>
        <s v="RENTA, MOVIMIENTO DE CONSTRUCCION EQUIPEN, S.A. DE C.V."/>
        <s v="ING. LUIS EDUARDO GUERRA ESQUIVEL"/>
      </sharedItems>
    </cacheField>
    <cacheField name="[Rango].[FECHA].[FECHA]" caption="FECHA" numFmtId="0" hierarchy="21" level="1">
      <sharedItems containsSemiMixedTypes="0" containsNonDate="0" containsDate="1" containsString="0" minDate="2016-03-04T00:00:00" maxDate="2017-03-18T00:00:00" count="50">
        <d v="2016-03-18T00:00:00"/>
        <d v="2016-08-11T00:00:00"/>
        <d v="2016-09-19T00:00:00"/>
        <d v="2016-09-30T00:00:00"/>
        <d v="2016-10-28T00:00:00"/>
        <d v="2016-03-17T00:00:00"/>
        <d v="2016-06-08T00:00:00"/>
        <d v="2016-06-14T00:00:00"/>
        <d v="2016-06-11T00:00:00"/>
        <d v="2016-03-16T00:00:00"/>
        <d v="2016-06-23T00:00:00"/>
        <d v="2016-10-13T00:00:00"/>
        <d v="2016-10-20T00:00:00"/>
        <d v="2016-11-11T00:00:00"/>
        <d v="2016-12-08T00:00:00"/>
        <d v="2017-01-04T00:00:00"/>
        <d v="2016-03-04T00:00:00"/>
        <d v="2017-01-27T00:00:00"/>
        <d v="2016-04-07T00:00:00"/>
        <d v="2016-10-10T00:00:00"/>
        <d v="2016-04-12T00:00:00"/>
        <d v="2016-12-13T00:00:00"/>
        <d v="2016-12-30T00:00:00"/>
        <d v="2016-04-27T00:00:00"/>
        <d v="2016-05-20T00:00:00"/>
        <d v="2017-01-20T00:00:00"/>
        <d v="2017-03-17T00:00:00"/>
        <d v="2017-03-03T00:00:00"/>
        <d v="2017-03-16T00:00:00"/>
        <d v="2016-05-12T00:00:00"/>
        <d v="2016-12-19T00:00:00"/>
        <d v="2017-01-23T00:00:00"/>
        <d v="2017-01-25T00:00:00"/>
        <d v="2017-03-09T00:00:00"/>
        <d v="2017-03-07T00:00:00"/>
        <d v="2016-12-16T00:00:00"/>
        <d v="2016-12-25T00:00:00"/>
        <d v="2017-02-03T00:00:00"/>
        <d v="2016-05-25T00:00:00"/>
        <d v="2016-09-22T00:00:00"/>
        <d v="2017-02-14T00:00:00"/>
        <d v="2016-12-21T00:00:00"/>
        <d v="2016-09-20T00:00:00"/>
        <d v="2016-11-16T00:00:00"/>
        <d v="2017-02-02T00:00:00"/>
        <d v="2016-06-10T00:00:00"/>
        <d v="2016-10-04T00:00:00"/>
        <d v="2016-12-28T00:00:00"/>
        <d v="2016-11-24T00:00:00"/>
        <d v="2016-11-25T00:00:00"/>
      </sharedItems>
    </cacheField>
    <cacheField name="[Rango].[AVANCE FINCIERO ESTIMADO].[AVANCE FINCIERO ESTIMADO]" caption="AVANCE FINCIERO ESTIMADO" numFmtId="0" hierarchy="23" level="1">
      <sharedItems count="189">
        <s v=""/>
        <s v="21.80%"/>
        <s v="36.98%"/>
        <s v="22.13%"/>
        <s v="19.09%"/>
        <s v="17.86%"/>
        <s v="12.20%"/>
        <s v="7.16%"/>
        <s v="17.72%"/>
        <s v="16.66%"/>
        <s v="25.94%"/>
        <s v="2.47%"/>
        <s v="13.14%"/>
        <s v="19.75%"/>
        <s v="18.47%"/>
        <s v="7.63%"/>
        <s v="14.47%"/>
        <s v="12.03%"/>
        <s v="7.72%"/>
        <s v="5.55%"/>
        <s v="1.24%"/>
        <s v="1.64%"/>
        <s v="7.89%"/>
        <s v="31.46%"/>
        <s v="44.95%"/>
        <s v="14.06%"/>
        <s v="9.47%"/>
        <s v="38.86%"/>
        <s v="24.01%"/>
        <s v="19.41%"/>
        <s v="8.25%"/>
        <s v="4.10%"/>
        <s v="26.91%"/>
        <s v="18.76%"/>
        <s v="18.74%"/>
        <s v="29.61%"/>
        <s v="1.35%"/>
        <s v="5.39%"/>
        <s v="8.79%"/>
        <s v="17.21%"/>
        <s v="7.44%"/>
        <s v="3.86%"/>
        <s v="2.96%"/>
        <s v="21.34%"/>
        <s v="11.83%"/>
        <s v="9.39%"/>
        <s v="9.83%"/>
        <s v="24.15%"/>
        <s v="32.75%"/>
        <s v="31.16%"/>
        <s v="8.78%"/>
        <s v="0.20%"/>
        <s v="12.46%"/>
        <s v="3.67%"/>
        <s v="16.64%"/>
        <s v="33.56%"/>
        <s v="20.66%"/>
        <s v="13.01%"/>
        <s v="1.09%"/>
        <s v="2.36%"/>
        <s v="33.69%"/>
        <s v="26.23%"/>
        <s v="17.77%"/>
        <s v="7.87%"/>
        <s v="4.31%"/>
        <s v="6.68%"/>
        <s v="2.87%"/>
        <s v="12.33%"/>
        <s v="9.22%"/>
        <s v="12.43%"/>
        <s v="7.59%"/>
        <s v="4.46%"/>
        <s v="11.79%"/>
        <s v="16.76%"/>
        <s v="5.82%"/>
        <s v="0.06%"/>
        <s v="4.07%"/>
        <s v="4.05%"/>
        <s v="7.99%"/>
        <s v="7.82%"/>
        <s v="15.70%"/>
        <s v="23.88%"/>
        <s v="16.84%"/>
        <s v="11.54%"/>
        <s v="12.28%"/>
        <s v="8.01%"/>
        <s v="11.38%"/>
        <s v="21.50%"/>
        <s v="7.18%"/>
        <s v="9.02%"/>
        <s v="10.59%"/>
        <s v="13.72%"/>
        <s v="17.03%"/>
        <s v="21.23%"/>
        <s v="11.59%"/>
        <s v="14.83%"/>
        <s v="29.72%"/>
        <s v="28.81%"/>
        <s v="16.50%"/>
        <s v="14.91%"/>
        <s v="14.22%"/>
        <s v="11.91%"/>
        <s v="48.88%"/>
        <s v="6.76%"/>
        <s v="4.64%"/>
        <s v="39.52%"/>
        <s v="30.55%"/>
        <s v="20.56%"/>
        <s v="4.26%"/>
        <s v="4.28%"/>
        <s v="12.21%"/>
        <s v="7.34%"/>
        <s v="21.18%"/>
        <s v="15.21%"/>
        <s v="0.51%"/>
        <s v="25.58%"/>
        <s v="33.17%"/>
        <s v="3.89%"/>
        <s v="23.43%"/>
        <s v="7.66%"/>
        <s v="18.24%"/>
        <s v="50.70%"/>
        <s v="19.17%"/>
        <s v="6.36%"/>
        <s v="5.53%"/>
        <s v="34.69%"/>
        <s v="26.43%"/>
        <s v="20.46%"/>
        <s v="13.55%"/>
        <s v="4.02%"/>
        <s v="21.92%"/>
        <s v="36.56%"/>
        <s v="38.01%"/>
        <s v="3.50%"/>
        <s v="8.52%"/>
        <s v="6.64%"/>
        <s v="22.54%"/>
        <s v="11.47%"/>
        <s v="10.08%"/>
        <s v="10.09%"/>
        <s v="8.26%"/>
        <s v="14.34%"/>
        <s v="11.75%"/>
        <s v="27.31%"/>
        <s v="2.37%"/>
        <s v="13.73%"/>
        <s v="9.73%"/>
        <s v="20.83%"/>
        <s v="12.83%"/>
        <s v="3.96%"/>
        <s v="0.70%"/>
        <s v="12.75%"/>
        <s v="11.81%"/>
        <s v="0.05%"/>
        <s v="2.79%"/>
        <s v="8.06%"/>
        <s v="25.56%"/>
        <s v="25.01%"/>
        <s v="2.70%"/>
        <s v="3.07%"/>
        <s v="5.96%"/>
        <s v="11.11%"/>
        <s v="18.85%"/>
        <s v="20.48%"/>
        <s v="16.37%"/>
        <s v="12.36%"/>
        <s v="1.41%"/>
        <s v="2.95%"/>
        <s v="13.53%"/>
        <s v="6.30%"/>
        <s v="18.56%"/>
        <s v="7.24%"/>
        <s v="13.31%"/>
        <s v="13.66%"/>
        <s v="14.66%"/>
        <s v="7.36%"/>
        <s v="20.30%"/>
        <s v="19.01%"/>
        <s v="17.66%"/>
        <s v="7.35%"/>
        <s v="2.40%"/>
        <s v="3.75%"/>
        <s v="2.53%"/>
        <s v="6.77%"/>
        <s v="15.82%"/>
        <s v="31.34%"/>
        <s v="17.37%"/>
        <s v="1.12%"/>
        <s v="14.81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.29220000000000002" maxValue="1" count="22">
        <n v="1"/>
        <n v="0.98119999999999996"/>
        <n v="0.99390000000000001"/>
        <n v="0.98319999999999996"/>
        <n v="0.80410000000000004"/>
        <n v="0.93110000000000004"/>
        <n v="0.74160000000000004"/>
        <n v="0.89859999999999995"/>
        <n v="0.96679999999999999"/>
        <n v="0.99529999999999996"/>
        <n v="0.60219999999999996"/>
        <n v="0.94240000000000002"/>
        <n v="0.99150000000000005"/>
        <n v="0.99990000000000001"/>
        <n v="0.9194"/>
        <n v="0.98550000000000004"/>
        <n v="0.29220000000000002"/>
        <n v="0.61470000000000002"/>
        <n v="0.98340000000000005"/>
        <n v="0.63300000000000001"/>
        <n v="0.31269999999999998"/>
        <n v="0.64639999999999997"/>
      </sharedItems>
    </cacheField>
    <cacheField name="[Rango].[AV. FINANCIERO GENERAL].[AV. FINANCIERO GENERAL]" caption="AV. FINANCIERO GENERAL" numFmtId="0" hierarchy="25" level="1">
      <sharedItems count="21">
        <s v="100.00%"/>
        <s v="98.69%"/>
        <s v="99.37%"/>
        <s v="98.31%"/>
        <s v="85.99%"/>
        <s v="95.18%"/>
        <s v="74.16%"/>
        <s v="92.90%"/>
        <s v="96.68%"/>
        <s v="99.67%"/>
        <s v="72.15%"/>
        <s v="94.25%"/>
        <s v="99.16%"/>
        <s v="91.94%"/>
        <s v="98.98%"/>
        <s v="50.46%"/>
        <s v="73.02%"/>
        <s v="98.83%"/>
        <s v="74.31%"/>
        <s v="51.89%"/>
        <s v="75.25%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2" memberValueDatatype="130" unbalanced="0">
      <fieldsUsage count="2">
        <fieldUsage x="-1"/>
        <fieldUsage x="10"/>
      </fieldsUsage>
    </cacheHierarchy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76273145" backgroundQuery="1" createdVersion="5" refreshedVersion="5" minRefreshableVersion="3" recordCount="0" supportSubquery="1" supportAdvancedDrill="1">
  <cacheSource type="external" connectionId="1"/>
  <cacheFields count="11">
    <cacheField name="[Measures].[Suma de NETO A PAGAR]" caption="Suma de NETO A PAGAR" numFmtId="0" hierarchy="27" level="32767"/>
    <cacheField name="[Rango].[ESTATUS].[ESTATUS]" caption="ESTATUS" numFmtId="0" hierarchy="20" level="1">
      <sharedItems count="4">
        <s v="1. S.H. PAGADO"/>
        <s v="4. ESPERA FACT."/>
        <s v="6. DGEO REV."/>
        <s v="3. O.P. DGPE"/>
      </sharedItems>
    </cacheField>
    <cacheField name="[Rango].[MONTO DE CONTRATO].[MONTO DE CONTRATO]" caption="MONTO DE CONTRATO" numFmtId="0" hierarchy="22" level="1">
      <sharedItems count="6">
        <s v=" 20,694,418.35"/>
        <s v=" 18,289,741.39"/>
        <s v=" 45,827,894.39"/>
        <s v=" 19,015,925.61"/>
        <s v=" 22,599,852.19"/>
        <s v=" 25,515,708.31" u="1"/>
      </sharedItems>
    </cacheField>
    <cacheField name="[Rango].[CONTRATO].[CONTRATO]" caption="CONTRATO" numFmtId="0" hierarchy="4" level="1">
      <sharedItems count="5">
        <s v="SIDUR-ED-16-043"/>
        <s v="SIDUR-ED-16-044"/>
        <s v="SIDUR-ED-16-045"/>
        <s v="SIDUR-ED-16-046"/>
        <s v="SIDUR-ED-16-047"/>
      </sharedItems>
    </cacheField>
    <cacheField name="[Rango].[OBRA].[OBRA]" caption="OBRA" numFmtId="0" hierarchy="3" level="1">
      <sharedItems count="5">
        <s v="RECONSTRUCCION DE CALLE 28 NORTE, DEL KM 0 + 000 AL KM 10+160, Y DEL KM 17+210 AL 17+982, HERMOSILLO"/>
        <s v="RECONSTRUCCION DE LA CALLE GUERRERO DEL KM 0+000 AL KM 6+020"/>
        <s v="RECONSTRUCCION DE CALLE 26 DEL KM 70+000 AL 101+300 EN VARIAS LOCALIDADES DEL MUNICIPIO DE HERMOSILLO, SONORA"/>
        <s v="RECONSTRUCCION DE E. C. (HERMOSILLO-BAHIA DE KINO)- GRANJA ACUICOLA SAN NICOLAS DEL KM 0+000 AL KM 10+410, HERMOSILLO"/>
        <s v="RECONSTRUCCION DE E.C. (CALLE 36 SUR) GRANJAS ACUICOLAS DEL KM 0+000 AL KM 12+660, EN VARIAS LOCALIDADES DEL MUNICIPIO DE HERMOSILLO."/>
      </sharedItems>
    </cacheField>
    <cacheField name="[Rango].[ESTIM.].[ESTIM.]" caption="ESTIM." numFmtId="0" hierarchy="7" level="1">
      <sharedItems count="12">
        <s v="ANTICIPO"/>
        <s v="EST. 01"/>
        <s v="EST. 02"/>
        <s v="EST. 03"/>
        <s v="EST. 04"/>
        <s v="EST. 05"/>
        <s v="EST. 06"/>
        <s v="EST. 07"/>
        <s v="EST. 08"/>
        <s v="EST. 09"/>
        <s v="EST. 10"/>
        <s v="EST. 11"/>
      </sharedItems>
    </cacheField>
    <cacheField name="[Rango].[CONTRATISTA].[CONTRATISTA]" caption="CONTRATISTA" numFmtId="0" hierarchy="16" level="1">
      <sharedItems count="5">
        <s v="GRUPO EMPRESARIAL BABASAC, S. A. DE C. V."/>
        <s v="ZERO EDIFICACIONES,S.A. DE C.V."/>
        <s v="GYEMM INMOBILIARIA Y DISEÑOS EN INGENIERIA Y ARQUITECTURA, S.A. DE C.V."/>
        <s v="GALEONEZS LM CONSTRUCCIONES, S. A. DE C. V."/>
        <s v="RENTA, MOVIMIENTO DE CONSTRUCCION EQUIPEN, S.A. DE C.V."/>
      </sharedItems>
    </cacheField>
    <cacheField name="[Rango].[FECHA].[FECHA]" caption="FECHA" numFmtId="0" hierarchy="21" level="1">
      <sharedItems containsSemiMixedTypes="0" containsNonDate="0" containsDate="1" containsString="0" minDate="2016-05-25T00:00:00" maxDate="2017-03-18T00:00:00" count="21">
        <d v="2016-06-08T00:00:00"/>
        <d v="2016-12-08T00:00:00"/>
        <d v="2017-01-27T00:00:00"/>
        <d v="2017-02-03T00:00:00"/>
        <d v="2017-03-17T00:00:00"/>
        <d v="2016-05-25T00:00:00"/>
        <d v="2016-09-30T00:00:00"/>
        <d v="2016-11-29T00:00:00"/>
        <d v="2017-03-07T00:00:00"/>
        <d v="2017-03-16T00:00:00"/>
        <d v="2016-06-14T00:00:00"/>
        <d v="2016-10-10T00:00:00"/>
        <d v="2016-10-31T00:00:00"/>
        <d v="2017-01-20T00:00:00"/>
        <d v="2017-03-15T00:00:00"/>
        <d v="2017-03-14T00:00:00"/>
        <d v="2016-12-22T00:00:00"/>
        <d v="2017-02-08T00:00:00"/>
        <d v="2016-06-10T00:00:00"/>
        <d v="2016-11-11T00:00:00"/>
        <d v="2017-03-13T00:00:00"/>
      </sharedItems>
    </cacheField>
    <cacheField name="[Rango].[AVANCE FINCIERO ESTIMADO].[AVANCE FINCIERO ESTIMADO]" caption="AVANCE FINCIERO ESTIMADO" numFmtId="0" hierarchy="23" level="1">
      <sharedItems count="38">
        <s v=""/>
        <s v="13.66%"/>
        <s v="14.66%"/>
        <s v="7.36%"/>
        <s v="20.30%"/>
        <s v="19.01%"/>
        <s v="17.66%"/>
        <s v="7.35%"/>
        <s v="2.56%"/>
        <s v="7.12%"/>
        <s v="25.13%"/>
        <s v="27.98%"/>
        <s v="32.58%"/>
        <s v="0.30%"/>
        <s v="4.33%"/>
        <s v="3.43%"/>
        <s v="8.96%"/>
        <s v="13.59%"/>
        <s v="5.92%"/>
        <s v="4.70%"/>
        <s v="4.56%"/>
        <s v="2.58%"/>
        <s v="6.28%"/>
        <s v="5.30%"/>
        <s v="20.97%"/>
        <s v="36.04%"/>
        <s v="20.22%"/>
        <s v="6.35%"/>
        <s v="4.48%"/>
        <s v="1.73%"/>
        <s v="3.83%"/>
        <s v="2.89%"/>
        <s v="2.95%"/>
        <s v="5.95%"/>
        <s v="4.80%"/>
        <s v="5.48%"/>
        <s v="8.61%"/>
        <s v="19.92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.50019999999999998" maxValue="1" count="4">
        <n v="1"/>
        <n v="0.50019999999999998"/>
        <n v="0.82530000000000003"/>
        <n v="0.66990000000000005"/>
      </sharedItems>
    </cacheField>
    <cacheField name="[Rango].[AV. FINANCIERO GENERAL].[AV. FINANCIERO GENERAL]" caption="AV. FINANCIERO GENERAL" numFmtId="0" hierarchy="25" level="1">
      <sharedItems count="4">
        <s v="100.00%"/>
        <s v="65.01%"/>
        <s v="87.77%"/>
        <s v="76.89%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2" memberValueDatatype="130" unbalanced="0">
      <fieldsUsage count="2">
        <fieldUsage x="-1"/>
        <fieldUsage x="10"/>
      </fieldsUsage>
    </cacheHierarchy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78356485" backgroundQuery="1" createdVersion="5" refreshedVersion="5" minRefreshableVersion="3" recordCount="0" supportSubquery="1" supportAdvancedDrill="1">
  <cacheSource type="external" connectionId="1"/>
  <cacheFields count="10">
    <cacheField name="[Measures].[Suma de NETO A PAGAR]" caption="Suma de NETO A PAGAR" numFmtId="0" hierarchy="27" level="32767"/>
    <cacheField name="[Rango].[ESTATUS].[ESTATUS]" caption="ESTATUS" numFmtId="0" hierarchy="20" level="1">
      <sharedItems count="6">
        <s v="1. S.H. PAGADO"/>
        <s v="5.1 ESPERA OFICIO"/>
        <s v="2. S.H. PENDIENTE"/>
        <s v="3.1 O.P. DGPE S/CONV."/>
        <s v="4. ESPERA FACT."/>
        <s v="5. SOL. PEDIDO"/>
      </sharedItems>
    </cacheField>
    <cacheField name="[Rango].[MONTO DE CONTRATO].[MONTO DE CONTRATO]" caption="MONTO DE CONTRATO" numFmtId="0" hierarchy="22" level="1">
      <sharedItems count="65">
        <s v=" 789,105.03"/>
        <s v=" 525,494.24"/>
        <s v=" 703,223.55"/>
        <s v=" 1,055,021.97"/>
        <s v=" 2,497,488.54"/>
        <s v=" 220,885.44"/>
        <s v=" 338,488.93"/>
        <s v=" 189,320.00"/>
        <s v=" 110,854.24"/>
        <s v=" 2,299,094.85"/>
        <s v=" 1,146,994.15"/>
        <s v=" 1,648,266.09"/>
        <s v=" 3,389,999.24"/>
        <s v=" 2,445,138.97"/>
        <s v=" 1,948,486.80"/>
        <s v=" 2,428,933.57"/>
        <s v=" 1,367,299.18"/>
        <s v=" 1,028,990.34"/>
        <s v=" 1,216,824.22"/>
        <s v=" 333,168.80"/>
        <s v=" 706,809.62"/>
        <s v=" 798,051.37"/>
        <s v=" 779,094.22"/>
        <s v=" 623,622.72"/>
        <s v=" 449,609.84"/>
        <s v=" 739,633.54"/>
        <s v=" 838,791.85"/>
        <s v=" 470,588.81"/>
        <s v=" 823,528.08"/>
        <s v=" 674,014.68"/>
        <s v=" 36,659.00"/>
        <s v=" 72,670.00"/>
        <s v=" 57,460.00"/>
        <s v=" 44,459.99"/>
        <s v=" 121,939.99"/>
        <s v=" 73,189.99"/>
        <s v=" 227,629.99"/>
        <s v=" 51,999.99"/>
        <s v=" 878,717.92"/>
        <s v=" 439,187.60"/>
        <s v=" 790,968.61"/>
        <s v=" 529,215.08"/>
        <s v=" 659,996.82"/>
        <s v=" 247,814.28"/>
        <s v=" 70,967.48"/>
        <s v=" 4,585,637.60"/>
        <s v=" 2,706,741.39"/>
        <s v=" 2,329,580.42"/>
        <s v=" 2,346,107.56"/>
        <s v=" 1,369,447.44"/>
        <s v=" 608,472.50"/>
        <s v=" 573,551.26"/>
        <s v=" 3,398,669.09"/>
        <s v=" 1,131,962.70"/>
        <s v=" 986,157.02"/>
        <s v=" 3,390,447.65"/>
        <s v=" 297,888.00"/>
        <s v=" 968,879.00"/>
        <s v=" 354,935.96"/>
        <s v=" 500,112.28"/>
        <s v=" 401,357.31"/>
        <s v=" 365,787.30"/>
        <s v=" 638,000.00"/>
        <s v=" 233,558.91"/>
        <s v=" 25,515,708.31" u="1"/>
      </sharedItems>
    </cacheField>
    <cacheField name="[Rango].[CONTRATO].[CONTRATO]" caption="CONTRATO" numFmtId="0" hierarchy="4" level="1">
      <sharedItems count="69">
        <s v="SIDUR-ED-16-056"/>
        <s v="SIDUR-ED-16-057"/>
        <s v="SIDUR-ED-16-058"/>
        <s v="SIDUR-ED-16-060"/>
        <s v="SIDUR-ED-16-061"/>
        <s v="SIDUR-ED-16-063"/>
        <s v="SIDUR-ED-16-064"/>
        <s v="SIDUR-ED-16-066"/>
        <s v="SIDUR-ED-16-072"/>
        <s v="SIDUR-ED-16-073"/>
        <s v="SIDUR-ED-16-079"/>
        <s v="SIDUR-ED-16-103"/>
        <s v="SIDUR-ED-16-104"/>
        <s v="SIDUR-ED-16-105"/>
        <s v="SIDUR-ED-16-106"/>
        <s v="SIDUR-ED-16-107"/>
        <s v="SIDUR-ED-16-108"/>
        <s v="SIDUR-ED-16-111"/>
        <s v="SIDUR-ED-16-112"/>
        <s v="SIDUR-ED-16-113"/>
        <s v="SIDUR-ED-16-114"/>
        <s v="SIDUR-ED-16-115"/>
        <s v="SIDUR-ED-16-123"/>
        <s v="SIDUR-ED-16-124"/>
        <s v="SIDUR-ED-16-125"/>
        <s v="SIDUR-ED-16-126"/>
        <s v="SIDUR-ED-16-127"/>
        <s v="SIDUR-ED-16-131"/>
        <s v="SIDUR-ED-16-132"/>
        <s v="SIDUR-ED-16-133"/>
        <s v="SIDUR-ED-16-146"/>
        <s v="SIDUR-ED-16-148"/>
        <s v="SIDUR-ED-16-151"/>
        <s v="SIDUR-ED-16-152"/>
        <s v="SIDUR-ED-16-153"/>
        <s v="SIDUR-ED-16-154"/>
        <s v="SIDUR-ED-16-157"/>
        <s v="SIDUR-ED-16-158"/>
        <s v="SIDUR-ED-16-159"/>
        <s v="SIDUR-ED-16-164"/>
        <s v="SIDUR-ED-16-165"/>
        <s v="SIDUR-ED-16-166"/>
        <s v="SIDUR-ED-16-173"/>
        <s v="SIDUR-ED-16-174"/>
        <s v="SIDUR-ED-16-175"/>
        <s v="SIDUR-ED-16-177"/>
        <s v="SIDUR-ED-16-178"/>
        <s v="SIDUR-ED-16-179"/>
        <s v="SIDUR-ED-16-180"/>
        <s v="SIDUR-ED-16-182"/>
        <s v="SIDUR-ED-16-183"/>
        <s v="SIDUR-ED-16-184"/>
        <s v="SIDUR-ED-16-185"/>
        <s v="SIDUR-ED-16-186"/>
        <s v="SIDUR-ED-16-194"/>
        <s v="SIDUR-ED-16-228"/>
        <s v="SIDUR-ED-16-256"/>
        <s v="SIDUR-ED-16-257"/>
        <s v="SIDUR-ED-16-366"/>
        <s v="SIDUR-ED-16-367."/>
        <s v="SIDUR-ED-16-387"/>
        <s v="SIDUR-ED-16-394"/>
        <s v="SIDUR-PF-16-319"/>
        <s v="SIDUR-PF-16-320"/>
        <s v="SIDUR-PF-16-321"/>
        <s v="SIDUR-PF-16-322"/>
        <s v="SIDUR-PF-16-491"/>
        <s v="SIDUR-PF-16-492"/>
        <s v="SIDUR-ED-16-109" u="1"/>
      </sharedItems>
    </cacheField>
    <cacheField name="[Rango].[OBRA].[OBRA]" caption="OBRA" numFmtId="0" hierarchy="3" level="1">
      <sharedItems count="74" longText="1">
        <s v="SUPERVISION EXTERNA Y CONTROL DE CALIDAD DE LA OBRA RECONSTRUCCIÓN DEL CAMINO CALLE 16 EN VARIAS LOCALIDADES DEL MUNICIPIO DE CAJEME, SONORA."/>
        <s v="SUPERVISION EXTERNA Y CONTROL DE CALIDAD PARA LA OBRA RECONSTRUCCION DE CAMINO HUATABAMPO - YAVAROS EN VARIAS LOCALIDADES DEL MUNICIPIO DE HUATABAMPO."/>
        <s v="SUPERVISION EXTERNA Y CONTROL DE CALIDAD PARA LA OBRA: RECONSTRUCCIÓN DEL CAMINO CALLE 12 SUR, HERMOSILLO, SONORA."/>
        <s v="SUPERVISION EXTERNA Y CONTROL DE CALIDAD PARA LA OBRA RECONSTRUCCION DEL CAMINO NAVOJOA-ETCHOJOA-HUATABAMPO DE VARIAS LOCALIDADES Y MUNICIPIOS DE SONORA."/>
        <s v="SUPERVISION EXTERNA Y CONTROL DE CALIDAD PARA LA OBRA RECONSTRUCCION DE CAMINO HORNOS - ROSARIO EN VARIAS LOCALIDADES DE VARIOS MUNICIPIOS DEL ESTADO DE SONORA."/>
        <s v="SUPERVISION EXTERNA Y CONTROL DE CALIDAD PARA LA OBRA RECONSTRUCCION DE CAMINO CALLE 600 VARIOS TRAMOS DEL KM 20+100 AL KM 40+700 EN VARIAS LOCALIDADES DEL MUNICIPIO DE CAJEME, SONORA"/>
        <s v="SUPERVISION EXTERNA Y CONTROL DE CALIDAD PARA LA OBRA RECONSTRUCCION DE CAMINO CALLE 900 VARIOS TRAMOS DEL KM 8+200 AL KM 36+139 EN VARIAS LOCALIDADES DEL MUNICIPIO DE CAJEME, SONORA"/>
        <s v="SUPERVISION EXTERNA Y CONTROL DE CALIDAD DE LA CONSTRUCCION DE CENTRO DE ATENCION TEMPRANA EN EL DISTRITO DE NAVOJOA"/>
        <s v="SUPERVISION EXTERNA Y CONTROL DE CALIDAD DE LA RECONSTRUCCIÓN DEL CAMINO BACAME NUEVO"/>
        <s v="DIRECTOR RESPONSABLE DE OBRA: CONSTRUCCIÓN DE BODEGA DE EVIDENCIAS EN EL DISTRITO DE HERMOSILLO PRIMERA ETAPA, EN LA LOCALIDAD Y MUNICIPIO DE HERMOSILLO, SONORA."/>
        <s v="SUPERVISION EXTERNA Y CONTROL DE CALIDAD PARA LA OBRA: CONSTRUCCION, REHABILITACION Y EQUIPAMIENTO DE UNIDAD DEPORTIVA FAUSTINO FELIX ETAPA 3, EN LA LOCALIDAD Y MUNICIPIO DE NAVOJOA, SONORA."/>
        <s v="SUPERVISION EXTERNA Y CONTROL DE CALIDAD CONSTRUCCION Y RECONSTRUCCION DEL TRAMO CABORCA-Y GRIEGA EN LA LOCALIDAD DE CABORCA, SONORA"/>
        <s v="SUPERVISION EXTERNA Y CONTROL DE CALIDAD DE RECONSTRUCCION DEL CAMINO HERMOSILLO-BAHIA DE KINO EN VARIAS LOCALIADES DEL MUNICIPIO DE HERMOSILLO, SONORA."/>
        <s v="SUPERVISION EXTERNA Y CONTROL DE CALIDAD DE CONSERVACION Y RECONSTRUCCION DEL TRAMO MOCTEZUMA - EL CRUCERO (TRAMO KM 164+500 AL KM 210+750) EN LA REGION DE LA SIERRA EN VARIAS LOCALIDADES DE VARIOS MUNICPIOS DEL ESTADO DE SONORA."/>
        <s v="SUPERVISION EXTERNA Y CONTROL DE CALIDAD DE CONSERVACION Y RECONSTRUCCION DEL TRAMO NOVILLO - BACANORA - SAHUARIPA - SAN NICOLAS EN VARIAS LOCALIDADES DE VARIOS MUNICIPIOS DEL ESTADO DE SONORA."/>
        <s v="SUPERVISION EXTERNA Y CONTROL DE CALIDAD CONCLUSION DE LA MODERNIZACION Y RECONSTRUCCION DEL TRAMO ESPERANZA - HORNOS (DEL KM 8 + 800 AL KM 17 + 400)"/>
        <s v="SUPERVISION EXTERNA Y CONTROL DE CALIDAD DE MODERIZACION Y RECONSTRUCCION DEL TRAMO ETCHOJOA - BACOBAMPO EN VARIAS LOCALIDADES DEL MUNICIPIO DE ETCHOJOA, SONORA."/>
        <s v="SUPERVISION EXTERNA PARA LA OBRA: CONSTRUCCION DE PARQUE, PLAYA Y BALNEARIO KINO MAGICO (ETAPA 1) EN LA COMISARIA DE BAHIA DE KINO MUNICIPIO DE HERMOSILLO, SONORA."/>
        <s v="SUPERVISION EXTERNA Y CONTROL DE CALIDAD DE LAS OBRAS DE REHABILITACION DEL DELFINARIO SONORA (PRIMERA ETAPA)"/>
        <s v="SUPERVISION EXTERNA Y CONTROL DE CALIDAD PARA LA OBRA: CONSERVACIÓN Y RECONSTRUCCION DEL TRAMO MAZATÁN-VILLA PESQUEIRA-SAN PEDRO DE LA CUEVA EN LA REGION DE LA SIERRA EN VARIAS LOCALIDADES DE VARIOS MUNICIPIOS EN SONORA."/>
        <s v="SUPERVISION EXTERNA Y CONSTROL DE CALIDAD DE LA OBRA: CONSERVACION Y RECONSTRUCCION DEL TRAMO URES - PUEBLO DE ALAMOS EN VARIAS LOCALIDADES DEL MUNICIPIO DE URES."/>
        <s v="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"/>
        <s v="SUPERVISION EXTERNA Y CONTROL DE CALIDAD PARA LA OBRA: RECONSTRUCCION DEL CAMINO E.C. FEDERAL 15-LAS BOCAS"/>
        <s v="SUPERVISION EXTERNA Y CONTROL DE CALIDAD DE LA CONSERVACION Y RECONSTRUCCION DE LA VIALIDAD YAQUI-MAYO"/>
        <s v="SUPERVISION EXTERNA Y CONTROL DE CALIDAD DE LA OBRA: CONSERVACION Y RECONSTRUCCION DEL TRAMO MAZATAN - HERMOSILLO EN VARIAS LOCALIDADES DE VARIOS MUNICIPIOS DEL ESTADO DE SONORA."/>
        <s v="SUPERVISION EXYERNA Y CONTROL DE CALIDAD DE LA CONSERVACION Y RECONSTRUCCION DE CARRETERAS ALIMENTADORAS REGION GUAYMAS--EMPALME, TRAMO: AGUILITAS-BRINGAS DEL KM 0+000 AL KM 10+500"/>
        <s v="SUPERVISION EXTERNA Y CONTROL DE CALIDAD DE LA CONSERVACION Y RECONSTRUCCION DE CARRETERAS ALIMENTADORAS REGION GUAYMAS-EMPALME, TRAMO: URSULO GALVAN-JUNELANCAHUI, DEL KM 0+000 AL KM 5+600"/>
        <s v="SUPERVISION EXTERNA Y CONTROL DE CALIDAD DE LA OBRA: RECONSTRUCCION  DEL CAMINO  CALLE 1900 EN VARIAS LOCALIDADES DEL MUNICIPIO DE CAJEME, SONORA."/>
        <s v=" SUPERVISION EXTERNA Y CONTROL DE CALIDAD DE LA CONSERVACION Y RECONSTRUCCION DE CARRETERAS ALIMENTADORAS REGION GUAYMAS-EMPALME, TRAMO: E.C. (PROVIDENCIA-ORTIZ)-LA MISA"/>
        <s v="SUPERVISION EXTERNA Y CONTROL DE CALIDAD DE LA CONSERVACION Y RECONSTRUCCION DEL TRAMO EL CRUCERO-GRANADOS DEL KM 0+000 AL KM 7+250"/>
        <s v="SUPERVISION EXTERNA Y CONTROL DE CALIDAD DE LA CONSERVACION Y RECONSTRUCCION DEL TRAMO EL CRUCERO- VILLA HIDALGO (KM 0+000 AL 28+500)"/>
        <s v="SUPERVISION Y CONTROL DE CALIDAD DE LA CONSERVACION Y RECONSTRUCCION DE LA CARRETERA SAN IGNACIO-JUPATAHUECA"/>
        <s v="VERIFICACION DE INSTALACIONES ELECTRICAS EN LA  REHABILITACION DE EDIFICIO PARA ALBERGAR JUZGADO DE ORALIDAD PENAL CON SEDE EN SAN LUIS RIO COLORADO"/>
        <s v="VERIFICACION DE INSTALACIONES ELECTRICAS DE LA CONSTRUCCION Y REMODELACION DEL CENTRO DE ATENCION TEMPRANA EN EL DISTRITO DE SAN LUIS RIO COLORADO"/>
        <s v="VERIFICACION DE INSTALACIONES ELECTRICAS DE LA AMPLIACION DE EDIFICIO PARA ALBERGAR JUZGADO DE ORALIDAD PENAL CON SEDE EN CABORCA"/>
        <s v="VERIFICACION DE INSTALACIONES ELECTRICAS DE LA CONTRUCCION DE CENTRO DE ATENCION TEMPRANA EN EL DISTRITO DE ALTAR CON SEDE EN CABORCA."/>
        <s v="VERIFICACION DE INSTALACIONES ELECTRICAS DE LA CONSTRUCCION DE LA BODEGA DE EVIDENCIAS DEL DISTRITO DE HERMOSILLO, PRIMERA ETAPA"/>
        <s v="VERIFICACION DE INSTALACIONES ELECTRICAS EN LA CONSTRUCCION DE EDIFICIO PARA ALBERGAR EL JUZGADO DE ORALIDAD PENAL DE GUAYMAS"/>
        <s v="VERIFICACION DE INSTALACIONES ELECTRICAS DE LA CONSTRUCCION DE CENTRO DE ATENCION TEMPRANA EN EL DISTRITO DE GUAYMAS"/>
        <s v="VERIFICACION DE INSTALACIONES ELECTRICAS DE LA CONSTRUCCION DEL EDIFICIO PARA ALBERGAR EL JUZGADO DE ORALIDAD PENAL CON SEDE EN CIUDAD OBREGON."/>
        <s v="VERIFICACION DE INSTALACIONES ELECTRICAS DE LA OBRA: CONSTRUCCION DE CENTRO DE ATENCION TEMPRANA EN EL DISTRITO DE CAJEME"/>
        <s v="VERIFICACION DE INSTALACIONES ELECTRICAS DE LA CONSTRUCCION DE EDIFICIO PARA ALBERGAR EL JUZGADO DE ORALIDAD PENAL DE NOGALES."/>
        <s v="SUPERVISOR EXTERNA Y CONTROL CALIDAD DE RECARPETEO CON MICROCARPETA ASFALTICA DE 3.0 CM DE ESPESOR EN VARIAS CALLES Y AVENIDAS"/>
        <s v="SUPERVISION EXTERNA Y CONTROL DE CALIDAD DE LA RECONSTRUCCION DE CAMINO BACABACHI HUATABAMPO VARIOS TRAMOS DEL KM 5+600 AL KM 25+500"/>
        <s v="SUPERVISION EXTERNA Y CONTROL DE CALIDAD DE LA CONSTRUCCION DE LA CARRETERA E.C. CALLE 4 SUR- (ALFREDO V. BONFIL) TRAMO DEL KM 1+700 AL KM 5+000"/>
        <s v="SUPERVISION EXTERNA Y CONTROL DE CALIDAD DE LA OBRA: RECONSTRUCCION DE LA CALLE GUERRERO DEL KM 0+000 AL 6+020 EN VARIAS LOCALIDADES DEL MUNICIPIO DE HERMOSILLO, SONORA."/>
        <s v="SUPERVISION EXTERNA Y CONTROL DE CALIDADES DE LA RECONSTRUCCION DE E.C. (CALLE 36 SUR) - GRANJAS ACUICOLAS, DEL KM. 0 + 000 AL KM 12 + 660, HERMOSILLO"/>
        <s v="SUPERVISION EXTERNA Y CONTROL DE CALIDAD DE CONSTRUCCION DE LA BODEGA DE EVIDENCIAS DEL DISTRITO DE HERMOSILLO, PRIMERA ETAPA"/>
        <s v="SUPERVISION EXTERNA Y CONTROL DE CALIDAD DE LA REHABILITACION DE EDIFICIO PARA ALBERGAR JUZGADO DE ORALIDAD PENAL DEL DISTRITO JUDICIAL CON SEDE EN HERMOSILLO, 2DA ETAPA"/>
        <s v="SUPERVISION EXTERNA Y CONTROL DE CALIDAD DE LA MODERNIZACION DEL PERIFERICO PONIENTE (1 ETAPA), NAVOJOA"/>
        <s v="SUPERVISION EXTERNA Y CONTROL DE CALIDAD DE LA MODERNIZACION Y RECONSTRUCCION DEL PERIFERICO EN NAVOJOA (E.C. MEXICO 15-TETANCHOPO DEL KM 7+031 AL KM 13+326"/>
        <s v="SUPERVISION EXTERNA Y CONTROL DE CALIDAD DE LA REHABILITACION DE RED DE CARRETERAS ALIMENTADORAS EN LA REGION DEL RIO SONORA; SUBTRAMO KM 0+000 AL KM 75+000"/>
        <s v="SUPERVISION EXTERNA Y CONTROL DE CALIDAD DE LA REHABILITACION DE RED DE CARRETERAS ALIMENTADORAS EN LA REGION DEL RIO SONORA; SUBTRAMO KM 75+000 AL KM 149+000"/>
        <s v="SUPERVISION EXTERNA Y CONTROL DE CALIDAD DE LA RECONSTRUCCION DE CALLE 26, DEL KM 70+000 AL KM 101+300, HERMOSILLO"/>
        <s v="SUPERVISION EXTERNA Y CONTROL DE CALIDAD DE LA RECONSTRUCCION DE CALLE 28 NORTE, DEL KM 0 + 000 AL KM 10+160, Y DEL KM 17+210 AL 17+982, HERMOSILLO"/>
        <s v="SUPERVISION Y CONTROL DE CALIDAD DE LA OBRA: RECONSTRUCCION DE E.C. (HERMOSILLO -  BAHIA DE KINO) - GRANJA ACUICOLA SAN NICOLAS DEL KM 0+000 AL KM 10+410 EN VARIAS LOCALIDADES DE HERMOSILLO, SONORA."/>
        <s v="SUPERVISION EXTERNA Y CONTROL DE CALIDAD DE LA OBRA: CONSTRUCCION DE PUENTE VEHICULAR SOBRE RIO MAYO, EN EL PERIFERICO PONIENTE EN NAVOJOA"/>
        <s v="SUPERVISION EXTERNA Y CONTROL DE CALIDAD DE LA OBRA: CONSTRUCCIÓN DE CENTRO DE REHABILITACIÓN Y EDUCACIÓN ESPECIAL EN LA LOCALIDAD DE CD. OBREGON MUNICIPIO DE CAJEME, SONORA."/>
        <s v="SUPERVISION EXTERNA Y CONTROL DE CALIDAD DE LA OBRA: PAVIMENTACION CON CONCRETO HIDRAULICO DEL BOULEVARD LAZARO GUTIERREZ DE LARA"/>
        <s v="SUPERVISION EXTERNA Y CONTROL DE CALIDAD: CONSTRUCCIÓN DE PASO A DESNIVEL DENOMINADO &quot;PUENTE UNIVERSITARIO&quot;, UBICADO SOBRE LA CARRETERA INTERNACIONAL 15 (UNISON, UTN, ACCESO AL HOSPITAL NUEVO IMSS)"/>
        <s v="VERIFICACIÓN DE INSTACIONES ELÉCTRICAS DE LA OBRA: CONSTRUCCION DE PARQUE Y BALNEARIO &quot;KINO MAGICO&quot; (ETAPA 1) EN LA COMISARIA DE BAHIA DE KINO"/>
        <s v="SUPERVISION EXTERNA Y CONTROL DE CALIDAD PARA LA OBRA: CONSTRUCCION DEL CENTRO DE TRANSICION AL NUEVO SISTEMA DE JUSTICIA PENAL DE HERMOSILLO"/>
        <s v="CONTROL DE CALIDAD DE LA OBRA: REHABILITACION DE PAVIMENTOS A BASE DE RECARPETEO EN CALLE MONTEVERDE ENTRE PROGRESO Y VERACRUZ, EN HERMOSILLO"/>
        <s v="CONTROL DE CALIDAD DE LA OBRA: REHABILITACION DE PAVIMENTOS A BASE DE RECARPETEO EN AVE JOSE S. HEALY, AVE JOSE CARMELO Y PERIMETRAL NORTE ENTRE BLVD. SOLIDARIDAD Y LÁZARO MERCADO"/>
        <s v="CONTROL DE CALIDAD DE LA OBRA: REHABILITACION DE PAVIMENTOS A BASE DE RECARPETEO EN CALLE REFORMA, VARIOS TRAMOS, HERMOSILLO"/>
        <s v="CONTROL DE CALIDAD DE LA OBRA: REHABILITACION DE PAVIMENTOS A BASE DE RECARPETEO EN BLVD. GARCIA MORALES ENTRE BLVD. QUIROGA Y ACCESO AL AEROPUERTO"/>
        <s v="DIRECTOR RESPONSABLE DE OBRA: CREACION DEL CENTRO DE JUSTICIA PARA LAS MUJERES EN LA LOCALIDAD Y MUNICIPIO DE SONORA."/>
        <s v="SUPERVISION EXTERNA Y CONTROL DE CALIDAD DE LA OBRA: CREACION DEL CENTRO DE JUSTICIA PARA LAS MUJERES EN LA LOCALIDAD Y MUNICIPIO DE HERMOSILLO."/>
        <s v="SUPERVISION EXTERNA DE LA OBRA: CONSTRUCCION Y MODERNIZACION EN DISTRIBUIDOR VIAL" u="1"/>
        <s v="SUPERVISION Y CONTROL DE CALIDAD: CONSTRUCCIÓN DE SEGUNDO CUERPO DE LA CALLE 1A EN COMPLEJO PUERTA OESTE Y DRENAJE PLUVIAL PROVINCIAS EN LA LOCALIDAD Y MUNICIPIO DE HERMOSILLO, SONORA" u="1"/>
        <s v="SUPERVISION EXTERNA: CONSTRUCCION DE PARQUE DE ACCESO DEL MUSEO MUSAS EN LA LOCALIDAD Y MUNICIPIO DE HERMOSILLO" u="1"/>
        <s v="SUPERVISION EXTERNA Y CONTROL DE CALIDAD DE LA OBRA: CONSTRUCCION DE CONSERVATORIO DE MUSICA FRAY IVO TONECK, EN LA LOCALIDAD Y MUNICIPIO DE GUAYMAS, SONORA." u="1"/>
        <s v="SUPERVISION EXTERNA Y CONTROL DE CALIDAD DE LA OBRA: REMODELACION DEL PARQUE INFANTIL EN LA LOCALIDAD Y MUNICIPIO DE HERMOSILLO, SONORA." u="1"/>
        <s v="SUPERVISION EXTERNA Y CONTROL DE CALIDAD DE LA CONSTRUCCION DEL PUENTE VEHICULAR SOBRE EL RIO MAYO EN EL PERIFERICO PONIENTE EN LA LOCALIDAD Y MUNICIPIO DE NAVOJOA" u="1"/>
      </sharedItems>
    </cacheField>
    <cacheField name="[Rango].[ESTIM.].[ESTIM.]" caption="ESTIM." numFmtId="0" hierarchy="7" level="1">
      <sharedItems count="11">
        <s v="ANTICIPO"/>
        <s v="EST. 01"/>
        <s v="EST. 02"/>
        <s v="EST. 03"/>
        <s v="EST. 04"/>
        <s v="EST. 05"/>
        <s v="EST. 06"/>
        <s v="EST. 07"/>
        <s v="EST. 08"/>
        <s v="EST. 09"/>
        <s v="EST. 10"/>
      </sharedItems>
    </cacheField>
    <cacheField name="[Rango].[CONTRATISTA].[CONTRATISTA]" caption="CONTRATISTA" numFmtId="0" hierarchy="16" level="1">
      <sharedItems count="39">
        <s v="PROTEKO DESARROLLOS E INFRAESTRUCTURA, S.A. DE C.V."/>
        <s v="GRUPO GUIMEL, S.A. DE C.V."/>
        <s v="SEI TETRA, S. A. DE C. V."/>
        <s v="ADRIANA BELTRAN LAGARDA"/>
        <s v="OESTEC DE MEXICO SA DE CV"/>
        <s v="ING. IVAN MLADOSICH ESTRADA"/>
        <s v="ARQ. JORGE LUIS CARDENAS LOPEZ"/>
        <s v="ING. FEDERICO SOLORIO VALENZUELA"/>
        <s v="ING. JOSE RAFAEL CANO AVILA"/>
        <s v="JRM CONSULTORES, S.A. DE C.V"/>
        <s v="PROYECTOS Y SUPERVISION, J.H. ROMERO, S.A. DE C.V."/>
        <s v="LABORATORIO, ESTUDIOS Y SERVICIOS PROFESIONALES DE INGENIERIA, S.A. DE C.V."/>
        <s v="CONSTRUCCIONES MAGUS, S.A. DE C.V."/>
        <s v="CONSULTORIA Y CONSTRUCCION DEL NOROESTE"/>
        <s v="ING. DANIEL ACEVEDO ESMERIO"/>
        <s v="GO SUPERVISION, PROYECTOS, ESTUDIOS Y CONSTROL DE CALIDAD DE OBRAS CIVILES, S.A. DE C.V."/>
        <s v="ISAFRA CONSTRUCCIONES, S.A. DE C.V."/>
        <s v="ING. JOEL TOSAME IBARRA"/>
        <s v="PROYECTOS Y CONSTRUCCIONES MAGUS, S.A. DE C.V."/>
        <s v="ACSA CONSTRUCTORES S.A. DE C.V."/>
        <s v="ING. MARIANO HOYOS ARVIZU"/>
        <s v="PROMOTORES ADMINISTRATIVOS ASOCIADOS, S.C."/>
        <s v="ALCCON SIGLO XXI, S.A. DE C.V."/>
        <s v="ALAMOS INGENIERIA, SA DE CV"/>
        <s v="GYS CONSTRUCTORES S.A. DE C.V."/>
        <s v="UNIVERSO ROJO, S.A. DE C.V."/>
        <s v="ESCOBO S.A. DE C.V."/>
        <s v="GM3 INGENIERIA Y SERVICIOS, S. DE R.L. DE C.V."/>
        <s v="SATI CONSTRUCCIONES Y POYECTOS S.A. DE C.V."/>
        <s v="DAPCI, S.A. DE C.V."/>
        <s v="CONSTRUCCIONES ALVERLI DEL NOROESTE, S. A. DE C. V."/>
        <s v="J.G. SERRANO Y ASOCIADOS, S.C."/>
        <s v="TOCA INGENIEROS, S.C."/>
        <s v="CERTUS GERENCIA DE PROYECTOS, S.A. DE C.V."/>
        <s v="OESTEC DE MEXICO S.A. DE C.V."/>
        <s v="ING. JULIO CESAR FERRA GUTIERREZ"/>
        <s v="CASA FUTURA GISA, S.A. DE C.V."/>
        <s v="ING. SERGIO HUMBERTO LOPEZ ARAUJO" u="1"/>
        <s v="ING. MARTIN GRAJEDA ARAGON" u="1"/>
      </sharedItems>
    </cacheField>
    <cacheField name="[Rango].[FECHA].[FECHA]" caption="FECHA" numFmtId="0" hierarchy="21" level="1">
      <sharedItems containsSemiMixedTypes="0" containsNonDate="0" containsDate="1" containsString="0" minDate="2016-04-26T00:00:00" maxDate="2017-11-24T00:00:00" count="48">
        <d v="2016-06-17T00:00:00"/>
        <d v="2016-10-20T00:00:00"/>
        <d v="2017-02-15T00:00:00"/>
        <d v="2016-09-14T00:00:00"/>
        <d v="2016-11-23T00:00:00"/>
        <d v="2016-06-24T00:00:00"/>
        <d v="2016-10-21T00:00:00"/>
        <d v="2016-10-28T00:00:00"/>
        <d v="2016-12-09T00:00:00"/>
        <d v="2016-06-16T00:00:00"/>
        <d v="2016-09-19T00:00:00"/>
        <d v="2017-11-23T00:00:00"/>
        <d v="2016-06-02T00:00:00"/>
        <d v="2016-10-19T00:00:00"/>
        <d v="2017-01-09T00:00:00"/>
        <d v="2016-06-30T00:00:00"/>
        <d v="2017-01-06T00:00:00"/>
        <d v="2016-08-23T00:00:00"/>
        <d v="2016-04-26T00:00:00"/>
        <d v="2016-06-28T00:00:00"/>
        <d v="2016-06-20T00:00:00"/>
        <d v="2017-01-10T00:00:00"/>
        <d v="2016-06-23T00:00:00"/>
        <d v="2016-08-31T00:00:00"/>
        <d v="2017-01-27T00:00:00"/>
        <d v="2016-12-19T00:00:00"/>
        <d v="2016-12-01T00:00:00"/>
        <d v="2016-11-25T00:00:00"/>
        <d v="2016-12-13T00:00:00"/>
        <d v="2016-07-22T00:00:00"/>
        <d v="2016-11-16T00:00:00"/>
        <d v="2016-08-09T00:00:00"/>
        <d v="2016-09-09T00:00:00"/>
        <d v="2016-12-30T00:00:00"/>
        <d v="2017-03-18T00:00:00"/>
        <d v="2016-10-17T00:00:00"/>
        <d v="2016-11-04T00:00:00"/>
        <d v="2016-09-22T00:00:00"/>
        <d v="2017-02-07T00:00:00"/>
        <d v="2016-12-15T00:00:00"/>
        <d v="2016-12-23T00:00:00"/>
        <d v="2016-12-29T00:00:00"/>
        <d v="2017-01-25T00:00:00"/>
        <d v="2017-03-06T00:00:00"/>
        <d v="2017-03-03T00:00:00"/>
        <d v="2017-03-16T00:00:00"/>
        <d v="2017-03-15T00:00:00"/>
        <d v="2017-03-17T00:00:00"/>
      </sharedItems>
    </cacheField>
    <cacheField name="[Rango].[AVANCE FINCIERO ESTIMADO].[AVANCE FINCIERO ESTIMADO]" caption="AVANCE FINCIERO ESTIMADO" numFmtId="0" hierarchy="23" level="1">
      <sharedItems count="102">
        <s v=""/>
        <s v="25.00%"/>
        <s v="40.89%"/>
        <s v="17.70%"/>
        <s v="17.52%"/>
        <s v="18.41%"/>
        <s v="2.74%"/>
        <s v="12.50%"/>
        <s v="14.29%"/>
        <s v="60.00%"/>
        <s v="40.00%"/>
        <s v="54.00%"/>
        <s v="46.00%"/>
        <s v="80.00%"/>
        <s v="20.00%"/>
        <s v="46.81%"/>
        <s v="32.79%"/>
        <s v="14.80%"/>
        <s v="2.80%"/>
        <s v="2.77%"/>
        <s v="17.67%"/>
        <s v="17.21%"/>
        <s v="10.26%"/>
        <s v="2.48%"/>
        <s v="17.02%"/>
        <s v="16.67%"/>
        <s v="17.73%"/>
        <s v="12.41%"/>
        <s v="6.53%"/>
        <s v="23.48%"/>
        <s v="22.07%"/>
        <s v="23.47%"/>
        <s v="22.53%"/>
        <s v="21.00%"/>
        <s v="30.00%"/>
        <s v="23.00%"/>
        <s v="7.33%"/>
        <s v="9.67%"/>
        <s v="23.28%"/>
        <s v="24.87%"/>
        <s v="26.46%"/>
        <s v="25.40%"/>
        <s v="33.33%"/>
        <s v="31.67%"/>
        <s v="13.33%"/>
        <s v="21.67%"/>
        <s v="8.33%"/>
        <s v="23.33%"/>
        <s v="1.67%"/>
        <s v="33.00%"/>
        <s v="34.00%"/>
        <s v="57.41%"/>
        <s v="42.60%"/>
        <s v="52.87%"/>
        <s v="47.13%"/>
        <s v="50.00%"/>
        <s v="55.72%"/>
        <s v="57.05%"/>
        <s v="100.00%"/>
        <s v="9.40%"/>
        <s v="20.60%"/>
        <s v="8.60%"/>
        <s v="24.44%"/>
        <s v="34.44%"/>
        <s v="7.00%"/>
        <s v="0.78%"/>
        <s v="6.79%"/>
        <s v="16.47%"/>
        <s v="16.82%"/>
        <s v="9.11%"/>
        <s v="6.67%"/>
        <s v="16.49%"/>
        <s v="17.54%"/>
        <s v="8.56%"/>
        <s v="29.33%"/>
        <s v="30.67%"/>
        <s v="7.84%"/>
        <s v="15.36%"/>
        <s v="16.34%"/>
        <s v="15.69%"/>
        <s v="10.17%"/>
        <s v="19.92%"/>
        <s v="21.19%"/>
        <s v="20.34%"/>
        <s v="8.67%"/>
        <s v="8.00%"/>
        <s v="9.33%"/>
        <s v="8.50%"/>
        <s v="8.17%"/>
        <s v="15.67%"/>
        <s v="16.66%"/>
        <s v="3.61%"/>
        <s v="16.01%"/>
        <s v="4.61%"/>
        <s v="17.22%"/>
        <s v="4.32%"/>
        <s v="16.16%"/>
        <s v="20.96%"/>
        <s v="20.52%"/>
        <s v="20.70%"/>
        <s v="23.26%"/>
        <s v="50.04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" maxValue="1.0639000000000001" count="32">
        <n v="1"/>
        <n v="1.0003"/>
        <n v="0.97199999999999998"/>
        <n v="1.0002"/>
        <n v="0.16669999999999999"/>
        <n v="0.96409999999999996"/>
        <n v="0.71450000000000002"/>
        <n v="0.91549999999999998"/>
        <n v="0.50009999999999999"/>
        <n v="0.81"/>
        <n v="1.0001"/>
        <n v="0.99990000000000001"/>
        <n v="0.91659999999999997"/>
        <n v="0.66659999999999997"/>
        <n v="0.55720000000000003"/>
        <n v="0.5"/>
        <n v="0.57050000000000001"/>
        <n v="0.998"/>
        <n v="0.49259999999999998"/>
        <n v="0.70589999999999997"/>
        <n v="0.91539999999999999"/>
        <n v="0.92679999999999996"/>
        <n v="0.78280000000000005"/>
        <n v="1.0639000000000001"/>
        <n v="0.77780000000000005"/>
        <n v="0.71"/>
        <n v="0.57640000000000002"/>
        <n v="0.621"/>
        <n v="0.2326"/>
        <n v="0"/>
        <n v="0.50039999999999996"/>
        <n v="0.75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0" memberValueDatatype="130" unbalanced="0"/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79861109" backgroundQuery="1" createdVersion="5" refreshedVersion="5" minRefreshableVersion="3" recordCount="0" supportSubquery="1" supportAdvancedDrill="1">
  <cacheSource type="external" connectionId="1"/>
  <cacheFields count="11">
    <cacheField name="[Measures].[Suma de NETO A PAGAR]" caption="Suma de NETO A PAGAR" numFmtId="0" hierarchy="27" level="32767"/>
    <cacheField name="[Rango].[ESTATUS].[ESTATUS]" caption="ESTATUS" numFmtId="0" hierarchy="20" level="1">
      <sharedItems count="5">
        <s v="1. S.H. PAGADO"/>
        <s v="2. S.H. PENDIENTE"/>
        <s v="7. SUP. SIDUR"/>
        <s v="8. REV. SUP. EXT."/>
        <s v="5. SOL. PEDIDO"/>
      </sharedItems>
    </cacheField>
    <cacheField name="[Rango].[MONTO DE CONTRATO].[MONTO DE CONTRATO]" caption="MONTO DE CONTRATO" numFmtId="0" hierarchy="22" level="1">
      <sharedItems count="14">
        <s v=" 28,542,774.78"/>
        <s v=" 154,846,331.36"/>
        <s v=" 61,862,670.98"/>
        <s v=" 34,216,706.50"/>
        <s v=" 2,209,859.44"/>
        <s v=" 38,949,797.34"/>
        <s v=" 11,695,805.57"/>
        <s v=" 87,577,216.61"/>
        <s v=" 29,931,744.36"/>
        <s v=" 32,938,936.05"/>
        <s v=" 12,899,260.78"/>
        <s v=" 15,121,824.33"/>
        <s v=" 7,078,846.07"/>
        <s v=" 25,515,708.31" u="1"/>
      </sharedItems>
    </cacheField>
    <cacheField name="[Rango].[CONTRATO].[CONTRATO]" caption="CONTRATO" numFmtId="0" hierarchy="4" level="1">
      <sharedItems count="13">
        <s v="SIDUR-ED-16-008"/>
        <s v="SIDUR-ED-16-013"/>
        <s v="SIDUR-ED-16-031"/>
        <s v="SIDUR-ED-16-040"/>
        <s v="SIDUR-ED-16-102"/>
        <s v="SIDUR-ED-16-168"/>
        <s v="SIDUR-ED-16-187"/>
        <s v="SIDUR-ED-16-189"/>
        <s v="SIDUR-ED-16-248"/>
        <s v="SIDUR-ED-16-249"/>
        <s v="SIDUR-ED-16-250"/>
        <s v="SIDUR-ED-16-251"/>
        <s v="SIDUR-ED-16-292"/>
      </sharedItems>
    </cacheField>
    <cacheField name="[Rango].[OBRA].[OBRA]" caption="OBRA" numFmtId="0" hierarchy="3" level="1">
      <sharedItems count="13">
        <s v="RECARPETEO CON MICROCARPETA ASFALTICA DE 3.0 CM DE ESPESOR EN VARIAS CALLES Y AVENIDAS"/>
        <s v="MODERNIZACION DEL PERIFERICO PONIENTE (1 ETAPA), NAVOJOA"/>
        <s v="CONSTRUCCION DE PARQUE, PLAYA Y BALNEARIO &quot;KINO MAGICO&quot; (ETAPA 1) EN LA COMISARIA DE BAHIA DE KINO"/>
        <s v="OBRAS DE REHABILITACION DEL DELFINARIO SONORA (PRIMERA ETAPA)"/>
        <s v="CONSTRUCCION DE LINEA DE CONDUCCION DEL POZO EXISTENTE A LA CAJA DE ALMACENAMIENTO"/>
        <s v="CONSTRUCCIÓN DE CENTRO DE REHABILITACIÓN Y EDUCACIÓN ESPECIAL, CD. OBREGON, CAJEME"/>
        <s v="CONSTRUCCION DE LINEA DE CONDUCCION DE POZO EXISTENTE A TANQUE DE ALMACENAMIENTO EN LA LOCALIDAD Y MUNICIPIO DE ALTAR."/>
        <s v="CONSTRUCCION DE PASO A DESNIVEL DENOMINADO &quot;PUENTE UNIVERSITARIO&quot;, UBICADO SOBRE LA INTERNACIONAL 15 (UNISON, UTN, ACCESO AL HOSPITAL NUEVO IMSS) EN LA LOCALIDAD Y MUNICIPIO DE NOGALES, SONORA."/>
        <s v="MODERNIZACIÓN DE LA CALLE ROSALES, ETAPA 1 EN  HERMOSILLO, SONORA."/>
        <s v="PAVIMENTACION CON CONCRETO HIDRAULICO DEL BLVD. LAZARO GUTIERREZ DE LARA"/>
        <s v="REUBICACION DE COLECTOR Y CARCAMO DE BOMBEO"/>
        <s v="CONSERVACION Y RECONSTRUCCION DEL CAMINO DE ACCESO AL DELFINARIO, DESDE EL BLVD. MANLIO FABIO BELTRONES AL BLVD. ENCINAS JOHNSON"/>
        <s v="BOULEVARD DE ACCESO A LA LOCALIDAD Y MUNICIPIO DE BENJAMIN HILL, SONORA"/>
      </sharedItems>
    </cacheField>
    <cacheField name="[Rango].[ESTIM.].[ESTIM.]" caption="ESTIM." numFmtId="0" hierarchy="7" level="1">
      <sharedItems count="9">
        <s v="ANTICIPO"/>
        <s v="EST. 01"/>
        <s v="EST. 02"/>
        <s v="EST. 03"/>
        <s v="EST. 04"/>
        <s v="EST. 05"/>
        <s v="EST. 06"/>
        <s v="EST. 07"/>
        <s v="EST. 08"/>
      </sharedItems>
    </cacheField>
    <cacheField name="[Rango].[CONTRATISTA].[CONTRATISTA]" caption="CONTRATISTA" numFmtId="0" hierarchy="16" level="1">
      <sharedItems count="12">
        <s v="D'MARSELLA TERRACERIAS, S.A. DE C.V."/>
        <s v="LC PROYECTOS Y CONSTRUCCIONES S.A. DE C.V."/>
        <s v="PROMOTORA MAJERUS, S. DE R.L."/>
        <s v="CONSTRUCTORA MIRAMAR, S.A. DE C.V."/>
        <s v="CONSTRUCCIONES Y DISEÑOS OPOSURA, S.A. DE C.V."/>
        <s v="PROYECTOS Y CONSTRUCCIONES ALHER, S.A. DE C.V."/>
        <s v="BARREDA PROYECTO Y CONSTRUCCIONES, S.A. DE C.V."/>
        <s v="CONSTRUCTORA PARGEL, S. A. DE C. V."/>
        <s v="PREMEZCLADOS NOGALES, S.A. DE C.V."/>
        <s v="CONSTRUCTORA KIOKI, S. A. DE C. V."/>
        <s v="EDIFICADORA CABO HARO, S.A. DE C.V."/>
        <s v="MEZQUITE CONSTRUCCIONES,S.A.DE C.V."/>
      </sharedItems>
    </cacheField>
    <cacheField name="[Rango].[FECHA].[FECHA]" caption="FECHA" numFmtId="0" hierarchy="21" level="1">
      <sharedItems containsSemiMixedTypes="0" containsNonDate="0" containsDate="1" containsString="0" minDate="2016-04-08T00:00:00" maxDate="2017-03-18T00:00:00" count="34">
        <d v="2016-04-08T00:00:00"/>
        <d v="2016-09-30T00:00:00"/>
        <d v="2016-10-10T00:00:00"/>
        <d v="2016-10-20T00:00:00"/>
        <d v="2016-10-28T00:00:00"/>
        <d v="2016-11-11T00:00:00"/>
        <d v="2017-02-14T00:00:00"/>
        <d v="2016-05-20T00:00:00"/>
        <d v="2016-12-14T00:00:00"/>
        <d v="2017-03-16T00:00:00"/>
        <d v="2016-12-20T00:00:00"/>
        <d v="2017-03-17T00:00:00"/>
        <d v="2016-06-08T00:00:00"/>
        <d v="2016-09-27T00:00:00"/>
        <d v="2016-10-05T00:00:00"/>
        <d v="2016-12-06T00:00:00"/>
        <d v="2016-12-28T00:00:00"/>
        <d v="2017-01-13T00:00:00"/>
        <d v="2016-06-02T00:00:00"/>
        <d v="2016-07-13T00:00:00"/>
        <d v="2016-09-19T00:00:00"/>
        <d v="2016-12-16T00:00:00"/>
        <d v="2016-12-08T00:00:00"/>
        <d v="2017-01-27T00:00:00"/>
        <d v="2017-01-20T00:00:00"/>
        <d v="2016-08-11T00:00:00"/>
        <d v="2017-03-09T00:00:00"/>
        <d v="2016-09-13T00:00:00"/>
        <d v="2016-09-05T00:00:00"/>
        <d v="2016-12-30T00:00:00"/>
        <d v="2016-09-06T00:00:00"/>
        <d v="2016-12-29T00:00:00"/>
        <d v="2016-11-16T00:00:00"/>
        <d v="2017-02-17T00:00:00"/>
      </sharedItems>
    </cacheField>
    <cacheField name="[Rango].[AVANCE FINCIERO ESTIMADO].[AVANCE FINCIERO ESTIMADO]" caption="AVANCE FINCIERO ESTIMADO" numFmtId="0" hierarchy="23" level="1">
      <sharedItems count="50">
        <s v=""/>
        <s v="4.90%"/>
        <s v="0.75%"/>
        <s v="0.74%"/>
        <s v="31.01%"/>
        <s v="41.86%"/>
        <s v="4.88%"/>
        <s v="3.78%"/>
        <s v="15.21%"/>
        <s v="7.21%"/>
        <s v="29.65%"/>
        <s v="21.73%"/>
        <s v="5.84%"/>
        <s v="0.40%"/>
        <s v="0.65%"/>
        <s v="1.62%"/>
        <s v="2.99%"/>
        <s v="6.27%"/>
        <s v="7.71%"/>
        <s v="6.05%"/>
        <s v="7.28%"/>
        <s v="4.71%"/>
        <s v="35.65%"/>
        <s v="27.33%"/>
        <s v="20.46%"/>
        <s v="9.33%"/>
        <s v="24.15%"/>
        <s v="34.28%"/>
        <s v="21.57%"/>
        <s v="20.00%"/>
        <s v="3.50%"/>
        <s v="2.55%"/>
        <s v="3.17%"/>
        <s v="23.37%"/>
        <s v="14.48%"/>
        <s v="27.44%"/>
        <s v="4.56%"/>
        <s v="14.80%"/>
        <s v="0.46%"/>
        <s v="5.21%"/>
        <s v="6.14%"/>
        <s v="2.50%"/>
        <s v="9.27%"/>
        <s v="19.32%"/>
        <s v="21.56%"/>
        <s v="6.77%"/>
        <s v="25.40%"/>
        <s v="35.56%"/>
        <s v="39.68%"/>
        <s v="23.18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9.2200000000000004E-2" maxValue="1" count="13">
        <n v="0.84140000000000004"/>
        <n v="0.83420000000000005"/>
        <n v="0.32969999999999999"/>
        <n v="0.9748"/>
        <n v="1"/>
        <n v="9.2200000000000004E-2"/>
        <n v="0.65290000000000004"/>
        <n v="0.19359999999999999"/>
        <n v="0.1181"/>
        <n v="0.31090000000000001"/>
        <n v="0.21560000000000001"/>
        <n v="0.67730000000000001"/>
        <n v="0.62860000000000005"/>
      </sharedItems>
    </cacheField>
    <cacheField name="[Rango].[AV. FINANCIERO GENERAL].[AV. FINANCIERO GENERAL]" caption="AV. FINANCIERO GENERAL" numFmtId="0" hierarchy="25" level="1">
      <sharedItems count="13">
        <s v="84.14%"/>
        <s v="88.40%"/>
        <s v="52.78%"/>
        <s v="98.19%"/>
        <s v="100.00%"/>
        <s v="36.41%"/>
        <s v="75.70%"/>
        <s v="43.55%"/>
        <s v="38.18%"/>
        <s v="39.03%"/>
        <s v="45.09%"/>
        <s v="76.59%"/>
        <s v="74.00%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2" memberValueDatatype="130" unbalanced="0">
      <fieldsUsage count="2">
        <fieldUsage x="-1"/>
        <fieldUsage x="10"/>
      </fieldsUsage>
    </cacheHierarchy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81712964" backgroundQuery="1" createdVersion="5" refreshedVersion="5" minRefreshableVersion="3" recordCount="0" supportSubquery="1" supportAdvancedDrill="1">
  <cacheSource type="external" connectionId="1"/>
  <cacheFields count="11">
    <cacheField name="[Measures].[Suma de NETO A PAGAR]" caption="Suma de NETO A PAGAR" numFmtId="0" hierarchy="27" level="32767"/>
    <cacheField name="[Rango].[ESTATUS].[ESTATUS]" caption="ESTATUS" numFmtId="0" hierarchy="20" level="1">
      <sharedItems count="5">
        <s v="1. S.H. PAGADO"/>
        <s v="2. S.H. PENDIENTE"/>
        <s v="4. ESPERA FACT."/>
        <s v="5. SOL. PEDIDO"/>
        <s v="3. O.P. DGPE"/>
      </sharedItems>
    </cacheField>
    <cacheField name="[Rango].[MONTO DE CONTRATO].[MONTO DE CONTRATO]" caption="MONTO DE CONTRATO" numFmtId="0" hierarchy="22" level="1">
      <sharedItems count="68">
        <s v=" 19,539,418.57"/>
        <s v=" 22,873,151.76"/>
        <s v=" 26,153,970.38"/>
        <s v=" 19,069,990.46"/>
        <s v=" 10,237,851.95"/>
        <s v=" 14,497,968.36"/>
        <s v=" 11,512,863.19"/>
        <s v=" 14,487,117.35"/>
        <s v=" 15,642,799.04"/>
        <s v=" 22,807,797.98"/>
        <s v=" 6,725,615.25"/>
        <s v=" 3,223,256.02"/>
        <s v=" 8,091,604.44"/>
        <s v=" 6,189,552.56"/>
        <s v=" 6,446,641.32"/>
        <s v=" 3,979,000.91"/>
        <s v=" 1,890,844.29"/>
        <s v=" 2,595,924.53"/>
        <s v=" 851,581.37"/>
        <s v=" 1,799,973.59"/>
        <s v=" 3,149,792.52"/>
        <s v=" 9,501,178.96"/>
        <s v=" 18,299,948.47"/>
        <s v=" 1,976,714.43"/>
        <s v=" 8,795,522.28"/>
        <s v=" 32,294,129.84"/>
        <s v=" 861,118.90"/>
        <s v=" 626,656.36"/>
        <s v=" 2,299,957.30"/>
        <s v=" 1,971,899.46"/>
        <s v=" 9,494,347.93"/>
        <s v=" 1,199,939.89"/>
        <s v=" 1,621,630.07"/>
        <s v=" 3,909,669.34"/>
        <s v=" 1,256,127.72"/>
        <s v=" 2,725,991.13"/>
        <s v=" 1,899,536.81"/>
        <s v=" 1,797,489.34"/>
        <s v=" 2,899,984.17"/>
        <s v=" 534,054.88"/>
        <s v=" 8,449,393.54"/>
        <s v=" 1,916,424.39"/>
        <s v=" 1,590,534.08"/>
        <s v=" 2,855,324.57"/>
        <s v=" 1,318,284.40"/>
        <s v=" 3,392,572.89"/>
        <s v=" 1,997,998.34"/>
        <s v=" 2,851,069.39"/>
        <s v=" 2,609,103.95"/>
        <s v=" 1,968,982.56"/>
        <s v=" 5,679,511.01"/>
        <s v=" 3,354,071.51"/>
        <s v=" 2,752,337.34"/>
        <s v=" 3,690,591.47"/>
        <s v=" 1,499,699.33"/>
        <s v=" 3,795,808.73"/>
        <s v=" 5,165,280.09"/>
        <s v=" 1,881,441.35"/>
        <s v=" 16,201,052.08"/>
        <s v=" 12,456,963.14"/>
        <s v=" 9,516,565.08"/>
        <s v=" 28,150,335.90"/>
        <s v=" 1,118,120.47"/>
        <s v=" 6,490,215.81"/>
        <s v=" 5,188,754.83"/>
        <s v=" 6,186,834.07"/>
        <s v=" 7,191,166.09"/>
        <s v=" 25,515,708.31" u="1"/>
      </sharedItems>
    </cacheField>
    <cacheField name="[Rango].[CONTRATO].[CONTRATO]" caption="CONTRATO" numFmtId="0" hierarchy="4" level="1">
      <sharedItems count="67">
        <s v="SIDUR-PF-16-252"/>
        <s v="SIDUR-PF-16-253"/>
        <s v="SIDUR-PF-16-254"/>
        <s v="SIDUR-PF-16-255"/>
        <s v="SIDUR-PF-16-291"/>
        <s v="SIDUR-PF-16-293"/>
        <s v="SIDUR-PF-16-294"/>
        <s v="SIDUR-PF-16-295"/>
        <s v="SIDUR-PF-16-296"/>
        <s v="SIDUR-PF-16-297"/>
        <s v="SIDUR-PF-16-298"/>
        <s v="SIDUR-PF-16-299"/>
        <s v="SIDUR-PF-16-300"/>
        <s v="SIDUR-PF-16-301"/>
        <s v="SIDUR-PF-16-302"/>
        <s v="SIDUR-PF-16-303"/>
        <s v="SIDUR-PF-16-304"/>
        <s v="SIDUR-PF-16-305"/>
        <s v="SIDUR-PF-16-306"/>
        <s v="SIDUR-PF-16-307"/>
        <s v="SIDUR-PF-16-308"/>
        <s v="SIDUR-PF-16-309"/>
        <s v="SIDUR-PF-16-310"/>
        <s v="SIDUR-PF-16-314"/>
        <s v="SIDUR-PF-16-315"/>
        <s v="SIDUR-PF-16-316"/>
        <s v="SIDUR-PF-16-323"/>
        <s v="SIDUR-PF-16-325"/>
        <s v="SIDUR-PF-16-326"/>
        <s v="SIDUR-PF-16-328"/>
        <s v="SIDUR-PF-16-329"/>
        <s v="SIDUR-PF-16-330"/>
        <s v="SIDUR-PF-16-331"/>
        <s v="SIDUR-PF-16-332"/>
        <s v="SIDUR-PF-16-333"/>
        <s v="SIDUR-PF-16-334"/>
        <s v="SIDUR-PF-16-335"/>
        <s v="SIDUR-PF-16-336"/>
        <s v="SIDUR-PF-16-337"/>
        <s v="SIDUR-PF-16-341"/>
        <s v="SIDUR-PF-16-343"/>
        <s v="SIDUR-PF-16-344"/>
        <s v="SIDUR-PF-16-345"/>
        <s v="SIDUR-PF-16-346"/>
        <s v="SIDUR-PF-16-347"/>
        <s v="SIDUR-PF-16-348"/>
        <s v="SIDUR-PF-16-350"/>
        <s v="SIDUR-PF-16-351"/>
        <s v="SIDUR-PF-16-352"/>
        <s v="SIDUR-PF-16-355"/>
        <s v="SIDUR-PF-16-356"/>
        <s v="SIDUR-PF-16-357"/>
        <s v="SIDUR-PF-16-358"/>
        <s v="SIDUR-PF-16-363"/>
        <s v="SIDUR-PF-16-364"/>
        <s v="SIDUR-PF-16-369"/>
        <s v="SIDUR-PF-16-370"/>
        <s v="SIDUR-PF-16-371"/>
        <s v="SIDUR-PF-16-402"/>
        <s v="SIDUR-PF-16-403"/>
        <s v="SIDUR-PF-16-404"/>
        <s v="SIDUR-PF-16-405"/>
        <s v="SIDUR-PF-16-409"/>
        <s v="SIDUR-PF-16-419"/>
        <s v="SIDUR-PF-16-420"/>
        <s v="SIDUR-PF-16-421"/>
        <s v="SIDUR-PF-16-422"/>
      </sharedItems>
    </cacheField>
    <cacheField name="[Rango].[OBRA].[OBRA]" caption="OBRA" numFmtId="0" hierarchy="3" level="1">
      <sharedItems count="68">
        <s v="REHABILITACION DE PAVIMENTOS A BASE DE RECARPETEO EN CALLE MONTEVERDE ENTRE BLVD. PROGRESO Y VERACRUZ EN LA LOCALIDAD Y MUNICIPIO DE HERMOSILLO, SONORA"/>
        <s v="REHABILITACION DE PAVIMIENTOS A BASE DE RECARPETEO EN CALLE REFORMA EN LOS TRAMOS DE PROGRESO Y AVE 13 DE JOSE CARMELO A AVE 8 Y DE BLVD SERNA A BLVD LUIS ENCINAS EN LA LOCALIDAD Y MUNICIPIO DE HERMOSILLO, SON"/>
        <s v="REHABILITACION DE PAVIMENTOS A BASE DE RECARPETEO EN AVE JOSE S. HEALY, AVE JOSE CARMELO Y PERIMETRAL NORTE"/>
        <s v="REHABILITACIÓN DE PAVIMENTOS A BASE DE RECARPETEO EN BLVD. GARCIA MORALES ENTRE ANTONIO QUIROGA Y ACCESO AL AEROPUERTO EN LA LOCALIDAD Y MUNICIPIO DE HERMOSILLO, SONORA."/>
        <s v="REHABILITACION DE PAVIMENTOS A BASE DE RECARPETEO CON CARPETA ASFALTICA DE 3CM ESPESOR, EN 12 CALLES DE LA LOCALIDAD DE EMPALME"/>
        <s v="REHABILITACION DE PAVIMENTOS A BASE DE RECARPETEO EN BLVD. LUIS ENCINAS ENTRE BENITO JUAREZ Y PERIFERICO ORIENTE"/>
        <s v="PAVIMENTACION CON CONCRETO HIDRAULICO EN CALLE 10 ENTRE AVENIDA QUIROZ MORA Y AVENIDA H. COLEGIO MILITAR (CALLE N) EN LA LOCALIDAD Y MUNICIPIO DE CABORCA, SONORA"/>
        <s v="PAVIMENTACION CON CONCRETO HIDRAULICO EN LA CALLE 2 DE ABRIL EN LA LOCALIDAD DE VILLA JUAREZ"/>
        <s v="REHABILITACION DE PAVIMENTOS EN 12 CALLES DE CD. OBREGON NORTE EN LA LOCALIDAD DE CD. OBREGON MUNICIPIO DE CAJEME, SONORA."/>
        <s v="REHABILITACION DE PAVIMENTOS EN 15 CALLES DE CD. OBREGON CENTRO"/>
        <s v="PAVIMENTACION A BASE DE CONCRETO HIDRAULICO DE LAS CALLES MPIO. DE BACANORA ENTRE ORIZABA Y MPIO. BACERAC Y MPIO. BACERAC ENTRE MPIO. DE BACANORA Y MPIO. DE BENJAMIN HILL, 15CMS DE ESPESOR EN CALLE MORELIA EN LA LOCALIDAD DE NOGALES"/>
        <s v="REHABILITACION DE PAVIMENTOS DE VARIAS CALLES CON MICROCARPETA EN LA LOCALIDAD Y MUNICIPIO DE PITIQUITO, SONORA"/>
        <s v="PAVIMENTACION A BASE DE CONCRETO HIDRAULICO DE LA CALLE TEPACHE ENTRE VERACRUZ Y CALLE MUNICIPIO DE BACANORA"/>
        <s v="REHABILITACION DE PAVIMENTOS A BASE DE RECARPETEO EN VARIAS CALLES Y AVENIDAS EN COLONIAS DE EL CENTRO DE LA CIUDAD HEROICA GUAYMAS"/>
        <s v="REHABILITACION DE PAVIMENTOS A BASE DE RECARPETEO EN 4 CALLES EN LAS COLONIAS AL NORTE DE LA CIUDAD HEROICA GUAYMAS"/>
        <s v="PAVIMENTACION CON CARPETA ASFALTICA DE 5CMS DE ESPESOR DE LA AVENIDA FABRICA DE LOS ANGELES Y AV. PRINCIPAL DE LA LOCALIDAD FABRICA DE LOS ANGELES"/>
        <s v="PAVIMENTACION CON CONCRETO HIDRAULICO EN LA CALLE AGUSTIN FIGUEROA EN LA LOCALIDAD DE BANAMICHI, SONORA"/>
        <s v="PAVIMENTACION CON CONCRETO HIDRAULICO DE 15 CMS DE ESPESOR EN LAS CALLES JOSE A. LUNA Y VICENTE GUERRERO EN LA LOCALIDAD Y MUNICIPIO DE ACONCHI, SONORA"/>
        <s v="REHABILITACION DE PAVIMENTOS DE AV. MIGUEL HIDALGO EN LA LOCALIDAD Y MUNICIPIO DE SANTA CRUZ, SONORA."/>
        <s v="PAVIMENTACION CON CONCRETO HIDRAULICO DE LA CALLE SALIDA A HUEPARI EN LA LOCALIDAD Y MUNICIPIO DE SAN PEDRO DE LA CUEVA"/>
        <s v="PAVIMENTACION CON CONCRETO HIDRAULICO DE 15CMS DE ESPESOR EN BLVD. MIGUEL ALEMAN EN LA LOCALIDAD DE BENJAMIN HILL"/>
        <s v="REHABILITACION DE PAVIMENTO EN 4 CALLES DE CD. OBREGON SUR EN LA LOCALIDAD DE CD. OBREGON MUNICIPIO DE CAJEME, SONROA"/>
        <s v="REHABILITACION DE PAVIMENTO EN 4 CALLES DE CD. OBREGON SUR EN LA LOCALIDAD DE CD. OBREGON MUNICPIO DE CAJEME, SONORA"/>
        <s v="REHABILITACION DE PAVIMENTOS EN 13 CALLES DE CD. OBREGON ORIENTE"/>
        <s v="PAVIMENTACION CON CONCRETO HIDRAULICO DE 15 CMS DE ESPESOR EN CALLE GALEANA EN LA LOCALIDAD Y MUNICIPIO DE TRINCHERAS, SONORA"/>
        <s v="PAVIMENTACION CON CONCRETO HIDRAULICO DE CALLE GRAL. ESTEBAN BACA CALDERON ENTRE BENITO JUAREZ Y RAHAM EN LA LOCALIDAD Y MUNICIPIO DE SAN IGNACIO RIO MUERTO"/>
        <s v="CONSTRUCCION DEL CENTRO DE TRANSICION AL NUEVO SISTEMA DE JUSTICIA PENAL DE HERMOSILLO"/>
        <s v="PAVIMENTACION CON CONCRETO HIDRAULICO DE CALLE SIN NOMBRE EN LA LOCALIDAD DE MAZATAN"/>
        <s v="PAVIMENTACION CON CARPETA ASFALTICA DE 5 CMS DE ESPESOR EN LA CALLE COAHUILA ENTRE CANANEA Y LAGO MAGDA, EN LA LOCALIDAD DE CIUDAD OBREGON MUNICIPIO DE CAJEME, SONORA"/>
        <s v="PAVIMENTACION CON CONCRETO HIDRAULICO DE 15 CMS DE ESPESOR EN CALLE INDEPENDENCIA EN LA LOCALIDAD Y MUNICIPIO DE SARIC, SONORA"/>
        <s v="PAVIMENTACION CON CONCRETO HIDRAULICO DE VARIAS CALLES Y AVENIDAS EN LA LOCALIDAD DE ARIZPE"/>
        <s v="PAVIMENTACION CON CARPETA ASFALTICA EN LAS CALLES AV. SAN LUIS, ALVARO OBREGON Y ABELARDO L. RODRIGUEZ"/>
        <s v="REHABILITACION DE PAVIMENTOS DE VARIAS CALLES Y AVENIDAD EN LA LOCALIDAD DE MATAPE"/>
        <s v="PAVIMENTACION CON CONCRETO HIDRAULICO DE VARIAS CALLES EN LA LOCALIDAD DE ARIVECHI"/>
        <s v="PAVIMENTACION CON CONCRETO HIDRAULICO DE LAS CALLES NACOZARI, CAJEME Y LA AV. PLUTARCO ELIAS CALLES EN LA LOCALIDAD DE YÉCORA"/>
        <s v="PAVIMENTACION CON CONCRETO HIDRAULICO DE 15 CMS DE ESPESOR EN CALLE PARQUE BARRIO BAJO EN LA LOCALIDAD DE TECORIPA MUNICIPIO DE LA COLORADA, SONORA"/>
        <s v="REHABILITACION DE PAVIMENTOS DE 4 CALLES EN LA LOCALIDAD DE IMURIS"/>
        <s v="PAVIMENTACION CON CONCRETO HIDRAULICO EN LA CALLE CANANEA EN LA LOCALIDAD Y MUNICIPIO DE BACOACHI, SONORA"/>
        <s v="PAVIMENTACION CON CONCRETO HIDRAULICO EN LA CALLE LOS OLIVOS EN LA LOCALIDAD DE BAVIACORA"/>
        <s v="REHABILITACION DE PAVIMENTOS DE 9 CALLES EN LA LOCALIDAD DE TERRENATE"/>
        <s v="REHABILITACION DE PAVIMENTOS DE VARIAS CALLES Y AVENIDAS EN LA LOCALIDAD DE ADIVINO"/>
        <s v="PAVIMENTACION CON CONCRETO HIDRAULICO DE VARIAS CALLES Y AVENIDAS DE VARIAS COLONIAS EN NACOZARI DE GARCIA"/>
        <s v="PAVIMENTACION CON CONCRETO HIDRAULICO DE 15 CMS DE ESPESOR EN CALLE 3 EN LA LOCALIDAD DE NACORI CHICO"/>
        <s v="PAVIMENTACION CON CONCRETO HIDRAHULICO DE AVENIDA PROFA. JULIA GALAZ EN LA LOCALIDAD DE BACADEHUACHI"/>
        <s v="RECARPETEO CON MICROCARPETA ASFALTICA EN 12 CALLES Y AVENIDAS Y LOCALIDADES DE MOCTEZUMA"/>
        <s v="PAVIMENTACION CON CONCRETO HIDRAULICO EN LA AVENIDA DE LA CASA EN LA LOCALIDAD DE BACERAC"/>
        <s v="PAVIMENTACION CON CONCRETO HIDRAULICO DE LAS CALLES NORTE (EPIFANIO LEYVA SOTO) Y CUAUHTEMOC"/>
        <s v="PAVIMENTACION CON CONCRETO HIDRAULICO DE 15 CMS DE ESPESOR EN LA CALLE LOMAS DE FATIMA EN LA LOCALIDAD Y MUNICIPIO DE TUBUTAMA, SONORA"/>
        <s v="PAVIMENTACIÓN CON CONCRETO HIDRAULICO DE CALLE ADOLFO DE LA HUERTA EN LA LOCALIDAD DE QUEROBABI"/>
        <s v="PAVIMENTACION CON CONCRETO HIDRAULICO DE 15CMS DE ESPESOR EN CALLE MORELIA EN LA LOCALIDAD DE CARBO"/>
        <s v="PAVIMENTACION CON CONCRETO HIDRAULICO DE CALLE BARTOLOME DE LAS CASAS EN LA LOCALIDAD DE RAYON"/>
        <s v="PAVIMENTACION CON CONCRETO HIDRAULICO DE 15CM DE ESPESOR EN LAS CALLES FERROCARRIL Y SONORA EN LA LOCALIDAD DE ESQUEDA"/>
        <s v="PAVIMENTACION CON CARPETA ASFÁLTICA EN 3 CALLES, EN LA LOCALIDAD DE EMILIANO ZAPATA, MUNICIPIO DE SAN LUIS RIO COLORADO."/>
        <s v="PAVIMENTACION CON CONCRETO HIDRAULICO DE CALLE LAZARO CARDENAS Y CALLE AQUILES SERDAN EN LA LOCALIDAD DE PUERTO LIBERTAD"/>
        <s v="PAVIMENTACION CON CONCRETO HIDRAULICO DE 15CM DE ESPESOR DE LA CALLE 16 DE SEPTIEMBRE"/>
        <s v="PAVIMENTACION CON CONCRETO HIDRAULICO DE 15CMS DE ESPESOR EN CALLE PRINCIPAL EN LA LOCALIDAD DE QUIRIEGO"/>
        <s v="PAVIMENTACION CON CONCRETO HIDRAULICO EN LA CALLE BENITO JUAREZ EN LA LOCALIDAD DE SAHUARIPA"/>
        <s v="PAVIMENTACIÓN CON CARPETA ASFALTICA DE 5CMS DE ESPESOR EN 3 CALLES, GENERAL PLUTARCO ELIAS CALLES"/>
        <s v="REHABILITACION DE PAVIMENTOS A BASE DE RECARPETEO EN CALLE GARCIA MORALES ENTRE HIDALGO Y RAYON, ENTRE QUINTANA ROO Y BRAVO, Y ENTRE ABASOLO Y JOSEFA ORTIZ DE DOMINGUEZ"/>
        <s v="REHABILITACION DE PAVIMENTOS DE 24 CALLES EN LA LOCALIDAD DE HUATABAMPO, MUNICIPIO DE HUATABAMPO"/>
        <s v="PAVIMENTACION DE VARIAS CALLES Y AVENIDAS EN LA LOCALIDAD DE ETCHOJOA Y MUNICIPIO DE ETCHOJOA"/>
        <s v="REHABILITACION DE PAVIMENTOS A BASE DE RECARPETEO DE LA CALLE ISRAEL GONZALEZ ENTRE AVENIDA SEGURO SOCIAL Y CALLE UNO, Y CALLE GRAL. PIÑA ENTRE PERIFERICO NORTE Y AVE. GASTON MADRID, EN LA CIUDAD DE HERMOSILLO"/>
        <s v="REHABILITACION DE PAVIMENTOS A BASE DE RECARPETEO EN CALLE LOPEZ DEL CASTILLO ENTRE YECORA Y ALBERTO GUTIERREZ Y CALLE DR. OLIVARES ENTRE BLVD. PROGRESO Y JOSE CARMELO, EN LA CIUDAD DE HERMOSILLO"/>
        <s v="REHABILITACION DE PAVIMENTOS A BASE DE RECARPETEO EN PERIFERICO SUR (LATERALES DEL PUENTE &quot;EL GALLO&quot;) ENTRE BLVD. AGUSTIN DE VILDOSOLA Y CALLE MECANICOS EN LA LOCALIDAD DE HERMOSILLO"/>
        <s v="REHABILITACION DE PAVIMENTOS A BASE DE RECARPETEO EN BLVD. MORELOS ENTRE BLVD. RODRIGUEZ E IGNACIO SOTO, EN LA CIUDAD DE HERMOSILLO"/>
        <s v="RECARPETEO CON MICROCARPETA ASFALTICA DE 3.0 CMS DE ESPESOR EN VARIAS CALLES Y AVENIDAS EN LA LOCALIDAD Y MUNICIPIO DE MAGDALENA"/>
        <s v="REHABILITACION DE PAVIMENTOS DE VARIAS CALLES Y AVENIDAS, EN LA LOCALIDAD DE AGUA PRIETA, MUNICIPIO DE AGUA PRIETA"/>
        <s v="REHABILITACION DE PAVIMENTOS DE 15 CALLES EN LA LOCALIDAD DE SANTA ANA, MUNICIPIO DE SANTA ANA"/>
      </sharedItems>
    </cacheField>
    <cacheField name="[Rango].[ESTIM.].[ESTIM.]" caption="ESTIM." numFmtId="0" hierarchy="7" level="1">
      <sharedItems count="7">
        <s v="ANTICIPO"/>
        <s v="EST. 01"/>
        <s v="EST. 02"/>
        <s v="EST. 03"/>
        <s v="EST. 04"/>
        <s v="EST. 05"/>
        <s v="EST. 06"/>
      </sharedItems>
    </cacheField>
    <cacheField name="[Rango].[CONTRATISTA].[CONTRATISTA]" caption="CONTRATISTA" numFmtId="0" hierarchy="16" level="1">
      <sharedItems count="53">
        <s v="PROYECTOS Y CONSTRUCCIONES VIRGO, S. A. DE C. V."/>
        <s v="CONSTRUPIMA, S.A. DE C.V."/>
        <s v="GRUPO CONSTRUCCIONES PLANIFICADAS, SA DE CV"/>
        <s v="CONSTRUCCIONES EL LLANO, S.A. DE C.V."/>
        <s v="CONCRETOS Y AGREGADOS DE CAJEME, S.A. DE C.V."/>
        <s v="EDIFICACIONES Y PROYECTOS MOCELIK, S.A. DE C.V."/>
        <s v="INGENIERIA UNIVERSAL S. A. DE C. V."/>
        <s v="ING. LUIS ENRIQUE PEÑA RODRIGO"/>
        <s v="EDIFICACION INTEGRAL DEL NOROESTE S. A. DE C. V."/>
        <s v="CORPORATIVO DE SERVICIOS &amp; PLANEACION EN INFRAESTRUCTURA, S.A. DE C.V."/>
        <s v="PREMEZCLADOS NOGALES S.A. DE C.V."/>
        <s v="SOL Y MAR CONSTRUCCIONES JEEV, S. DE R. L. DE C. V."/>
        <s v="PROMOCIONES TESIA, S.A. DE C.V."/>
        <s v="INMOBILIARIA SOCE, S.A. DE C.V."/>
        <s v="PROYECTOS Y EDIFICACIONES RANDA, S.A. DE C.V."/>
        <s v="ORTOPLAN CONSULTORES S. A. DE C. V."/>
        <s v="LUIS ALFONSO CORDOVA CONTRERAS"/>
        <s v="VICOMMING, S.A. DE C.V."/>
        <s v="GROBSON S. DE R. L."/>
        <s v="INMOBILIARIA Y CONSTRUCTORA HARBOR, S.A. DE C.V."/>
        <s v="GRUPO PROFING CONSTRUCCIONES Y DESARROLLOS, S. A. DE C. V."/>
        <s v="CONSTRUMIL, S.A. DE C.V."/>
        <s v="CONSTRUCTORES LISTA BLANCA, S.A.DE C.V."/>
        <s v="VLEXEL, S. C."/>
        <s v="DESARROLLOS CORCON, S. DE R. L. DE C. V."/>
        <s v="GRUPO MERCLA S.A DE C. V."/>
        <s v="BARREDA PROYECTO Y CONSTRUCCIONES, S.A. DE C.V."/>
        <s v="MOCUZARI CONSTRUCTORA, S.A. DE C.V."/>
        <s v="EDIVIA DESARROLLOS, S.A. DE C.V."/>
        <s v="JASA INSTALACIONES Y ALCANTARILLADO, S.A. DE C.V."/>
        <s v="CW METAL S.A DE C.V."/>
        <s v="DCR CONSULTORIA Y CONSTRUCCION, S.A. DE C.V."/>
        <s v="VALPA SUPERVISIONES, S.A. DE C.V."/>
        <s v="SIGNS MANUFACTURAS Y CONSTRUCCIONES, S.A. DE C.V."/>
        <s v="ADOBE DESARROLLOS, S.A. DE C.V."/>
        <s v="JUAN DIEGO AVILES MARTINEZ"/>
        <s v="PROTEKO DESARROLLOS E INFRAESTRUCTURA S.A. DE C.V."/>
        <s v="INGENIERIA INTEGRAL LA ISLETA, S.A. DE C.V."/>
        <s v="RUVERSA, S.A. DE C.V."/>
        <s v="CINCO H INGENIERIA Y TERRACERIAS, S.A. DE C.V."/>
        <s v="SEÑALAMIENTOS Y SERVICIOS INTEGRALES DEL NOROESTE, S.A. DE C.V."/>
        <s v="CONSTRUCCIONES Y TERRACERIAS MOVAKAR, S.A. DE C.V."/>
        <s v="CONSTRUCTORA E INMOBILIARIA VELIS, S.A. DE C.V."/>
        <s v="CONSTRUCTORA GARPE, S.A. DE C.V."/>
        <s v="DISEÑOS Y CONSTRUCCIONES LOAR S.A. DE C.V."/>
        <s v="CONSTRUVISAC, S.A. DE C.V."/>
        <s v="CONSTRUSERVICIOS Y EDIFICACIONES BAJAMAR DE MEXICO S.A. DE C.V."/>
        <s v="EDIFICACIONES BOZA S.A. DE C.V."/>
        <s v="CEBB TERRACERIA Y PAVIMENTOS S.A DE C.V."/>
        <s v="PROYECTOS Y CONSTRUCCIONES VIRGO, S.A. DE C.V."/>
        <s v="REVAL DESARROLLOS Y MATERIALES, S.A. DE C.V."/>
        <s v="ALAMOS INGENIERIA, SA DE CV"/>
        <s v="SUPERVISION Y CONTROL DE CALIDAD LEYZA, S.A. DE C.V."/>
      </sharedItems>
    </cacheField>
    <cacheField name="[Rango].[FECHA].[FECHA]" caption="FECHA" numFmtId="0" hierarchy="21" level="1">
      <sharedItems containsSemiMixedTypes="0" containsNonDate="0" containsDate="1" containsString="0" minDate="2016-09-01T00:00:00" maxDate="2017-03-18T00:00:00" count="43">
        <d v="2016-09-01T00:00:00"/>
        <d v="2016-11-28T00:00:00"/>
        <d v="2016-12-06T00:00:00"/>
        <d v="2017-03-17T00:00:00"/>
        <d v="2016-09-06T00:00:00"/>
        <d v="2016-12-23T00:00:00"/>
        <d v="2016-12-29T00:00:00"/>
        <d v="2017-03-10T00:00:00"/>
        <d v="2016-09-13T00:00:00"/>
        <d v="2017-01-24T00:00:00"/>
        <d v="2017-03-13T00:00:00"/>
        <d v="2016-10-03T00:00:00"/>
        <d v="2016-12-30T00:00:00"/>
        <d v="2016-12-28T00:00:00"/>
        <d v="2017-03-16T00:00:00"/>
        <d v="2016-10-17T00:00:00"/>
        <d v="2017-02-23T00:00:00"/>
        <d v="2017-03-06T00:00:00"/>
        <d v="2016-11-25T00:00:00"/>
        <d v="2017-03-09T00:00:00"/>
        <d v="2016-11-09T00:00:00"/>
        <d v="2016-11-03T00:00:00"/>
        <d v="2016-10-26T00:00:00"/>
        <d v="2017-01-23T00:00:00"/>
        <d v="2016-11-17T00:00:00"/>
        <d v="2016-11-08T00:00:00"/>
        <d v="2017-02-28T00:00:00"/>
        <d v="2016-10-13T00:00:00"/>
        <d v="2017-01-26T00:00:00"/>
        <d v="2016-10-14T00:00:00"/>
        <d v="2016-11-15T00:00:00"/>
        <d v="2016-11-16T00:00:00"/>
        <d v="2016-11-04T00:00:00"/>
        <d v="2017-03-08T00:00:00"/>
        <d v="2017-03-14T00:00:00"/>
        <d v="2016-11-18T00:00:00"/>
        <d v="2016-11-11T00:00:00"/>
        <d v="2017-03-07T00:00:00"/>
        <d v="2016-11-22T00:00:00"/>
        <d v="2016-12-01T00:00:00"/>
        <d v="2016-11-30T00:00:00"/>
        <d v="2017-03-01T00:00:00"/>
        <d v="2017-02-22T00:00:00"/>
      </sharedItems>
    </cacheField>
    <cacheField name="[Rango].[AVANCE FINCIERO ESTIMADO].[AVANCE FINCIERO ESTIMADO]" caption="AVANCE FINCIERO ESTIMADO" numFmtId="0" hierarchy="23" level="1">
      <sharedItems count="137">
        <s v=""/>
        <s v="12.20%"/>
        <s v="37.51%"/>
        <s v="38.09%"/>
        <s v="9.44%"/>
        <s v="8.88%"/>
        <s v="18.03%"/>
        <s v="24.23%"/>
        <s v="11.70%"/>
        <s v="19.62%"/>
        <s v="40.69%"/>
        <s v="22.47%"/>
        <s v="22.58%"/>
        <s v="17.96%"/>
        <s v="15.49%"/>
        <s v="6.26%"/>
        <s v="18.47%"/>
        <s v="16.80%"/>
        <s v="1.63%"/>
        <s v="0.00%"/>
        <s v="17.22%"/>
        <s v="30.21%"/>
        <s v="31.93%"/>
        <s v="5.03%"/>
        <s v="5.17%"/>
        <s v="9.92%"/>
        <s v="17.06%"/>
        <s v="35.07%"/>
        <s v="14.66%"/>
        <s v="20.67%"/>
        <s v="17.00%"/>
        <s v="13.90%"/>
        <s v="14.99%"/>
        <s v="3.26%"/>
        <s v="13.23%"/>
        <s v="11.16%"/>
        <s v="10.43%"/>
        <s v="3.59%"/>
        <s v="9.51%"/>
        <s v="22.55%"/>
        <s v="35.79%"/>
        <s v="54.47%"/>
        <s v="34.17%"/>
        <s v="3.25%"/>
        <s v="43.21%"/>
        <s v="34.82%"/>
        <s v="34.89%"/>
        <s v="60.03%"/>
        <s v="2.31%"/>
        <s v="18.13%"/>
        <s v="33.49%"/>
        <s v="4.63%"/>
        <s v="3.75%"/>
        <s v="27.38%"/>
        <s v="4.71%"/>
        <s v="9.90%"/>
        <s v="10.32%"/>
        <s v="27.00%"/>
        <s v="73.00%"/>
        <s v="6.25%"/>
        <s v="5.69%"/>
        <s v="36.84%"/>
        <s v="5.40%"/>
        <s v="4.08%"/>
        <s v="95.92%"/>
        <s v="61.98%"/>
        <s v="38.20%"/>
        <s v="12.49%"/>
        <s v="23.41%"/>
        <s v="9.99%"/>
        <s v="26.70%"/>
        <s v="0.90%"/>
        <s v="12.79%"/>
        <s v="40.06%"/>
        <s v="40.63%"/>
        <s v="19.31%"/>
        <s v="9.18%"/>
        <s v="21.21%"/>
        <s v="19.89%"/>
        <s v="6.17%"/>
        <s v="11.96%"/>
        <s v="43.66%"/>
        <s v="33.33%"/>
        <s v="47.52%"/>
        <s v="25.93%"/>
        <s v="39.39%"/>
        <s v="28.47%"/>
        <s v="64.65%"/>
        <s v="40.19%"/>
        <s v="40.07%"/>
        <s v="20.13%"/>
        <s v="4.00%"/>
        <s v="18.51%"/>
        <s v="10.57%"/>
        <s v="52.94%"/>
        <s v="36.49%"/>
        <s v="17.85%"/>
        <s v="7.16%"/>
        <s v="48.93%"/>
        <s v="32.11%"/>
        <s v="11.80%"/>
        <s v="10.34%"/>
        <s v="52.97%"/>
        <s v="36.68%"/>
        <s v="20.59%"/>
        <s v="51.67%"/>
        <s v="33.41%"/>
        <s v="17.64%"/>
        <s v="8.47%"/>
        <s v="33.14%"/>
        <s v="35.76%"/>
        <s v="6.95%"/>
        <s v="47.50%"/>
        <s v="45.55%"/>
        <s v="7.12%"/>
        <s v="7.53%"/>
        <s v="73.45%"/>
        <s v="11.90%"/>
        <s v="0.55%"/>
        <s v="6.20%"/>
        <s v="2.70%"/>
        <s v="18.17%"/>
        <s v="5.10%"/>
        <s v="20.45%"/>
        <s v="20.82%"/>
        <s v="41.02%"/>
        <s v="32.49%"/>
        <s v="10.92%"/>
        <s v="10.08%"/>
        <s v="16.10%"/>
        <s v="12.40%"/>
        <s v="8.52%"/>
        <s v="7.31%"/>
        <s v="24.38%"/>
        <s v="10.67%"/>
        <s v="34.54%"/>
        <s v="32.88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" maxValue="1.0018" count="51">
        <n v="0.97240000000000004"/>
        <n v="0.51139999999999997"/>
        <n v="0.94479999999999997"/>
        <n v="0.97560000000000002"/>
        <n v="1.6299999999999999E-2"/>
        <n v="0.79359999999999997"/>
        <n v="0.10199999999999999"/>
        <n v="0.62050000000000005"/>
        <n v="0.6623"/>
        <n v="0"/>
        <n v="0.1825"/>
        <n v="0.1323"/>
        <n v="0.25180000000000002"/>
        <n v="9.5100000000000004E-2"/>
        <n v="0.58340000000000003"/>
        <n v="0.93669999999999998"/>
        <n v="0.81279999999999997"/>
        <n v="0.97230000000000005"/>
        <n v="0.51619999999999999"/>
        <n v="8.3799999999999999E-2"/>
        <n v="0.32090000000000002"/>
        <n v="0.42770000000000002"/>
        <n v="1"/>
        <n v="0.48780000000000001"/>
        <n v="5.3999999999999999E-2"/>
        <n v="1.0018"/>
        <n v="0.1249"/>
        <n v="0.60099999999999998"/>
        <n v="0.13689999999999999"/>
        <n v="0.50280000000000002"/>
        <n v="6.1699999999999998E-2"/>
        <n v="0.88949999999999996"/>
        <n v="0.47520000000000001"/>
        <n v="0.6532"/>
        <n v="0.28470000000000001"/>
        <n v="0.64649999999999996"/>
        <n v="0.80259999999999998"/>
        <n v="0.4264"/>
        <n v="0.17849999999999999"/>
        <n v="0.99990000000000001"/>
        <n v="0.2059"/>
        <n v="0.8508"/>
        <n v="0.95009999999999994"/>
        <n v="6.7500000000000004E-2"/>
        <n v="0.2087"/>
        <n v="0.2555"/>
        <n v="0.94330000000000003"/>
        <n v="0.371"/>
        <n v="0.124"/>
        <n v="0.85419999999999996"/>
        <n v="0.32879999999999998"/>
      </sharedItems>
    </cacheField>
    <cacheField name="[Rango].[AV. FINANCIERO GENERAL].[AV. FINANCIERO GENERAL]" caption="AV. FINANCIERO GENERAL" numFmtId="0" hierarchy="25" level="1">
      <sharedItems count="51">
        <s v="98.07%"/>
        <s v="65.79%"/>
        <s v="96.14%"/>
        <s v="98.28%"/>
        <s v="31.14%"/>
        <s v="85.56%"/>
        <s v="37.14%"/>
        <s v="73.43%"/>
        <s v="76.37%"/>
        <s v="30.00%"/>
        <s v="42.78%"/>
        <s v="39.26%"/>
        <s v="47.62%"/>
        <s v="36.66%"/>
        <s v="70.84%"/>
        <s v="95.57%"/>
        <s v="86.90%"/>
        <s v="97.22%"/>
        <s v="66.14%"/>
        <s v="35.86%"/>
        <s v="52.46%"/>
        <s v="59.93%"/>
        <s v="100.00%"/>
        <s v="64.15%"/>
        <s v="33.78%"/>
        <s v="99.92%"/>
        <s v="38.74%"/>
        <s v="72.07%"/>
        <s v="39.58%"/>
        <s v="65.19%"/>
        <s v="34.32%"/>
        <s v="88.95%"/>
        <s v="63.26%"/>
        <s v="75.73%"/>
        <s v="49.74%"/>
        <s v="75.25%"/>
        <s v="86.18%"/>
        <s v="59.85%"/>
        <s v="42.50%"/>
        <s v="44.41%"/>
        <s v="85.33%"/>
        <s v="96.51%"/>
        <s v="99.99%"/>
        <s v="34.72%"/>
        <s v="44.61%"/>
        <s v="47.88%"/>
        <s v="96.03%"/>
        <s v="55.97%"/>
        <s v="38.68%"/>
        <s v="89.79%"/>
        <s v="53.02%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2" memberValueDatatype="130" unbalanced="0">
      <fieldsUsage count="2">
        <fieldUsage x="-1"/>
        <fieldUsage x="10"/>
      </fieldsUsage>
    </cacheHierarchy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Yamil Durazo Valencia" refreshedDate="42812.745683217596" backgroundQuery="1" createdVersion="5" refreshedVersion="5" minRefreshableVersion="3" recordCount="0" supportSubquery="1" supportAdvancedDrill="1">
  <cacheSource type="external" connectionId="1"/>
  <cacheFields count="11">
    <cacheField name="[Measures].[Suma de NETO A PAGAR]" caption="Suma de NETO A PAGAR" numFmtId="0" hierarchy="27" level="32767"/>
    <cacheField name="[Rango].[ESTATUS].[ESTATUS]" caption="ESTATUS" numFmtId="0" hierarchy="20" level="1">
      <sharedItems count="3">
        <s v="1. S.H. PAGADO"/>
        <s v="2. S.H. PENDIENTE"/>
        <s v="3.1 O.P. DGPE S/CONV."/>
      </sharedItems>
    </cacheField>
    <cacheField name="[Rango].[MONTO DE CONTRATO].[MONTO DE CONTRATO]" caption="MONTO DE CONTRATO" numFmtId="0" hierarchy="22" level="1">
      <sharedItems count="6">
        <s v=" 2,879,975.40"/>
        <s v=" 2,879,974.93"/>
        <s v=" 2,113,583.09"/>
        <s v=" 2,246,395.02"/>
        <s v=" 689,526.99"/>
        <s v=" 25,515,708.31" u="1"/>
      </sharedItems>
    </cacheField>
    <cacheField name="[Rango].[CONTRATO].[CONTRATO]" caption="CONTRATO" numFmtId="0" hierarchy="4" level="1">
      <sharedItems count="5">
        <s v="SIDUR-ED-16-353"/>
        <s v="SIDUR-ED-16-353."/>
        <s v="SIDUR-ED-16-354-1"/>
        <s v="SIDUR-ED-16-354-2"/>
        <s v="SIDUR-ED-16-362."/>
      </sharedItems>
    </cacheField>
    <cacheField name="[Rango].[OBRA].[OBRA]" caption="OBRA" numFmtId="0" hierarchy="3" level="1">
      <sharedItems count="5">
        <s v="CONSTRUCCION DE CENTRO COMUNITARIO DE APRENDIZAJE EN LA LOCALIDAD DE GUAJARAY, MUNICIPIO DE ALAMOS"/>
        <s v="CONSTRUCCION DE CENTRO COMUNITARIO DE APRENDIZAJE EN LA LOCALIDAD DE MESA COLORADA, MUNICIPIO DE ALAMOS"/>
        <s v=" CONSTRUCCION Y REHABILITACION DE CENTRO COMUNITARIO DE APRENDIZAJE EN LA LOCALIDAD DE TIERRA BLANCA MUNICIPIO DE NAVOJOA, SONORA"/>
        <s v="CONSTRUCCION DE CENTRO COMUNITARIO DE APRENDIZAJE EN LA LOCALIDAD DE POZO DULCE MUNICIPIO DE HUATABAMPO"/>
        <s v="REMODELACION DE EDIFICIO PARA PERSONAS VULNERABLES (SISTEMA PARA EL DESARROLLO INTEGRAL DE LA FAMILIA - DIF), EN LA LOCALIDAD Y MUNICIPIO DE NAVOJOA, SONORA"/>
      </sharedItems>
    </cacheField>
    <cacheField name="[Rango].[ESTIM.].[ESTIM.]" caption="ESTIM." numFmtId="0" hierarchy="7" level="1">
      <sharedItems count="5">
        <s v="ANTICIPO"/>
        <s v="EST. 02"/>
        <s v="EST. 04"/>
        <s v="EST. 01"/>
        <s v="EST. 03"/>
      </sharedItems>
    </cacheField>
    <cacheField name="[Rango].[CONTRATISTA].[CONTRATISTA]" caption="CONTRATISTA" numFmtId="0" hierarchy="16" level="1">
      <sharedItems count="3">
        <s v="ING. GAUDENCIO RAMOS MONTEON"/>
        <s v="CERTUS GERENCIA DE PROYECTOS S. A. DE C. V."/>
        <s v="ARQ. LAMBERTO BETANZOS ENCINAS"/>
      </sharedItems>
    </cacheField>
    <cacheField name="[Rango].[FECHA].[FECHA]" caption="FECHA" numFmtId="0" hierarchy="21" level="1">
      <sharedItems containsSemiMixedTypes="0" containsNonDate="0" containsDate="1" containsString="0" minDate="2016-11-18T00:00:00" maxDate="2017-03-18T00:00:00" count="5">
        <d v="2016-11-18T00:00:00"/>
        <d v="2017-03-17T00:00:00"/>
        <d v="2017-03-16T00:00:00"/>
        <d v="2017-03-10T00:00:00"/>
        <d v="2017-03-06T00:00:00"/>
      </sharedItems>
    </cacheField>
    <cacheField name="[Rango].[AVANCE FINCIERO ESTIMADO].[AVANCE FINCIERO ESTIMADO]" caption="AVANCE FINCIERO ESTIMADO" numFmtId="0" hierarchy="23" level="1">
      <sharedItems count="5">
        <s v=""/>
        <s v="11.86%"/>
        <s v="7.18%"/>
        <s v="11.87%"/>
        <s v="14.08%"/>
      </sharedItems>
    </cacheField>
    <cacheField name="[Rango].[AV. FINANCIERO TOTAL].[AV. FINANCIERO TOTAL]" caption="AV. FINANCIERO TOTAL" numFmtId="0" hierarchy="24" level="1">
      <sharedItems containsSemiMixedTypes="0" containsString="0" containsNumber="1" minValue="0" maxValue="0.19040000000000001" count="4">
        <n v="0.19040000000000001"/>
        <n v="0.1187"/>
        <n v="0.14080000000000001"/>
        <n v="0"/>
      </sharedItems>
    </cacheField>
    <cacheField name="[Rango].[AV. FINANCIERO GENERAL].[AV. FINANCIERO GENERAL]" caption="AV. FINANCIERO GENERAL" numFmtId="0" hierarchy="25" level="1">
      <sharedItems count="4">
        <s v="43.33%"/>
        <s v="38.31%"/>
        <s v="39.86%"/>
        <s v="30.00%"/>
      </sharedItems>
    </cacheField>
  </cacheFields>
  <cacheHierarchies count="30">
    <cacheHierarchy uniqueName="[Rango].[FECHA MEMO]" caption="FECHA MEMO" attribute="1" time="1" defaultMemberUniqueName="[Rango].[FECHA MEMO].[All]" allUniqueName="[Rango].[FECHA MEMO].[All]" dimensionUniqueName="[Rango]" displayFolder="" count="0" memberValueDatatype="7" unbalanced="0"/>
    <cacheHierarchy uniqueName="[Rango].[MEMO]" caption="MEMO" attribute="1" defaultMemberUniqueName="[Rango].[MEMO].[All]" allUniqueName="[Rango].[MEMO].[All]" dimensionUniqueName="[Rango]" displayFolder="" count="0" memberValueDatatype="20" unbalanced="0"/>
    <cacheHierarchy uniqueName="[Rango].[No.]" caption="No." attribute="1" defaultMemberUniqueName="[Rango].[No.].[All]" allUniqueName="[Rango].[No.].[All]" dimensionUniqueName="[Rango]" displayFolder="" count="0" memberValueDatatype="20" unbalanced="0"/>
    <cacheHierarchy uniqueName="[Rango].[OBRA]" caption="OBRA" attribute="1" defaultMemberUniqueName="[Rango].[OBRA].[All]" allUniqueName="[Rango].[OBRA].[All]" dimensionUniqueName="[Rango]" displayFolder="" count="2" memberValueDatatype="130" unbalanced="0">
      <fieldsUsage count="2">
        <fieldUsage x="-1"/>
        <fieldUsage x="4"/>
      </fieldsUsage>
    </cacheHierarchy>
    <cacheHierarchy uniqueName="[Rango].[CONTRATO]" caption="CONTRATO" attribute="1" defaultMemberUniqueName="[Rango].[CONTRATO].[All]" allUniqueName="[Rango].[CONTRAT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ONV.]" caption="CONV." attribute="1" defaultMemberUniqueName="[Rango].[CONV.].[All]" allUniqueName="[Rango].[CONV.].[All]" dimensionUniqueName="[Rango]" displayFolder="" count="0" memberValueDatatype="130" unbalanced="0"/>
    <cacheHierarchy uniqueName="[Rango].[N. OBRA]" caption="N. OBRA" attribute="1" defaultMemberUniqueName="[Rango].[N. OBRA].[All]" allUniqueName="[Rango].[N. OBRA].[All]" dimensionUniqueName="[Rango]" displayFolder="" count="0" memberValueDatatype="130" unbalanced="0"/>
    <cacheHierarchy uniqueName="[Rango].[ESTIM.]" caption="ESTIM." attribute="1" defaultMemberUniqueName="[Rango].[ESTIM.].[All]" allUniqueName="[Rango].[ESTIM.].[All]" dimensionUniqueName="[Rango]" displayFolder="" count="2" memberValueDatatype="130" unbalanced="0">
      <fieldsUsage count="2">
        <fieldUsage x="-1"/>
        <fieldUsage x="5"/>
      </fieldsUsage>
    </cacheHierarchy>
    <cacheHierarchy uniqueName="[Rango].[ESTIMADO]" caption="ESTIMADO" attribute="1" defaultMemberUniqueName="[Rango].[ESTIMADO].[All]" allUniqueName="[Rango].[ESTIMADO].[All]" dimensionUniqueName="[Rango]" displayFolder="" count="0" memberValueDatatype="5" unbalanced="0"/>
    <cacheHierarchy uniqueName="[Rango].[presupuesto 2016]" caption="presupuesto 2016" attribute="1" defaultMemberUniqueName="[Rango].[presupuesto 2016].[All]" allUniqueName="[Rango].[presupuesto 2016].[All]" dimensionUniqueName="[Rango]" displayFolder="" count="0" memberValueDatatype="5" unbalanced="0"/>
    <cacheHierarchy uniqueName="[Rango].[AMORTIZACION]" caption="AMORTIZACION" attribute="1" defaultMemberUniqueName="[Rango].[AMORTIZACION].[All]" allUniqueName="[Rango].[AMORTIZACION].[All]" dimensionUniqueName="[Rango]" displayFolder="" count="0" memberValueDatatype="5" unbalanced="0"/>
    <cacheHierarchy uniqueName="[Rango].[SUBTOTAL]" caption="SUBTOTAL" attribute="1" defaultMemberUniqueName="[Rango].[SUBTOTAL].[All]" allUniqueName="[Rango].[SUBTOTAL].[All]" dimensionUniqueName="[Rango]" displayFolder="" count="0" memberValueDatatype="5" unbalanced="0"/>
    <cacheHierarchy uniqueName="[Rango].[IVA]" caption="IVA" attribute="1" defaultMemberUniqueName="[Rango].[IVA].[All]" allUniqueName="[Rango].[IVA].[All]" dimensionUniqueName="[Rango]" displayFolder="" count="0" memberValueDatatype="5" unbalanced="0"/>
    <cacheHierarchy uniqueName="[Rango].[PRESUPUESTO]" caption="PRESUPUESTO" attribute="1" defaultMemberUniqueName="[Rango].[PRESUPUESTO].[All]" allUniqueName="[Rango].[PRESUPUESTO].[All]" dimensionUniqueName="[Rango]" displayFolder="" count="0" memberValueDatatype="5" unbalanced="0"/>
    <cacheHierarchy uniqueName="[Rango].[RETEN.]" caption="RETEN." attribute="1" defaultMemberUniqueName="[Rango].[RETEN.].[All]" allUniqueName="[Rango].[RETEN.].[All]" dimensionUniqueName="[Rango]" displayFolder="" count="0" memberValueDatatype="5" unbalanced="0"/>
    <cacheHierarchy uniqueName="[Rango].[NETO A PAGAR]" caption="NETO A PAGAR" attribute="1" defaultMemberUniqueName="[Rango].[NETO A PAGAR].[All]" allUniqueName="[Rango].[NETO A PAGAR].[All]" dimensionUniqueName="[Rango]" displayFolder="" count="0" memberValueDatatype="5" unbalanced="0"/>
    <cacheHierarchy uniqueName="[Rango].[CONTRATISTA]" caption="CONTRATISTA" attribute="1" defaultMemberUniqueName="[Rango].[CONTRATISTA].[All]" allUniqueName="[Rango].[CONTRATISTA].[All]" dimensionUniqueName="[Rango]" displayFolder="" count="2" memberValueDatatype="130" unbalanced="0">
      <fieldsUsage count="2">
        <fieldUsage x="-1"/>
        <fieldUsage x="6"/>
      </fieldsUsage>
    </cacheHierarchy>
    <cacheHierarchy uniqueName="[Rango].[MUNICIPIO]" caption="MUNICIPIO" attribute="1" defaultMemberUniqueName="[Rango].[MUNICIPIO].[All]" allUniqueName="[Rango].[MUNICIPIO].[All]" dimensionUniqueName="[Rango]" displayFolder="" count="0" memberValueDatatype="130" unbalanced="0"/>
    <cacheHierarchy uniqueName="[Rango].[CLAVE PRESUPUESTAL]" caption="CLAVE PRESUPUESTAL" attribute="1" defaultMemberUniqueName="[Rango].[CLAVE PRESUPUESTAL].[All]" allUniqueName="[Rango].[CLAVE PRESUPUESTAL].[All]" dimensionUniqueName="[Rango]" displayFolder="" count="0" memberValueDatatype="130" unbalanced="0"/>
    <cacheHierarchy uniqueName="[Rango].[LICITACION]" caption="LICITACION" attribute="1" defaultMemberUniqueName="[Rango].[LICITACION].[All]" allUniqueName="[Rango].[LICITACION].[All]" dimensionUniqueName="[Rango]" displayFolder="" count="0" memberValueDatatype="130" unbalanced="0"/>
    <cacheHierarchy uniqueName="[Rango].[ESTATUS]" caption="ESTATUS" attribute="1" defaultMemberUniqueName="[Rango].[ESTATUS].[All]" allUniqueName="[Rango].[ESTATU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FECHA]" caption="FECHA" attribute="1" time="1" defaultMemberUniqueName="[Rango].[FECHA].[All]" allUniqueName="[Rango].[FECHA].[All]" dimensionUniqueName="[Rango]" displayFolder="" count="2" memberValueDatatype="7" unbalanced="0">
      <fieldsUsage count="2">
        <fieldUsage x="-1"/>
        <fieldUsage x="7"/>
      </fieldsUsage>
    </cacheHierarchy>
    <cacheHierarchy uniqueName="[Rango].[MONTO DE CONTRATO]" caption="MONTO DE CONTRATO" attribute="1" defaultMemberUniqueName="[Rango].[MONTO DE CONTRATO].[All]" allUniqueName="[Rango].[MONTO DE CONTRATO].[All]" dimensionUniqueName="[Rango]" displayFolder="" count="2" memberValueDatatype="130" unbalanced="0">
      <fieldsUsage count="2">
        <fieldUsage x="-1"/>
        <fieldUsage x="2"/>
      </fieldsUsage>
    </cacheHierarchy>
    <cacheHierarchy uniqueName="[Rango].[AVANCE FINCIERO ESTIMADO]" caption="AVANCE FINCIERO ESTIMADO" attribute="1" defaultMemberUniqueName="[Rango].[AVANCE FINCIERO ESTIMADO].[All]" allUniqueName="[Rango].[AVANCE FINCIERO ESTIMADO].[All]" dimensionUniqueName="[Rango]" displayFolder="" count="2" memberValueDatatype="130" unbalanced="0">
      <fieldsUsage count="2">
        <fieldUsage x="-1"/>
        <fieldUsage x="8"/>
      </fieldsUsage>
    </cacheHierarchy>
    <cacheHierarchy uniqueName="[Rango].[AV. FINANCIERO TOTAL]" caption="AV. FINANCIERO TOTAL" attribute="1" defaultMemberUniqueName="[Rango].[AV. FINANCIERO TOTAL].[All]" allUniqueName="[Rango].[AV. FINANCIERO TOTAL].[All]" dimensionUniqueName="[Rango]" displayFolder="" count="2" memberValueDatatype="5" unbalanced="0">
      <fieldsUsage count="2">
        <fieldUsage x="-1"/>
        <fieldUsage x="9"/>
      </fieldsUsage>
    </cacheHierarchy>
    <cacheHierarchy uniqueName="[Rango].[AV. FINANCIERO GENERAL]" caption="AV. FINANCIERO GENERAL" attribute="1" defaultMemberUniqueName="[Rango].[AV. FINANCIERO GENERAL].[All]" allUniqueName="[Rango].[AV. FINANCIERO GENERAL].[All]" dimensionUniqueName="[Rango]" displayFolder="" count="2" memberValueDatatype="130" unbalanced="0">
      <fieldsUsage count="2">
        <fieldUsage x="-1"/>
        <fieldUsage x="10"/>
      </fieldsUsage>
    </cacheHierarchy>
    <cacheHierarchy uniqueName="[Rango].[OFICIO DE AUTORIZACION]" caption="OFICIO DE AUTORIZACION" attribute="1" defaultMemberUniqueName="[Rango].[OFICIO DE AUTORIZACION].[All]" allUniqueName="[Rango].[OFICIO DE AUTORIZACION].[All]" dimensionUniqueName="[Rango]" displayFolder="" count="0" memberValueDatatype="130" unbalanced="0"/>
    <cacheHierarchy uniqueName="[Measures].[Suma de NETO A PAGAR]" caption="Suma de NETO A PAGAR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ESTATUS DE PAGOS" cacheId="3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G1940" firstHeaderRow="1" firstDataRow="1" firstDataCol="6"/>
  <pivotFields count="10">
    <pivotField dataField="1" showAll="0"/>
    <pivotField axis="axisRow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name="M. CONTRATADO" axis="axisRow" allDrilled="1" outline="0" showAll="0" dataSourceSort="1" defaultSubtotal="0" defaultAttributeDrillState="1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</items>
    </pivotField>
    <pivotField axis="axisRow" allDrilled="1" subtotalTop="0" showAll="0" insertBlankRow="1" dataSourceSort="1" defaultAttributeDrillState="1">
      <items count="2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t="default"/>
      </items>
    </pivotField>
    <pivotField axis="axisRow" allDrilled="1" subtotalTop="0" showAll="0" dataSourceSort="1" defaultSubtotal="0" defaultAttributeDrillState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outline="0" subtotalTop="0" showAll="0" dataSourceSort="1" defaultSubtotal="0" defaultAttributeDrillState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</items>
    </pivotField>
    <pivotField axis="axisRow" allDrilled="1" outline="0" subtotalTop="0" showAll="0" dataSourceSort="1" defaultSubtotal="0" defaultAttributeDrillState="1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</items>
    </pivotField>
    <pivotField name="AV.FIN. EST." axis="axisRow" allDrilled="1" showAll="0" dataSourceSort="1" defaultAttributeDrillState="1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</pivotField>
    <pivotField name="AV. FISICO" axis="axisRow" allDrilled="1" showAll="0" defaultSubtotal="0" defaultAttributeDrillState="1">
      <items count="125">
        <item x="0"/>
        <item x="37"/>
        <item x="15"/>
        <item x="41"/>
        <item x="99"/>
        <item x="35"/>
        <item x="39"/>
        <item x="40"/>
        <item x="67"/>
        <item x="8"/>
        <item x="28"/>
        <item x="42"/>
        <item x="33"/>
        <item x="38"/>
        <item x="3"/>
        <item x="10"/>
        <item x="11"/>
        <item x="45"/>
        <item x="48"/>
        <item x="54"/>
        <item x="56"/>
        <item x="27"/>
        <item x="1"/>
        <item x="13"/>
        <item x="16"/>
        <item x="23"/>
        <item x="25"/>
        <item x="32"/>
        <item x="50"/>
        <item x="53"/>
        <item x="60"/>
        <item x="62"/>
        <item x="68"/>
        <item x="2"/>
        <item x="4"/>
        <item x="9"/>
        <item x="12"/>
        <item x="19"/>
        <item x="29"/>
        <item x="30"/>
        <item x="31"/>
        <item x="34"/>
        <item x="47"/>
        <item x="49"/>
        <item x="52"/>
        <item x="59"/>
        <item x="61"/>
        <item x="76"/>
        <item x="79"/>
        <item x="86"/>
        <item x="93"/>
        <item x="105"/>
        <item x="109"/>
        <item x="111"/>
        <item x="113"/>
        <item x="122"/>
        <item x="21"/>
        <item x="57"/>
        <item x="70"/>
        <item x="71"/>
        <item x="74"/>
        <item x="14"/>
        <item x="80"/>
        <item x="88"/>
        <item x="89"/>
        <item x="107"/>
        <item x="110"/>
        <item x="63"/>
        <item x="65"/>
        <item x="66"/>
        <item x="77"/>
        <item x="84"/>
        <item x="90"/>
        <item x="91"/>
        <item x="120"/>
        <item x="92"/>
        <item x="106"/>
        <item x="100"/>
        <item x="6"/>
        <item x="102"/>
        <item x="103"/>
        <item x="108"/>
        <item x="96"/>
        <item x="112"/>
        <item x="17"/>
        <item x="18"/>
        <item x="82"/>
        <item x="83"/>
        <item x="101"/>
        <item x="115"/>
        <item x="121"/>
        <item x="20"/>
        <item x="43"/>
        <item x="64"/>
        <item x="81"/>
        <item x="97"/>
        <item x="117"/>
        <item x="118"/>
        <item x="73"/>
        <item x="7"/>
        <item x="22"/>
        <item x="24"/>
        <item x="36"/>
        <item x="55"/>
        <item x="78"/>
        <item x="87"/>
        <item x="94"/>
        <item x="124"/>
        <item x="26"/>
        <item x="44"/>
        <item x="69"/>
        <item x="114"/>
        <item x="116"/>
        <item x="119"/>
        <item x="123"/>
        <item x="5"/>
        <item x="46"/>
        <item x="51"/>
        <item x="58"/>
        <item x="85"/>
        <item x="95"/>
        <item x="98"/>
        <item x="104"/>
        <item x="72"/>
        <item x="75"/>
      </items>
    </pivotField>
  </pivotFields>
  <rowFields count="9">
    <field x="3"/>
    <field x="4"/>
    <field x="6"/>
    <field x="2"/>
    <field x="9"/>
    <field x="5"/>
    <field x="1"/>
    <field x="7"/>
    <field x="8"/>
  </rowFields>
  <rowItems count="1937">
    <i>
      <x/>
    </i>
    <i r="1">
      <x/>
    </i>
    <i r="2">
      <x/>
      <x/>
      <x/>
    </i>
    <i r="5">
      <x/>
      <x/>
      <x/>
      <x/>
    </i>
    <i r="5">
      <x v="1"/>
      <x/>
      <x v="1"/>
      <x v="1"/>
    </i>
    <i r="5">
      <x v="2"/>
      <x/>
      <x v="2"/>
      <x v="2"/>
    </i>
    <i r="5">
      <x v="3"/>
      <x/>
      <x v="3"/>
      <x v="3"/>
    </i>
    <i r="5">
      <x v="4"/>
      <x/>
      <x v="4"/>
      <x v="4"/>
    </i>
    <i t="default">
      <x/>
    </i>
    <i t="blank">
      <x/>
    </i>
    <i>
      <x v="1"/>
    </i>
    <i r="1">
      <x v="1"/>
    </i>
    <i r="2">
      <x v="1"/>
      <x v="1"/>
      <x/>
    </i>
    <i r="5">
      <x/>
      <x/>
      <x v="5"/>
      <x/>
    </i>
    <i r="5">
      <x v="1"/>
      <x/>
      <x v="6"/>
      <x v="5"/>
    </i>
    <i r="5">
      <x v="2"/>
      <x/>
      <x v="7"/>
      <x v="6"/>
    </i>
    <i r="5">
      <x v="3"/>
      <x/>
      <x v="8"/>
      <x v="7"/>
    </i>
    <i r="5">
      <x v="4"/>
      <x/>
      <x v="8"/>
      <x v="8"/>
    </i>
    <i r="5">
      <x v="5"/>
      <x/>
      <x v="3"/>
      <x v="9"/>
    </i>
    <i r="5">
      <x v="6"/>
      <x/>
      <x v="2"/>
      <x v="10"/>
    </i>
    <i r="5">
      <x v="7"/>
      <x/>
      <x v="4"/>
      <x v="11"/>
    </i>
    <i t="default">
      <x v="1"/>
    </i>
    <i t="blank">
      <x v="1"/>
    </i>
    <i>
      <x v="2"/>
    </i>
    <i r="1">
      <x v="2"/>
    </i>
    <i r="2">
      <x v="2"/>
      <x v="2"/>
      <x/>
    </i>
    <i r="5">
      <x/>
      <x/>
      <x v="9"/>
      <x/>
    </i>
    <i r="5">
      <x v="1"/>
      <x/>
      <x v="10"/>
      <x v="12"/>
    </i>
    <i r="5">
      <x v="2"/>
      <x/>
      <x v="1"/>
      <x v="13"/>
    </i>
    <i r="5">
      <x v="3"/>
      <x/>
      <x v="1"/>
      <x v="14"/>
    </i>
    <i r="5">
      <x v="4"/>
      <x/>
      <x v="3"/>
      <x v="15"/>
    </i>
    <i r="5">
      <x v="5"/>
      <x/>
      <x v="11"/>
      <x v="16"/>
    </i>
    <i r="5">
      <x v="6"/>
      <x/>
      <x v="12"/>
      <x v="17"/>
    </i>
    <i r="5">
      <x v="7"/>
      <x/>
      <x v="13"/>
      <x v="18"/>
    </i>
    <i r="5">
      <x v="8"/>
      <x/>
      <x v="14"/>
      <x v="19"/>
    </i>
    <i r="5">
      <x v="9"/>
      <x v="1"/>
      <x v="15"/>
      <x v="20"/>
    </i>
    <i t="default">
      <x v="2"/>
    </i>
    <i t="blank">
      <x v="2"/>
    </i>
    <i>
      <x v="3"/>
    </i>
    <i r="1">
      <x v="3"/>
    </i>
    <i r="2">
      <x v="3"/>
      <x v="3"/>
      <x/>
    </i>
    <i r="5">
      <x/>
      <x/>
      <x v="16"/>
      <x/>
    </i>
    <i r="5">
      <x v="1"/>
      <x/>
      <x v="3"/>
      <x v="21"/>
    </i>
    <i r="5">
      <x v="2"/>
      <x/>
      <x v="3"/>
      <x v="22"/>
    </i>
    <i r="5">
      <x v="3"/>
      <x/>
      <x v="3"/>
      <x v="23"/>
    </i>
    <i r="5">
      <x v="4"/>
      <x/>
      <x v="3"/>
      <x v="24"/>
    </i>
    <i r="5">
      <x v="5"/>
      <x/>
      <x v="17"/>
      <x v="25"/>
    </i>
    <i t="default">
      <x v="3"/>
    </i>
    <i t="blank">
      <x v="3"/>
    </i>
    <i>
      <x v="4"/>
    </i>
    <i r="1">
      <x v="4"/>
    </i>
    <i r="2">
      <x v="4"/>
      <x v="4"/>
      <x/>
    </i>
    <i r="5">
      <x/>
      <x/>
      <x/>
      <x/>
    </i>
    <i r="5">
      <x v="1"/>
      <x/>
      <x v="1"/>
      <x v="26"/>
    </i>
    <i r="5">
      <x v="2"/>
      <x/>
      <x v="1"/>
      <x v="27"/>
    </i>
    <i r="5">
      <x v="3"/>
      <x/>
      <x v="1"/>
      <x v="28"/>
    </i>
    <i r="5">
      <x v="4"/>
      <x/>
      <x v="4"/>
      <x v="29"/>
    </i>
    <i r="5">
      <x v="5"/>
      <x/>
      <x v="17"/>
      <x v="30"/>
    </i>
    <i t="default">
      <x v="4"/>
    </i>
    <i t="blank">
      <x v="4"/>
    </i>
    <i>
      <x v="5"/>
    </i>
    <i r="1">
      <x v="5"/>
    </i>
    <i r="2">
      <x v="5"/>
      <x v="5"/>
      <x v="22"/>
    </i>
    <i r="5">
      <x/>
      <x/>
      <x v="18"/>
      <x/>
    </i>
    <i r="5">
      <x v="1"/>
      <x/>
      <x v="3"/>
      <x v="31"/>
    </i>
    <i r="5">
      <x v="2"/>
      <x/>
      <x v="3"/>
      <x v="32"/>
    </i>
    <i r="5">
      <x v="3"/>
      <x/>
      <x v="19"/>
      <x v="33"/>
    </i>
    <i r="5">
      <x v="4"/>
      <x/>
      <x v="14"/>
      <x v="34"/>
    </i>
    <i r="5">
      <x v="5"/>
      <x/>
      <x v="17"/>
      <x v="35"/>
    </i>
    <i t="default">
      <x v="5"/>
    </i>
    <i t="blank">
      <x v="5"/>
    </i>
    <i>
      <x v="6"/>
    </i>
    <i r="1">
      <x v="6"/>
    </i>
    <i r="2">
      <x v="6"/>
      <x v="6"/>
      <x v="33"/>
    </i>
    <i r="5">
      <x/>
      <x/>
      <x v="20"/>
      <x/>
    </i>
    <i r="5">
      <x v="1"/>
      <x/>
      <x v="2"/>
      <x v="36"/>
    </i>
    <i r="5">
      <x v="2"/>
      <x/>
      <x v="2"/>
      <x v="37"/>
    </i>
    <i r="5">
      <x v="3"/>
      <x/>
      <x v="3"/>
      <x v="38"/>
    </i>
    <i r="5">
      <x v="4"/>
      <x/>
      <x v="19"/>
      <x v="39"/>
    </i>
    <i r="5">
      <x v="5"/>
      <x/>
      <x v="4"/>
      <x v="40"/>
    </i>
    <i r="5">
      <x v="6"/>
      <x/>
      <x v="13"/>
      <x v="41"/>
    </i>
    <i r="5">
      <x v="7"/>
      <x/>
      <x v="21"/>
      <x v="42"/>
    </i>
    <i r="5">
      <x v="8"/>
      <x/>
      <x v="13"/>
      <x v="43"/>
    </i>
    <i r="5">
      <x v="9"/>
      <x/>
      <x v="21"/>
      <x v="44"/>
    </i>
    <i r="5">
      <x v="10"/>
      <x/>
      <x v="21"/>
      <x v="45"/>
    </i>
    <i r="5">
      <x v="11"/>
      <x/>
      <x v="22"/>
      <x v="46"/>
    </i>
    <i t="default">
      <x v="6"/>
    </i>
    <i t="blank">
      <x v="6"/>
    </i>
    <i>
      <x v="7"/>
    </i>
    <i r="1">
      <x v="7"/>
    </i>
    <i r="2">
      <x v="7"/>
      <x v="7"/>
      <x v="14"/>
    </i>
    <i r="5">
      <x/>
      <x/>
      <x v="23"/>
      <x/>
    </i>
    <i r="5">
      <x v="1"/>
      <x/>
      <x v="3"/>
      <x v="47"/>
    </i>
    <i r="5">
      <x v="2"/>
      <x/>
      <x v="19"/>
      <x v="48"/>
    </i>
    <i r="5">
      <x v="3"/>
      <x/>
      <x v="12"/>
      <x v="49"/>
    </i>
    <i r="5">
      <x v="4"/>
      <x/>
      <x v="4"/>
      <x v="50"/>
    </i>
    <i r="5">
      <x v="5"/>
      <x/>
      <x v="13"/>
      <x v="51"/>
    </i>
    <i r="5">
      <x v="6"/>
      <x/>
      <x v="24"/>
      <x v="52"/>
    </i>
    <i t="default">
      <x v="7"/>
    </i>
    <i t="blank">
      <x v="7"/>
    </i>
    <i>
      <x v="8"/>
    </i>
    <i r="1">
      <x v="8"/>
    </i>
    <i r="2">
      <x v="8"/>
      <x v="8"/>
      <x/>
    </i>
    <i r="5">
      <x/>
      <x/>
      <x v="25"/>
      <x/>
    </i>
    <i r="5">
      <x v="1"/>
      <x/>
      <x v="3"/>
      <x v="53"/>
    </i>
    <i r="5">
      <x v="2"/>
      <x/>
      <x v="19"/>
      <x v="54"/>
    </i>
    <i r="5">
      <x v="3"/>
      <x/>
      <x v="12"/>
      <x v="55"/>
    </i>
    <i r="5">
      <x v="4"/>
      <x/>
      <x v="12"/>
      <x v="56"/>
    </i>
    <i r="5">
      <x v="5"/>
      <x/>
      <x v="17"/>
      <x v="42"/>
    </i>
    <i r="5">
      <x v="6"/>
      <x/>
      <x v="17"/>
      <x v="57"/>
    </i>
    <i t="default">
      <x v="8"/>
    </i>
    <i t="blank">
      <x v="8"/>
    </i>
    <i>
      <x v="9"/>
    </i>
    <i r="1">
      <x v="9"/>
    </i>
    <i r="2">
      <x v="9"/>
      <x v="9"/>
      <x/>
    </i>
    <i r="5">
      <x/>
      <x/>
      <x v="26"/>
      <x/>
    </i>
    <i r="5">
      <x v="1"/>
      <x/>
      <x v="19"/>
      <x v="58"/>
    </i>
    <i r="5">
      <x v="2"/>
      <x/>
      <x v="19"/>
      <x v="59"/>
    </i>
    <i r="5">
      <x v="3"/>
      <x/>
      <x v="13"/>
      <x v="60"/>
    </i>
    <i r="5">
      <x v="4"/>
      <x/>
      <x v="14"/>
      <x v="61"/>
    </i>
    <i r="5">
      <x v="5"/>
      <x/>
      <x v="27"/>
      <x v="62"/>
    </i>
    <i r="5">
      <x v="6"/>
      <x v="2"/>
      <x v="28"/>
      <x v="63"/>
    </i>
    <i t="default">
      <x v="9"/>
    </i>
    <i t="blank">
      <x v="9"/>
    </i>
    <i>
      <x v="10"/>
    </i>
    <i r="1">
      <x v="10"/>
    </i>
    <i r="2">
      <x v="10"/>
      <x v="10"/>
      <x v="34"/>
    </i>
    <i r="5">
      <x/>
      <x/>
      <x v="26"/>
      <x/>
    </i>
    <i r="5">
      <x v="1"/>
      <x/>
      <x v="4"/>
      <x v="64"/>
    </i>
    <i r="5">
      <x v="2"/>
      <x/>
      <x v="4"/>
      <x v="65"/>
    </i>
    <i r="5">
      <x v="3"/>
      <x/>
      <x v="4"/>
      <x v="66"/>
    </i>
    <i r="5">
      <x v="4"/>
      <x/>
      <x v="4"/>
      <x v="67"/>
    </i>
    <i r="5">
      <x v="5"/>
      <x/>
      <x v="29"/>
      <x v="68"/>
    </i>
    <i r="5">
      <x v="6"/>
      <x v="3"/>
      <x v="30"/>
      <x v="69"/>
    </i>
    <i t="default">
      <x v="10"/>
    </i>
    <i t="blank">
      <x v="10"/>
    </i>
    <i>
      <x v="11"/>
    </i>
    <i r="1">
      <x v="11"/>
    </i>
    <i r="2">
      <x v="11"/>
      <x v="11"/>
      <x/>
    </i>
    <i r="5">
      <x/>
      <x/>
      <x v="26"/>
      <x/>
    </i>
    <i r="5">
      <x v="1"/>
      <x/>
      <x v="3"/>
      <x v="70"/>
    </i>
    <i r="5">
      <x v="2"/>
      <x/>
      <x v="3"/>
      <x v="71"/>
    </i>
    <i r="5">
      <x v="3"/>
      <x/>
      <x v="2"/>
      <x v="72"/>
    </i>
    <i r="5">
      <x v="4"/>
      <x/>
      <x v="3"/>
      <x v="73"/>
    </i>
    <i r="5">
      <x v="5"/>
      <x/>
      <x v="13"/>
      <x v="74"/>
    </i>
    <i r="5">
      <x v="6"/>
      <x v="2"/>
      <x v="31"/>
      <x v="75"/>
    </i>
    <i r="5">
      <x v="7"/>
      <x/>
      <x v="30"/>
      <x v="76"/>
    </i>
    <i r="5">
      <x v="8"/>
      <x/>
      <x v="30"/>
      <x v="77"/>
    </i>
    <i t="default">
      <x v="11"/>
    </i>
    <i t="blank">
      <x v="11"/>
    </i>
    <i>
      <x v="12"/>
    </i>
    <i r="1">
      <x v="12"/>
    </i>
    <i r="2">
      <x v="12"/>
      <x v="12"/>
      <x v="115"/>
    </i>
    <i r="5">
      <x/>
      <x/>
      <x v="32"/>
      <x/>
    </i>
    <i r="5">
      <x v="1"/>
      <x/>
      <x v="2"/>
      <x v="22"/>
    </i>
    <i r="5">
      <x v="2"/>
      <x/>
      <x v="3"/>
      <x v="78"/>
    </i>
    <i r="5">
      <x v="3"/>
      <x/>
      <x v="3"/>
      <x v="79"/>
    </i>
    <i r="5">
      <x v="4"/>
      <x/>
      <x v="19"/>
      <x v="7"/>
    </i>
    <i r="5">
      <x v="5"/>
      <x/>
      <x v="13"/>
      <x v="80"/>
    </i>
    <i r="5">
      <x v="6"/>
      <x/>
      <x v="33"/>
      <x v="81"/>
    </i>
    <i r="5">
      <x v="7"/>
      <x/>
      <x v="34"/>
      <x v="82"/>
    </i>
    <i r="5">
      <x v="8"/>
      <x/>
      <x v="35"/>
      <x v="83"/>
    </i>
    <i r="5">
      <x v="9"/>
      <x/>
      <x v="36"/>
      <x v="84"/>
    </i>
    <i r="5">
      <x v="10"/>
      <x/>
      <x v="36"/>
      <x v="85"/>
    </i>
    <i r="5">
      <x v="11"/>
      <x v="4"/>
      <x v="28"/>
      <x v="86"/>
    </i>
    <i t="default">
      <x v="12"/>
    </i>
    <i t="blank">
      <x v="12"/>
    </i>
    <i>
      <x v="13"/>
    </i>
    <i r="1">
      <x v="13"/>
    </i>
    <i r="2">
      <x v="13"/>
      <x v="13"/>
      <x v="78"/>
    </i>
    <i r="5">
      <x/>
      <x/>
      <x v="25"/>
      <x/>
    </i>
    <i r="5">
      <x v="1"/>
      <x/>
      <x v="19"/>
      <x v="87"/>
    </i>
    <i r="5">
      <x v="2"/>
      <x/>
      <x v="19"/>
      <x v="88"/>
    </i>
    <i r="5">
      <x v="3"/>
      <x/>
      <x v="4"/>
      <x v="89"/>
    </i>
    <i r="5">
      <x v="4"/>
      <x/>
      <x v="22"/>
      <x v="90"/>
    </i>
    <i r="5">
      <x v="5"/>
      <x/>
      <x v="22"/>
      <x v="91"/>
    </i>
    <i r="5">
      <x v="6"/>
      <x/>
      <x v="22"/>
      <x v="92"/>
    </i>
    <i r="5">
      <x v="7"/>
      <x/>
      <x v="17"/>
      <x v="93"/>
    </i>
    <i r="5">
      <x v="8"/>
      <x v="2"/>
      <x v="37"/>
      <x v="94"/>
    </i>
    <i t="default">
      <x v="13"/>
    </i>
    <i t="blank">
      <x v="13"/>
    </i>
    <i>
      <x v="14"/>
    </i>
    <i r="1">
      <x v="14"/>
    </i>
    <i r="2">
      <x v="14"/>
      <x v="14"/>
      <x v="99"/>
    </i>
    <i r="5">
      <x/>
      <x/>
      <x v="32"/>
      <x/>
    </i>
    <i r="5">
      <x v="1"/>
      <x/>
      <x v="13"/>
      <x v="95"/>
    </i>
    <i r="5">
      <x v="2"/>
      <x/>
      <x v="38"/>
      <x v="96"/>
    </i>
    <i r="5">
      <x v="3"/>
      <x/>
      <x v="27"/>
      <x v="97"/>
    </i>
    <i r="5">
      <x v="4"/>
      <x/>
      <x v="27"/>
      <x v="98"/>
    </i>
    <i r="5">
      <x v="5"/>
      <x/>
      <x v="39"/>
      <x v="6"/>
    </i>
    <i r="5">
      <x v="6"/>
      <x/>
      <x v="17"/>
      <x v="99"/>
    </i>
    <i r="5">
      <x v="7"/>
      <x/>
      <x v="36"/>
      <x v="100"/>
    </i>
    <i r="5">
      <x v="8"/>
      <x v="5"/>
      <x v="30"/>
      <x v="101"/>
    </i>
    <i t="default">
      <x v="14"/>
    </i>
    <i t="blank">
      <x v="14"/>
    </i>
    <i>
      <x v="15"/>
    </i>
    <i r="1">
      <x v="15"/>
    </i>
    <i r="2">
      <x v="15"/>
      <x v="15"/>
      <x v="9"/>
    </i>
    <i r="5">
      <x/>
      <x/>
      <x v="26"/>
      <x/>
    </i>
    <i r="5">
      <x v="1"/>
      <x/>
      <x v="1"/>
      <x v="102"/>
    </i>
    <i r="5">
      <x v="2"/>
      <x/>
      <x v="1"/>
      <x v="103"/>
    </i>
    <i r="5">
      <x v="3"/>
      <x/>
      <x v="2"/>
      <x v="104"/>
    </i>
    <i r="5">
      <x v="4"/>
      <x/>
      <x v="2"/>
      <x v="105"/>
    </i>
    <i r="5">
      <x v="5"/>
      <x/>
      <x v="4"/>
      <x v="106"/>
    </i>
    <i t="default">
      <x v="15"/>
    </i>
    <i t="blank">
      <x v="15"/>
    </i>
    <i>
      <x v="16"/>
    </i>
    <i r="1">
      <x v="16"/>
    </i>
    <i r="2">
      <x v="16"/>
      <x v="16"/>
      <x v="35"/>
    </i>
    <i r="5">
      <x/>
      <x/>
      <x v="26"/>
      <x/>
    </i>
    <i r="5">
      <x v="1"/>
      <x/>
      <x v="3"/>
      <x v="107"/>
    </i>
    <i r="5">
      <x v="2"/>
      <x/>
      <x v="38"/>
      <x v="108"/>
    </i>
    <i r="5">
      <x v="3"/>
      <x/>
      <x v="40"/>
      <x v="109"/>
    </i>
    <i r="5">
      <x v="4"/>
      <x/>
      <x v="17"/>
      <x v="110"/>
    </i>
    <i t="default">
      <x v="16"/>
    </i>
    <i t="blank">
      <x v="16"/>
    </i>
    <i>
      <x v="17"/>
    </i>
    <i r="1">
      <x v="17"/>
    </i>
    <i r="2">
      <x v="17"/>
      <x v="17"/>
      <x v="15"/>
    </i>
    <i r="5">
      <x/>
      <x/>
      <x v="41"/>
      <x/>
    </i>
    <i r="5">
      <x v="1"/>
      <x/>
      <x v="2"/>
      <x v="111"/>
    </i>
    <i r="5">
      <x v="2"/>
      <x/>
      <x v="42"/>
      <x v="112"/>
    </i>
    <i r="5">
      <x v="3"/>
      <x/>
      <x v="3"/>
      <x v="113"/>
    </i>
    <i r="5">
      <x v="4"/>
      <x/>
      <x v="14"/>
      <x v="114"/>
    </i>
    <i r="5">
      <x v="5"/>
      <x/>
      <x v="24"/>
      <x v="115"/>
    </i>
    <i t="default">
      <x v="17"/>
    </i>
    <i t="blank">
      <x v="17"/>
    </i>
    <i>
      <x v="18"/>
    </i>
    <i r="1">
      <x v="18"/>
    </i>
    <i r="2">
      <x v="18"/>
      <x v="18"/>
      <x v="16"/>
    </i>
    <i r="5">
      <x/>
      <x/>
      <x v="26"/>
      <x/>
    </i>
    <i r="5">
      <x v="1"/>
      <x/>
      <x v="2"/>
      <x v="116"/>
    </i>
    <i r="5">
      <x v="2"/>
      <x/>
      <x v="42"/>
      <x v="117"/>
    </i>
    <i r="5">
      <x v="3"/>
      <x/>
      <x v="43"/>
      <x v="118"/>
    </i>
    <i r="5">
      <x v="4"/>
      <x/>
      <x v="17"/>
      <x v="119"/>
    </i>
    <i r="5">
      <x v="5"/>
      <x v="2"/>
      <x v="28"/>
      <x v="120"/>
    </i>
    <i t="default">
      <x v="18"/>
    </i>
    <i t="blank">
      <x v="18"/>
    </i>
    <i>
      <x v="19"/>
    </i>
    <i r="1">
      <x v="19"/>
    </i>
    <i r="2">
      <x v="19"/>
      <x v="19"/>
      <x v="36"/>
    </i>
    <i r="5">
      <x/>
      <x/>
      <x v="26"/>
      <x/>
    </i>
    <i r="5">
      <x v="1"/>
      <x/>
      <x v="3"/>
      <x v="121"/>
    </i>
    <i r="5">
      <x v="2"/>
      <x/>
      <x v="4"/>
      <x v="122"/>
    </i>
    <i r="5">
      <x v="3"/>
      <x/>
      <x v="17"/>
      <x v="123"/>
    </i>
    <i r="5">
      <x v="4"/>
      <x/>
      <x v="17"/>
      <x v="124"/>
    </i>
    <i r="5">
      <x v="5"/>
      <x/>
      <x v="24"/>
      <x v="65"/>
    </i>
    <i t="default">
      <x v="19"/>
    </i>
    <i t="blank">
      <x v="19"/>
    </i>
    <i>
      <x v="20"/>
    </i>
    <i r="1">
      <x v="20"/>
    </i>
    <i r="2">
      <x v="20"/>
      <x v="20"/>
      <x v="23"/>
    </i>
    <i r="5">
      <x/>
      <x/>
      <x v="26"/>
      <x/>
    </i>
    <i r="5">
      <x v="1"/>
      <x/>
      <x v="2"/>
      <x v="125"/>
    </i>
    <i r="5">
      <x v="2"/>
      <x/>
      <x v="44"/>
      <x v="126"/>
    </i>
    <i r="5">
      <x v="3"/>
      <x/>
      <x v="3"/>
      <x v="127"/>
    </i>
    <i r="5">
      <x v="4"/>
      <x/>
      <x v="14"/>
      <x v="128"/>
    </i>
    <i r="5">
      <x v="5"/>
      <x/>
      <x v="14"/>
      <x v="129"/>
    </i>
    <i r="5">
      <x v="6"/>
      <x/>
      <x v="17"/>
      <x v="130"/>
    </i>
    <i t="default">
      <x v="20"/>
    </i>
    <i t="blank">
      <x v="20"/>
    </i>
    <i>
      <x v="21"/>
    </i>
    <i r="1">
      <x v="21"/>
    </i>
    <i r="2">
      <x v="21"/>
      <x v="21"/>
      <x/>
    </i>
    <i r="5">
      <x/>
      <x/>
      <x v="26"/>
      <x/>
    </i>
    <i r="5">
      <x v="1"/>
      <x/>
      <x v="12"/>
      <x v="131"/>
    </i>
    <i r="5">
      <x v="2"/>
      <x/>
      <x v="45"/>
      <x v="132"/>
    </i>
    <i r="5">
      <x v="3"/>
      <x/>
      <x v="17"/>
      <x v="133"/>
    </i>
    <i r="5">
      <x v="4"/>
      <x/>
      <x v="17"/>
      <x v="134"/>
    </i>
    <i r="5">
      <x v="5"/>
      <x/>
      <x v="24"/>
      <x v="135"/>
    </i>
    <i t="default">
      <x v="21"/>
    </i>
    <i t="blank">
      <x v="21"/>
    </i>
    <i>
      <x v="22"/>
    </i>
    <i r="1">
      <x v="22"/>
    </i>
    <i r="2">
      <x v="22"/>
      <x v="22"/>
      <x v="61"/>
    </i>
    <i r="5">
      <x/>
      <x/>
      <x v="26"/>
      <x/>
    </i>
    <i r="5">
      <x v="1"/>
      <x/>
      <x v="13"/>
      <x v="136"/>
    </i>
    <i r="5">
      <x v="2"/>
      <x/>
      <x v="13"/>
      <x v="137"/>
    </i>
    <i r="5">
      <x v="3"/>
      <x/>
      <x v="27"/>
      <x v="138"/>
    </i>
    <i r="5">
      <x v="4"/>
      <x/>
      <x v="27"/>
      <x v="139"/>
    </i>
    <i r="5">
      <x v="5"/>
      <x/>
      <x v="27"/>
      <x v="140"/>
    </i>
    <i t="default">
      <x v="22"/>
    </i>
    <i t="blank">
      <x v="22"/>
    </i>
    <i>
      <x v="23"/>
    </i>
    <i r="1">
      <x v="23"/>
    </i>
    <i r="2">
      <x v="4"/>
      <x v="23"/>
      <x v="2"/>
    </i>
    <i r="5">
      <x/>
      <x/>
      <x v="26"/>
      <x/>
    </i>
    <i r="5">
      <x v="1"/>
      <x/>
      <x v="3"/>
      <x v="141"/>
    </i>
    <i r="5">
      <x v="2"/>
      <x/>
      <x v="19"/>
      <x v="142"/>
    </i>
    <i r="5">
      <x v="3"/>
      <x/>
      <x v="12"/>
      <x v="143"/>
    </i>
    <i r="5">
      <x v="4"/>
      <x/>
      <x v="13"/>
      <x v="144"/>
    </i>
    <i t="default">
      <x v="23"/>
    </i>
    <i t="blank">
      <x v="23"/>
    </i>
    <i>
      <x v="24"/>
    </i>
    <i r="1">
      <x v="24"/>
    </i>
    <i r="2">
      <x v="23"/>
      <x v="24"/>
      <x v="24"/>
    </i>
    <i r="5">
      <x/>
      <x/>
      <x v="26"/>
      <x/>
    </i>
    <i r="5">
      <x v="1"/>
      <x/>
      <x v="2"/>
      <x v="145"/>
    </i>
    <i r="5">
      <x v="2"/>
      <x/>
      <x v="3"/>
      <x v="146"/>
    </i>
    <i r="5">
      <x v="3"/>
      <x/>
      <x v="12"/>
      <x v="147"/>
    </i>
    <i r="5">
      <x v="4"/>
      <x/>
      <x v="14"/>
      <x v="148"/>
    </i>
    <i r="5">
      <x v="5"/>
      <x/>
      <x v="14"/>
      <x v="149"/>
    </i>
    <i r="5">
      <x v="6"/>
      <x/>
      <x v="14"/>
      <x v="150"/>
    </i>
    <i r="5">
      <x v="7"/>
      <x/>
      <x v="46"/>
      <x v="151"/>
    </i>
    <i r="5">
      <x v="8"/>
      <x/>
      <x v="46"/>
      <x v="152"/>
    </i>
    <i t="default">
      <x v="24"/>
    </i>
    <i t="blank">
      <x v="24"/>
    </i>
    <i>
      <x v="25"/>
    </i>
    <i r="1">
      <x v="25"/>
    </i>
    <i r="2">
      <x v="24"/>
      <x v="25"/>
      <x v="84"/>
    </i>
    <i r="5">
      <x/>
      <x/>
      <x v="26"/>
      <x/>
    </i>
    <i r="5">
      <x v="1"/>
      <x/>
      <x v="12"/>
      <x v="153"/>
    </i>
    <i r="5">
      <x v="2"/>
      <x/>
      <x v="12"/>
      <x v="154"/>
    </i>
    <i r="5">
      <x v="3"/>
      <x/>
      <x v="47"/>
      <x v="155"/>
    </i>
    <i r="5">
      <x v="4"/>
      <x/>
      <x v="47"/>
      <x v="156"/>
    </i>
    <i r="5">
      <x v="5"/>
      <x/>
      <x v="47"/>
      <x v="157"/>
    </i>
    <i r="5">
      <x v="6"/>
      <x/>
      <x v="47"/>
      <x v="158"/>
    </i>
    <i r="5">
      <x v="7"/>
      <x/>
      <x v="30"/>
      <x v="159"/>
    </i>
    <i r="5">
      <x v="8"/>
      <x v="3"/>
      <x v="28"/>
      <x v="160"/>
    </i>
    <i t="default">
      <x v="25"/>
    </i>
    <i t="blank">
      <x v="25"/>
    </i>
    <i>
      <x v="26"/>
    </i>
    <i r="1">
      <x v="26"/>
    </i>
    <i r="2">
      <x v="25"/>
      <x v="26"/>
      <x v="85"/>
    </i>
    <i r="5">
      <x/>
      <x/>
      <x v="48"/>
      <x/>
    </i>
    <i r="5">
      <x v="1"/>
      <x/>
      <x v="19"/>
      <x v="161"/>
    </i>
    <i r="5">
      <x v="2"/>
      <x/>
      <x v="49"/>
      <x v="162"/>
    </i>
    <i r="5">
      <x v="3"/>
      <x/>
      <x v="17"/>
      <x v="163"/>
    </i>
    <i r="5">
      <x v="4"/>
      <x/>
      <x v="24"/>
      <x v="164"/>
    </i>
    <i r="5">
      <x v="5"/>
      <x/>
      <x v="17"/>
      <x v="165"/>
    </i>
    <i r="5">
      <x v="6"/>
      <x v="5"/>
      <x v="30"/>
      <x v="166"/>
    </i>
    <i r="5">
      <x v="7"/>
      <x v="6"/>
      <x v="36"/>
      <x v="167"/>
    </i>
    <i t="default">
      <x v="26"/>
    </i>
    <i t="blank">
      <x v="26"/>
    </i>
    <i>
      <x v="27"/>
    </i>
    <i r="1">
      <x v="27"/>
    </i>
    <i r="2">
      <x v="26"/>
      <x v="27"/>
      <x v="37"/>
    </i>
    <i r="5">
      <x/>
      <x/>
      <x v="41"/>
      <x/>
    </i>
    <i r="5">
      <x v="1"/>
      <x/>
      <x v="19"/>
      <x v="168"/>
    </i>
    <i r="5">
      <x v="2"/>
      <x/>
      <x v="43"/>
      <x v="169"/>
    </i>
    <i r="5">
      <x v="3"/>
      <x/>
      <x v="50"/>
      <x v="170"/>
    </i>
    <i r="5">
      <x v="4"/>
      <x v="6"/>
      <x v="31"/>
      <x v="171"/>
    </i>
    <i t="default">
      <x v="27"/>
    </i>
    <i t="blank">
      <x v="27"/>
    </i>
    <i>
      <x v="28"/>
    </i>
    <i r="1">
      <x v="28"/>
    </i>
    <i r="2">
      <x v="27"/>
      <x v="28"/>
      <x v="91"/>
    </i>
    <i r="5">
      <x/>
      <x/>
      <x v="41"/>
      <x/>
    </i>
    <i r="5">
      <x v="1"/>
      <x/>
      <x v="2"/>
      <x v="172"/>
    </i>
    <i r="5">
      <x v="2"/>
      <x/>
      <x v="2"/>
      <x v="173"/>
    </i>
    <i r="5">
      <x v="3"/>
      <x/>
      <x v="2"/>
      <x v="174"/>
    </i>
    <i r="5">
      <x v="4"/>
      <x/>
      <x v="4"/>
      <x v="175"/>
    </i>
    <i r="5">
      <x v="5"/>
      <x v="2"/>
      <x v="28"/>
      <x v="176"/>
    </i>
    <i t="default">
      <x v="28"/>
    </i>
    <i t="blank">
      <x v="28"/>
    </i>
    <i>
      <x v="29"/>
    </i>
    <i r="1">
      <x v="29"/>
    </i>
    <i r="2">
      <x v="28"/>
      <x v="29"/>
      <x v="56"/>
    </i>
    <i r="5">
      <x/>
      <x/>
      <x v="6"/>
      <x/>
    </i>
    <i r="5">
      <x v="1"/>
      <x/>
      <x v="51"/>
      <x v="177"/>
    </i>
    <i r="5">
      <x v="2"/>
      <x/>
      <x v="52"/>
      <x v="178"/>
    </i>
    <i r="5">
      <x v="3"/>
      <x/>
      <x v="53"/>
      <x v="179"/>
    </i>
    <i r="5">
      <x v="4"/>
      <x/>
      <x v="50"/>
      <x v="138"/>
    </i>
    <i r="5">
      <x v="5"/>
      <x v="1"/>
      <x v="54"/>
      <x v="180"/>
    </i>
    <i t="default">
      <x v="29"/>
    </i>
    <i t="blank">
      <x v="29"/>
    </i>
    <i>
      <x v="30"/>
    </i>
    <i r="1">
      <x v="30"/>
    </i>
    <i r="2">
      <x v="29"/>
      <x v="30"/>
      <x v="100"/>
    </i>
    <i r="5">
      <x/>
      <x/>
      <x v="7"/>
      <x/>
    </i>
    <i r="5">
      <x v="1"/>
      <x/>
      <x v="2"/>
      <x v="181"/>
    </i>
    <i r="5">
      <x v="2"/>
      <x/>
      <x v="19"/>
      <x v="182"/>
    </i>
    <i r="5">
      <x v="3"/>
      <x/>
      <x v="19"/>
      <x v="183"/>
    </i>
    <i r="5">
      <x v="4"/>
      <x/>
      <x v="4"/>
      <x v="184"/>
    </i>
    <i r="5">
      <x v="5"/>
      <x/>
      <x v="55"/>
      <x v="185"/>
    </i>
    <i r="5">
      <x v="6"/>
      <x/>
      <x v="56"/>
      <x v="40"/>
    </i>
    <i r="5">
      <x v="7"/>
      <x/>
      <x v="27"/>
      <x v="186"/>
    </i>
    <i r="5">
      <x v="8"/>
      <x/>
      <x v="30"/>
      <x v="187"/>
    </i>
    <i r="5">
      <x v="9"/>
      <x v="5"/>
      <x v="30"/>
      <x v="188"/>
    </i>
    <i t="default">
      <x v="30"/>
    </i>
    <i t="blank">
      <x v="30"/>
    </i>
    <i>
      <x v="31"/>
    </i>
    <i r="1">
      <x v="31"/>
    </i>
    <i r="2">
      <x v="30"/>
      <x v="31"/>
      <x v="25"/>
    </i>
    <i r="5">
      <x/>
      <x/>
      <x v="48"/>
      <x/>
    </i>
    <i r="5">
      <x v="1"/>
      <x/>
      <x v="3"/>
      <x v="189"/>
    </i>
    <i r="5">
      <x v="2"/>
      <x/>
      <x v="12"/>
      <x v="190"/>
    </i>
    <i r="5">
      <x v="3"/>
      <x/>
      <x v="4"/>
      <x v="191"/>
    </i>
    <i r="5">
      <x v="4"/>
      <x/>
      <x v="4"/>
      <x v="192"/>
    </i>
    <i r="5">
      <x v="5"/>
      <x/>
      <x v="55"/>
      <x v="193"/>
    </i>
    <i r="5">
      <x v="6"/>
      <x/>
      <x v="55"/>
      <x v="194"/>
    </i>
    <i r="5">
      <x v="7"/>
      <x/>
      <x v="27"/>
      <x v="195"/>
    </i>
    <i t="default">
      <x v="31"/>
    </i>
    <i t="blank">
      <x v="31"/>
    </i>
    <i>
      <x v="32"/>
    </i>
    <i r="1">
      <x v="32"/>
    </i>
    <i r="2">
      <x v="16"/>
      <x v="32"/>
      <x/>
    </i>
    <i r="5">
      <x/>
      <x/>
      <x v="6"/>
      <x/>
    </i>
    <i r="5">
      <x v="1"/>
      <x/>
      <x v="14"/>
      <x v="196"/>
    </i>
    <i r="5">
      <x v="2"/>
      <x/>
      <x v="17"/>
      <x v="197"/>
    </i>
    <i r="5">
      <x v="3"/>
      <x/>
      <x v="40"/>
      <x v="198"/>
    </i>
    <i r="5">
      <x v="4"/>
      <x/>
      <x v="40"/>
      <x v="199"/>
    </i>
    <i r="5">
      <x v="5"/>
      <x/>
      <x v="17"/>
      <x v="200"/>
    </i>
    <i r="5">
      <x v="6"/>
      <x v="2"/>
      <x v="28"/>
      <x v="201"/>
    </i>
    <i r="5">
      <x v="7"/>
      <x v="7"/>
      <x v="28"/>
      <x v="202"/>
    </i>
    <i t="default">
      <x v="32"/>
    </i>
    <i t="blank">
      <x v="32"/>
    </i>
    <i>
      <x v="33"/>
    </i>
    <i r="1">
      <x v="33"/>
    </i>
    <i r="2">
      <x v="31"/>
      <x v="33"/>
      <x/>
    </i>
    <i r="5">
      <x/>
      <x/>
      <x v="41"/>
      <x/>
    </i>
    <i r="5">
      <x v="1"/>
      <x/>
      <x v="3"/>
      <x v="203"/>
    </i>
    <i r="5">
      <x v="2"/>
      <x/>
      <x v="57"/>
      <x v="204"/>
    </i>
    <i r="5">
      <x v="3"/>
      <x/>
      <x v="57"/>
      <x v="205"/>
    </i>
    <i r="5">
      <x v="4"/>
      <x/>
      <x v="57"/>
      <x v="206"/>
    </i>
    <i r="5">
      <x v="5"/>
      <x/>
      <x v="17"/>
      <x v="207"/>
    </i>
    <i r="5">
      <x v="6"/>
      <x v="2"/>
      <x v="37"/>
      <x v="208"/>
    </i>
    <i r="5">
      <x v="7"/>
      <x v="2"/>
      <x v="30"/>
      <x v="209"/>
    </i>
    <i t="default">
      <x v="33"/>
    </i>
    <i t="blank">
      <x v="33"/>
    </i>
    <i>
      <x v="34"/>
    </i>
    <i r="1">
      <x v="34"/>
    </i>
    <i r="2">
      <x v="32"/>
      <x v="34"/>
      <x v="101"/>
    </i>
    <i r="5">
      <x/>
      <x/>
      <x v="7"/>
      <x/>
    </i>
    <i r="5">
      <x v="1"/>
      <x/>
      <x v="3"/>
      <x v="210"/>
    </i>
    <i r="5">
      <x v="2"/>
      <x/>
      <x v="19"/>
      <x v="211"/>
    </i>
    <i r="5">
      <x v="3"/>
      <x/>
      <x v="58"/>
      <x v="212"/>
    </i>
    <i r="5">
      <x v="4"/>
      <x/>
      <x v="27"/>
      <x v="213"/>
    </i>
    <i r="5">
      <x v="5"/>
      <x/>
      <x v="27"/>
      <x v="214"/>
    </i>
    <i r="5">
      <x v="6"/>
      <x/>
      <x v="59"/>
      <x v="215"/>
    </i>
    <i r="5">
      <x v="7"/>
      <x/>
      <x v="60"/>
      <x v="216"/>
    </i>
    <i r="5">
      <x v="8"/>
      <x/>
      <x v="28"/>
      <x v="217"/>
    </i>
    <i t="default">
      <x v="34"/>
    </i>
    <i t="blank">
      <x v="34"/>
    </i>
    <i>
      <x v="35"/>
    </i>
    <i r="1">
      <x v="35"/>
    </i>
    <i r="2">
      <x v="5"/>
      <x v="35"/>
      <x v="26"/>
    </i>
    <i r="5">
      <x/>
      <x/>
      <x v="6"/>
      <x/>
    </i>
    <i r="5">
      <x v="1"/>
      <x/>
      <x v="19"/>
      <x v="218"/>
    </i>
    <i r="5">
      <x v="2"/>
      <x/>
      <x v="19"/>
      <x v="219"/>
    </i>
    <i r="5">
      <x v="3"/>
      <x/>
      <x v="61"/>
      <x v="220"/>
    </i>
    <i r="5">
      <x v="4"/>
      <x/>
      <x v="62"/>
      <x v="221"/>
    </i>
    <i t="default">
      <x v="35"/>
    </i>
    <i t="blank">
      <x v="35"/>
    </i>
    <i>
      <x v="36"/>
    </i>
    <i r="1">
      <x v="36"/>
    </i>
    <i r="2">
      <x v="30"/>
      <x v="36"/>
      <x v="108"/>
    </i>
    <i r="5">
      <x/>
      <x/>
      <x v="48"/>
      <x/>
    </i>
    <i r="5">
      <x v="1"/>
      <x/>
      <x v="13"/>
      <x v="222"/>
    </i>
    <i r="5">
      <x v="2"/>
      <x/>
      <x v="14"/>
      <x v="223"/>
    </i>
    <i r="5">
      <x v="3"/>
      <x/>
      <x v="14"/>
      <x v="224"/>
    </i>
    <i r="5">
      <x v="4"/>
      <x/>
      <x v="14"/>
      <x v="225"/>
    </i>
    <i r="5">
      <x v="5"/>
      <x/>
      <x v="14"/>
      <x v="226"/>
    </i>
    <i r="5">
      <x v="6"/>
      <x/>
      <x v="14"/>
      <x v="190"/>
    </i>
    <i r="5">
      <x v="7"/>
      <x/>
      <x v="27"/>
      <x v="227"/>
    </i>
    <i r="5">
      <x v="8"/>
      <x v="5"/>
      <x v="63"/>
      <x v="228"/>
    </i>
    <i r="5">
      <x v="9"/>
      <x v="5"/>
      <x v="63"/>
      <x v="229"/>
    </i>
    <i r="5">
      <x v="10"/>
      <x v="5"/>
      <x v="63"/>
      <x v="230"/>
    </i>
    <i r="5">
      <x v="11"/>
      <x v="2"/>
      <x v="28"/>
      <x v="231"/>
    </i>
    <i t="default">
      <x v="36"/>
    </i>
    <i t="blank">
      <x v="36"/>
    </i>
    <i>
      <x v="37"/>
    </i>
    <i r="1">
      <x v="37"/>
    </i>
    <i r="2">
      <x v="33"/>
      <x v="37"/>
      <x/>
    </i>
    <i r="5">
      <x/>
      <x/>
      <x v="64"/>
      <x/>
    </i>
    <i r="5">
      <x v="1"/>
      <x/>
      <x v="12"/>
      <x v="232"/>
    </i>
    <i r="5">
      <x v="2"/>
      <x/>
      <x v="12"/>
      <x v="232"/>
    </i>
    <i r="5">
      <x v="3"/>
      <x/>
      <x v="12"/>
      <x v="232"/>
    </i>
    <i r="5">
      <x v="4"/>
      <x/>
      <x v="65"/>
      <x v="232"/>
    </i>
    <i t="default">
      <x v="37"/>
    </i>
    <i t="blank">
      <x v="37"/>
    </i>
    <i>
      <x v="38"/>
    </i>
    <i r="1">
      <x v="38"/>
    </i>
    <i r="2">
      <x v="34"/>
      <x v="38"/>
      <x/>
    </i>
    <i r="5">
      <x/>
      <x/>
      <x v="66"/>
      <x/>
    </i>
    <i r="5">
      <x v="1"/>
      <x/>
      <x v="67"/>
      <x v="232"/>
    </i>
    <i r="5">
      <x v="2"/>
      <x/>
      <x v="65"/>
      <x v="232"/>
    </i>
    <i r="5">
      <x v="3"/>
      <x/>
      <x v="65"/>
      <x v="232"/>
    </i>
    <i r="5">
      <x v="4"/>
      <x/>
      <x v="65"/>
      <x v="232"/>
    </i>
    <i t="default">
      <x v="38"/>
    </i>
    <i t="blank">
      <x v="38"/>
    </i>
    <i>
      <x v="39"/>
    </i>
    <i r="1">
      <x v="39"/>
    </i>
    <i r="2">
      <x v="35"/>
      <x v="39"/>
      <x/>
    </i>
    <i r="5">
      <x/>
      <x/>
      <x v="68"/>
      <x/>
    </i>
    <i r="5">
      <x v="1"/>
      <x/>
      <x v="69"/>
      <x v="233"/>
    </i>
    <i r="5">
      <x v="2"/>
      <x/>
      <x v="69"/>
      <x v="234"/>
    </i>
    <i r="5">
      <x v="3"/>
      <x/>
      <x v="69"/>
      <x v="235"/>
    </i>
    <i r="5">
      <x v="4"/>
      <x/>
      <x v="4"/>
      <x v="236"/>
    </i>
    <i r="5">
      <x v="5"/>
      <x v="8"/>
      <x v="70"/>
      <x v="237"/>
    </i>
    <i r="5">
      <x v="6"/>
      <x v="8"/>
      <x v="70"/>
      <x v="237"/>
    </i>
    <i t="default">
      <x v="39"/>
    </i>
    <i t="blank">
      <x v="39"/>
    </i>
    <i>
      <x v="40"/>
    </i>
    <i r="1">
      <x v="40"/>
    </i>
    <i r="2">
      <x v="36"/>
      <x v="40"/>
      <x/>
    </i>
    <i r="5">
      <x/>
      <x/>
      <x v="71"/>
      <x/>
    </i>
    <i r="5">
      <x v="1"/>
      <x/>
      <x v="2"/>
      <x v="232"/>
    </i>
    <i r="5">
      <x v="2"/>
      <x/>
      <x v="69"/>
      <x v="232"/>
    </i>
    <i r="5">
      <x v="3"/>
      <x/>
      <x v="67"/>
      <x v="232"/>
    </i>
    <i r="5">
      <x v="4"/>
      <x/>
      <x v="72"/>
      <x v="238"/>
    </i>
    <i r="5">
      <x v="5"/>
      <x/>
      <x v="65"/>
      <x v="238"/>
    </i>
    <i t="default">
      <x v="40"/>
    </i>
    <i t="blank">
      <x v="40"/>
    </i>
    <i>
      <x v="41"/>
    </i>
    <i r="1">
      <x v="41"/>
    </i>
    <i r="2">
      <x v="37"/>
      <x v="41"/>
      <x v="21"/>
    </i>
    <i r="5">
      <x/>
      <x/>
      <x v="73"/>
      <x/>
    </i>
    <i r="5">
      <x v="1"/>
      <x/>
      <x v="12"/>
      <x v="239"/>
    </i>
    <i r="5">
      <x v="2"/>
      <x/>
      <x v="12"/>
      <x v="239"/>
    </i>
    <i r="5">
      <x v="3"/>
      <x/>
      <x v="4"/>
      <x v="239"/>
    </i>
    <i r="5">
      <x v="4"/>
      <x/>
      <x v="4"/>
      <x v="239"/>
    </i>
    <i r="5">
      <x v="5"/>
      <x/>
      <x v="65"/>
      <x v="239"/>
    </i>
    <i r="5">
      <x v="6"/>
      <x/>
      <x v="65"/>
      <x v="239"/>
    </i>
    <i r="5">
      <x v="7"/>
      <x/>
      <x v="65"/>
      <x v="239"/>
    </i>
    <i t="default">
      <x v="41"/>
    </i>
    <i t="blank">
      <x v="41"/>
    </i>
    <i>
      <x v="42"/>
    </i>
    <i r="1">
      <x v="42"/>
    </i>
    <i r="2">
      <x v="38"/>
      <x v="42"/>
      <x/>
    </i>
    <i r="5">
      <x v="1"/>
      <x/>
      <x v="65"/>
      <x v="240"/>
    </i>
    <i r="5">
      <x v="2"/>
      <x/>
      <x v="65"/>
      <x v="241"/>
    </i>
    <i t="default">
      <x v="42"/>
    </i>
    <i t="blank">
      <x v="42"/>
    </i>
    <i>
      <x v="43"/>
    </i>
    <i r="1">
      <x v="43"/>
    </i>
    <i r="2">
      <x v="38"/>
      <x v="42"/>
      <x/>
    </i>
    <i r="5">
      <x v="1"/>
      <x/>
      <x v="65"/>
      <x v="242"/>
    </i>
    <i r="5">
      <x v="2"/>
      <x/>
      <x v="65"/>
      <x v="243"/>
    </i>
    <i t="default">
      <x v="43"/>
    </i>
    <i t="blank">
      <x v="43"/>
    </i>
    <i>
      <x v="44"/>
    </i>
    <i r="1">
      <x v="44"/>
    </i>
    <i r="2">
      <x v="39"/>
      <x v="43"/>
      <x/>
    </i>
    <i r="5">
      <x v="1"/>
      <x/>
      <x v="74"/>
      <x v="232"/>
    </i>
    <i r="5">
      <x v="2"/>
      <x/>
      <x v="74"/>
      <x v="232"/>
    </i>
    <i r="5">
      <x v="3"/>
      <x/>
      <x v="74"/>
      <x v="232"/>
    </i>
    <i r="5">
      <x v="4"/>
      <x v="8"/>
      <x v="75"/>
      <x v="232"/>
    </i>
    <i t="default">
      <x v="44"/>
    </i>
    <i t="blank">
      <x v="44"/>
    </i>
    <i>
      <x v="45"/>
    </i>
    <i r="1">
      <x v="45"/>
    </i>
    <i r="2">
      <x v="40"/>
      <x v="44"/>
      <x/>
    </i>
    <i r="5">
      <x/>
      <x/>
      <x v="76"/>
      <x/>
    </i>
    <i r="5">
      <x v="1"/>
      <x/>
      <x v="2"/>
      <x v="244"/>
    </i>
    <i r="5">
      <x v="2"/>
      <x v="8"/>
      <x v="77"/>
      <x v="245"/>
    </i>
    <i t="default">
      <x v="45"/>
    </i>
    <i t="blank">
      <x v="45"/>
    </i>
    <i>
      <x v="46"/>
    </i>
    <i r="1">
      <x v="46"/>
    </i>
    <i r="2">
      <x v="41"/>
      <x v="45"/>
      <x v="10"/>
    </i>
    <i r="5">
      <x v="1"/>
      <x/>
      <x v="78"/>
      <x v="246"/>
    </i>
    <i r="5">
      <x v="2"/>
      <x/>
      <x v="79"/>
      <x v="247"/>
    </i>
    <i r="5">
      <x v="3"/>
      <x/>
      <x v="2"/>
      <x v="248"/>
    </i>
    <i r="5">
      <x v="4"/>
      <x/>
      <x v="74"/>
      <x v="249"/>
    </i>
    <i t="default">
      <x v="46"/>
    </i>
    <i t="blank">
      <x v="46"/>
    </i>
    <i>
      <x v="47"/>
    </i>
    <i r="1">
      <x v="47"/>
    </i>
    <i r="2">
      <x v="39"/>
      <x v="43"/>
      <x/>
    </i>
    <i r="5">
      <x v="1"/>
      <x/>
      <x v="74"/>
      <x v="232"/>
    </i>
    <i r="5">
      <x v="2"/>
      <x/>
      <x v="69"/>
      <x v="232"/>
    </i>
    <i r="5">
      <x v="3"/>
      <x/>
      <x v="65"/>
      <x v="232"/>
    </i>
    <i r="5">
      <x v="4"/>
      <x v="8"/>
      <x v="75"/>
      <x v="232"/>
    </i>
    <i t="default">
      <x v="47"/>
    </i>
    <i t="blank">
      <x v="47"/>
    </i>
    <i>
      <x v="48"/>
    </i>
    <i r="1">
      <x v="48"/>
    </i>
    <i r="2">
      <x v="42"/>
      <x v="46"/>
      <x/>
    </i>
    <i r="5">
      <x/>
      <x/>
      <x v="73"/>
      <x/>
    </i>
    <i r="5">
      <x v="1"/>
      <x/>
      <x v="80"/>
      <x v="53"/>
    </i>
    <i r="5">
      <x v="2"/>
      <x/>
      <x v="2"/>
      <x v="250"/>
    </i>
    <i r="5">
      <x v="3"/>
      <x/>
      <x v="4"/>
      <x v="251"/>
    </i>
    <i r="5">
      <x v="4"/>
      <x/>
      <x v="38"/>
      <x v="245"/>
    </i>
    <i t="default">
      <x v="48"/>
    </i>
    <i t="blank">
      <x v="48"/>
    </i>
    <i>
      <x v="49"/>
    </i>
    <i r="1">
      <x v="49"/>
    </i>
    <i r="2">
      <x v="43"/>
      <x v="47"/>
      <x/>
    </i>
    <i r="5">
      <x/>
      <x/>
      <x v="81"/>
      <x/>
    </i>
    <i r="5">
      <x v="1"/>
      <x/>
      <x v="69"/>
      <x v="252"/>
    </i>
    <i r="5">
      <x v="2"/>
      <x/>
      <x v="69"/>
      <x v="253"/>
    </i>
    <i r="5">
      <x v="3"/>
      <x/>
      <x v="4"/>
      <x v="39"/>
    </i>
    <i r="5">
      <x v="4"/>
      <x/>
      <x v="4"/>
      <x v="39"/>
    </i>
    <i r="5">
      <x v="5"/>
      <x/>
      <x v="67"/>
      <x v="253"/>
    </i>
    <i r="5">
      <x v="6"/>
      <x/>
      <x v="65"/>
      <x v="39"/>
    </i>
    <i r="5">
      <x v="7"/>
      <x/>
      <x v="65"/>
      <x v="254"/>
    </i>
    <i t="default">
      <x v="49"/>
    </i>
    <i t="blank">
      <x v="49"/>
    </i>
    <i>
      <x v="50"/>
    </i>
    <i r="1">
      <x v="50"/>
    </i>
    <i r="2">
      <x v="35"/>
      <x v="48"/>
      <x/>
    </i>
    <i r="5">
      <x/>
      <x/>
      <x v="68"/>
      <x/>
    </i>
    <i r="5">
      <x v="1"/>
      <x/>
      <x v="4"/>
      <x v="255"/>
    </i>
    <i r="5">
      <x v="2"/>
      <x/>
      <x v="4"/>
      <x v="256"/>
    </i>
    <i r="5">
      <x v="3"/>
      <x/>
      <x v="4"/>
      <x v="257"/>
    </i>
    <i r="5">
      <x v="4"/>
      <x/>
      <x v="65"/>
      <x v="258"/>
    </i>
    <i r="5">
      <x v="5"/>
      <x/>
      <x v="65"/>
      <x v="256"/>
    </i>
    <i r="5">
      <x v="6"/>
      <x/>
      <x v="65"/>
      <x v="257"/>
    </i>
    <i r="5">
      <x v="7"/>
      <x v="8"/>
      <x v="77"/>
      <x v="259"/>
    </i>
    <i t="default">
      <x v="50"/>
    </i>
    <i t="blank">
      <x v="50"/>
    </i>
    <i>
      <x v="51"/>
    </i>
    <i r="1">
      <x v="51"/>
    </i>
    <i r="2">
      <x v="44"/>
      <x v="49"/>
      <x v="38"/>
    </i>
    <i r="5">
      <x/>
      <x/>
      <x v="71"/>
      <x/>
    </i>
    <i r="5">
      <x v="1"/>
      <x/>
      <x v="69"/>
      <x v="257"/>
    </i>
    <i r="5">
      <x v="2"/>
      <x/>
      <x v="67"/>
      <x v="257"/>
    </i>
    <i r="5">
      <x v="3"/>
      <x/>
      <x v="65"/>
      <x v="257"/>
    </i>
    <i r="5">
      <x v="4"/>
      <x/>
      <x v="65"/>
      <x v="257"/>
    </i>
    <i r="5">
      <x v="5"/>
      <x/>
      <x v="65"/>
      <x v="257"/>
    </i>
    <i r="5">
      <x v="6"/>
      <x v="8"/>
      <x v="77"/>
      <x v="257"/>
    </i>
    <i t="default">
      <x v="51"/>
    </i>
    <i t="blank">
      <x v="51"/>
    </i>
    <i>
      <x v="52"/>
    </i>
    <i r="1">
      <x v="52"/>
    </i>
    <i r="2">
      <x v="45"/>
      <x v="50"/>
      <x v="39"/>
    </i>
    <i r="5">
      <x/>
      <x/>
      <x v="76"/>
      <x/>
    </i>
    <i r="5">
      <x v="1"/>
      <x v="8"/>
      <x v="77"/>
      <x v="257"/>
    </i>
    <i t="default">
      <x v="52"/>
    </i>
    <i t="blank">
      <x v="52"/>
    </i>
    <i>
      <x v="53"/>
    </i>
    <i r="1">
      <x v="53"/>
    </i>
    <i r="2">
      <x v="37"/>
      <x v="51"/>
      <x v="40"/>
    </i>
    <i r="5">
      <x/>
      <x/>
      <x v="82"/>
      <x/>
    </i>
    <i r="5">
      <x v="1"/>
      <x/>
      <x v="66"/>
      <x v="257"/>
    </i>
    <i r="5">
      <x v="2"/>
      <x/>
      <x v="4"/>
      <x v="257"/>
    </i>
    <i r="5">
      <x v="3"/>
      <x/>
      <x v="67"/>
      <x v="257"/>
    </i>
    <i r="5">
      <x v="4"/>
      <x/>
      <x v="65"/>
      <x v="257"/>
    </i>
    <i r="5">
      <x v="5"/>
      <x/>
      <x v="65"/>
      <x v="257"/>
    </i>
    <i r="5">
      <x v="6"/>
      <x/>
      <x v="65"/>
      <x v="260"/>
    </i>
    <i r="5">
      <x v="7"/>
      <x v="8"/>
      <x v="77"/>
      <x v="260"/>
    </i>
    <i t="default">
      <x v="53"/>
    </i>
    <i t="blank">
      <x v="53"/>
    </i>
    <i>
      <x v="54"/>
    </i>
    <i r="1">
      <x v="54"/>
    </i>
    <i r="2">
      <x v="46"/>
      <x v="52"/>
      <x v="38"/>
    </i>
    <i r="5">
      <x/>
      <x/>
      <x v="2"/>
      <x/>
    </i>
    <i r="5">
      <x v="1"/>
      <x/>
      <x v="65"/>
      <x v="257"/>
    </i>
    <i r="5">
      <x v="2"/>
      <x/>
      <x v="65"/>
      <x v="257"/>
    </i>
    <i r="5">
      <x v="3"/>
      <x/>
      <x v="65"/>
      <x v="257"/>
    </i>
    <i r="5">
      <x v="4"/>
      <x/>
      <x v="65"/>
      <x v="257"/>
    </i>
    <i r="5">
      <x v="5"/>
      <x/>
      <x v="65"/>
      <x v="257"/>
    </i>
    <i r="5">
      <x v="6"/>
      <x v="8"/>
      <x v="83"/>
      <x v="257"/>
    </i>
    <i t="default">
      <x v="54"/>
    </i>
    <i t="blank">
      <x v="54"/>
    </i>
    <i>
      <x v="55"/>
    </i>
    <i r="1">
      <x v="55"/>
    </i>
    <i r="2">
      <x v="47"/>
      <x v="53"/>
      <x v="21"/>
    </i>
    <i r="5">
      <x/>
      <x/>
      <x v="76"/>
      <x/>
    </i>
    <i r="5">
      <x v="1"/>
      <x/>
      <x v="69"/>
      <x v="261"/>
    </i>
    <i r="5">
      <x v="2"/>
      <x/>
      <x v="2"/>
      <x v="239"/>
    </i>
    <i r="5">
      <x v="3"/>
      <x/>
      <x v="69"/>
      <x v="239"/>
    </i>
    <i r="5">
      <x v="4"/>
      <x/>
      <x v="67"/>
      <x v="239"/>
    </i>
    <i r="5">
      <x v="5"/>
      <x/>
      <x v="65"/>
      <x v="239"/>
    </i>
    <i r="5">
      <x v="6"/>
      <x v="8"/>
      <x v="77"/>
      <x v="239"/>
    </i>
    <i r="5">
      <x v="7"/>
      <x v="8"/>
      <x v="77"/>
      <x v="239"/>
    </i>
    <i r="5">
      <x v="8"/>
      <x v="8"/>
      <x v="83"/>
      <x v="262"/>
    </i>
    <i t="default">
      <x v="55"/>
    </i>
    <i t="blank">
      <x v="55"/>
    </i>
    <i>
      <x v="56"/>
    </i>
    <i r="1">
      <x v="56"/>
    </i>
    <i r="2">
      <x v="48"/>
      <x v="54"/>
      <x v="27"/>
    </i>
    <i r="5">
      <x/>
      <x/>
      <x v="10"/>
      <x/>
    </i>
    <i r="5">
      <x v="1"/>
      <x/>
      <x v="4"/>
      <x v="239"/>
    </i>
    <i r="5">
      <x v="2"/>
      <x/>
      <x v="67"/>
      <x v="239"/>
    </i>
    <i r="5">
      <x v="3"/>
      <x/>
      <x v="65"/>
      <x v="239"/>
    </i>
    <i r="5">
      <x v="4"/>
      <x/>
      <x v="65"/>
      <x v="239"/>
    </i>
    <i r="5">
      <x v="5"/>
      <x v="8"/>
      <x v="75"/>
      <x v="239"/>
    </i>
    <i t="default">
      <x v="56"/>
    </i>
    <i t="blank">
      <x v="56"/>
    </i>
    <i>
      <x v="57"/>
    </i>
    <i r="1">
      <x v="57"/>
    </i>
    <i r="2">
      <x v="49"/>
      <x v="55"/>
      <x v="12"/>
    </i>
    <i r="5">
      <x/>
      <x/>
      <x v="76"/>
      <x/>
    </i>
    <i r="5">
      <x v="1"/>
      <x/>
      <x v="74"/>
      <x v="263"/>
    </i>
    <i r="5">
      <x v="2"/>
      <x/>
      <x v="84"/>
      <x v="264"/>
    </i>
    <i r="5">
      <x v="3"/>
      <x/>
      <x v="17"/>
      <x v="265"/>
    </i>
    <i r="5">
      <x v="4"/>
      <x/>
      <x v="17"/>
      <x v="266"/>
    </i>
    <i t="default">
      <x v="57"/>
    </i>
    <i t="blank">
      <x v="57"/>
    </i>
    <i>
      <x v="58"/>
    </i>
    <i r="1">
      <x v="58"/>
    </i>
    <i r="2">
      <x v="45"/>
      <x v="56"/>
      <x v="41"/>
    </i>
    <i r="5">
      <x/>
      <x/>
      <x v="2"/>
      <x/>
    </i>
    <i r="5">
      <x v="1"/>
      <x/>
      <x v="65"/>
      <x v="257"/>
    </i>
    <i r="5">
      <x v="2"/>
      <x/>
      <x v="65"/>
      <x v="257"/>
    </i>
    <i r="5">
      <x v="3"/>
      <x v="8"/>
      <x v="75"/>
      <x v="257"/>
    </i>
    <i t="default">
      <x v="58"/>
    </i>
    <i t="blank">
      <x v="58"/>
    </i>
    <i>
      <x v="59"/>
    </i>
    <i r="1">
      <x v="59"/>
    </i>
    <i r="2">
      <x v="50"/>
      <x v="57"/>
      <x v="5"/>
    </i>
    <i r="5">
      <x/>
      <x/>
      <x v="2"/>
      <x/>
    </i>
    <i r="5">
      <x v="1"/>
      <x/>
      <x v="69"/>
      <x v="267"/>
    </i>
    <i r="5">
      <x v="2"/>
      <x/>
      <x v="4"/>
      <x v="245"/>
    </i>
    <i r="5">
      <x v="3"/>
      <x/>
      <x v="67"/>
      <x v="245"/>
    </i>
    <i r="5">
      <x v="4"/>
      <x v="8"/>
      <x v="69"/>
      <x v="245"/>
    </i>
    <i t="default">
      <x v="59"/>
    </i>
    <i t="blank">
      <x v="59"/>
    </i>
    <i>
      <x v="60"/>
    </i>
    <i r="1">
      <x v="60"/>
    </i>
    <i r="2">
      <x v="51"/>
      <x v="58"/>
      <x/>
    </i>
    <i r="5">
      <x v="1"/>
      <x/>
      <x v="68"/>
      <x v="268"/>
    </i>
    <i r="5">
      <x v="2"/>
      <x/>
      <x v="2"/>
      <x v="268"/>
    </i>
    <i r="5">
      <x v="3"/>
      <x/>
      <x v="65"/>
      <x v="269"/>
    </i>
    <i r="5">
      <x v="4"/>
      <x/>
      <x v="65"/>
      <x v="270"/>
    </i>
    <i r="5">
      <x v="5"/>
      <x/>
      <x v="65"/>
      <x v="271"/>
    </i>
    <i t="default">
      <x v="60"/>
    </i>
    <i t="blank">
      <x v="60"/>
    </i>
    <i>
      <x v="61"/>
    </i>
    <i r="1">
      <x v="61"/>
    </i>
    <i r="2">
      <x v="9"/>
      <x v="59"/>
      <x v="102"/>
    </i>
    <i r="5">
      <x/>
      <x/>
      <x v="1"/>
      <x/>
    </i>
    <i r="5">
      <x v="1"/>
      <x/>
      <x v="14"/>
      <x v="272"/>
    </i>
    <i r="5">
      <x v="2"/>
      <x/>
      <x v="14"/>
      <x v="273"/>
    </i>
    <i r="5">
      <x v="3"/>
      <x/>
      <x v="27"/>
      <x v="274"/>
    </i>
    <i r="5">
      <x v="4"/>
      <x v="3"/>
      <x v="28"/>
      <x v="275"/>
    </i>
    <i r="5">
      <x v="5"/>
      <x v="3"/>
      <x v="28"/>
      <x v="276"/>
    </i>
    <i t="default">
      <x v="61"/>
    </i>
    <i t="blank">
      <x v="61"/>
    </i>
    <i>
      <x v="62"/>
    </i>
    <i r="1">
      <x v="62"/>
    </i>
    <i r="2">
      <x v="52"/>
      <x v="60"/>
      <x/>
    </i>
    <i r="5">
      <x/>
      <x/>
      <x v="2"/>
      <x/>
    </i>
    <i r="5">
      <x v="1"/>
      <x/>
      <x v="4"/>
      <x v="232"/>
    </i>
    <i r="5">
      <x v="2"/>
      <x/>
      <x v="67"/>
      <x v="232"/>
    </i>
    <i r="5">
      <x v="3"/>
      <x/>
      <x v="67"/>
      <x v="232"/>
    </i>
    <i r="5">
      <x v="4"/>
      <x/>
      <x v="33"/>
      <x v="232"/>
    </i>
    <i t="default">
      <x v="62"/>
    </i>
    <i t="blank">
      <x v="62"/>
    </i>
    <i>
      <x v="63"/>
    </i>
    <i r="1">
      <x v="63"/>
    </i>
    <i r="2">
      <x v="53"/>
      <x v="61"/>
      <x v="1"/>
    </i>
    <i r="5">
      <x/>
      <x/>
      <x v="2"/>
      <x/>
    </i>
    <i r="5">
      <x v="1"/>
      <x/>
      <x v="85"/>
      <x v="277"/>
    </i>
    <i r="5">
      <x v="2"/>
      <x/>
      <x v="85"/>
      <x v="278"/>
    </i>
    <i r="5">
      <x v="3"/>
      <x/>
      <x v="85"/>
      <x v="279"/>
    </i>
    <i r="5">
      <x v="4"/>
      <x/>
      <x v="85"/>
      <x v="280"/>
    </i>
    <i t="default">
      <x v="63"/>
    </i>
    <i t="blank">
      <x v="63"/>
    </i>
    <i>
      <x v="64"/>
    </i>
    <i r="1">
      <x v="64"/>
    </i>
    <i r="2">
      <x v="45"/>
      <x v="62"/>
      <x v="2"/>
    </i>
    <i r="5">
      <x/>
      <x/>
      <x v="76"/>
      <x/>
    </i>
    <i r="5">
      <x v="1"/>
      <x/>
      <x v="67"/>
      <x v="281"/>
    </i>
    <i r="5">
      <x v="2"/>
      <x/>
      <x v="65"/>
      <x v="281"/>
    </i>
    <i r="5">
      <x v="3"/>
      <x v="8"/>
      <x v="75"/>
      <x v="281"/>
    </i>
    <i t="default">
      <x v="64"/>
    </i>
    <i t="blank">
      <x v="64"/>
    </i>
    <i>
      <x v="65"/>
    </i>
    <i r="1">
      <x v="65"/>
    </i>
    <i r="2">
      <x v="51"/>
      <x v="63"/>
      <x/>
    </i>
    <i r="5">
      <x/>
      <x/>
      <x v="68"/>
      <x/>
    </i>
    <i r="5">
      <x v="1"/>
      <x/>
      <x v="4"/>
      <x v="281"/>
    </i>
    <i r="5">
      <x v="2"/>
      <x/>
      <x v="65"/>
      <x v="282"/>
    </i>
    <i r="5">
      <x v="3"/>
      <x/>
      <x v="65"/>
      <x v="283"/>
    </i>
    <i r="5">
      <x v="4"/>
      <x v="8"/>
      <x v="56"/>
      <x v="284"/>
    </i>
    <i t="default">
      <x v="65"/>
    </i>
    <i t="blank">
      <x v="65"/>
    </i>
    <i>
      <x v="66"/>
    </i>
    <i r="1">
      <x v="66"/>
    </i>
    <i r="2">
      <x v="51"/>
      <x v="64"/>
      <x v="13"/>
    </i>
    <i r="5">
      <x/>
      <x/>
      <x v="68"/>
      <x/>
    </i>
    <i r="5">
      <x v="1"/>
      <x/>
      <x v="2"/>
      <x v="281"/>
    </i>
    <i r="5">
      <x v="2"/>
      <x/>
      <x v="65"/>
      <x v="281"/>
    </i>
    <i r="5">
      <x v="3"/>
      <x/>
      <x v="65"/>
      <x v="257"/>
    </i>
    <i r="5">
      <x v="4"/>
      <x v="3"/>
      <x v="21"/>
      <x v="285"/>
    </i>
    <i t="default">
      <x v="66"/>
    </i>
    <i t="blank">
      <x v="66"/>
    </i>
    <i>
      <x v="67"/>
    </i>
    <i r="1">
      <x v="67"/>
    </i>
    <i r="2">
      <x v="35"/>
      <x v="65"/>
      <x/>
    </i>
    <i r="5">
      <x/>
      <x/>
      <x v="68"/>
      <x/>
    </i>
    <i r="5">
      <x v="1"/>
      <x/>
      <x v="4"/>
      <x v="232"/>
    </i>
    <i r="5">
      <x v="2"/>
      <x/>
      <x v="67"/>
      <x v="232"/>
    </i>
    <i r="5">
      <x v="3"/>
      <x/>
      <x v="67"/>
      <x v="232"/>
    </i>
    <i r="5">
      <x v="4"/>
      <x/>
      <x v="65"/>
      <x v="286"/>
    </i>
    <i r="5">
      <x v="5"/>
      <x/>
      <x v="65"/>
      <x v="287"/>
    </i>
    <i t="default">
      <x v="67"/>
    </i>
    <i t="blank">
      <x v="67"/>
    </i>
    <i>
      <x v="68"/>
    </i>
    <i r="1">
      <x v="68"/>
    </i>
    <i r="2">
      <x v="51"/>
      <x v="66"/>
      <x/>
    </i>
    <i r="5">
      <x/>
      <x/>
      <x v="86"/>
      <x/>
    </i>
    <i r="5">
      <x v="1"/>
      <x/>
      <x v="69"/>
      <x v="281"/>
    </i>
    <i r="5">
      <x v="2"/>
      <x/>
      <x v="65"/>
      <x v="281"/>
    </i>
    <i r="5">
      <x v="3"/>
      <x/>
      <x v="65"/>
      <x v="257"/>
    </i>
    <i r="5">
      <x v="4"/>
      <x v="3"/>
      <x v="21"/>
      <x v="257"/>
    </i>
    <i t="default">
      <x v="68"/>
    </i>
    <i t="blank">
      <x v="68"/>
    </i>
    <i>
      <x v="69"/>
    </i>
    <i r="1">
      <x v="69"/>
    </i>
    <i r="2">
      <x v="44"/>
      <x v="67"/>
      <x v="6"/>
    </i>
    <i r="5">
      <x v="1"/>
      <x/>
      <x v="69"/>
      <x v="281"/>
    </i>
    <i r="5">
      <x v="2"/>
      <x/>
      <x v="65"/>
      <x v="281"/>
    </i>
    <i t="default">
      <x v="69"/>
    </i>
    <i t="blank">
      <x v="69"/>
    </i>
    <i>
      <x v="70"/>
    </i>
    <i r="1">
      <x v="70"/>
    </i>
    <i r="2">
      <x v="44"/>
      <x v="68"/>
      <x v="6"/>
    </i>
    <i r="5">
      <x v="1"/>
      <x/>
      <x v="4"/>
      <x v="281"/>
    </i>
    <i r="5">
      <x v="2"/>
      <x/>
      <x v="65"/>
      <x v="281"/>
    </i>
    <i t="default">
      <x v="70"/>
    </i>
    <i t="blank">
      <x v="70"/>
    </i>
    <i>
      <x v="71"/>
    </i>
    <i r="1">
      <x v="71"/>
    </i>
    <i r="2">
      <x v="54"/>
      <x v="69"/>
      <x/>
    </i>
    <i r="5">
      <x/>
      <x/>
      <x v="2"/>
      <x/>
    </i>
    <i r="5">
      <x v="1"/>
      <x/>
      <x v="65"/>
      <x v="288"/>
    </i>
    <i r="5">
      <x v="2"/>
      <x/>
      <x v="65"/>
      <x v="288"/>
    </i>
    <i r="5">
      <x v="3"/>
      <x/>
      <x v="65"/>
      <x v="289"/>
    </i>
    <i t="default">
      <x v="71"/>
    </i>
    <i t="blank">
      <x v="71"/>
    </i>
    <i>
      <x v="72"/>
    </i>
    <i r="1">
      <x v="72"/>
    </i>
    <i r="2">
      <x v="55"/>
      <x v="70"/>
      <x v="1"/>
    </i>
    <i r="5">
      <x v="1"/>
      <x/>
      <x v="74"/>
      <x v="290"/>
    </i>
    <i r="5">
      <x v="2"/>
      <x/>
      <x v="65"/>
      <x v="291"/>
    </i>
    <i t="default">
      <x v="72"/>
    </i>
    <i t="blank">
      <x v="72"/>
    </i>
    <i>
      <x v="73"/>
    </i>
    <i r="1">
      <x v="73"/>
    </i>
    <i r="2">
      <x v="55"/>
      <x v="71"/>
      <x/>
    </i>
    <i r="5">
      <x v="1"/>
      <x/>
      <x v="2"/>
      <x v="292"/>
    </i>
    <i r="5">
      <x v="2"/>
      <x/>
      <x v="65"/>
      <x v="293"/>
    </i>
    <i t="default">
      <x v="73"/>
    </i>
    <i t="blank">
      <x v="73"/>
    </i>
    <i>
      <x v="74"/>
    </i>
    <i r="1">
      <x v="74"/>
    </i>
    <i r="2">
      <x v="55"/>
      <x v="72"/>
      <x/>
    </i>
    <i r="5">
      <x v="1"/>
      <x/>
      <x v="69"/>
      <x v="294"/>
    </i>
    <i r="5">
      <x v="2"/>
      <x/>
      <x v="65"/>
      <x v="294"/>
    </i>
    <i t="default">
      <x v="74"/>
    </i>
    <i t="blank">
      <x v="74"/>
    </i>
    <i>
      <x v="75"/>
    </i>
    <i r="1">
      <x v="75"/>
    </i>
    <i r="2">
      <x v="55"/>
      <x v="73"/>
      <x/>
    </i>
    <i r="5">
      <x v="1"/>
      <x/>
      <x v="67"/>
      <x v="294"/>
    </i>
    <i r="5">
      <x v="2"/>
      <x/>
      <x v="65"/>
      <x v="294"/>
    </i>
    <i t="default">
      <x v="75"/>
    </i>
    <i t="blank">
      <x v="75"/>
    </i>
    <i>
      <x v="76"/>
    </i>
    <i r="1">
      <x v="76"/>
    </i>
    <i r="2">
      <x v="55"/>
      <x v="74"/>
      <x v="7"/>
    </i>
    <i r="5">
      <x v="1"/>
      <x/>
      <x v="67"/>
      <x v="295"/>
    </i>
    <i t="default">
      <x v="76"/>
    </i>
    <i t="blank">
      <x v="76"/>
    </i>
    <i>
      <x v="77"/>
    </i>
    <i r="1">
      <x v="77"/>
    </i>
    <i r="2">
      <x v="55"/>
      <x v="72"/>
      <x v="3"/>
    </i>
    <i r="5">
      <x v="1"/>
      <x/>
      <x v="2"/>
      <x v="294"/>
    </i>
    <i t="default">
      <x v="77"/>
    </i>
    <i t="blank">
      <x v="77"/>
    </i>
    <i>
      <x v="78"/>
    </i>
    <i r="1">
      <x v="78"/>
    </i>
    <i r="2">
      <x v="55"/>
      <x v="75"/>
      <x v="3"/>
    </i>
    <i r="5">
      <x v="1"/>
      <x/>
      <x v="2"/>
      <x v="294"/>
    </i>
    <i t="default">
      <x v="78"/>
    </i>
    <i t="blank">
      <x v="78"/>
    </i>
    <i>
      <x v="79"/>
    </i>
    <i r="1">
      <x v="79"/>
    </i>
    <i r="2">
      <x v="55"/>
      <x v="76"/>
      <x v="11"/>
    </i>
    <i r="5">
      <x v="1"/>
      <x/>
      <x v="2"/>
      <x v="296"/>
    </i>
    <i t="default">
      <x v="79"/>
    </i>
    <i t="blank">
      <x v="79"/>
    </i>
    <i>
      <x v="80"/>
    </i>
    <i r="1">
      <x v="80"/>
    </i>
    <i r="2">
      <x v="55"/>
      <x v="77"/>
      <x/>
    </i>
    <i r="5">
      <x v="1"/>
      <x v="8"/>
      <x v="45"/>
      <x v="297"/>
    </i>
    <i t="default">
      <x v="80"/>
    </i>
    <i t="blank">
      <x v="80"/>
    </i>
    <i>
      <x v="81"/>
    </i>
    <i r="1">
      <x v="81"/>
    </i>
    <i r="2">
      <x v="55"/>
      <x v="76"/>
      <x v="11"/>
    </i>
    <i r="5">
      <x v="1"/>
      <x/>
      <x v="87"/>
      <x v="296"/>
    </i>
    <i t="default">
      <x v="81"/>
    </i>
    <i t="blank">
      <x v="81"/>
    </i>
    <i>
      <x v="82"/>
    </i>
    <i r="1">
      <x v="82"/>
    </i>
    <i r="2">
      <x v="56"/>
      <x v="78"/>
      <x v="92"/>
    </i>
    <i r="5">
      <x/>
      <x/>
      <x v="2"/>
      <x/>
    </i>
    <i r="5">
      <x v="1"/>
      <x v="3"/>
      <x v="28"/>
      <x v="144"/>
    </i>
    <i r="5">
      <x v="2"/>
      <x v="3"/>
      <x v="28"/>
      <x v="298"/>
    </i>
    <i r="5">
      <x v="3"/>
      <x/>
      <x v="30"/>
      <x v="299"/>
    </i>
    <i t="default">
      <x v="82"/>
    </i>
    <i t="blank">
      <x v="82"/>
    </i>
    <i>
      <x v="83"/>
    </i>
    <i r="1">
      <x v="83"/>
    </i>
    <i r="2">
      <x v="57"/>
      <x v="79"/>
      <x v="109"/>
    </i>
    <i r="5">
      <x/>
      <x/>
      <x v="88"/>
      <x/>
    </i>
    <i r="5">
      <x v="1"/>
      <x/>
      <x v="53"/>
      <x v="300"/>
    </i>
    <i r="5">
      <x v="2"/>
      <x/>
      <x v="22"/>
      <x v="301"/>
    </i>
    <i r="5">
      <x v="3"/>
      <x/>
      <x v="22"/>
      <x v="302"/>
    </i>
    <i r="5">
      <x v="4"/>
      <x v="4"/>
      <x v="30"/>
      <x v="303"/>
    </i>
    <i r="6">
      <x v="1"/>
      <x v="54"/>
      <x v="304"/>
    </i>
    <i t="default">
      <x v="83"/>
    </i>
    <i t="blank">
      <x v="83"/>
    </i>
    <i>
      <x v="84"/>
    </i>
    <i r="1">
      <x v="84"/>
    </i>
    <i r="2">
      <x v="58"/>
      <x v="80"/>
      <x v="17"/>
    </i>
    <i r="5">
      <x/>
      <x/>
      <x v="86"/>
      <x/>
    </i>
    <i r="5">
      <x v="1"/>
      <x/>
      <x v="12"/>
      <x v="305"/>
    </i>
    <i r="5">
      <x v="2"/>
      <x/>
      <x v="12"/>
      <x v="306"/>
    </i>
    <i r="5">
      <x v="3"/>
      <x/>
      <x v="67"/>
      <x v="306"/>
    </i>
    <i r="5">
      <x v="4"/>
      <x/>
      <x v="65"/>
      <x v="245"/>
    </i>
    <i r="5">
      <x v="5"/>
      <x/>
      <x v="65"/>
      <x v="306"/>
    </i>
    <i r="5">
      <x v="6"/>
      <x/>
      <x v="65"/>
      <x v="307"/>
    </i>
    <i t="default">
      <x v="84"/>
    </i>
    <i t="blank">
      <x v="84"/>
    </i>
    <i>
      <x v="85"/>
    </i>
    <i r="1">
      <x v="85"/>
    </i>
    <i r="2">
      <x v="38"/>
      <x v="81"/>
      <x/>
    </i>
    <i r="5">
      <x v="1"/>
      <x/>
      <x v="65"/>
      <x v="232"/>
    </i>
    <i r="5">
      <x v="2"/>
      <x/>
      <x v="65"/>
      <x v="232"/>
    </i>
    <i r="5">
      <x v="3"/>
      <x/>
      <x v="65"/>
      <x v="232"/>
    </i>
    <i r="5">
      <x v="4"/>
      <x/>
      <x v="65"/>
      <x v="232"/>
    </i>
    <i t="default">
      <x v="85"/>
    </i>
    <i t="blank">
      <x v="85"/>
    </i>
    <i>
      <x v="86"/>
    </i>
    <i r="1">
      <x v="86"/>
    </i>
    <i r="2">
      <x v="35"/>
      <x v="82"/>
      <x/>
    </i>
    <i r="5">
      <x/>
      <x/>
      <x v="89"/>
      <x/>
    </i>
    <i r="5">
      <x v="1"/>
      <x v="8"/>
      <x v="70"/>
      <x v="308"/>
    </i>
    <i r="5">
      <x v="2"/>
      <x v="8"/>
      <x v="70"/>
      <x v="309"/>
    </i>
    <i r="5">
      <x v="3"/>
      <x v="8"/>
      <x v="70"/>
      <x v="281"/>
    </i>
    <i r="5">
      <x v="4"/>
      <x v="8"/>
      <x v="70"/>
      <x v="310"/>
    </i>
    <i r="5">
      <x v="5"/>
      <x v="8"/>
      <x v="70"/>
      <x v="311"/>
    </i>
    <i t="default">
      <x v="86"/>
    </i>
    <i t="blank">
      <x v="86"/>
    </i>
    <i>
      <x v="87"/>
    </i>
    <i r="1">
      <x v="87"/>
    </i>
    <i r="2">
      <x v="59"/>
      <x v="83"/>
      <x/>
    </i>
    <i r="5">
      <x v="1"/>
      <x/>
      <x v="69"/>
      <x v="312"/>
    </i>
    <i r="5">
      <x v="2"/>
      <x/>
      <x v="69"/>
      <x v="313"/>
    </i>
    <i r="5">
      <x v="3"/>
      <x/>
      <x v="65"/>
      <x v="235"/>
    </i>
    <i r="5">
      <x v="4"/>
      <x/>
      <x v="65"/>
      <x v="314"/>
    </i>
    <i r="5">
      <x v="5"/>
      <x/>
      <x v="65"/>
      <x v="313"/>
    </i>
    <i r="5">
      <x v="6"/>
      <x/>
      <x v="65"/>
      <x v="314"/>
    </i>
    <i r="5">
      <x v="7"/>
      <x v="8"/>
      <x v="22"/>
      <x v="315"/>
    </i>
    <i t="default">
      <x v="87"/>
    </i>
    <i t="blank">
      <x v="87"/>
    </i>
    <i>
      <x v="88"/>
    </i>
    <i r="1">
      <x v="88"/>
    </i>
    <i r="2">
      <x v="60"/>
      <x v="84"/>
      <x v="116"/>
    </i>
    <i r="5">
      <x/>
      <x/>
      <x v="2"/>
      <x/>
    </i>
    <i r="5">
      <x v="1"/>
      <x v="8"/>
      <x v="77"/>
      <x v="316"/>
    </i>
    <i r="5">
      <x v="2"/>
      <x v="8"/>
      <x v="77"/>
      <x v="317"/>
    </i>
    <i r="5">
      <x v="3"/>
      <x v="8"/>
      <x v="77"/>
      <x v="318"/>
    </i>
    <i r="5">
      <x v="7"/>
      <x v="8"/>
      <x v="90"/>
      <x v="319"/>
    </i>
    <i t="default">
      <x v="88"/>
    </i>
    <i t="blank">
      <x v="88"/>
    </i>
    <i>
      <x v="89"/>
    </i>
    <i r="1">
      <x v="89"/>
    </i>
    <i r="2">
      <x v="61"/>
      <x v="85"/>
      <x/>
    </i>
    <i r="5">
      <x v="1"/>
      <x/>
      <x v="86"/>
      <x v="232"/>
    </i>
    <i r="5">
      <x v="2"/>
      <x/>
      <x v="78"/>
      <x v="232"/>
    </i>
    <i r="5">
      <x v="3"/>
      <x/>
      <x v="91"/>
      <x v="232"/>
    </i>
    <i r="5">
      <x v="4"/>
      <x/>
      <x v="70"/>
      <x v="232"/>
    </i>
    <i t="default">
      <x v="89"/>
    </i>
    <i t="blank">
      <x v="89"/>
    </i>
    <i>
      <x v="90"/>
    </i>
    <i r="1">
      <x v="90"/>
    </i>
    <i r="2">
      <x v="61"/>
      <x v="86"/>
      <x/>
    </i>
    <i r="5">
      <x v="1"/>
      <x/>
      <x v="78"/>
      <x v="320"/>
    </i>
    <i r="5">
      <x v="2"/>
      <x/>
      <x v="4"/>
      <x v="241"/>
    </i>
    <i r="5">
      <x v="3"/>
      <x/>
      <x v="92"/>
      <x v="321"/>
    </i>
    <i t="default">
      <x v="90"/>
    </i>
    <i t="blank">
      <x v="90"/>
    </i>
    <i>
      <x v="91"/>
    </i>
    <i r="1">
      <x v="91"/>
    </i>
    <i r="2">
      <x v="62"/>
      <x v="87"/>
      <x v="42"/>
    </i>
    <i r="5">
      <x/>
      <x/>
      <x v="2"/>
      <x/>
    </i>
    <i r="5">
      <x v="1"/>
      <x/>
      <x v="65"/>
      <x v="322"/>
    </i>
    <i r="5">
      <x v="2"/>
      <x/>
      <x v="65"/>
      <x v="323"/>
    </i>
    <i r="5">
      <x v="3"/>
      <x/>
      <x v="65"/>
      <x v="324"/>
    </i>
    <i r="5">
      <x v="4"/>
      <x/>
      <x v="65"/>
      <x v="325"/>
    </i>
    <i r="5">
      <x v="5"/>
      <x/>
      <x v="65"/>
      <x v="323"/>
    </i>
    <i t="default">
      <x v="91"/>
    </i>
    <i t="blank">
      <x v="91"/>
    </i>
    <i>
      <x v="92"/>
    </i>
    <i r="1">
      <x v="92"/>
    </i>
    <i r="2">
      <x v="62"/>
      <x v="88"/>
      <x v="18"/>
    </i>
    <i r="5">
      <x/>
      <x/>
      <x v="2"/>
      <x/>
    </i>
    <i r="5">
      <x v="1"/>
      <x/>
      <x v="85"/>
      <x v="326"/>
    </i>
    <i r="5">
      <x v="2"/>
      <x/>
      <x v="85"/>
      <x v="231"/>
    </i>
    <i r="5">
      <x v="3"/>
      <x/>
      <x v="85"/>
      <x v="327"/>
    </i>
    <i r="5">
      <x v="4"/>
      <x/>
      <x v="65"/>
      <x v="328"/>
    </i>
    <i r="5">
      <x v="5"/>
      <x/>
      <x v="65"/>
      <x v="231"/>
    </i>
    <i t="default">
      <x v="92"/>
    </i>
    <i t="blank">
      <x v="92"/>
    </i>
    <i>
      <x v="93"/>
    </i>
    <i r="1">
      <x v="93"/>
    </i>
    <i r="2">
      <x v="63"/>
      <x v="89"/>
      <x v="43"/>
    </i>
    <i r="5">
      <x v="1"/>
      <x/>
      <x v="2"/>
      <x v="329"/>
    </i>
    <i r="5">
      <x v="2"/>
      <x/>
      <x v="2"/>
      <x v="330"/>
    </i>
    <i r="5">
      <x v="3"/>
      <x/>
      <x v="4"/>
      <x v="285"/>
    </i>
    <i r="5">
      <x v="4"/>
      <x/>
      <x v="67"/>
      <x v="329"/>
    </i>
    <i r="5">
      <x v="5"/>
      <x/>
      <x v="67"/>
      <x v="180"/>
    </i>
    <i r="5">
      <x v="6"/>
      <x/>
      <x v="65"/>
      <x v="331"/>
    </i>
    <i r="5">
      <x v="7"/>
      <x/>
      <x v="65"/>
      <x v="329"/>
    </i>
    <i r="5">
      <x v="8"/>
      <x/>
      <x v="65"/>
      <x v="332"/>
    </i>
    <i r="5">
      <x v="9"/>
      <x v="8"/>
      <x v="83"/>
      <x v="333"/>
    </i>
    <i r="5">
      <x v="10"/>
      <x v="8"/>
      <x v="83"/>
      <x v="329"/>
    </i>
    <i t="default">
      <x v="93"/>
    </i>
    <i t="blank">
      <x v="93"/>
    </i>
    <i>
      <x v="94"/>
    </i>
    <i r="1">
      <x v="94"/>
    </i>
    <i r="2">
      <x v="63"/>
      <x v="90"/>
      <x v="28"/>
    </i>
    <i r="5">
      <x v="1"/>
      <x/>
      <x v="4"/>
      <x v="329"/>
    </i>
    <i r="5">
      <x v="2"/>
      <x/>
      <x v="69"/>
      <x v="257"/>
    </i>
    <i r="5">
      <x v="3"/>
      <x/>
      <x v="65"/>
      <x v="9"/>
    </i>
    <i r="5">
      <x v="4"/>
      <x/>
      <x v="65"/>
      <x v="9"/>
    </i>
    <i r="5">
      <x v="5"/>
      <x/>
      <x v="65"/>
      <x v="334"/>
    </i>
    <i r="5">
      <x v="6"/>
      <x/>
      <x v="65"/>
      <x v="335"/>
    </i>
    <i t="default">
      <x v="94"/>
    </i>
    <i t="blank">
      <x v="94"/>
    </i>
    <i>
      <x v="95"/>
    </i>
    <i r="1">
      <x v="95"/>
    </i>
    <i r="2">
      <x v="64"/>
      <x v="91"/>
      <x v="117"/>
    </i>
    <i r="5">
      <x/>
      <x/>
      <x v="66"/>
      <x/>
    </i>
    <i r="5">
      <x v="1"/>
      <x/>
      <x v="69"/>
      <x v="336"/>
    </i>
    <i r="5">
      <x v="2"/>
      <x/>
      <x v="4"/>
      <x v="257"/>
    </i>
    <i r="5">
      <x v="3"/>
      <x/>
      <x v="67"/>
      <x v="258"/>
    </i>
    <i r="5">
      <x v="4"/>
      <x/>
      <x v="65"/>
      <x v="256"/>
    </i>
    <i r="5">
      <x v="5"/>
      <x/>
      <x v="65"/>
      <x v="257"/>
    </i>
    <i r="5">
      <x v="6"/>
      <x/>
      <x v="65"/>
      <x v="256"/>
    </i>
    <i r="5">
      <x v="7"/>
      <x v="8"/>
      <x v="90"/>
      <x v="257"/>
    </i>
    <i t="default">
      <x v="95"/>
    </i>
    <i t="blank">
      <x v="95"/>
    </i>
    <i>
      <x v="96"/>
    </i>
    <i r="1">
      <x v="96"/>
    </i>
    <i r="2">
      <x v="65"/>
      <x v="92"/>
      <x v="44"/>
    </i>
    <i r="5">
      <x/>
      <x/>
      <x v="2"/>
      <x/>
    </i>
    <i r="5">
      <x v="1"/>
      <x/>
      <x v="14"/>
      <x v="337"/>
    </i>
    <i r="5">
      <x v="2"/>
      <x/>
      <x v="17"/>
      <x v="338"/>
    </i>
    <i r="5">
      <x v="3"/>
      <x/>
      <x v="27"/>
      <x v="339"/>
    </i>
    <i t="default">
      <x v="96"/>
    </i>
    <i t="blank">
      <x v="96"/>
    </i>
    <i>
      <x v="97"/>
    </i>
    <i r="1">
      <x v="97"/>
    </i>
    <i r="2">
      <x v="28"/>
      <x v="93"/>
      <x v="29"/>
    </i>
    <i r="5">
      <x/>
      <x/>
      <x v="1"/>
      <x/>
    </i>
    <i r="5">
      <x v="1"/>
      <x/>
      <x v="13"/>
      <x v="215"/>
    </i>
    <i r="5">
      <x v="2"/>
      <x/>
      <x v="36"/>
      <x v="248"/>
    </i>
    <i t="default">
      <x v="97"/>
    </i>
    <i t="blank">
      <x v="97"/>
    </i>
    <i>
      <x v="98"/>
    </i>
    <i r="1">
      <x v="98"/>
    </i>
    <i r="2">
      <x v="66"/>
      <x v="94"/>
      <x v="19"/>
    </i>
    <i r="5">
      <x/>
      <x/>
      <x v="66"/>
      <x/>
    </i>
    <i r="5">
      <x v="1"/>
      <x/>
      <x v="69"/>
      <x v="287"/>
    </i>
    <i r="5">
      <x v="2"/>
      <x/>
      <x v="69"/>
      <x v="340"/>
    </i>
    <i r="5">
      <x v="3"/>
      <x/>
      <x v="65"/>
      <x v="340"/>
    </i>
    <i r="5">
      <x v="4"/>
      <x/>
      <x v="56"/>
      <x v="257"/>
    </i>
    <i r="5">
      <x v="5"/>
      <x/>
      <x v="65"/>
      <x v="257"/>
    </i>
    <i r="5">
      <x v="6"/>
      <x/>
      <x v="65"/>
      <x v="285"/>
    </i>
    <i t="default">
      <x v="98"/>
    </i>
    <i t="blank">
      <x v="98"/>
    </i>
    <i>
      <x v="99"/>
    </i>
    <i r="1">
      <x v="99"/>
    </i>
    <i r="2">
      <x v="67"/>
      <x v="95"/>
      <x v="103"/>
    </i>
    <i r="5">
      <x/>
      <x/>
      <x v="2"/>
      <x/>
    </i>
    <i r="5">
      <x v="1"/>
      <x/>
      <x v="14"/>
      <x v="341"/>
    </i>
    <i r="5">
      <x v="2"/>
      <x/>
      <x v="27"/>
      <x v="342"/>
    </i>
    <i r="5">
      <x v="3"/>
      <x v="5"/>
      <x v="30"/>
      <x v="343"/>
    </i>
    <i r="5">
      <x v="4"/>
      <x v="5"/>
      <x v="28"/>
      <x v="344"/>
    </i>
    <i t="default">
      <x v="99"/>
    </i>
    <i t="blank">
      <x v="99"/>
    </i>
    <i>
      <x v="100"/>
    </i>
    <i r="1">
      <x v="100"/>
    </i>
    <i r="2">
      <x v="68"/>
      <x v="96"/>
      <x v="20"/>
    </i>
    <i r="5">
      <x v="1"/>
      <x/>
      <x v="4"/>
      <x v="345"/>
    </i>
    <i r="5">
      <x v="2"/>
      <x/>
      <x v="65"/>
      <x v="257"/>
    </i>
    <i r="5">
      <x v="3"/>
      <x/>
      <x v="65"/>
      <x v="257"/>
    </i>
    <i r="5">
      <x v="4"/>
      <x/>
      <x v="65"/>
      <x v="257"/>
    </i>
    <i r="5">
      <x v="5"/>
      <x v="8"/>
      <x v="33"/>
      <x v="257"/>
    </i>
    <i t="default">
      <x v="100"/>
    </i>
    <i t="blank">
      <x v="100"/>
    </i>
    <i>
      <x v="101"/>
    </i>
    <i r="1">
      <x v="101"/>
    </i>
    <i r="2">
      <x v="69"/>
      <x v="97"/>
      <x v="57"/>
    </i>
    <i r="5">
      <x/>
      <x/>
      <x v="93"/>
      <x/>
    </i>
    <i r="5">
      <x v="1"/>
      <x/>
      <x v="30"/>
      <x v="346"/>
    </i>
    <i r="5">
      <x v="2"/>
      <x/>
      <x v="30"/>
      <x v="347"/>
    </i>
    <i r="5">
      <x v="3"/>
      <x v="9"/>
      <x v="54"/>
      <x v="348"/>
    </i>
    <i t="default">
      <x v="101"/>
    </i>
    <i t="blank">
      <x v="101"/>
    </i>
    <i>
      <x v="102"/>
    </i>
    <i r="1">
      <x v="102"/>
    </i>
    <i r="2">
      <x v="70"/>
      <x v="98"/>
      <x v="118"/>
    </i>
    <i r="5">
      <x/>
      <x/>
      <x v="93"/>
      <x/>
    </i>
    <i r="5">
      <x v="1"/>
      <x/>
      <x v="50"/>
      <x v="349"/>
    </i>
    <i r="5">
      <x v="2"/>
      <x/>
      <x v="50"/>
      <x v="350"/>
    </i>
    <i r="5">
      <x v="3"/>
      <x v="4"/>
      <x v="28"/>
      <x v="351"/>
    </i>
    <i t="default">
      <x v="102"/>
    </i>
    <i t="blank">
      <x v="102"/>
    </i>
    <i>
      <x v="103"/>
    </i>
    <i r="1">
      <x v="103"/>
    </i>
    <i r="2">
      <x v="71"/>
      <x v="99"/>
      <x v="45"/>
    </i>
    <i r="5">
      <x/>
      <x/>
      <x v="94"/>
      <x/>
    </i>
    <i r="5">
      <x v="1"/>
      <x/>
      <x v="22"/>
      <x v="352"/>
    </i>
    <i t="default">
      <x v="103"/>
    </i>
    <i t="blank">
      <x v="103"/>
    </i>
    <i>
      <x v="104"/>
    </i>
    <i r="1">
      <x v="104"/>
    </i>
    <i r="2">
      <x v="72"/>
      <x v="100"/>
      <x v="30"/>
    </i>
    <i r="5">
      <x/>
      <x/>
      <x v="95"/>
      <x/>
    </i>
    <i r="5">
      <x v="1"/>
      <x/>
      <x v="96"/>
      <x v="275"/>
    </i>
    <i r="5">
      <x v="2"/>
      <x/>
      <x v="50"/>
      <x v="280"/>
    </i>
    <i r="5">
      <x v="3"/>
      <x/>
      <x v="50"/>
      <x v="353"/>
    </i>
    <i t="default">
      <x v="104"/>
    </i>
    <i t="blank">
      <x v="104"/>
    </i>
    <i>
      <x v="105"/>
    </i>
    <i r="1">
      <x v="105"/>
    </i>
    <i r="2">
      <x v="73"/>
      <x v="101"/>
      <x v="46"/>
    </i>
    <i r="5">
      <x/>
      <x/>
      <x v="65"/>
      <x/>
    </i>
    <i r="5">
      <x v="1"/>
      <x/>
      <x v="65"/>
      <x v="354"/>
    </i>
    <i r="5">
      <x v="2"/>
      <x/>
      <x v="65"/>
      <x v="355"/>
    </i>
    <i r="5">
      <x v="3"/>
      <x v="8"/>
      <x v="77"/>
      <x v="356"/>
    </i>
    <i t="default">
      <x v="105"/>
    </i>
    <i t="blank">
      <x v="105"/>
    </i>
    <i>
      <x v="106"/>
    </i>
    <i r="1">
      <x v="106"/>
    </i>
    <i r="2">
      <x v="74"/>
      <x v="102"/>
      <x v="31"/>
    </i>
    <i r="5">
      <x/>
      <x/>
      <x v="42"/>
      <x/>
    </i>
    <i r="5">
      <x v="1"/>
      <x v="8"/>
      <x v="77"/>
      <x v="357"/>
    </i>
    <i r="5">
      <x v="2"/>
      <x v="8"/>
      <x v="77"/>
      <x v="357"/>
    </i>
    <i r="5">
      <x v="3"/>
      <x v="8"/>
      <x v="77"/>
      <x v="357"/>
    </i>
    <i t="default">
      <x v="106"/>
    </i>
    <i t="blank">
      <x v="106"/>
    </i>
    <i>
      <x v="107"/>
    </i>
    <i r="1">
      <x v="107"/>
    </i>
    <i r="2">
      <x v="15"/>
      <x v="103"/>
      <x v="67"/>
    </i>
    <i r="5">
      <x/>
      <x/>
      <x v="45"/>
      <x/>
    </i>
    <i r="5">
      <x v="1"/>
      <x/>
      <x v="50"/>
      <x v="358"/>
    </i>
    <i r="5">
      <x v="2"/>
      <x v="4"/>
      <x v="97"/>
      <x v="359"/>
    </i>
    <i t="default">
      <x v="107"/>
    </i>
    <i t="blank">
      <x v="107"/>
    </i>
    <i>
      <x v="108"/>
    </i>
    <i r="1">
      <x v="108"/>
    </i>
    <i r="2">
      <x v="75"/>
      <x v="104"/>
      <x v="93"/>
    </i>
    <i r="5">
      <x/>
      <x/>
      <x v="98"/>
      <x/>
    </i>
    <i r="5">
      <x v="2"/>
      <x v="3"/>
      <x v="28"/>
      <x v="262"/>
    </i>
    <i r="5">
      <x v="4"/>
      <x v="3"/>
      <x v="28"/>
      <x v="100"/>
    </i>
    <i t="default">
      <x v="108"/>
    </i>
    <i t="blank">
      <x v="108"/>
    </i>
    <i>
      <x v="109"/>
    </i>
    <i r="1">
      <x v="109"/>
    </i>
    <i r="2">
      <x v="75"/>
      <x v="105"/>
      <x v="93"/>
    </i>
    <i r="5">
      <x/>
      <x/>
      <x v="98"/>
      <x/>
    </i>
    <i r="5">
      <x v="1"/>
      <x/>
      <x v="30"/>
      <x v="262"/>
    </i>
    <i r="5">
      <x v="3"/>
      <x v="3"/>
      <x v="28"/>
      <x v="100"/>
    </i>
    <i t="default">
      <x v="109"/>
    </i>
    <i t="blank">
      <x v="109"/>
    </i>
    <i>
      <x v="110"/>
    </i>
    <i r="1">
      <x v="110"/>
    </i>
    <i r="2">
      <x v="76"/>
      <x v="106"/>
      <x v="68"/>
    </i>
    <i r="5">
      <x/>
      <x/>
      <x v="98"/>
      <x/>
    </i>
    <i r="5">
      <x v="2"/>
      <x/>
      <x v="99"/>
      <x v="360"/>
    </i>
    <i t="default">
      <x v="110"/>
    </i>
    <i t="blank">
      <x v="110"/>
    </i>
    <i>
      <x v="111"/>
    </i>
    <i r="1">
      <x v="111"/>
    </i>
    <i r="2">
      <x v="76"/>
      <x v="107"/>
      <x v="69"/>
    </i>
    <i r="5">
      <x/>
      <x/>
      <x v="98"/>
      <x/>
    </i>
    <i r="5">
      <x v="1"/>
      <x/>
      <x v="99"/>
      <x v="361"/>
    </i>
    <i t="default">
      <x v="111"/>
    </i>
    <i t="blank">
      <x v="111"/>
    </i>
    <i>
      <x v="112"/>
    </i>
    <i r="1">
      <x v="112"/>
    </i>
    <i r="2">
      <x v="77"/>
      <x v="108"/>
      <x v="8"/>
    </i>
    <i r="5">
      <x/>
      <x v="6"/>
      <x v="100"/>
      <x/>
    </i>
    <i t="default">
      <x v="112"/>
    </i>
    <i t="blank">
      <x v="112"/>
    </i>
    <i>
      <x v="113"/>
    </i>
    <i r="1">
      <x v="113"/>
    </i>
    <i r="2">
      <x v="63"/>
      <x v="109"/>
      <x v="32"/>
    </i>
    <i r="5">
      <x/>
      <x/>
      <x v="65"/>
      <x/>
    </i>
    <i r="5">
      <x v="1"/>
      <x v="8"/>
      <x v="101"/>
      <x v="362"/>
    </i>
    <i t="default">
      <x v="113"/>
    </i>
    <i t="blank">
      <x v="113"/>
    </i>
    <i>
      <x v="114"/>
    </i>
    <i r="1">
      <x v="114"/>
    </i>
    <i r="2">
      <x v="78"/>
      <x v="110"/>
      <x v="8"/>
    </i>
    <i r="5">
      <x/>
      <x/>
      <x v="65"/>
      <x/>
    </i>
    <i t="default">
      <x v="114"/>
    </i>
    <i t="blank">
      <x v="114"/>
    </i>
    <i>
      <x v="115"/>
    </i>
    <i r="1">
      <x v="115"/>
    </i>
    <i r="2">
      <x v="79"/>
      <x v="111"/>
      <x v="8"/>
    </i>
    <i r="5">
      <x/>
      <x v="6"/>
      <x v="100"/>
      <x/>
    </i>
    <i t="default">
      <x v="115"/>
    </i>
    <i t="blank">
      <x v="115"/>
    </i>
    <i>
      <x v="116"/>
    </i>
    <i r="1">
      <x v="116"/>
    </i>
    <i r="2">
      <x v="80"/>
      <x v="112"/>
      <x/>
    </i>
    <i r="5">
      <x v="1"/>
      <x/>
      <x v="22"/>
      <x v="297"/>
    </i>
    <i t="default">
      <x v="116"/>
    </i>
    <i t="blank">
      <x v="116"/>
    </i>
    <i>
      <x v="117"/>
    </i>
    <i r="1">
      <x v="101"/>
    </i>
    <i r="2">
      <x v="48"/>
      <x v="113"/>
      <x v="8"/>
    </i>
    <i r="5">
      <x/>
      <x/>
      <x v="65"/>
      <x/>
    </i>
    <i t="default">
      <x v="117"/>
    </i>
    <i t="blank">
      <x v="117"/>
    </i>
    <i>
      <x v="118"/>
    </i>
    <i r="1">
      <x v="117"/>
    </i>
    <i r="2">
      <x v="28"/>
      <x v="114"/>
      <x v="110"/>
    </i>
    <i r="5">
      <x/>
      <x/>
      <x v="14"/>
      <x/>
    </i>
    <i r="5">
      <x v="1"/>
      <x/>
      <x v="24"/>
      <x v="363"/>
    </i>
    <i r="5">
      <x v="2"/>
      <x v="2"/>
      <x v="28"/>
      <x v="364"/>
    </i>
    <i r="5">
      <x v="3"/>
      <x v="2"/>
      <x v="28"/>
      <x v="365"/>
    </i>
    <i t="default">
      <x v="118"/>
    </i>
    <i t="blank">
      <x v="118"/>
    </i>
    <i>
      <x v="119"/>
    </i>
    <i r="1">
      <x v="118"/>
    </i>
    <i r="2">
      <x v="28"/>
      <x v="115"/>
      <x v="58"/>
    </i>
    <i r="5">
      <x/>
      <x/>
      <x v="102"/>
      <x/>
    </i>
    <i r="5">
      <x v="1"/>
      <x/>
      <x v="103"/>
      <x v="366"/>
    </i>
    <i t="default">
      <x v="119"/>
    </i>
    <i t="blank">
      <x v="119"/>
    </i>
    <i>
      <x v="120"/>
    </i>
    <i r="1">
      <x v="119"/>
    </i>
    <i r="2">
      <x v="22"/>
      <x v="116"/>
      <x v="59"/>
    </i>
    <i r="5">
      <x v="1"/>
      <x/>
      <x v="50"/>
      <x v="367"/>
    </i>
    <i r="5">
      <x v="2"/>
      <x v="2"/>
      <x v="30"/>
      <x v="368"/>
    </i>
    <i t="default">
      <x v="120"/>
    </i>
    <i t="blank">
      <x v="120"/>
    </i>
    <i>
      <x v="121"/>
    </i>
    <i r="1">
      <x v="120"/>
    </i>
    <i r="2">
      <x v="55"/>
      <x v="117"/>
      <x v="123"/>
    </i>
    <i r="5">
      <x v="1"/>
      <x v="8"/>
      <x v="104"/>
      <x v="369"/>
    </i>
    <i t="default">
      <x v="121"/>
    </i>
    <i t="blank">
      <x v="121"/>
    </i>
    <i>
      <x v="122"/>
    </i>
    <i r="1">
      <x v="121"/>
    </i>
    <i r="2">
      <x v="81"/>
      <x v="118"/>
      <x v="8"/>
    </i>
    <i r="5">
      <x/>
      <x/>
      <x v="105"/>
      <x/>
    </i>
    <i t="default">
      <x v="122"/>
    </i>
    <i t="blank">
      <x v="122"/>
    </i>
    <i>
      <x v="123"/>
    </i>
    <i r="1">
      <x v="122"/>
    </i>
    <i r="2">
      <x v="28"/>
      <x v="119"/>
      <x v="98"/>
    </i>
    <i r="5">
      <x/>
      <x/>
      <x v="17"/>
      <x/>
    </i>
    <i r="5">
      <x v="1"/>
      <x v="5"/>
      <x v="30"/>
      <x v="370"/>
    </i>
    <i t="default">
      <x v="123"/>
    </i>
    <i t="blank">
      <x v="123"/>
    </i>
    <i>
      <x v="124"/>
    </i>
    <i r="1">
      <x v="123"/>
    </i>
    <i r="2">
      <x v="25"/>
      <x v="120"/>
      <x/>
    </i>
    <i r="5">
      <x v="1"/>
      <x/>
      <x v="22"/>
      <x v="297"/>
    </i>
    <i t="default">
      <x v="124"/>
    </i>
    <i t="blank">
      <x v="124"/>
    </i>
    <i>
      <x v="125"/>
    </i>
    <i r="1">
      <x v="124"/>
    </i>
    <i r="2">
      <x v="82"/>
      <x v="121"/>
      <x/>
    </i>
    <i r="5">
      <x v="1"/>
      <x/>
      <x v="22"/>
      <x v="297"/>
    </i>
    <i t="default">
      <x v="125"/>
    </i>
    <i t="blank">
      <x v="125"/>
    </i>
    <i>
      <x v="126"/>
    </i>
    <i r="1">
      <x v="125"/>
    </i>
    <i r="2">
      <x v="83"/>
      <x v="122"/>
      <x/>
    </i>
    <i r="5">
      <x v="1"/>
      <x v="3"/>
      <x v="50"/>
      <x v="371"/>
    </i>
    <i r="5">
      <x v="2"/>
      <x v="3"/>
      <x v="50"/>
      <x v="372"/>
    </i>
    <i r="5">
      <x v="3"/>
      <x/>
      <x v="50"/>
      <x v="373"/>
    </i>
    <i t="default">
      <x v="126"/>
    </i>
    <i t="blank">
      <x v="126"/>
    </i>
    <i>
      <x v="127"/>
    </i>
    <i r="1">
      <x v="126"/>
    </i>
    <i r="2">
      <x v="84"/>
      <x v="123"/>
      <x/>
    </i>
    <i r="5">
      <x v="1"/>
      <x/>
      <x v="22"/>
      <x v="297"/>
    </i>
    <i t="default">
      <x v="127"/>
    </i>
    <i t="blank">
      <x v="127"/>
    </i>
    <i>
      <x v="128"/>
    </i>
    <i r="1">
      <x v="127"/>
    </i>
    <i r="2">
      <x v="83"/>
      <x v="124"/>
      <x/>
    </i>
    <i r="5">
      <x v="1"/>
      <x/>
      <x v="50"/>
      <x v="297"/>
    </i>
    <i t="default">
      <x v="128"/>
    </i>
    <i t="blank">
      <x v="128"/>
    </i>
    <i>
      <x v="129"/>
    </i>
    <i r="1">
      <x v="128"/>
    </i>
    <i r="2">
      <x v="85"/>
      <x v="125"/>
      <x/>
    </i>
    <i r="5">
      <x v="1"/>
      <x/>
      <x v="22"/>
      <x v="297"/>
    </i>
    <i t="default">
      <x v="129"/>
    </i>
    <i t="blank">
      <x v="129"/>
    </i>
    <i>
      <x v="130"/>
    </i>
    <i r="1">
      <x v="129"/>
    </i>
    <i r="2">
      <x v="34"/>
      <x v="126"/>
      <x/>
    </i>
    <i r="5">
      <x v="1"/>
      <x/>
      <x v="22"/>
      <x v="297"/>
    </i>
    <i t="default">
      <x v="130"/>
    </i>
    <i t="blank">
      <x v="130"/>
    </i>
    <i>
      <x v="131"/>
    </i>
    <i r="1">
      <x v="130"/>
    </i>
    <i r="2">
      <x v="31"/>
      <x v="127"/>
      <x/>
    </i>
    <i r="5">
      <x v="1"/>
      <x/>
      <x v="106"/>
      <x v="297"/>
    </i>
    <i t="default">
      <x v="131"/>
    </i>
    <i t="blank">
      <x v="131"/>
    </i>
    <i>
      <x v="132"/>
    </i>
    <i r="1">
      <x v="131"/>
    </i>
    <i r="2">
      <x v="31"/>
      <x v="128"/>
      <x v="60"/>
    </i>
    <i r="5">
      <x v="1"/>
      <x/>
      <x v="106"/>
      <x v="374"/>
    </i>
    <i r="5">
      <x v="2"/>
      <x/>
      <x v="106"/>
      <x v="375"/>
    </i>
    <i t="default">
      <x v="132"/>
    </i>
    <i t="blank">
      <x v="132"/>
    </i>
    <i>
      <x v="133"/>
    </i>
    <i r="1">
      <x v="132"/>
    </i>
    <i r="2">
      <x v="82"/>
      <x v="129"/>
      <x/>
    </i>
    <i r="5">
      <x v="1"/>
      <x/>
      <x v="107"/>
      <x v="297"/>
    </i>
    <i t="default">
      <x v="133"/>
    </i>
    <i t="blank">
      <x v="133"/>
    </i>
    <i>
      <x v="134"/>
    </i>
    <i r="1">
      <x v="133"/>
    </i>
    <i r="2">
      <x v="42"/>
      <x v="130"/>
      <x v="124"/>
    </i>
    <i r="5">
      <x v="1"/>
      <x v="2"/>
      <x v="28"/>
      <x v="376"/>
    </i>
    <i t="default">
      <x v="134"/>
    </i>
    <i t="blank">
      <x v="134"/>
    </i>
    <i>
      <x v="135"/>
    </i>
    <i r="1">
      <x v="134"/>
    </i>
    <i r="2">
      <x v="86"/>
      <x v="131"/>
      <x v="8"/>
    </i>
    <i r="5">
      <x/>
      <x v="3"/>
      <x v="30"/>
      <x/>
    </i>
    <i t="default">
      <x v="135"/>
    </i>
    <i t="blank">
      <x v="135"/>
    </i>
    <i>
      <x v="136"/>
    </i>
    <i r="1">
      <x v="135"/>
    </i>
    <i r="2">
      <x v="87"/>
      <x v="132"/>
      <x v="8"/>
    </i>
    <i r="5">
      <x/>
      <x v="3"/>
      <x v="28"/>
      <x/>
    </i>
    <i t="default">
      <x v="136"/>
    </i>
    <i t="blank">
      <x v="136"/>
    </i>
    <i>
      <x v="137"/>
    </i>
    <i r="1">
      <x v="136"/>
    </i>
    <i r="2">
      <x v="88"/>
      <x v="133"/>
      <x v="47"/>
    </i>
    <i r="5">
      <x/>
      <x/>
      <x v="108"/>
      <x/>
    </i>
    <i r="5">
      <x v="1"/>
      <x/>
      <x v="102"/>
      <x v="6"/>
    </i>
    <i r="5">
      <x v="2"/>
      <x/>
      <x v="53"/>
      <x v="377"/>
    </i>
    <i r="5">
      <x v="3"/>
      <x v="3"/>
      <x v="28"/>
      <x v="378"/>
    </i>
    <i r="5">
      <x v="4"/>
      <x v="3"/>
      <x v="28"/>
      <x v="379"/>
    </i>
    <i t="default">
      <x v="137"/>
    </i>
    <i t="blank">
      <x v="137"/>
    </i>
    <i>
      <x v="138"/>
    </i>
    <i r="1">
      <x v="137"/>
    </i>
    <i r="2">
      <x v="89"/>
      <x v="134"/>
      <x v="70"/>
    </i>
    <i r="5">
      <x/>
      <x/>
      <x v="95"/>
      <x/>
    </i>
    <i r="5">
      <x v="1"/>
      <x/>
      <x v="105"/>
      <x v="380"/>
    </i>
    <i r="5">
      <x v="2"/>
      <x/>
      <x v="96"/>
      <x v="381"/>
    </i>
    <i r="5">
      <x v="3"/>
      <x/>
      <x v="99"/>
      <x v="382"/>
    </i>
    <i t="default">
      <x v="138"/>
    </i>
    <i t="blank">
      <x v="138"/>
    </i>
    <i>
      <x v="139"/>
    </i>
    <i r="1">
      <x v="138"/>
    </i>
    <i r="2">
      <x v="87"/>
      <x v="135"/>
      <x v="104"/>
    </i>
    <i r="5">
      <x/>
      <x/>
      <x v="93"/>
      <x/>
    </i>
    <i r="5">
      <x v="1"/>
      <x/>
      <x v="96"/>
      <x v="383"/>
    </i>
    <i r="5">
      <x v="2"/>
      <x/>
      <x v="96"/>
      <x v="384"/>
    </i>
    <i r="5">
      <x v="3"/>
      <x/>
      <x v="106"/>
      <x v="385"/>
    </i>
    <i r="5">
      <x v="4"/>
      <x v="2"/>
      <x v="63"/>
      <x v="386"/>
    </i>
    <i t="default">
      <x v="139"/>
    </i>
    <i t="blank">
      <x v="139"/>
    </i>
    <i>
      <x v="140"/>
    </i>
    <i r="1">
      <x v="139"/>
    </i>
    <i r="2">
      <x v="90"/>
      <x v="136"/>
      <x v="48"/>
    </i>
    <i r="5">
      <x/>
      <x/>
      <x v="109"/>
      <x/>
    </i>
    <i r="5">
      <x v="1"/>
      <x/>
      <x v="22"/>
      <x v="387"/>
    </i>
    <i r="5">
      <x v="2"/>
      <x/>
      <x v="22"/>
      <x v="388"/>
    </i>
    <i r="5">
      <x v="3"/>
      <x/>
      <x v="50"/>
      <x v="389"/>
    </i>
    <i r="5">
      <x v="4"/>
      <x/>
      <x v="106"/>
      <x v="390"/>
    </i>
    <i r="5">
      <x v="5"/>
      <x/>
      <x v="30"/>
      <x v="14"/>
    </i>
    <i r="5">
      <x v="6"/>
      <x/>
      <x v="30"/>
      <x v="391"/>
    </i>
    <i t="default">
      <x v="140"/>
    </i>
    <i t="blank">
      <x v="140"/>
    </i>
    <i>
      <x v="141"/>
    </i>
    <i r="1">
      <x v="140"/>
    </i>
    <i r="2">
      <x v="91"/>
      <x v="137"/>
      <x v="62"/>
    </i>
    <i r="5">
      <x/>
      <x/>
      <x v="91"/>
      <x/>
    </i>
    <i r="5">
      <x v="1"/>
      <x/>
      <x v="110"/>
      <x v="392"/>
    </i>
    <i r="5">
      <x v="2"/>
      <x/>
      <x v="110"/>
      <x v="393"/>
    </i>
    <i r="5">
      <x v="3"/>
      <x v="2"/>
      <x v="100"/>
      <x v="393"/>
    </i>
    <i t="default">
      <x v="141"/>
    </i>
    <i t="blank">
      <x v="141"/>
    </i>
    <i>
      <x v="142"/>
    </i>
    <i r="1">
      <x v="141"/>
    </i>
    <i r="2">
      <x v="25"/>
      <x v="138"/>
      <x v="94"/>
    </i>
    <i r="5">
      <x/>
      <x/>
      <x v="56"/>
      <x/>
    </i>
    <i r="5">
      <x v="1"/>
      <x/>
      <x v="99"/>
      <x v="340"/>
    </i>
    <i r="5">
      <x v="2"/>
      <x/>
      <x v="36"/>
      <x v="394"/>
    </i>
    <i r="5">
      <x v="3"/>
      <x v="3"/>
      <x v="28"/>
      <x v="395"/>
    </i>
    <i t="default">
      <x v="142"/>
    </i>
    <i t="blank">
      <x v="142"/>
    </i>
    <i>
      <x v="143"/>
    </i>
    <i r="1">
      <x v="142"/>
    </i>
    <i r="2">
      <x v="92"/>
      <x v="139"/>
      <x v="86"/>
    </i>
    <i r="5">
      <x/>
      <x/>
      <x v="111"/>
      <x/>
    </i>
    <i r="5">
      <x v="1"/>
      <x/>
      <x v="30"/>
      <x v="396"/>
    </i>
    <i r="5">
      <x v="2"/>
      <x/>
      <x v="30"/>
      <x v="397"/>
    </i>
    <i t="default">
      <x v="143"/>
    </i>
    <i t="blank">
      <x v="143"/>
    </i>
    <i>
      <x v="144"/>
    </i>
    <i r="1">
      <x v="143"/>
    </i>
    <i r="2">
      <x v="93"/>
      <x v="140"/>
      <x v="87"/>
    </i>
    <i r="5">
      <x/>
      <x/>
      <x v="112"/>
      <x/>
    </i>
    <i r="5">
      <x v="1"/>
      <x/>
      <x v="22"/>
      <x v="398"/>
    </i>
    <i r="5">
      <x v="2"/>
      <x/>
      <x v="22"/>
      <x v="399"/>
    </i>
    <i r="5">
      <x v="3"/>
      <x/>
      <x v="30"/>
      <x v="400"/>
    </i>
    <i t="default">
      <x v="144"/>
    </i>
    <i t="blank">
      <x v="144"/>
    </i>
    <i>
      <x v="145"/>
    </i>
    <i r="1">
      <x v="144"/>
    </i>
    <i r="2">
      <x v="94"/>
      <x v="141"/>
      <x v="71"/>
    </i>
    <i r="5">
      <x/>
      <x/>
      <x v="113"/>
      <x/>
    </i>
    <i r="5">
      <x v="1"/>
      <x/>
      <x v="34"/>
      <x v="197"/>
    </i>
    <i r="5">
      <x v="2"/>
      <x/>
      <x v="34"/>
      <x v="401"/>
    </i>
    <i r="5">
      <x v="3"/>
      <x/>
      <x v="99"/>
      <x v="402"/>
    </i>
    <i r="5">
      <x v="4"/>
      <x/>
      <x v="99"/>
      <x v="403"/>
    </i>
    <i t="default">
      <x v="145"/>
    </i>
    <i t="blank">
      <x v="145"/>
    </i>
    <i>
      <x v="146"/>
    </i>
    <i r="1">
      <x v="145"/>
    </i>
    <i r="2">
      <x v="95"/>
      <x v="142"/>
      <x v="8"/>
    </i>
    <i r="5">
      <x/>
      <x/>
      <x v="114"/>
      <x/>
    </i>
    <i t="default">
      <x v="146"/>
    </i>
    <i t="blank">
      <x v="146"/>
    </i>
    <i>
      <x v="147"/>
    </i>
    <i r="1">
      <x v="146"/>
    </i>
    <i r="2">
      <x v="96"/>
      <x v="143"/>
      <x v="119"/>
    </i>
    <i r="5">
      <x/>
      <x/>
      <x v="115"/>
      <x/>
    </i>
    <i r="5">
      <x v="1"/>
      <x v="4"/>
      <x v="28"/>
      <x v="404"/>
    </i>
    <i r="5">
      <x v="2"/>
      <x v="4"/>
      <x v="28"/>
      <x v="405"/>
    </i>
    <i t="default">
      <x v="147"/>
    </i>
    <i t="blank">
      <x v="147"/>
    </i>
    <i>
      <x v="148"/>
    </i>
    <i r="1">
      <x v="147"/>
    </i>
    <i r="2">
      <x v="97"/>
      <x v="144"/>
      <x v="49"/>
    </i>
    <i r="5">
      <x/>
      <x/>
      <x v="112"/>
      <x/>
    </i>
    <i r="5">
      <x v="1"/>
      <x/>
      <x v="103"/>
      <x v="406"/>
    </i>
    <i t="default">
      <x v="148"/>
    </i>
    <i t="blank">
      <x v="148"/>
    </i>
    <i>
      <x v="149"/>
    </i>
    <i r="1">
      <x v="148"/>
    </i>
    <i r="2">
      <x v="98"/>
      <x v="145"/>
      <x v="105"/>
    </i>
    <i r="5">
      <x/>
      <x/>
      <x v="112"/>
      <x/>
    </i>
    <i r="5">
      <x v="1"/>
      <x v="3"/>
      <x v="99"/>
      <x v="407"/>
    </i>
    <i r="5">
      <x v="2"/>
      <x v="3"/>
      <x v="99"/>
      <x v="408"/>
    </i>
    <i r="5">
      <x v="3"/>
      <x v="2"/>
      <x v="30"/>
      <x v="409"/>
    </i>
    <i t="default">
      <x v="149"/>
    </i>
    <i t="blank">
      <x v="149"/>
    </i>
    <i>
      <x v="150"/>
    </i>
    <i r="1">
      <x v="149"/>
    </i>
    <i r="2">
      <x v="99"/>
      <x v="146"/>
      <x v="8"/>
    </i>
    <i r="5">
      <x/>
      <x/>
      <x v="102"/>
      <x/>
    </i>
    <i t="default">
      <x v="150"/>
    </i>
    <i t="blank">
      <x v="150"/>
    </i>
    <i>
      <x v="151"/>
    </i>
    <i r="1">
      <x v="150"/>
    </i>
    <i r="2">
      <x v="25"/>
      <x v="147"/>
      <x v="63"/>
    </i>
    <i r="5">
      <x/>
      <x/>
      <x v="56"/>
      <x/>
    </i>
    <i r="5">
      <x v="1"/>
      <x/>
      <x v="99"/>
      <x v="410"/>
    </i>
    <i t="default">
      <x v="151"/>
    </i>
    <i t="blank">
      <x v="151"/>
    </i>
    <i>
      <x v="152"/>
    </i>
    <i r="1">
      <x v="151"/>
    </i>
    <i r="2">
      <x v="100"/>
      <x v="148"/>
      <x v="64"/>
    </i>
    <i r="5">
      <x/>
      <x/>
      <x v="11"/>
      <x/>
    </i>
    <i r="5">
      <x v="1"/>
      <x/>
      <x v="116"/>
      <x v="411"/>
    </i>
    <i r="5">
      <x v="2"/>
      <x/>
      <x v="99"/>
      <x v="412"/>
    </i>
    <i t="default">
      <x v="152"/>
    </i>
    <i t="blank">
      <x v="152"/>
    </i>
    <i>
      <x v="153"/>
    </i>
    <i r="1">
      <x v="152"/>
    </i>
    <i r="2">
      <x v="101"/>
      <x v="149"/>
      <x v="72"/>
    </i>
    <i r="5">
      <x/>
      <x/>
      <x v="117"/>
      <x/>
    </i>
    <i r="5">
      <x v="1"/>
      <x/>
      <x v="96"/>
      <x v="413"/>
    </i>
    <i r="5">
      <x v="2"/>
      <x/>
      <x v="99"/>
      <x v="396"/>
    </i>
    <i r="5">
      <x v="3"/>
      <x/>
      <x v="99"/>
      <x v="414"/>
    </i>
    <i t="default">
      <x v="153"/>
    </i>
    <i t="blank">
      <x v="153"/>
    </i>
    <i>
      <x v="154"/>
    </i>
    <i r="1">
      <x v="153"/>
    </i>
    <i r="2">
      <x v="101"/>
      <x v="150"/>
      <x v="73"/>
    </i>
    <i r="5">
      <x/>
      <x/>
      <x v="117"/>
      <x/>
    </i>
    <i r="5">
      <x v="1"/>
      <x/>
      <x v="22"/>
      <x v="415"/>
    </i>
    <i r="5">
      <x v="2"/>
      <x/>
      <x v="96"/>
      <x v="416"/>
    </i>
    <i r="5">
      <x v="3"/>
      <x/>
      <x v="99"/>
      <x v="417"/>
    </i>
    <i t="default">
      <x v="154"/>
    </i>
    <i t="blank">
      <x v="154"/>
    </i>
    <i>
      <x v="155"/>
    </i>
    <i r="1">
      <x v="154"/>
    </i>
    <i r="2">
      <x v="98"/>
      <x v="151"/>
      <x v="75"/>
    </i>
    <i r="5">
      <x/>
      <x/>
      <x v="112"/>
      <x/>
    </i>
    <i r="5">
      <x v="1"/>
      <x/>
      <x v="103"/>
      <x v="418"/>
    </i>
    <i r="5">
      <x v="2"/>
      <x/>
      <x v="103"/>
      <x v="419"/>
    </i>
    <i r="5">
      <x v="3"/>
      <x/>
      <x v="103"/>
      <x v="420"/>
    </i>
    <i t="default">
      <x v="155"/>
    </i>
    <i t="blank">
      <x v="155"/>
    </i>
    <i>
      <x v="156"/>
    </i>
    <i r="1">
      <x v="155"/>
    </i>
    <i r="2">
      <x v="102"/>
      <x v="152"/>
      <x v="50"/>
    </i>
    <i r="5">
      <x/>
      <x/>
      <x v="115"/>
      <x/>
    </i>
    <i r="5">
      <x v="1"/>
      <x/>
      <x v="110"/>
      <x v="421"/>
    </i>
    <i r="5">
      <x v="2"/>
      <x/>
      <x v="99"/>
      <x v="422"/>
    </i>
    <i t="default">
      <x v="156"/>
    </i>
    <i t="blank">
      <x v="156"/>
    </i>
    <i>
      <x v="157"/>
    </i>
    <i r="1">
      <x v="156"/>
    </i>
    <i r="2">
      <x v="103"/>
      <x v="153"/>
      <x v="106"/>
    </i>
    <i r="5">
      <x/>
      <x/>
      <x v="118"/>
      <x/>
    </i>
    <i r="5">
      <x v="1"/>
      <x v="2"/>
      <x v="36"/>
      <x v="423"/>
    </i>
    <i r="5">
      <x v="2"/>
      <x v="2"/>
      <x v="30"/>
      <x v="273"/>
    </i>
    <i t="default">
      <x v="157"/>
    </i>
    <i t="blank">
      <x v="157"/>
    </i>
    <i>
      <x v="158"/>
    </i>
    <i r="1">
      <x v="157"/>
    </i>
    <i r="2">
      <x v="104"/>
      <x v="154"/>
      <x v="120"/>
    </i>
    <i r="5">
      <x v="1"/>
      <x/>
      <x v="99"/>
      <x v="424"/>
    </i>
    <i r="5">
      <x v="3"/>
      <x v="4"/>
      <x v="28"/>
      <x v="177"/>
    </i>
    <i r="1">
      <x v="158"/>
    </i>
    <i r="2">
      <x v="104"/>
      <x v="154"/>
      <x v="120"/>
    </i>
    <i r="5">
      <x/>
      <x/>
      <x v="45"/>
      <x/>
    </i>
    <i t="default">
      <x v="158"/>
    </i>
    <i t="blank">
      <x v="158"/>
    </i>
    <i>
      <x v="159"/>
    </i>
    <i r="1">
      <x v="159"/>
    </i>
    <i r="2">
      <x v="105"/>
      <x v="155"/>
      <x v="82"/>
    </i>
    <i r="5">
      <x/>
      <x/>
      <x v="118"/>
      <x/>
    </i>
    <i r="5">
      <x v="1"/>
      <x/>
      <x v="110"/>
      <x v="411"/>
    </i>
    <i r="5">
      <x v="2"/>
      <x/>
      <x v="110"/>
      <x v="425"/>
    </i>
    <i r="5">
      <x v="3"/>
      <x v="2"/>
      <x v="30"/>
      <x v="426"/>
    </i>
    <i t="default">
      <x v="159"/>
    </i>
    <i t="blank">
      <x v="159"/>
    </i>
    <i>
      <x v="160"/>
    </i>
    <i r="1">
      <x v="160"/>
    </i>
    <i r="2">
      <x v="97"/>
      <x v="156"/>
      <x/>
    </i>
    <i r="5">
      <x/>
      <x/>
      <x v="92"/>
      <x/>
    </i>
    <i r="5">
      <x v="1"/>
      <x/>
      <x v="99"/>
      <x v="427"/>
    </i>
    <i r="5">
      <x v="2"/>
      <x v="4"/>
      <x v="28"/>
      <x v="428"/>
    </i>
    <i t="default">
      <x v="160"/>
    </i>
    <i t="blank">
      <x v="160"/>
    </i>
    <i>
      <x v="161"/>
    </i>
    <i r="1">
      <x v="161"/>
    </i>
    <i r="2">
      <x v="106"/>
      <x v="157"/>
      <x v="95"/>
    </i>
    <i r="5">
      <x/>
      <x/>
      <x v="115"/>
      <x/>
    </i>
    <i r="5">
      <x v="1"/>
      <x/>
      <x v="106"/>
      <x v="429"/>
    </i>
    <i r="5">
      <x v="2"/>
      <x v="3"/>
      <x v="119"/>
      <x v="430"/>
    </i>
    <i r="5">
      <x v="3"/>
      <x/>
      <x v="36"/>
      <x v="431"/>
    </i>
    <i t="default">
      <x v="161"/>
    </i>
    <i t="blank">
      <x v="161"/>
    </i>
    <i>
      <x v="162"/>
    </i>
    <i r="1">
      <x v="162"/>
    </i>
    <i r="2">
      <x v="107"/>
      <x v="158"/>
      <x v="121"/>
    </i>
    <i r="5">
      <x/>
      <x/>
      <x v="115"/>
      <x/>
    </i>
    <i r="5">
      <x v="1"/>
      <x v="4"/>
      <x v="28"/>
      <x v="432"/>
    </i>
    <i t="default">
      <x v="162"/>
    </i>
    <i t="blank">
      <x v="162"/>
    </i>
    <i>
      <x v="163"/>
    </i>
    <i r="1">
      <x v="163"/>
    </i>
    <i r="2">
      <x v="108"/>
      <x v="159"/>
      <x v="4"/>
    </i>
    <i r="5">
      <x v="1"/>
      <x/>
      <x v="96"/>
      <x v="232"/>
    </i>
    <i r="5">
      <x v="2"/>
      <x/>
      <x v="35"/>
      <x v="232"/>
    </i>
    <i r="5">
      <x v="3"/>
      <x v="6"/>
      <x v="100"/>
      <x v="232"/>
    </i>
    <i t="default">
      <x v="163"/>
    </i>
    <i t="blank">
      <x v="163"/>
    </i>
    <i>
      <x v="164"/>
    </i>
    <i r="1">
      <x v="164"/>
    </i>
    <i r="2">
      <x v="59"/>
      <x v="160"/>
      <x v="4"/>
    </i>
    <i r="5">
      <x v="1"/>
      <x/>
      <x v="96"/>
      <x v="232"/>
    </i>
    <i r="5">
      <x v="2"/>
      <x/>
      <x v="96"/>
      <x v="232"/>
    </i>
    <i r="5">
      <x v="3"/>
      <x v="6"/>
      <x v="100"/>
      <x v="232"/>
    </i>
    <i t="default">
      <x v="164"/>
    </i>
    <i t="blank">
      <x v="164"/>
    </i>
    <i>
      <x v="165"/>
    </i>
    <i r="1">
      <x v="165"/>
    </i>
    <i r="2">
      <x v="108"/>
      <x v="161"/>
      <x v="4"/>
    </i>
    <i r="5">
      <x v="1"/>
      <x v="2"/>
      <x v="31"/>
      <x v="232"/>
    </i>
    <i r="5">
      <x v="2"/>
      <x/>
      <x v="22"/>
      <x v="232"/>
    </i>
    <i r="5">
      <x v="3"/>
      <x v="6"/>
      <x v="100"/>
      <x v="232"/>
    </i>
    <i t="default">
      <x v="165"/>
    </i>
    <i t="blank">
      <x v="165"/>
    </i>
    <i>
      <x v="166"/>
    </i>
    <i r="1">
      <x v="166"/>
    </i>
    <i r="2">
      <x v="59"/>
      <x v="162"/>
      <x/>
    </i>
    <i r="5">
      <x v="1"/>
      <x/>
      <x v="22"/>
      <x v="232"/>
    </i>
    <i r="5">
      <x v="2"/>
      <x v="6"/>
      <x v="30"/>
      <x v="232"/>
    </i>
    <i r="5">
      <x v="3"/>
      <x v="6"/>
      <x v="59"/>
      <x v="232"/>
    </i>
    <i r="5">
      <x v="4"/>
      <x v="4"/>
      <x v="28"/>
      <x v="232"/>
    </i>
    <i t="default">
      <x v="166"/>
    </i>
    <i t="blank">
      <x v="166"/>
    </i>
    <i>
      <x v="167"/>
    </i>
    <i r="1">
      <x v="167"/>
    </i>
    <i r="2">
      <x v="109"/>
      <x v="163"/>
      <x/>
    </i>
    <i r="5">
      <x/>
      <x/>
      <x v="92"/>
      <x/>
    </i>
    <i r="5">
      <x v="1"/>
      <x/>
      <x v="103"/>
      <x v="433"/>
    </i>
    <i r="5">
      <x v="2"/>
      <x/>
      <x v="103"/>
      <x v="434"/>
    </i>
    <i t="default">
      <x v="167"/>
    </i>
    <i t="blank">
      <x v="167"/>
    </i>
    <i>
      <x v="168"/>
    </i>
    <i r="1">
      <x v="168"/>
    </i>
    <i r="2">
      <x v="65"/>
      <x v="164"/>
      <x/>
    </i>
    <i r="5">
      <x/>
      <x/>
      <x v="43"/>
      <x/>
    </i>
    <i r="5">
      <x v="1"/>
      <x/>
      <x v="103"/>
      <x v="297"/>
    </i>
    <i t="default">
      <x v="168"/>
    </i>
    <i t="blank">
      <x v="168"/>
    </i>
    <i>
      <x v="169"/>
    </i>
    <i r="1">
      <x v="169"/>
    </i>
    <i r="2">
      <x v="110"/>
      <x v="165"/>
      <x v="77"/>
    </i>
    <i r="5">
      <x/>
      <x/>
      <x v="115"/>
      <x/>
    </i>
    <i r="5">
      <x v="1"/>
      <x/>
      <x v="103"/>
      <x v="435"/>
    </i>
    <i r="5">
      <x v="2"/>
      <x/>
      <x v="103"/>
      <x v="436"/>
    </i>
    <i t="default">
      <x v="169"/>
    </i>
    <i t="blank">
      <x v="169"/>
    </i>
    <i>
      <x v="170"/>
    </i>
    <i r="1">
      <x v="170"/>
    </i>
    <i r="2">
      <x v="111"/>
      <x v="166"/>
      <x v="88"/>
    </i>
    <i r="5">
      <x/>
      <x/>
      <x v="102"/>
      <x/>
    </i>
    <i r="5">
      <x v="1"/>
      <x/>
      <x v="30"/>
      <x v="437"/>
    </i>
    <i t="default">
      <x v="170"/>
    </i>
    <i t="blank">
      <x v="170"/>
    </i>
    <i>
      <x v="171"/>
    </i>
    <i r="1">
      <x v="171"/>
    </i>
    <i r="2">
      <x v="112"/>
      <x v="167"/>
      <x v="79"/>
    </i>
    <i r="5">
      <x/>
      <x/>
      <x v="92"/>
      <x/>
    </i>
    <i r="5">
      <x v="1"/>
      <x/>
      <x v="22"/>
      <x v="438"/>
    </i>
    <i r="5">
      <x v="2"/>
      <x/>
      <x v="22"/>
      <x v="439"/>
    </i>
    <i r="5">
      <x v="3"/>
      <x v="5"/>
      <x v="30"/>
      <x v="440"/>
    </i>
    <i t="default">
      <x v="171"/>
    </i>
    <i t="blank">
      <x v="171"/>
    </i>
    <i>
      <x v="172"/>
    </i>
    <i r="1">
      <x v="172"/>
    </i>
    <i r="2">
      <x v="65"/>
      <x v="168"/>
      <x v="80"/>
    </i>
    <i r="5">
      <x/>
      <x/>
      <x v="114"/>
      <x/>
    </i>
    <i r="5">
      <x v="1"/>
      <x/>
      <x v="103"/>
      <x v="441"/>
    </i>
    <i r="5">
      <x v="2"/>
      <x v="5"/>
      <x v="60"/>
      <x v="442"/>
    </i>
    <i t="default">
      <x v="172"/>
    </i>
    <i t="blank">
      <x v="172"/>
    </i>
    <i>
      <x v="173"/>
    </i>
    <i r="1">
      <x v="173"/>
    </i>
    <i r="2">
      <x v="113"/>
      <x v="169"/>
      <x/>
    </i>
    <i r="5">
      <x/>
      <x/>
      <x v="115"/>
      <x/>
    </i>
    <i r="5">
      <x v="1"/>
      <x/>
      <x v="106"/>
      <x v="443"/>
    </i>
    <i r="5">
      <x v="2"/>
      <x/>
      <x v="99"/>
      <x v="444"/>
    </i>
    <i r="5">
      <x v="3"/>
      <x v="2"/>
      <x v="30"/>
      <x v="445"/>
    </i>
    <i t="default">
      <x v="173"/>
    </i>
    <i t="blank">
      <x v="173"/>
    </i>
    <i>
      <x v="174"/>
    </i>
    <i r="1">
      <x v="174"/>
    </i>
    <i r="2">
      <x v="114"/>
      <x v="170"/>
      <x v="122"/>
    </i>
    <i r="5">
      <x/>
      <x/>
      <x v="98"/>
      <x/>
    </i>
    <i r="5">
      <x v="1"/>
      <x/>
      <x v="99"/>
      <x v="446"/>
    </i>
    <i r="5">
      <x v="2"/>
      <x/>
      <x v="30"/>
      <x v="447"/>
    </i>
    <i r="5">
      <x v="3"/>
      <x v="4"/>
      <x v="28"/>
      <x v="448"/>
    </i>
    <i t="default">
      <x v="174"/>
    </i>
    <i t="blank">
      <x v="174"/>
    </i>
    <i>
      <x v="175"/>
    </i>
    <i r="1">
      <x v="175"/>
    </i>
    <i r="2">
      <x v="115"/>
      <x v="171"/>
      <x v="51"/>
    </i>
    <i r="5">
      <x/>
      <x/>
      <x v="114"/>
      <x/>
    </i>
    <i r="5">
      <x v="1"/>
      <x v="5"/>
      <x v="30"/>
      <x v="449"/>
    </i>
    <i t="default">
      <x v="175"/>
    </i>
    <i t="blank">
      <x v="175"/>
    </i>
    <i>
      <x v="176"/>
    </i>
    <i r="1">
      <x v="176"/>
    </i>
    <i r="2">
      <x v="109"/>
      <x v="172"/>
      <x v="76"/>
    </i>
    <i r="5">
      <x/>
      <x/>
      <x v="115"/>
      <x/>
    </i>
    <i r="5">
      <x v="1"/>
      <x/>
      <x v="22"/>
      <x v="450"/>
    </i>
    <i r="5">
      <x v="2"/>
      <x/>
      <x v="22"/>
      <x v="451"/>
    </i>
    <i r="5">
      <x v="3"/>
      <x/>
      <x v="103"/>
      <x v="281"/>
    </i>
    <i t="default">
      <x v="176"/>
    </i>
    <i t="blank">
      <x v="176"/>
    </i>
    <i>
      <x v="177"/>
    </i>
    <i r="1">
      <x v="177"/>
    </i>
    <i r="2">
      <x v="116"/>
      <x v="173"/>
      <x v="65"/>
    </i>
    <i r="5">
      <x/>
      <x/>
      <x v="13"/>
      <x/>
    </i>
    <i r="5">
      <x v="1"/>
      <x/>
      <x v="99"/>
      <x v="452"/>
    </i>
    <i t="default">
      <x v="177"/>
    </i>
    <i t="blank">
      <x v="177"/>
    </i>
    <i>
      <x v="178"/>
    </i>
    <i r="1">
      <x v="178"/>
    </i>
    <i r="2">
      <x v="117"/>
      <x v="174"/>
      <x v="81"/>
    </i>
    <i r="5">
      <x/>
      <x/>
      <x v="111"/>
      <x/>
    </i>
    <i r="5">
      <x v="1"/>
      <x/>
      <x v="30"/>
      <x v="453"/>
    </i>
    <i r="5">
      <x v="2"/>
      <x v="2"/>
      <x v="37"/>
      <x v="454"/>
    </i>
    <i t="default">
      <x v="178"/>
    </i>
    <i t="blank">
      <x v="178"/>
    </i>
    <i>
      <x v="179"/>
    </i>
    <i r="1">
      <x v="179"/>
    </i>
    <i r="2">
      <x v="118"/>
      <x v="175"/>
      <x v="52"/>
    </i>
    <i r="5">
      <x/>
      <x/>
      <x v="120"/>
      <x/>
    </i>
    <i r="5">
      <x v="1"/>
      <x/>
      <x v="99"/>
      <x v="455"/>
    </i>
    <i t="default">
      <x v="179"/>
    </i>
    <i t="blank">
      <x v="179"/>
    </i>
    <i>
      <x v="180"/>
    </i>
    <i r="1">
      <x v="180"/>
    </i>
    <i r="2">
      <x v="116"/>
      <x v="176"/>
      <x v="66"/>
    </i>
    <i r="5">
      <x/>
      <x/>
      <x v="13"/>
      <x/>
    </i>
    <i r="5">
      <x v="1"/>
      <x/>
      <x v="99"/>
      <x v="456"/>
    </i>
    <i t="default">
      <x v="180"/>
    </i>
    <i t="blank">
      <x v="180"/>
    </i>
    <i>
      <x v="181"/>
    </i>
    <i r="1">
      <x v="181"/>
    </i>
    <i r="2">
      <x v="113"/>
      <x v="177"/>
      <x v="53"/>
    </i>
    <i r="5">
      <x/>
      <x/>
      <x v="112"/>
      <x/>
    </i>
    <i r="5">
      <x v="1"/>
      <x/>
      <x v="106"/>
      <x v="457"/>
    </i>
    <i r="5">
      <x v="2"/>
      <x/>
      <x v="106"/>
      <x v="458"/>
    </i>
    <i t="default">
      <x v="181"/>
    </i>
    <i t="blank">
      <x v="181"/>
    </i>
    <i>
      <x v="182"/>
    </i>
    <i r="1">
      <x v="182"/>
    </i>
    <i r="2">
      <x v="119"/>
      <x v="178"/>
      <x v="83"/>
    </i>
    <i r="5">
      <x/>
      <x/>
      <x v="114"/>
      <x/>
    </i>
    <i r="5">
      <x v="1"/>
      <x/>
      <x v="50"/>
      <x v="459"/>
    </i>
    <i r="5">
      <x v="2"/>
      <x v="3"/>
      <x v="28"/>
      <x v="460"/>
    </i>
    <i r="5">
      <x v="3"/>
      <x/>
      <x v="30"/>
      <x v="461"/>
    </i>
    <i t="default">
      <x v="182"/>
    </i>
    <i t="blank">
      <x v="182"/>
    </i>
    <i>
      <x v="183"/>
    </i>
    <i r="1">
      <x v="183"/>
    </i>
    <i r="2">
      <x v="120"/>
      <x v="179"/>
      <x/>
    </i>
    <i r="5">
      <x/>
      <x/>
      <x v="45"/>
      <x/>
    </i>
    <i r="5">
      <x v="1"/>
      <x/>
      <x v="103"/>
      <x v="462"/>
    </i>
    <i r="5">
      <x v="2"/>
      <x/>
      <x v="103"/>
      <x v="463"/>
    </i>
    <i r="5">
      <x v="3"/>
      <x/>
      <x v="103"/>
      <x v="464"/>
    </i>
    <i t="default">
      <x v="183"/>
    </i>
    <i t="blank">
      <x v="183"/>
    </i>
    <i>
      <x v="184"/>
    </i>
    <i r="1">
      <x v="184"/>
    </i>
    <i r="2">
      <x v="120"/>
      <x v="180"/>
      <x v="54"/>
    </i>
    <i r="5">
      <x/>
      <x/>
      <x v="45"/>
      <x/>
    </i>
    <i r="5">
      <x v="1"/>
      <x/>
      <x v="99"/>
      <x v="465"/>
    </i>
    <i t="default">
      <x v="184"/>
    </i>
    <i t="blank">
      <x v="184"/>
    </i>
    <i>
      <x v="185"/>
    </i>
    <i r="1">
      <x v="185"/>
    </i>
    <i r="2">
      <x v="121"/>
      <x v="181"/>
      <x/>
    </i>
    <i r="5">
      <x/>
      <x/>
      <x v="120"/>
      <x/>
    </i>
    <i r="5">
      <x v="1"/>
      <x v="2"/>
      <x v="37"/>
      <x v="7"/>
    </i>
    <i r="5">
      <x v="2"/>
      <x v="2"/>
      <x v="37"/>
      <x v="466"/>
    </i>
    <i r="5">
      <x v="3"/>
      <x v="4"/>
      <x v="30"/>
      <x v="467"/>
    </i>
    <i r="5">
      <x v="4"/>
      <x v="4"/>
      <x v="30"/>
      <x v="468"/>
    </i>
    <i t="default">
      <x v="185"/>
    </i>
    <i t="blank">
      <x v="185"/>
    </i>
    <i>
      <x v="186"/>
    </i>
    <i r="1">
      <x v="186"/>
    </i>
    <i r="2">
      <x v="120"/>
      <x v="182"/>
      <x v="2"/>
    </i>
    <i r="5">
      <x/>
      <x/>
      <x v="45"/>
      <x/>
    </i>
    <i r="5">
      <x v="1"/>
      <x/>
      <x v="103"/>
      <x v="469"/>
    </i>
    <i r="5">
      <x v="2"/>
      <x/>
      <x v="103"/>
      <x v="470"/>
    </i>
    <i r="5">
      <x v="3"/>
      <x/>
      <x v="103"/>
      <x v="471"/>
    </i>
    <i t="default">
      <x v="186"/>
    </i>
    <i t="blank">
      <x v="186"/>
    </i>
    <i>
      <x v="187"/>
    </i>
    <i r="1">
      <x v="187"/>
    </i>
    <i r="2">
      <x v="122"/>
      <x v="183"/>
      <x v="111"/>
    </i>
    <i r="5">
      <x/>
      <x/>
      <x v="13"/>
      <x/>
    </i>
    <i r="5">
      <x v="1"/>
      <x v="2"/>
      <x v="28"/>
      <x v="472"/>
    </i>
    <i t="default">
      <x v="187"/>
    </i>
    <i t="blank">
      <x v="187"/>
    </i>
    <i>
      <x v="188"/>
    </i>
    <i r="1">
      <x v="188"/>
    </i>
    <i r="2">
      <x v="102"/>
      <x v="184"/>
      <x v="89"/>
    </i>
    <i r="5">
      <x/>
      <x/>
      <x v="115"/>
      <x/>
    </i>
    <i r="5">
      <x v="1"/>
      <x/>
      <x v="99"/>
      <x v="473"/>
    </i>
    <i r="5">
      <x v="2"/>
      <x/>
      <x v="30"/>
      <x v="474"/>
    </i>
    <i t="default">
      <x v="188"/>
    </i>
    <i t="blank">
      <x v="188"/>
    </i>
    <i>
      <x v="189"/>
    </i>
    <i r="1">
      <x v="189"/>
    </i>
    <i r="2">
      <x v="123"/>
      <x v="185"/>
      <x v="112"/>
    </i>
    <i r="5">
      <x/>
      <x/>
      <x v="85"/>
      <x/>
    </i>
    <i r="5">
      <x v="1"/>
      <x v="3"/>
      <x v="119"/>
      <x v="475"/>
    </i>
    <i r="5">
      <x v="2"/>
      <x/>
      <x v="30"/>
      <x v="476"/>
    </i>
    <i r="5">
      <x v="3"/>
      <x/>
      <x v="30"/>
      <x v="477"/>
    </i>
    <i r="5">
      <x v="4"/>
      <x v="2"/>
      <x v="28"/>
      <x v="478"/>
    </i>
    <i t="default">
      <x v="189"/>
    </i>
    <i t="blank">
      <x v="189"/>
    </i>
    <i>
      <x v="190"/>
    </i>
    <i r="1">
      <x v="190"/>
    </i>
    <i r="2">
      <x v="124"/>
      <x v="186"/>
      <x/>
    </i>
    <i r="5">
      <x/>
      <x/>
      <x v="114"/>
      <x/>
    </i>
    <i r="5">
      <x v="1"/>
      <x/>
      <x v="34"/>
      <x v="479"/>
    </i>
    <i r="5">
      <x v="2"/>
      <x/>
      <x v="99"/>
      <x v="480"/>
    </i>
    <i r="5">
      <x v="3"/>
      <x/>
      <x v="99"/>
      <x v="481"/>
    </i>
    <i t="default">
      <x v="190"/>
    </i>
    <i t="blank">
      <x v="190"/>
    </i>
    <i>
      <x v="191"/>
    </i>
    <i r="1">
      <x v="191"/>
    </i>
    <i r="2">
      <x v="125"/>
      <x v="187"/>
      <x/>
    </i>
    <i r="5">
      <x/>
      <x/>
      <x v="111"/>
      <x/>
    </i>
    <i r="5">
      <x v="1"/>
      <x/>
      <x v="103"/>
      <x v="204"/>
    </i>
    <i r="5">
      <x v="2"/>
      <x/>
      <x v="103"/>
      <x v="482"/>
    </i>
    <i r="5">
      <x v="3"/>
      <x/>
      <x v="103"/>
      <x v="483"/>
    </i>
    <i r="5">
      <x v="4"/>
      <x/>
      <x v="103"/>
      <x v="484"/>
    </i>
    <i t="default">
      <x v="191"/>
    </i>
    <i t="blank">
      <x v="191"/>
    </i>
    <i>
      <x v="192"/>
    </i>
    <i r="1">
      <x v="192"/>
    </i>
    <i r="2">
      <x v="126"/>
      <x v="188"/>
      <x v="96"/>
    </i>
    <i r="5">
      <x/>
      <x/>
      <x v="85"/>
      <x/>
    </i>
    <i r="5">
      <x v="1"/>
      <x/>
      <x v="30"/>
      <x v="485"/>
    </i>
    <i r="5">
      <x v="2"/>
      <x/>
      <x v="30"/>
      <x v="486"/>
    </i>
    <i t="default">
      <x v="192"/>
    </i>
    <i t="blank">
      <x v="192"/>
    </i>
    <i>
      <x v="193"/>
    </i>
    <i r="1">
      <x v="193"/>
    </i>
    <i r="2">
      <x v="127"/>
      <x v="189"/>
      <x v="97"/>
    </i>
    <i r="5">
      <x/>
      <x/>
      <x v="56"/>
      <x/>
    </i>
    <i r="5">
      <x v="1"/>
      <x/>
      <x v="30"/>
      <x v="181"/>
    </i>
    <i r="5">
      <x v="2"/>
      <x/>
      <x v="30"/>
      <x v="487"/>
    </i>
    <i t="default">
      <x v="193"/>
    </i>
    <i t="blank">
      <x v="193"/>
    </i>
    <i>
      <x v="194"/>
    </i>
    <i r="1">
      <x v="194"/>
    </i>
    <i r="2">
      <x v="128"/>
      <x v="190"/>
      <x v="113"/>
    </i>
    <i r="5">
      <x/>
      <x/>
      <x v="85"/>
      <x/>
    </i>
    <i r="5">
      <x v="1"/>
      <x v="2"/>
      <x v="30"/>
      <x v="488"/>
    </i>
    <i r="5">
      <x v="2"/>
      <x v="2"/>
      <x v="28"/>
      <x v="489"/>
    </i>
    <i t="default">
      <x v="194"/>
    </i>
    <i t="blank">
      <x v="194"/>
    </i>
    <i>
      <x v="195"/>
    </i>
    <i r="1">
      <x v="195"/>
    </i>
    <i r="2">
      <x v="129"/>
      <x v="191"/>
      <x v="8"/>
    </i>
    <i r="5">
      <x/>
      <x/>
      <x v="121"/>
      <x/>
    </i>
    <i t="default">
      <x v="195"/>
    </i>
    <i t="blank">
      <x v="195"/>
    </i>
    <i>
      <x v="196"/>
    </i>
    <i r="1">
      <x v="196"/>
    </i>
    <i r="2">
      <x v="130"/>
      <x v="192"/>
      <x v="74"/>
    </i>
    <i r="5">
      <x/>
      <x/>
      <x v="118"/>
      <x/>
    </i>
    <i r="5">
      <x v="1"/>
      <x/>
      <x v="99"/>
      <x v="490"/>
    </i>
    <i r="5">
      <x v="2"/>
      <x/>
      <x v="99"/>
      <x v="491"/>
    </i>
    <i r="5">
      <x v="3"/>
      <x/>
      <x v="99"/>
      <x v="492"/>
    </i>
    <i t="default">
      <x v="196"/>
    </i>
    <i t="blank">
      <x v="196"/>
    </i>
    <i>
      <x v="197"/>
    </i>
    <i r="1">
      <x v="197"/>
    </i>
    <i r="2">
      <x v="131"/>
      <x v="193"/>
      <x v="90"/>
    </i>
    <i r="5">
      <x/>
      <x/>
      <x v="98"/>
      <x/>
    </i>
    <i r="5">
      <x v="1"/>
      <x v="5"/>
      <x v="30"/>
      <x v="493"/>
    </i>
    <i r="5">
      <x v="2"/>
      <x v="5"/>
      <x v="30"/>
      <x v="149"/>
    </i>
    <i r="5">
      <x v="3"/>
      <x v="5"/>
      <x v="30"/>
      <x v="494"/>
    </i>
    <i t="default">
      <x v="197"/>
    </i>
    <i t="blank">
      <x v="197"/>
    </i>
    <i>
      <x v="198"/>
    </i>
    <i r="1">
      <x v="198"/>
    </i>
    <i r="2">
      <x v="132"/>
      <x v="194"/>
      <x v="55"/>
    </i>
    <i r="5">
      <x/>
      <x/>
      <x v="122"/>
      <x/>
    </i>
    <i r="5">
      <x v="1"/>
      <x/>
      <x v="106"/>
      <x v="495"/>
    </i>
    <i t="default">
      <x v="198"/>
    </i>
    <i t="blank">
      <x v="198"/>
    </i>
    <i>
      <x v="199"/>
    </i>
    <i r="1">
      <x v="199"/>
    </i>
    <i r="2">
      <x v="133"/>
      <x v="195"/>
      <x v="114"/>
    </i>
    <i r="5">
      <x/>
      <x/>
      <x v="56"/>
      <x/>
    </i>
    <i r="5">
      <x v="1"/>
      <x v="3"/>
      <x v="119"/>
      <x v="145"/>
    </i>
    <i r="5">
      <x v="2"/>
      <x/>
      <x v="99"/>
      <x v="496"/>
    </i>
    <i r="5">
      <x v="3"/>
      <x/>
      <x v="99"/>
      <x v="497"/>
    </i>
    <i r="5">
      <x v="4"/>
      <x v="2"/>
      <x v="30"/>
      <x v="498"/>
    </i>
    <i r="5">
      <x v="5"/>
      <x v="2"/>
      <x v="30"/>
      <x v="499"/>
    </i>
    <i t="default">
      <x v="199"/>
    </i>
    <i t="blank">
      <x v="199"/>
    </i>
    <i>
      <x v="200"/>
    </i>
    <i r="1">
      <x v="200"/>
    </i>
    <i r="2">
      <x v="98"/>
      <x v="196"/>
      <x v="107"/>
    </i>
    <i r="5">
      <x/>
      <x/>
      <x v="53"/>
      <x/>
    </i>
    <i r="5">
      <x v="1"/>
      <x v="2"/>
      <x v="30"/>
      <x v="500"/>
    </i>
    <i t="default">
      <x v="200"/>
    </i>
    <i t="blank">
      <x v="200"/>
    </i>
    <i>
      <x v="201"/>
    </i>
    <i r="1">
      <x v="201"/>
    </i>
    <i r="2">
      <x v="134"/>
      <x v="197"/>
      <x v="8"/>
    </i>
    <i r="5">
      <x/>
      <x v="3"/>
      <x v="30"/>
      <x/>
    </i>
    <i t="default">
      <x v="201"/>
    </i>
    <i t="blank">
      <x v="201"/>
    </i>
    <i>
      <x v="202"/>
    </i>
    <i r="1">
      <x v="202"/>
    </i>
    <i r="2">
      <x v="13"/>
      <x v="198"/>
      <x v="8"/>
    </i>
    <i r="5">
      <x/>
      <x/>
      <x v="103"/>
      <x/>
    </i>
    <i t="default">
      <x v="202"/>
    </i>
    <i t="blank">
      <x v="202"/>
    </i>
    <i>
      <x v="203"/>
    </i>
    <i r="1">
      <x v="203"/>
    </i>
    <i r="2">
      <x v="135"/>
      <x v="199"/>
      <x v="8"/>
    </i>
    <i r="5">
      <x/>
      <x/>
      <x v="123"/>
      <x/>
    </i>
    <i t="default">
      <x v="203"/>
    </i>
    <i t="blank">
      <x v="203"/>
    </i>
    <i>
      <x v="204"/>
    </i>
    <i r="1">
      <x v="204"/>
    </i>
    <i r="2">
      <x v="136"/>
      <x v="200"/>
      <x v="8"/>
    </i>
    <i r="5">
      <x/>
      <x/>
      <x v="123"/>
      <x/>
    </i>
    <i t="default">
      <x v="204"/>
    </i>
    <i t="blank">
      <x v="204"/>
    </i>
    <i>
      <x v="205"/>
    </i>
    <i r="1">
      <x v="205"/>
    </i>
    <i r="2">
      <x v="87"/>
      <x v="201"/>
      <x v="8"/>
    </i>
    <i r="5">
      <x/>
      <x/>
      <x v="124"/>
      <x/>
    </i>
    <i t="default">
      <x v="205"/>
    </i>
    <i t="blank">
      <x v="205"/>
    </i>
    <i>
      <x v="206"/>
    </i>
    <i r="1">
      <x v="206"/>
    </i>
    <i r="2">
      <x v="88"/>
      <x v="202"/>
      <x v="8"/>
    </i>
    <i r="5">
      <x/>
      <x/>
      <x v="30"/>
      <x/>
    </i>
    <i t="default">
      <x v="206"/>
    </i>
    <i t="blank">
      <x v="206"/>
    </i>
    <i>
      <x v="207"/>
    </i>
    <i r="1">
      <x v="207"/>
    </i>
    <i r="2">
      <x v="8"/>
      <x v="203"/>
      <x v="8"/>
    </i>
    <i r="5">
      <x/>
      <x/>
      <x v="103"/>
      <x/>
    </i>
    <i t="default">
      <x v="207"/>
    </i>
    <i t="blank">
      <x v="207"/>
    </i>
    <i>
      <x v="208"/>
    </i>
    <i r="1">
      <x v="208"/>
    </i>
    <i r="2">
      <x v="98"/>
      <x v="204"/>
      <x v="8"/>
    </i>
    <i r="5">
      <x/>
      <x/>
      <x v="110"/>
      <x/>
    </i>
    <i t="default">
      <x v="208"/>
    </i>
    <i t="blank">
      <x v="208"/>
    </i>
    <i>
      <x v="209"/>
    </i>
    <i r="1">
      <x v="209"/>
    </i>
    <i r="2">
      <x v="60"/>
      <x v="205"/>
      <x v="8"/>
    </i>
    <i r="5">
      <x/>
      <x/>
      <x v="119"/>
      <x/>
    </i>
    <i t="default">
      <x v="209"/>
    </i>
    <i t="blank">
      <x v="209"/>
    </i>
    <i>
      <x v="210"/>
    </i>
    <i r="1">
      <x v="210"/>
    </i>
    <i r="2">
      <x v="137"/>
      <x v="206"/>
      <x v="8"/>
    </i>
    <i r="5">
      <x/>
      <x/>
      <x v="123"/>
      <x/>
    </i>
    <i t="default">
      <x v="210"/>
    </i>
    <i t="blank">
      <x v="210"/>
    </i>
    <i>
      <x v="211"/>
    </i>
    <i r="1">
      <x v="211"/>
    </i>
    <i r="2">
      <x v="138"/>
      <x v="207"/>
      <x/>
    </i>
    <i r="5">
      <x v="1"/>
      <x/>
      <x v="22"/>
      <x v="297"/>
    </i>
    <i t="default">
      <x v="211"/>
    </i>
    <i t="blank">
      <x v="211"/>
    </i>
    <i>
      <x v="212"/>
    </i>
    <i r="1">
      <x v="212"/>
    </i>
    <i r="2">
      <x v="139"/>
      <x v="208"/>
      <x/>
    </i>
    <i r="5">
      <x v="1"/>
      <x/>
      <x v="22"/>
      <x v="297"/>
    </i>
    <i t="default">
      <x v="212"/>
    </i>
    <i t="blank">
      <x v="212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146">
      <pivotArea dataOnly="0" labelOnly="1" outline="0" axis="axisValues" fieldPosition="0"/>
    </format>
    <format dxfId="145">
      <pivotArea dataOnly="0" labelOnly="1" fieldPosition="0">
        <references count="1">
          <reference field="4" count="0"/>
        </references>
      </pivotArea>
    </format>
    <format dxfId="144">
      <pivotArea dataOnly="0" labelOnly="1" fieldPosition="0">
        <references count="1">
          <reference field="4" count="0"/>
        </references>
      </pivotArea>
    </format>
    <format dxfId="143">
      <pivotArea field="8" type="button" dataOnly="0" labelOnly="1" outline="0" axis="axisRow" fieldPosition="8"/>
    </format>
    <format dxfId="142">
      <pivotArea field="8" type="button" dataOnly="0" labelOnly="1" outline="0" axis="axisRow" fieldPosition="8"/>
    </format>
    <format dxfId="141">
      <pivotArea dataOnly="0" labelOnly="1" fieldPosition="0">
        <references count="1">
          <reference field="8" count="0"/>
        </references>
      </pivotArea>
    </format>
    <format dxfId="140">
      <pivotArea dataOnly="0" labelOnly="1" fieldPosition="0">
        <references count="1">
          <reference field="9" count="0"/>
        </references>
      </pivotArea>
    </format>
    <format dxfId="139">
      <pivotArea dataOnly="0" labelOnly="1" fieldPosition="0">
        <references count="1">
          <reference field="9" count="0"/>
        </references>
      </pivotArea>
    </format>
    <format dxfId="138">
      <pivotArea dataOnly="0" fieldPosition="0">
        <references count="1">
          <reference field="2" count="1">
            <x v="209"/>
          </reference>
        </references>
      </pivotArea>
    </format>
    <format dxfId="137">
      <pivotArea dataOnly="0" fieldPosition="0">
        <references count="1">
          <reference field="2" count="1">
            <x v="209"/>
          </reference>
        </references>
      </pivotArea>
    </format>
    <format dxfId="136">
      <pivotArea dataOnly="0" labelOnly="1" fieldPosition="0">
        <references count="1">
          <reference field="9" count="0"/>
        </references>
      </pivotArea>
    </format>
    <format dxfId="135">
      <pivotArea dataOnly="0" labelOnly="1" fieldPosition="0">
        <references count="1">
          <reference field="9" count="0"/>
        </references>
      </pivotArea>
    </format>
    <format dxfId="134">
      <pivotArea dataOnly="0" labelOnly="1" fieldPosition="0">
        <references count="1">
          <reference field="6" count="0"/>
        </references>
      </pivotArea>
    </format>
    <format dxfId="133">
      <pivotArea dataOnly="0" labelOnly="1" fieldPosition="0">
        <references count="1">
          <reference field="2" count="0"/>
        </references>
      </pivotArea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fieldPosition="0">
        <references count="1">
          <reference field="9" count="0"/>
        </references>
      </pivotArea>
    </format>
    <format dxfId="130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0" showColStripes="0" showLastColumn="1"/>
  <rowHierarchiesUsage count="9">
    <rowHierarchyUsage hierarchyUsage="4"/>
    <rowHierarchyUsage hierarchyUsage="3"/>
    <rowHierarchyUsage hierarchyUsage="16"/>
    <rowHierarchyUsage hierarchyUsage="22"/>
    <rowHierarchyUsage hierarchyUsage="24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2.xml><?xml version="1.0" encoding="utf-8"?>
<pivotTableDefinition xmlns="http://schemas.openxmlformats.org/spreadsheetml/2006/main" name="ESTATUS DE PAGOS" cacheId="6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H383" firstHeaderRow="1" firstDataRow="1" firstDataCol="7"/>
  <pivotFields count="11">
    <pivotField dataField="1" showAll="0"/>
    <pivotField axis="axisRow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name="M. CONTRATADO" axis="axisRow" allDrilled="1" outline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allDrilled="1" subtotalTop="0" showAll="0" insertBlankRow="1" dataSourceSort="1" defaultAttributeDrillState="1">
      <items count="3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t="default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name="AV.FIN. EST." axis="axisRow" allDrilled="1" showAll="0" dataSourceSort="1" defaultAttributeDrillState="1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AV. FISICO" axis="axisRow" allDrilled="1" outline="0" showAll="0" defaultSubtotal="0" defaultAttributeDrillState="1">
      <items count="22">
        <item x="13"/>
        <item x="0"/>
        <item x="6"/>
        <item x="8"/>
        <item x="9"/>
        <item x="1"/>
        <item x="11"/>
        <item x="14"/>
        <item x="19"/>
        <item x="2"/>
        <item x="7"/>
        <item x="10"/>
        <item x="16"/>
        <item x="12"/>
        <item x="4"/>
        <item x="15"/>
        <item x="17"/>
        <item x="5"/>
        <item x="18"/>
        <item x="20"/>
        <item x="21"/>
        <item x="3"/>
      </items>
    </pivotField>
    <pivotField name="AV. FIN." axis="axisRow" allDrilled="1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0">
    <field x="3"/>
    <field x="4"/>
    <field x="6"/>
    <field x="2"/>
    <field x="9"/>
    <field x="10"/>
    <field x="5"/>
    <field x="1"/>
    <field x="7"/>
    <field x="8"/>
  </rowFields>
  <rowItems count="380">
    <i>
      <x/>
    </i>
    <i r="1">
      <x/>
    </i>
    <i r="2">
      <x/>
      <x/>
      <x v="1"/>
      <x/>
    </i>
    <i r="6">
      <x/>
      <x/>
      <x/>
      <x/>
    </i>
    <i r="6">
      <x v="1"/>
      <x/>
      <x v="1"/>
      <x v="1"/>
    </i>
    <i r="6">
      <x v="2"/>
      <x/>
      <x v="2"/>
      <x v="2"/>
    </i>
    <i r="6">
      <x v="3"/>
      <x/>
      <x v="3"/>
      <x v="3"/>
    </i>
    <i r="6">
      <x v="4"/>
      <x/>
      <x v="4"/>
      <x v="4"/>
    </i>
    <i t="default">
      <x/>
    </i>
    <i t="blank">
      <x/>
    </i>
    <i>
      <x v="1"/>
    </i>
    <i r="1">
      <x v="1"/>
    </i>
    <i r="2">
      <x v="1"/>
      <x v="1"/>
      <x v="1"/>
      <x/>
    </i>
    <i r="6">
      <x/>
      <x/>
      <x v="5"/>
      <x/>
    </i>
    <i r="6">
      <x v="1"/>
      <x/>
      <x v="6"/>
      <x v="5"/>
    </i>
    <i r="6">
      <x v="2"/>
      <x/>
      <x v="7"/>
      <x v="6"/>
    </i>
    <i r="6">
      <x v="3"/>
      <x/>
      <x v="8"/>
      <x v="7"/>
    </i>
    <i r="6">
      <x v="4"/>
      <x/>
      <x v="8"/>
      <x v="8"/>
    </i>
    <i r="6">
      <x v="5"/>
      <x/>
      <x v="3"/>
      <x v="9"/>
    </i>
    <i r="6">
      <x v="6"/>
      <x/>
      <x v="2"/>
      <x v="10"/>
    </i>
    <i r="6">
      <x v="7"/>
      <x/>
      <x v="4"/>
      <x v="11"/>
    </i>
    <i t="default">
      <x v="1"/>
    </i>
    <i t="blank">
      <x v="1"/>
    </i>
    <i>
      <x v="2"/>
    </i>
    <i r="1">
      <x v="2"/>
    </i>
    <i r="2">
      <x v="2"/>
      <x v="2"/>
      <x v="1"/>
      <x/>
    </i>
    <i r="6">
      <x/>
      <x/>
      <x v="9"/>
      <x/>
    </i>
    <i r="6">
      <x v="1"/>
      <x/>
      <x v="10"/>
      <x v="12"/>
    </i>
    <i r="6">
      <x v="2"/>
      <x/>
      <x v="1"/>
      <x v="13"/>
    </i>
    <i r="6">
      <x v="3"/>
      <x/>
      <x v="1"/>
      <x v="14"/>
    </i>
    <i r="6">
      <x v="4"/>
      <x/>
      <x v="3"/>
      <x v="15"/>
    </i>
    <i r="6">
      <x v="5"/>
      <x/>
      <x v="11"/>
      <x v="16"/>
    </i>
    <i r="6">
      <x v="6"/>
      <x/>
      <x v="12"/>
      <x v="17"/>
    </i>
    <i r="6">
      <x v="7"/>
      <x/>
      <x v="13"/>
      <x v="18"/>
    </i>
    <i r="6">
      <x v="8"/>
      <x/>
      <x v="14"/>
      <x v="19"/>
    </i>
    <i r="6">
      <x v="9"/>
      <x v="1"/>
      <x v="15"/>
      <x v="20"/>
    </i>
    <i t="default">
      <x v="2"/>
    </i>
    <i t="blank">
      <x v="2"/>
    </i>
    <i>
      <x v="3"/>
    </i>
    <i r="1">
      <x v="3"/>
    </i>
    <i r="2">
      <x v="3"/>
      <x v="3"/>
      <x v="1"/>
      <x/>
    </i>
    <i r="6">
      <x/>
      <x/>
      <x v="16"/>
      <x/>
    </i>
    <i r="6">
      <x v="1"/>
      <x/>
      <x v="3"/>
      <x v="21"/>
    </i>
    <i r="6">
      <x v="2"/>
      <x/>
      <x v="3"/>
      <x v="22"/>
    </i>
    <i r="6">
      <x v="3"/>
      <x/>
      <x v="3"/>
      <x v="23"/>
    </i>
    <i r="6">
      <x v="4"/>
      <x/>
      <x v="3"/>
      <x v="24"/>
    </i>
    <i r="6">
      <x v="5"/>
      <x/>
      <x v="17"/>
      <x v="25"/>
    </i>
    <i t="default">
      <x v="3"/>
    </i>
    <i t="blank">
      <x v="3"/>
    </i>
    <i>
      <x v="4"/>
    </i>
    <i r="1">
      <x v="4"/>
    </i>
    <i r="2">
      <x v="4"/>
      <x v="4"/>
      <x v="1"/>
      <x/>
    </i>
    <i r="6">
      <x/>
      <x/>
      <x/>
      <x/>
    </i>
    <i r="6">
      <x v="1"/>
      <x/>
      <x v="1"/>
      <x v="26"/>
    </i>
    <i r="6">
      <x v="2"/>
      <x/>
      <x v="1"/>
      <x v="27"/>
    </i>
    <i r="6">
      <x v="3"/>
      <x/>
      <x v="1"/>
      <x v="28"/>
    </i>
    <i r="6">
      <x v="4"/>
      <x/>
      <x v="4"/>
      <x v="29"/>
    </i>
    <i r="6">
      <x v="5"/>
      <x/>
      <x v="17"/>
      <x v="30"/>
    </i>
    <i t="default">
      <x v="4"/>
    </i>
    <i t="blank">
      <x v="4"/>
    </i>
    <i>
      <x v="5"/>
    </i>
    <i r="1">
      <x v="5"/>
    </i>
    <i r="2">
      <x v="5"/>
      <x v="5"/>
      <x v="5"/>
      <x v="1"/>
    </i>
    <i r="6">
      <x/>
      <x/>
      <x v="18"/>
      <x/>
    </i>
    <i r="6">
      <x v="1"/>
      <x/>
      <x v="3"/>
      <x v="31"/>
    </i>
    <i r="6">
      <x v="2"/>
      <x/>
      <x v="3"/>
      <x v="32"/>
    </i>
    <i r="6">
      <x v="3"/>
      <x/>
      <x v="19"/>
      <x v="33"/>
    </i>
    <i r="6">
      <x v="4"/>
      <x/>
      <x v="14"/>
      <x v="34"/>
    </i>
    <i r="6">
      <x v="5"/>
      <x/>
      <x v="17"/>
      <x v="35"/>
    </i>
    <i t="default">
      <x v="5"/>
    </i>
    <i t="blank">
      <x v="5"/>
    </i>
    <i>
      <x v="6"/>
    </i>
    <i r="1">
      <x v="6"/>
    </i>
    <i r="2">
      <x v="6"/>
      <x v="6"/>
      <x v="9"/>
      <x v="2"/>
    </i>
    <i r="6">
      <x/>
      <x/>
      <x v="20"/>
      <x/>
    </i>
    <i r="6">
      <x v="1"/>
      <x/>
      <x v="2"/>
      <x v="36"/>
    </i>
    <i r="6">
      <x v="2"/>
      <x/>
      <x v="2"/>
      <x v="37"/>
    </i>
    <i r="6">
      <x v="3"/>
      <x/>
      <x v="3"/>
      <x v="38"/>
    </i>
    <i r="6">
      <x v="4"/>
      <x/>
      <x v="19"/>
      <x v="39"/>
    </i>
    <i r="6">
      <x v="5"/>
      <x/>
      <x v="4"/>
      <x v="40"/>
    </i>
    <i r="6">
      <x v="6"/>
      <x/>
      <x v="13"/>
      <x v="41"/>
    </i>
    <i r="6">
      <x v="7"/>
      <x/>
      <x v="21"/>
      <x v="42"/>
    </i>
    <i r="6">
      <x v="8"/>
      <x/>
      <x v="13"/>
      <x v="43"/>
    </i>
    <i r="6">
      <x v="9"/>
      <x/>
      <x v="21"/>
      <x v="44"/>
    </i>
    <i r="6">
      <x v="10"/>
      <x/>
      <x v="21"/>
      <x v="45"/>
    </i>
    <i r="6">
      <x v="11"/>
      <x/>
      <x v="22"/>
      <x v="46"/>
    </i>
    <i t="default">
      <x v="6"/>
    </i>
    <i t="blank">
      <x v="6"/>
    </i>
    <i>
      <x v="7"/>
    </i>
    <i r="1">
      <x v="7"/>
    </i>
    <i r="2">
      <x v="7"/>
      <x v="7"/>
      <x v="1"/>
      <x/>
    </i>
    <i r="6">
      <x/>
      <x/>
      <x v="23"/>
      <x/>
    </i>
    <i r="6">
      <x v="1"/>
      <x/>
      <x v="3"/>
      <x v="47"/>
    </i>
    <i r="6">
      <x v="2"/>
      <x/>
      <x v="19"/>
      <x v="48"/>
    </i>
    <i r="6">
      <x v="3"/>
      <x/>
      <x v="12"/>
      <x v="49"/>
    </i>
    <i r="6">
      <x v="4"/>
      <x/>
      <x v="12"/>
      <x v="50"/>
    </i>
    <i r="6">
      <x v="5"/>
      <x/>
      <x v="17"/>
      <x v="42"/>
    </i>
    <i r="6">
      <x v="6"/>
      <x/>
      <x v="17"/>
      <x v="51"/>
    </i>
    <i t="default">
      <x v="7"/>
    </i>
    <i t="blank">
      <x v="7"/>
    </i>
    <i>
      <x v="8"/>
    </i>
    <i r="1">
      <x v="8"/>
    </i>
    <i r="2">
      <x v="8"/>
      <x v="8"/>
      <x v="1"/>
      <x/>
    </i>
    <i r="6">
      <x/>
      <x/>
      <x v="24"/>
      <x/>
    </i>
    <i r="6">
      <x v="1"/>
      <x/>
      <x v="19"/>
      <x v="52"/>
    </i>
    <i r="6">
      <x v="2"/>
      <x/>
      <x v="19"/>
      <x v="53"/>
    </i>
    <i r="6">
      <x v="3"/>
      <x/>
      <x v="13"/>
      <x v="54"/>
    </i>
    <i r="6">
      <x v="4"/>
      <x/>
      <x v="14"/>
      <x v="55"/>
    </i>
    <i r="6">
      <x v="5"/>
      <x/>
      <x v="25"/>
      <x v="56"/>
    </i>
    <i r="6">
      <x v="6"/>
      <x v="2"/>
      <x v="26"/>
      <x v="57"/>
    </i>
    <i t="default">
      <x v="8"/>
    </i>
    <i t="blank">
      <x v="8"/>
    </i>
    <i>
      <x v="9"/>
    </i>
    <i r="1">
      <x v="9"/>
    </i>
    <i r="2">
      <x v="9"/>
      <x v="9"/>
      <x v="1"/>
      <x/>
    </i>
    <i r="6">
      <x/>
      <x/>
      <x v="24"/>
      <x/>
    </i>
    <i r="6">
      <x v="1"/>
      <x/>
      <x v="3"/>
      <x v="58"/>
    </i>
    <i r="6">
      <x v="2"/>
      <x/>
      <x v="3"/>
      <x v="59"/>
    </i>
    <i r="6">
      <x v="3"/>
      <x/>
      <x v="2"/>
      <x v="60"/>
    </i>
    <i r="6">
      <x v="4"/>
      <x/>
      <x v="3"/>
      <x v="61"/>
    </i>
    <i r="6">
      <x v="5"/>
      <x/>
      <x v="13"/>
      <x v="62"/>
    </i>
    <i r="6">
      <x v="6"/>
      <x v="2"/>
      <x v="27"/>
      <x v="63"/>
    </i>
    <i r="6">
      <x v="7"/>
      <x/>
      <x v="28"/>
      <x v="64"/>
    </i>
    <i r="6">
      <x v="8"/>
      <x/>
      <x v="28"/>
      <x v="65"/>
    </i>
    <i t="default">
      <x v="9"/>
    </i>
    <i t="blank">
      <x v="9"/>
    </i>
    <i>
      <x v="10"/>
    </i>
    <i r="1">
      <x v="10"/>
    </i>
    <i r="2">
      <x v="10"/>
      <x v="10"/>
      <x v="21"/>
      <x v="3"/>
    </i>
    <i r="6">
      <x/>
      <x/>
      <x v="29"/>
      <x/>
    </i>
    <i r="6">
      <x v="1"/>
      <x/>
      <x v="2"/>
      <x v="22"/>
    </i>
    <i r="6">
      <x v="2"/>
      <x/>
      <x v="3"/>
      <x v="66"/>
    </i>
    <i r="6">
      <x v="3"/>
      <x/>
      <x v="3"/>
      <x v="67"/>
    </i>
    <i r="6">
      <x v="4"/>
      <x/>
      <x v="19"/>
      <x v="7"/>
    </i>
    <i r="6">
      <x v="5"/>
      <x/>
      <x v="13"/>
      <x v="68"/>
    </i>
    <i r="6">
      <x v="6"/>
      <x/>
      <x v="30"/>
      <x v="69"/>
    </i>
    <i r="6">
      <x v="7"/>
      <x/>
      <x v="31"/>
      <x v="70"/>
    </i>
    <i r="6">
      <x v="8"/>
      <x/>
      <x v="32"/>
      <x v="71"/>
    </i>
    <i r="6">
      <x v="9"/>
      <x/>
      <x v="33"/>
      <x v="72"/>
    </i>
    <i r="6">
      <x v="10"/>
      <x/>
      <x v="33"/>
      <x v="73"/>
    </i>
    <i r="6">
      <x v="11"/>
      <x v="3"/>
      <x v="26"/>
      <x v="74"/>
    </i>
    <i t="default">
      <x v="10"/>
    </i>
    <i t="blank">
      <x v="10"/>
    </i>
    <i>
      <x v="11"/>
    </i>
    <i r="1">
      <x v="11"/>
    </i>
    <i r="2">
      <x v="11"/>
      <x v="11"/>
      <x v="14"/>
      <x v="4"/>
    </i>
    <i r="6">
      <x/>
      <x/>
      <x v="23"/>
      <x/>
    </i>
    <i r="6">
      <x v="1"/>
      <x/>
      <x v="19"/>
      <x v="75"/>
    </i>
    <i r="6">
      <x v="2"/>
      <x/>
      <x v="19"/>
      <x v="76"/>
    </i>
    <i r="6">
      <x v="3"/>
      <x/>
      <x v="4"/>
      <x v="77"/>
    </i>
    <i r="6">
      <x v="4"/>
      <x/>
      <x v="22"/>
      <x v="78"/>
    </i>
    <i r="6">
      <x v="5"/>
      <x/>
      <x v="22"/>
      <x v="79"/>
    </i>
    <i r="6">
      <x v="6"/>
      <x/>
      <x v="22"/>
      <x v="80"/>
    </i>
    <i r="6">
      <x v="7"/>
      <x/>
      <x v="17"/>
      <x v="81"/>
    </i>
    <i r="6">
      <x v="8"/>
      <x v="2"/>
      <x v="34"/>
      <x v="82"/>
    </i>
    <i t="default">
      <x v="11"/>
    </i>
    <i t="blank">
      <x v="11"/>
    </i>
    <i>
      <x v="12"/>
    </i>
    <i r="1">
      <x v="12"/>
    </i>
    <i r="2">
      <x v="12"/>
      <x v="12"/>
      <x v="17"/>
      <x v="5"/>
    </i>
    <i r="6">
      <x/>
      <x/>
      <x v="29"/>
      <x/>
    </i>
    <i r="6">
      <x v="1"/>
      <x/>
      <x v="13"/>
      <x v="83"/>
    </i>
    <i r="6">
      <x v="2"/>
      <x/>
      <x v="35"/>
      <x v="84"/>
    </i>
    <i r="6">
      <x v="3"/>
      <x/>
      <x v="25"/>
      <x v="85"/>
    </i>
    <i r="6">
      <x v="4"/>
      <x/>
      <x v="25"/>
      <x v="86"/>
    </i>
    <i r="6">
      <x v="5"/>
      <x/>
      <x v="36"/>
      <x v="6"/>
    </i>
    <i r="6">
      <x v="6"/>
      <x/>
      <x v="17"/>
      <x v="87"/>
    </i>
    <i r="6">
      <x v="7"/>
      <x/>
      <x v="33"/>
      <x v="88"/>
    </i>
    <i r="6">
      <x v="8"/>
      <x v="4"/>
      <x v="28"/>
      <x v="89"/>
    </i>
    <i t="default">
      <x v="12"/>
    </i>
    <i t="blank">
      <x v="12"/>
    </i>
    <i>
      <x v="13"/>
    </i>
    <i r="1">
      <x v="13"/>
    </i>
    <i r="2">
      <x v="13"/>
      <x v="13"/>
      <x v="2"/>
      <x v="6"/>
    </i>
    <i r="6">
      <x/>
      <x/>
      <x v="24"/>
      <x/>
    </i>
    <i r="6">
      <x v="1"/>
      <x/>
      <x v="1"/>
      <x v="90"/>
    </i>
    <i r="6">
      <x v="2"/>
      <x/>
      <x v="1"/>
      <x v="91"/>
    </i>
    <i r="6">
      <x v="3"/>
      <x/>
      <x v="2"/>
      <x v="92"/>
    </i>
    <i r="6">
      <x v="4"/>
      <x/>
      <x v="2"/>
      <x v="93"/>
    </i>
    <i r="6">
      <x v="5"/>
      <x/>
      <x v="4"/>
      <x v="94"/>
    </i>
    <i t="default">
      <x v="13"/>
    </i>
    <i t="blank">
      <x v="13"/>
    </i>
    <i>
      <x v="14"/>
    </i>
    <i r="1">
      <x v="14"/>
    </i>
    <i r="2">
      <x v="14"/>
      <x v="14"/>
      <x v="10"/>
      <x v="7"/>
    </i>
    <i r="6">
      <x/>
      <x/>
      <x v="24"/>
      <x/>
    </i>
    <i r="6">
      <x v="1"/>
      <x/>
      <x v="3"/>
      <x v="95"/>
    </i>
    <i r="6">
      <x v="2"/>
      <x/>
      <x v="35"/>
      <x v="96"/>
    </i>
    <i r="6">
      <x v="3"/>
      <x/>
      <x v="37"/>
      <x v="97"/>
    </i>
    <i r="6">
      <x v="4"/>
      <x/>
      <x v="17"/>
      <x v="98"/>
    </i>
    <i t="default">
      <x v="14"/>
    </i>
    <i t="blank">
      <x v="14"/>
    </i>
    <i>
      <x v="15"/>
    </i>
    <i r="1">
      <x v="15"/>
    </i>
    <i r="2">
      <x v="15"/>
      <x v="15"/>
      <x v="3"/>
      <x v="8"/>
    </i>
    <i r="6">
      <x/>
      <x/>
      <x v="38"/>
      <x/>
    </i>
    <i r="6">
      <x v="1"/>
      <x/>
      <x v="2"/>
      <x v="99"/>
    </i>
    <i r="6">
      <x v="2"/>
      <x/>
      <x v="39"/>
      <x v="100"/>
    </i>
    <i r="6">
      <x v="3"/>
      <x/>
      <x v="3"/>
      <x v="101"/>
    </i>
    <i r="6">
      <x v="4"/>
      <x/>
      <x v="14"/>
      <x v="102"/>
    </i>
    <i r="6">
      <x v="5"/>
      <x/>
      <x v="40"/>
      <x v="103"/>
    </i>
    <i t="default">
      <x v="15"/>
    </i>
    <i t="blank">
      <x v="15"/>
    </i>
    <i>
      <x v="16"/>
    </i>
    <i r="1">
      <x v="16"/>
    </i>
    <i r="2">
      <x v="16"/>
      <x v="16"/>
      <x v="4"/>
      <x v="9"/>
    </i>
    <i r="6">
      <x/>
      <x/>
      <x v="24"/>
      <x/>
    </i>
    <i r="6">
      <x v="1"/>
      <x/>
      <x v="2"/>
      <x v="104"/>
    </i>
    <i r="6">
      <x v="2"/>
      <x/>
      <x v="39"/>
      <x v="105"/>
    </i>
    <i r="6">
      <x v="3"/>
      <x/>
      <x v="41"/>
      <x v="106"/>
    </i>
    <i r="6">
      <x v="4"/>
      <x/>
      <x v="17"/>
      <x v="107"/>
    </i>
    <i r="6">
      <x v="5"/>
      <x v="2"/>
      <x v="26"/>
      <x v="108"/>
    </i>
    <i t="default">
      <x v="16"/>
    </i>
    <i t="blank">
      <x v="16"/>
    </i>
    <i>
      <x v="17"/>
    </i>
    <i r="1">
      <x v="17"/>
    </i>
    <i r="2">
      <x v="17"/>
      <x v="17"/>
      <x v="11"/>
      <x v="10"/>
    </i>
    <i r="6">
      <x/>
      <x/>
      <x v="24"/>
      <x/>
    </i>
    <i r="6">
      <x v="1"/>
      <x/>
      <x v="3"/>
      <x v="109"/>
    </i>
    <i r="6">
      <x v="2"/>
      <x/>
      <x v="4"/>
      <x v="110"/>
    </i>
    <i r="6">
      <x v="3"/>
      <x/>
      <x v="17"/>
      <x v="111"/>
    </i>
    <i r="6">
      <x v="4"/>
      <x/>
      <x v="17"/>
      <x v="112"/>
    </i>
    <i r="6">
      <x v="5"/>
      <x/>
      <x v="40"/>
      <x v="113"/>
    </i>
    <i t="default">
      <x v="17"/>
    </i>
    <i t="blank">
      <x v="17"/>
    </i>
    <i>
      <x v="18"/>
    </i>
    <i r="1">
      <x v="18"/>
    </i>
    <i r="2">
      <x v="18"/>
      <x v="18"/>
      <x v="6"/>
      <x v="11"/>
    </i>
    <i r="6">
      <x/>
      <x/>
      <x v="24"/>
      <x/>
    </i>
    <i r="6">
      <x v="1"/>
      <x/>
      <x v="2"/>
      <x v="114"/>
    </i>
    <i r="6">
      <x v="2"/>
      <x/>
      <x v="42"/>
      <x v="115"/>
    </i>
    <i r="6">
      <x v="3"/>
      <x/>
      <x v="3"/>
      <x v="116"/>
    </i>
    <i r="6">
      <x v="4"/>
      <x/>
      <x v="14"/>
      <x v="117"/>
    </i>
    <i r="6">
      <x v="5"/>
      <x/>
      <x v="14"/>
      <x v="118"/>
    </i>
    <i r="6">
      <x v="6"/>
      <x/>
      <x v="17"/>
      <x v="119"/>
    </i>
    <i t="default">
      <x v="18"/>
    </i>
    <i t="blank">
      <x v="18"/>
    </i>
    <i>
      <x v="19"/>
    </i>
    <i r="1">
      <x v="19"/>
    </i>
    <i r="2">
      <x v="19"/>
      <x v="19"/>
      <x v="1"/>
      <x/>
    </i>
    <i r="6">
      <x/>
      <x/>
      <x v="24"/>
      <x/>
    </i>
    <i r="6">
      <x v="1"/>
      <x/>
      <x v="12"/>
      <x v="120"/>
    </i>
    <i r="6">
      <x v="2"/>
      <x/>
      <x v="43"/>
      <x v="121"/>
    </i>
    <i r="6">
      <x v="3"/>
      <x/>
      <x v="17"/>
      <x v="122"/>
    </i>
    <i r="6">
      <x v="4"/>
      <x/>
      <x v="17"/>
      <x v="123"/>
    </i>
    <i r="6">
      <x v="5"/>
      <x/>
      <x v="40"/>
      <x v="124"/>
    </i>
    <i t="default">
      <x v="19"/>
    </i>
    <i t="blank">
      <x v="19"/>
    </i>
    <i>
      <x v="20"/>
    </i>
    <i r="1">
      <x v="20"/>
    </i>
    <i r="2">
      <x v="20"/>
      <x v="20"/>
      <x v="13"/>
      <x v="12"/>
    </i>
    <i r="6">
      <x/>
      <x/>
      <x v="24"/>
      <x/>
    </i>
    <i r="6">
      <x v="1"/>
      <x/>
      <x v="13"/>
      <x v="125"/>
    </i>
    <i r="6">
      <x v="2"/>
      <x/>
      <x v="13"/>
      <x v="126"/>
    </i>
    <i r="6">
      <x v="3"/>
      <x/>
      <x v="25"/>
      <x v="127"/>
    </i>
    <i r="6">
      <x v="4"/>
      <x/>
      <x v="25"/>
      <x v="128"/>
    </i>
    <i r="6">
      <x v="5"/>
      <x/>
      <x v="25"/>
      <x v="129"/>
    </i>
    <i t="default">
      <x v="20"/>
    </i>
    <i t="blank">
      <x v="20"/>
    </i>
    <i>
      <x v="21"/>
    </i>
    <i r="1">
      <x v="21"/>
    </i>
    <i r="2">
      <x v="4"/>
      <x v="21"/>
      <x/>
      <x/>
    </i>
    <i r="6">
      <x/>
      <x/>
      <x v="24"/>
      <x/>
    </i>
    <i r="6">
      <x v="1"/>
      <x/>
      <x v="3"/>
      <x v="130"/>
    </i>
    <i r="6">
      <x v="2"/>
      <x/>
      <x v="19"/>
      <x v="131"/>
    </i>
    <i r="6">
      <x v="3"/>
      <x/>
      <x v="12"/>
      <x v="132"/>
    </i>
    <i r="6">
      <x v="4"/>
      <x/>
      <x v="13"/>
      <x v="133"/>
    </i>
    <i t="default">
      <x v="21"/>
    </i>
    <i t="blank">
      <x v="21"/>
    </i>
    <i>
      <x v="22"/>
    </i>
    <i r="1">
      <x v="22"/>
    </i>
    <i r="2">
      <x v="21"/>
      <x v="22"/>
      <x v="7"/>
      <x v="13"/>
    </i>
    <i r="6">
      <x/>
      <x/>
      <x v="24"/>
      <x/>
    </i>
    <i r="6">
      <x v="1"/>
      <x/>
      <x v="2"/>
      <x v="134"/>
    </i>
    <i r="6">
      <x v="2"/>
      <x/>
      <x v="3"/>
      <x v="135"/>
    </i>
    <i r="6">
      <x v="3"/>
      <x/>
      <x v="12"/>
      <x v="136"/>
    </i>
    <i r="6">
      <x v="4"/>
      <x/>
      <x v="14"/>
      <x v="137"/>
    </i>
    <i r="6">
      <x v="5"/>
      <x/>
      <x v="14"/>
      <x v="138"/>
    </i>
    <i r="6">
      <x v="6"/>
      <x/>
      <x v="14"/>
      <x v="139"/>
    </i>
    <i r="6">
      <x v="7"/>
      <x/>
      <x v="44"/>
      <x v="140"/>
    </i>
    <i r="6">
      <x v="8"/>
      <x/>
      <x v="44"/>
      <x v="141"/>
    </i>
    <i t="default">
      <x v="22"/>
    </i>
    <i t="blank">
      <x v="22"/>
    </i>
    <i>
      <x v="23"/>
    </i>
    <i r="1">
      <x v="23"/>
    </i>
    <i r="2">
      <x v="22"/>
      <x v="23"/>
      <x v="15"/>
      <x v="14"/>
    </i>
    <i r="6">
      <x/>
      <x/>
      <x v="45"/>
      <x/>
    </i>
    <i r="6">
      <x v="1"/>
      <x/>
      <x v="19"/>
      <x v="142"/>
    </i>
    <i r="6">
      <x v="2"/>
      <x/>
      <x v="46"/>
      <x v="143"/>
    </i>
    <i r="6">
      <x v="3"/>
      <x/>
      <x v="17"/>
      <x v="144"/>
    </i>
    <i r="6">
      <x v="4"/>
      <x/>
      <x v="40"/>
      <x v="145"/>
    </i>
    <i r="6">
      <x v="5"/>
      <x/>
      <x v="17"/>
      <x v="146"/>
    </i>
    <i r="6">
      <x v="6"/>
      <x v="4"/>
      <x v="28"/>
      <x v="147"/>
    </i>
    <i r="6">
      <x v="7"/>
      <x v="5"/>
      <x v="33"/>
      <x v="148"/>
    </i>
    <i t="default">
      <x v="23"/>
    </i>
    <i t="blank">
      <x v="23"/>
    </i>
    <i>
      <x v="24"/>
    </i>
    <i r="1">
      <x v="24"/>
    </i>
    <i r="2">
      <x v="23"/>
      <x v="24"/>
      <x v="12"/>
      <x v="15"/>
    </i>
    <i r="6">
      <x/>
      <x/>
      <x v="38"/>
      <x/>
    </i>
    <i r="6">
      <x v="1"/>
      <x/>
      <x v="19"/>
      <x v="149"/>
    </i>
    <i r="6">
      <x v="2"/>
      <x/>
      <x v="41"/>
      <x v="150"/>
    </i>
    <i r="6">
      <x v="3"/>
      <x/>
      <x v="47"/>
      <x v="151"/>
    </i>
    <i r="6">
      <x v="4"/>
      <x v="5"/>
      <x v="27"/>
      <x v="152"/>
    </i>
    <i t="default">
      <x v="24"/>
    </i>
    <i t="blank">
      <x v="24"/>
    </i>
    <i>
      <x v="25"/>
    </i>
    <i r="1">
      <x v="25"/>
    </i>
    <i r="2">
      <x v="24"/>
      <x v="25"/>
      <x v="16"/>
      <x v="16"/>
    </i>
    <i r="6">
      <x/>
      <x/>
      <x v="38"/>
      <x/>
    </i>
    <i r="6">
      <x v="1"/>
      <x/>
      <x v="2"/>
      <x v="153"/>
    </i>
    <i r="6">
      <x v="2"/>
      <x/>
      <x v="2"/>
      <x v="154"/>
    </i>
    <i r="6">
      <x v="3"/>
      <x/>
      <x v="2"/>
      <x v="155"/>
    </i>
    <i r="6">
      <x v="4"/>
      <x/>
      <x v="4"/>
      <x v="156"/>
    </i>
    <i r="6">
      <x v="5"/>
      <x v="2"/>
      <x v="26"/>
      <x v="157"/>
    </i>
    <i t="default">
      <x v="25"/>
    </i>
    <i t="blank">
      <x v="25"/>
    </i>
    <i>
      <x v="26"/>
    </i>
    <i r="1">
      <x v="26"/>
    </i>
    <i r="2">
      <x v="25"/>
      <x v="26"/>
      <x v="18"/>
      <x v="17"/>
    </i>
    <i r="6">
      <x/>
      <x/>
      <x v="7"/>
      <x/>
    </i>
    <i r="6">
      <x v="1"/>
      <x/>
      <x v="2"/>
      <x v="158"/>
    </i>
    <i r="6">
      <x v="2"/>
      <x/>
      <x v="19"/>
      <x v="159"/>
    </i>
    <i r="6">
      <x v="3"/>
      <x/>
      <x v="19"/>
      <x v="160"/>
    </i>
    <i r="6">
      <x v="4"/>
      <x/>
      <x v="4"/>
      <x v="161"/>
    </i>
    <i r="6">
      <x v="5"/>
      <x/>
      <x v="48"/>
      <x v="162"/>
    </i>
    <i r="6">
      <x v="6"/>
      <x/>
      <x v="49"/>
      <x v="40"/>
    </i>
    <i r="6">
      <x v="7"/>
      <x/>
      <x v="25"/>
      <x v="163"/>
    </i>
    <i r="6">
      <x v="8"/>
      <x/>
      <x v="28"/>
      <x v="164"/>
    </i>
    <i r="6">
      <x v="9"/>
      <x v="4"/>
      <x v="28"/>
      <x v="165"/>
    </i>
    <i t="default">
      <x v="26"/>
    </i>
    <i t="blank">
      <x v="26"/>
    </i>
    <i>
      <x v="27"/>
    </i>
    <i r="1">
      <x v="27"/>
    </i>
    <i r="2">
      <x v="26"/>
      <x v="27"/>
      <x v="8"/>
      <x v="18"/>
    </i>
    <i r="6">
      <x/>
      <x/>
      <x v="45"/>
      <x/>
    </i>
    <i r="6">
      <x v="1"/>
      <x/>
      <x v="3"/>
      <x v="166"/>
    </i>
    <i r="6">
      <x v="2"/>
      <x/>
      <x v="12"/>
      <x v="167"/>
    </i>
    <i r="6">
      <x v="3"/>
      <x/>
      <x v="4"/>
      <x v="168"/>
    </i>
    <i r="6">
      <x v="4"/>
      <x/>
      <x v="4"/>
      <x v="169"/>
    </i>
    <i r="6">
      <x v="5"/>
      <x/>
      <x v="48"/>
      <x v="170"/>
    </i>
    <i r="6">
      <x v="6"/>
      <x/>
      <x v="48"/>
      <x v="171"/>
    </i>
    <i r="6">
      <x v="7"/>
      <x/>
      <x v="25"/>
      <x v="172"/>
    </i>
    <i t="default">
      <x v="27"/>
    </i>
    <i t="blank">
      <x v="27"/>
    </i>
    <i>
      <x v="28"/>
    </i>
    <i r="1">
      <x v="28"/>
    </i>
    <i r="2">
      <x v="14"/>
      <x v="28"/>
      <x v="1"/>
      <x/>
    </i>
    <i r="6">
      <x/>
      <x/>
      <x v="6"/>
      <x/>
    </i>
    <i r="6">
      <x v="1"/>
      <x/>
      <x v="14"/>
      <x v="173"/>
    </i>
    <i r="6">
      <x v="2"/>
      <x/>
      <x v="17"/>
      <x v="174"/>
    </i>
    <i r="6">
      <x v="3"/>
      <x/>
      <x v="37"/>
      <x v="175"/>
    </i>
    <i r="6">
      <x v="4"/>
      <x/>
      <x v="37"/>
      <x v="176"/>
    </i>
    <i r="6">
      <x v="5"/>
      <x/>
      <x v="17"/>
      <x v="177"/>
    </i>
    <i r="6">
      <x v="6"/>
      <x v="2"/>
      <x v="26"/>
      <x v="178"/>
    </i>
    <i r="6">
      <x v="7"/>
      <x v="6"/>
      <x v="26"/>
      <x v="179"/>
    </i>
    <i t="default">
      <x v="28"/>
    </i>
    <i t="blank">
      <x v="28"/>
    </i>
    <i>
      <x v="29"/>
    </i>
    <i r="1">
      <x v="29"/>
    </i>
    <i r="2">
      <x v="8"/>
      <x v="29"/>
      <x v="19"/>
      <x v="19"/>
    </i>
    <i r="6">
      <x/>
      <x/>
      <x v="1"/>
      <x/>
    </i>
    <i r="6">
      <x v="1"/>
      <x/>
      <x v="14"/>
      <x v="180"/>
    </i>
    <i r="6">
      <x v="2"/>
      <x/>
      <x v="14"/>
      <x v="181"/>
    </i>
    <i r="6">
      <x v="3"/>
      <x/>
      <x v="25"/>
      <x v="182"/>
    </i>
    <i r="6">
      <x v="4"/>
      <x v="7"/>
      <x v="26"/>
      <x v="183"/>
    </i>
    <i r="6">
      <x v="5"/>
      <x v="7"/>
      <x v="26"/>
      <x v="184"/>
    </i>
    <i t="default">
      <x v="29"/>
    </i>
    <i t="blank">
      <x v="29"/>
    </i>
    <i>
      <x v="30"/>
    </i>
    <i r="1">
      <x v="30"/>
    </i>
    <i r="2">
      <x v="27"/>
      <x v="30"/>
      <x v="20"/>
      <x v="20"/>
    </i>
    <i r="6">
      <x/>
      <x/>
      <x v="2"/>
      <x/>
    </i>
    <i r="6">
      <x v="1"/>
      <x/>
      <x v="14"/>
      <x v="185"/>
    </i>
    <i r="6">
      <x v="2"/>
      <x/>
      <x v="25"/>
      <x v="186"/>
    </i>
    <i r="6">
      <x v="3"/>
      <x v="4"/>
      <x v="28"/>
      <x v="187"/>
    </i>
    <i r="6">
      <x v="4"/>
      <x v="4"/>
      <x v="26"/>
      <x v="188"/>
    </i>
    <i t="default">
      <x v="30"/>
    </i>
    <i t="blank">
      <x v="30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125">
      <pivotArea dataOnly="0" labelOnly="1" outline="0" axis="axisValues" fieldPosition="0"/>
    </format>
    <format dxfId="124">
      <pivotArea dataOnly="0" labelOnly="1" fieldPosition="0">
        <references count="1">
          <reference field="4" count="0"/>
        </references>
      </pivotArea>
    </format>
    <format dxfId="123">
      <pivotArea dataOnly="0" labelOnly="1" fieldPosition="0">
        <references count="1">
          <reference field="4" count="0"/>
        </references>
      </pivotArea>
    </format>
    <format dxfId="122">
      <pivotArea field="8" type="button" dataOnly="0" labelOnly="1" outline="0" axis="axisRow" fieldPosition="9"/>
    </format>
    <format dxfId="121">
      <pivotArea field="8" type="button" dataOnly="0" labelOnly="1" outline="0" axis="axisRow" fieldPosition="9"/>
    </format>
    <format dxfId="120">
      <pivotArea dataOnly="0" labelOnly="1" fieldPosition="0">
        <references count="1">
          <reference field="8" count="0"/>
        </references>
      </pivotArea>
    </format>
    <format dxfId="119">
      <pivotArea dataOnly="0" labelOnly="1" fieldPosition="0">
        <references count="1">
          <reference field="9" count="0"/>
        </references>
      </pivotArea>
    </format>
    <format dxfId="118">
      <pivotArea dataOnly="0" labelOnly="1" fieldPosition="0">
        <references count="1">
          <reference field="9" count="0"/>
        </references>
      </pivotArea>
    </format>
    <format dxfId="117">
      <pivotArea dataOnly="0" fieldPosition="0">
        <references count="1">
          <reference field="2" count="1">
            <x v="31"/>
          </reference>
        </references>
      </pivotArea>
    </format>
    <format dxfId="116">
      <pivotArea dataOnly="0" fieldPosition="0">
        <references count="1">
          <reference field="2" count="1">
            <x v="31"/>
          </reference>
        </references>
      </pivotArea>
    </format>
    <format dxfId="115">
      <pivotArea dataOnly="0" labelOnly="1" fieldPosition="0">
        <references count="1">
          <reference field="9" count="0"/>
        </references>
      </pivotArea>
    </format>
    <format dxfId="114">
      <pivotArea dataOnly="0" labelOnly="1" fieldPosition="0">
        <references count="1">
          <reference field="9" count="0"/>
        </references>
      </pivotArea>
    </format>
    <format dxfId="113">
      <pivotArea dataOnly="0" labelOnly="1" fieldPosition="0">
        <references count="1">
          <reference field="6" count="0"/>
        </references>
      </pivotArea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fieldPosition="0">
        <references count="1">
          <reference field="2" count="0"/>
        </references>
      </pivotArea>
    </format>
    <format dxfId="110">
      <pivotArea dataOnly="0" labelOnly="1" fieldPosition="0">
        <references count="1">
          <reference field="9" count="0"/>
        </references>
      </pivotArea>
    </format>
    <format dxfId="109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0">
    <rowHierarchyUsage hierarchyUsage="4"/>
    <rowHierarchyUsage hierarchyUsage="3"/>
    <rowHierarchyUsage hierarchyUsage="16"/>
    <rowHierarchyUsage hierarchyUsage="22"/>
    <rowHierarchyUsage hierarchyUsage="24"/>
    <rowHierarchyUsage hierarchyUsage="25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3.xml><?xml version="1.0" encoding="utf-8"?>
<pivotTableDefinition xmlns="http://schemas.openxmlformats.org/spreadsheetml/2006/main" name="ESTATUS DE PAGOS" cacheId="9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H131" firstHeaderRow="1" firstDataRow="1" firstDataCol="7"/>
  <pivotFields count="11">
    <pivotField dataField="1" showAll="0"/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M. CONTRATADO" axis="axisRow" allDrilled="1" outline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insertBlankRow="1" dataSourceSort="1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t="default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outline="0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name="AV.FIN. EST." axis="axisRow" allDrilled="1" showAll="0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V. FISICO" axis="axisRow" allDrilled="1" outline="0" showAll="0" defaultSubtotal="0" defaultAttributeDrillState="1">
      <items count="13">
        <item x="4"/>
        <item x="0"/>
        <item x="7"/>
        <item x="1"/>
        <item x="6"/>
        <item x="10"/>
        <item x="3"/>
        <item x="8"/>
        <item x="11"/>
        <item x="12"/>
        <item x="2"/>
        <item x="5"/>
        <item x="9"/>
      </items>
    </pivotField>
    <pivotField name="AV. FIN." axis="axisRow" allDrilled="1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0">
    <field x="3"/>
    <field x="4"/>
    <field x="6"/>
    <field x="2"/>
    <field x="9"/>
    <field x="10"/>
    <field x="5"/>
    <field x="1"/>
    <field x="7"/>
    <field x="8"/>
  </rowFields>
  <rowItems count="128">
    <i>
      <x/>
    </i>
    <i r="1">
      <x/>
    </i>
    <i r="2">
      <x/>
      <x/>
      <x v="1"/>
      <x/>
    </i>
    <i r="6">
      <x/>
      <x/>
      <x/>
      <x/>
    </i>
    <i r="6">
      <x v="1"/>
      <x/>
      <x v="1"/>
      <x v="1"/>
    </i>
    <i r="6">
      <x v="2"/>
      <x/>
      <x v="2"/>
      <x v="2"/>
    </i>
    <i r="6">
      <x v="3"/>
      <x/>
      <x v="3"/>
      <x v="3"/>
    </i>
    <i r="6">
      <x v="4"/>
      <x/>
      <x v="4"/>
      <x v="4"/>
    </i>
    <i r="6">
      <x v="5"/>
      <x/>
      <x v="5"/>
      <x v="5"/>
    </i>
    <i r="6">
      <x v="6"/>
      <x/>
      <x v="6"/>
      <x v="6"/>
    </i>
    <i t="default">
      <x/>
    </i>
    <i t="blank">
      <x/>
    </i>
    <i>
      <x v="1"/>
    </i>
    <i r="1">
      <x v="1"/>
    </i>
    <i r="2">
      <x v="1"/>
      <x v="1"/>
      <x v="3"/>
      <x v="1"/>
    </i>
    <i r="6">
      <x/>
      <x/>
      <x v="7"/>
      <x/>
    </i>
    <i r="6">
      <x v="1"/>
      <x/>
      <x v="4"/>
      <x v="7"/>
    </i>
    <i r="6">
      <x v="2"/>
      <x/>
      <x v="4"/>
      <x v="8"/>
    </i>
    <i r="6">
      <x v="3"/>
      <x/>
      <x v="4"/>
      <x v="9"/>
    </i>
    <i r="6">
      <x v="4"/>
      <x/>
      <x v="4"/>
      <x v="10"/>
    </i>
    <i r="6">
      <x v="5"/>
      <x/>
      <x v="8"/>
      <x v="11"/>
    </i>
    <i r="6">
      <x v="6"/>
      <x v="1"/>
      <x v="9"/>
      <x v="12"/>
    </i>
    <i t="default">
      <x v="1"/>
    </i>
    <i t="blank">
      <x v="1"/>
    </i>
    <i>
      <x v="2"/>
    </i>
    <i r="1">
      <x v="2"/>
    </i>
    <i r="2">
      <x v="2"/>
      <x v="2"/>
      <x v="10"/>
      <x v="2"/>
    </i>
    <i r="6">
      <x/>
      <x/>
      <x v="7"/>
      <x/>
    </i>
    <i r="6">
      <x v="1"/>
      <x/>
      <x v="3"/>
      <x v="13"/>
    </i>
    <i r="6">
      <x v="2"/>
      <x/>
      <x v="3"/>
      <x v="14"/>
    </i>
    <i r="6">
      <x v="3"/>
      <x/>
      <x v="10"/>
      <x v="15"/>
    </i>
    <i r="6">
      <x v="4"/>
      <x/>
      <x v="10"/>
      <x v="16"/>
    </i>
    <i r="6">
      <x v="5"/>
      <x/>
      <x v="10"/>
      <x v="17"/>
    </i>
    <i r="6">
      <x v="6"/>
      <x/>
      <x v="10"/>
      <x v="18"/>
    </i>
    <i r="6">
      <x v="7"/>
      <x/>
      <x v="9"/>
      <x v="19"/>
    </i>
    <i r="6">
      <x v="8"/>
      <x v="1"/>
      <x v="11"/>
      <x v="20"/>
    </i>
    <i t="default">
      <x v="2"/>
    </i>
    <i t="blank">
      <x v="2"/>
    </i>
    <i>
      <x v="3"/>
    </i>
    <i r="1">
      <x v="3"/>
    </i>
    <i r="2">
      <x v="3"/>
      <x v="3"/>
      <x v="6"/>
      <x v="3"/>
    </i>
    <i r="6">
      <x/>
      <x/>
      <x v="12"/>
      <x/>
    </i>
    <i r="6">
      <x v="1"/>
      <x/>
      <x v="13"/>
      <x v="21"/>
    </i>
    <i r="6">
      <x v="2"/>
      <x/>
      <x v="14"/>
      <x v="22"/>
    </i>
    <i r="6">
      <x v="3"/>
      <x/>
      <x v="15"/>
      <x v="23"/>
    </i>
    <i r="6">
      <x v="4"/>
      <x/>
      <x v="16"/>
      <x v="24"/>
    </i>
    <i r="6">
      <x v="5"/>
      <x v="2"/>
      <x v="17"/>
      <x v="25"/>
    </i>
    <i t="default">
      <x v="3"/>
    </i>
    <i t="blank">
      <x v="3"/>
    </i>
    <i>
      <x v="4"/>
    </i>
    <i r="1">
      <x v="4"/>
    </i>
    <i r="2">
      <x v="4"/>
      <x v="4"/>
      <x/>
      <x v="4"/>
    </i>
    <i r="6">
      <x/>
      <x/>
      <x v="18"/>
      <x/>
    </i>
    <i r="6">
      <x v="1"/>
      <x/>
      <x v="19"/>
      <x v="26"/>
    </i>
    <i r="6">
      <x v="2"/>
      <x/>
      <x v="20"/>
      <x v="27"/>
    </i>
    <i r="6">
      <x v="3"/>
      <x/>
      <x v="4"/>
      <x v="28"/>
    </i>
    <i r="6">
      <x v="4"/>
      <x/>
      <x v="21"/>
      <x v="29"/>
    </i>
    <i t="default">
      <x v="4"/>
    </i>
    <i t="blank">
      <x v="4"/>
    </i>
    <i>
      <x v="5"/>
    </i>
    <i r="1">
      <x v="5"/>
    </i>
    <i r="2">
      <x v="5"/>
      <x v="5"/>
      <x v="11"/>
      <x v="5"/>
    </i>
    <i r="6">
      <x/>
      <x/>
      <x v="20"/>
      <x/>
    </i>
    <i r="6">
      <x v="1"/>
      <x v="1"/>
      <x v="11"/>
      <x v="30"/>
    </i>
    <i r="6">
      <x v="2"/>
      <x v="1"/>
      <x v="11"/>
      <x v="31"/>
    </i>
    <i r="6">
      <x v="3"/>
      <x/>
      <x v="9"/>
      <x v="32"/>
    </i>
    <i t="default">
      <x v="5"/>
    </i>
    <i t="blank">
      <x v="5"/>
    </i>
    <i>
      <x v="6"/>
    </i>
    <i r="1">
      <x v="6"/>
    </i>
    <i r="2">
      <x v="6"/>
      <x v="6"/>
      <x v="4"/>
      <x v="6"/>
    </i>
    <i r="6">
      <x/>
      <x/>
      <x v="20"/>
      <x/>
    </i>
    <i r="6">
      <x v="1"/>
      <x/>
      <x v="22"/>
      <x v="33"/>
    </i>
    <i r="6">
      <x v="2"/>
      <x/>
      <x v="23"/>
      <x v="34"/>
    </i>
    <i r="6">
      <x v="3"/>
      <x/>
      <x v="24"/>
      <x v="35"/>
    </i>
    <i t="default">
      <x v="6"/>
    </i>
    <i t="blank">
      <x v="6"/>
    </i>
    <i>
      <x v="7"/>
    </i>
    <i r="1">
      <x v="7"/>
    </i>
    <i r="2">
      <x v="3"/>
      <x v="7"/>
      <x v="2"/>
      <x v="7"/>
    </i>
    <i r="6">
      <x/>
      <x/>
      <x v="25"/>
      <x/>
    </i>
    <i r="6">
      <x v="1"/>
      <x/>
      <x v="5"/>
      <x v="36"/>
    </i>
    <i r="6">
      <x v="2"/>
      <x/>
      <x v="26"/>
      <x v="37"/>
    </i>
    <i t="default">
      <x v="7"/>
    </i>
    <i t="blank">
      <x v="7"/>
    </i>
    <i>
      <x v="8"/>
    </i>
    <i r="1">
      <x v="8"/>
    </i>
    <i r="2">
      <x v="7"/>
      <x v="8"/>
      <x v="7"/>
      <x v="8"/>
    </i>
    <i r="6">
      <x/>
      <x/>
      <x v="27"/>
      <x/>
    </i>
    <i r="6">
      <x v="1"/>
      <x/>
      <x v="9"/>
      <x v="38"/>
    </i>
    <i r="6">
      <x v="2"/>
      <x/>
      <x v="9"/>
      <x v="39"/>
    </i>
    <i r="6">
      <x v="3"/>
      <x v="3"/>
      <x v="17"/>
      <x v="40"/>
    </i>
    <i t="default">
      <x v="8"/>
    </i>
    <i t="blank">
      <x v="8"/>
    </i>
    <i>
      <x v="9"/>
    </i>
    <i r="1">
      <x v="9"/>
    </i>
    <i r="2">
      <x v="8"/>
      <x v="9"/>
      <x v="12"/>
      <x v="9"/>
    </i>
    <i r="6">
      <x/>
      <x/>
      <x v="27"/>
      <x/>
    </i>
    <i r="6">
      <x v="1"/>
      <x/>
      <x v="16"/>
      <x v="41"/>
    </i>
    <i r="6">
      <x v="2"/>
      <x/>
      <x v="16"/>
      <x v="42"/>
    </i>
    <i r="6">
      <x v="3"/>
      <x v="4"/>
      <x v="11"/>
      <x v="43"/>
    </i>
    <i t="default">
      <x v="9"/>
    </i>
    <i t="blank">
      <x v="9"/>
    </i>
    <i>
      <x v="10"/>
    </i>
    <i r="1">
      <x v="10"/>
    </i>
    <i r="2">
      <x v="9"/>
      <x v="10"/>
      <x v="5"/>
      <x v="10"/>
    </i>
    <i r="6">
      <x/>
      <x/>
      <x v="28"/>
      <x/>
    </i>
    <i r="6">
      <x v="1"/>
      <x/>
      <x v="29"/>
      <x v="44"/>
    </i>
    <i t="default">
      <x v="10"/>
    </i>
    <i t="blank">
      <x v="10"/>
    </i>
    <i>
      <x v="11"/>
    </i>
    <i r="1">
      <x v="11"/>
    </i>
    <i r="2">
      <x v="10"/>
      <x v="11"/>
      <x v="8"/>
      <x v="11"/>
    </i>
    <i r="6">
      <x/>
      <x/>
      <x v="30"/>
      <x/>
    </i>
    <i r="6">
      <x v="1"/>
      <x/>
      <x v="31"/>
      <x v="45"/>
    </i>
    <i r="6">
      <x v="2"/>
      <x/>
      <x v="16"/>
      <x v="46"/>
    </i>
    <i r="6">
      <x v="3"/>
      <x/>
      <x v="16"/>
      <x v="47"/>
    </i>
    <i t="default">
      <x v="11"/>
    </i>
    <i t="blank">
      <x v="11"/>
    </i>
    <i>
      <x v="12"/>
    </i>
    <i r="1">
      <x v="12"/>
    </i>
    <i r="2">
      <x v="11"/>
      <x v="12"/>
      <x v="9"/>
      <x v="12"/>
    </i>
    <i r="6">
      <x/>
      <x/>
      <x v="32"/>
      <x/>
    </i>
    <i r="6">
      <x v="1"/>
      <x/>
      <x v="16"/>
      <x v="48"/>
    </i>
    <i r="6">
      <x v="2"/>
      <x v="4"/>
      <x v="33"/>
      <x v="49"/>
    </i>
    <i t="default">
      <x v="12"/>
    </i>
    <i t="blank">
      <x v="12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108">
      <pivotArea dataOnly="0" labelOnly="1" outline="0" axis="axisValues" fieldPosition="0"/>
    </format>
    <format dxfId="107">
      <pivotArea dataOnly="0" labelOnly="1" fieldPosition="0">
        <references count="1">
          <reference field="4" count="0"/>
        </references>
      </pivotArea>
    </format>
    <format dxfId="106">
      <pivotArea dataOnly="0" labelOnly="1" fieldPosition="0">
        <references count="1">
          <reference field="4" count="0"/>
        </references>
      </pivotArea>
    </format>
    <format dxfId="105">
      <pivotArea field="8" type="button" dataOnly="0" labelOnly="1" outline="0" axis="axisRow" fieldPosition="9"/>
    </format>
    <format dxfId="104">
      <pivotArea field="8" type="button" dataOnly="0" labelOnly="1" outline="0" axis="axisRow" fieldPosition="9"/>
    </format>
    <format dxfId="103">
      <pivotArea dataOnly="0" labelOnly="1" fieldPosition="0">
        <references count="1">
          <reference field="8" count="0"/>
        </references>
      </pivotArea>
    </format>
    <format dxfId="102">
      <pivotArea dataOnly="0" labelOnly="1" fieldPosition="0">
        <references count="1">
          <reference field="9" count="0"/>
        </references>
      </pivotArea>
    </format>
    <format dxfId="101">
      <pivotArea dataOnly="0" labelOnly="1" fieldPosition="0">
        <references count="1">
          <reference field="9" count="0"/>
        </references>
      </pivotArea>
    </format>
    <format dxfId="100">
      <pivotArea dataOnly="0" fieldPosition="0">
        <references count="1">
          <reference field="2" count="1">
            <x v="13"/>
          </reference>
        </references>
      </pivotArea>
    </format>
    <format dxfId="99">
      <pivotArea dataOnly="0" fieldPosition="0">
        <references count="1">
          <reference field="2" count="1">
            <x v="13"/>
          </reference>
        </references>
      </pivotArea>
    </format>
    <format dxfId="98">
      <pivotArea dataOnly="0" labelOnly="1" fieldPosition="0">
        <references count="1">
          <reference field="9" count="0"/>
        </references>
      </pivotArea>
    </format>
    <format dxfId="97">
      <pivotArea dataOnly="0" labelOnly="1" fieldPosition="0">
        <references count="1">
          <reference field="9" count="0"/>
        </references>
      </pivotArea>
    </format>
    <format dxfId="96">
      <pivotArea dataOnly="0" labelOnly="1" fieldPosition="0">
        <references count="1">
          <reference field="6" count="0"/>
        </references>
      </pivotArea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fieldPosition="0">
        <references count="1">
          <reference field="2" count="0"/>
        </references>
      </pivotArea>
    </format>
    <format dxfId="93">
      <pivotArea dataOnly="0" labelOnly="1" fieldPosition="0">
        <references count="1">
          <reference field="9" count="0"/>
        </references>
      </pivotArea>
    </format>
    <format dxfId="92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0">
    <rowHierarchyUsage hierarchyUsage="4"/>
    <rowHierarchyUsage hierarchyUsage="3"/>
    <rowHierarchyUsage hierarchyUsage="16"/>
    <rowHierarchyUsage hierarchyUsage="22"/>
    <rowHierarchyUsage hierarchyUsage="24"/>
    <rowHierarchyUsage hierarchyUsage="25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4.xml><?xml version="1.0" encoding="utf-8"?>
<pivotTableDefinition xmlns="http://schemas.openxmlformats.org/spreadsheetml/2006/main" name="ESTATUS DE PAGOS" cacheId="7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H71" firstHeaderRow="1" firstDataRow="1" firstDataCol="7"/>
  <pivotFields count="11">
    <pivotField dataField="1" showAll="0"/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name="M. CONTRATADO" axis="axisRow" allDrilled="1" outline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insertBlankRow="1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name="AV.FIS. EST." axis="axisRow" allDrilled="1" showAll="0" dataSourceSort="1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AV. FISICO" axis="axisRow" allDrilled="1" outline="0" showAll="0" defaultSubtotal="0" defaultAttributeDrillState="1">
      <items count="4">
        <item x="2"/>
        <item x="1"/>
        <item x="3"/>
        <item x="0"/>
      </items>
    </pivotField>
    <pivotField name="AV. FIN." axis="axisRow" allDrilled="1" showAll="0" dataSourceSort="1" defaultSubtotal="0" defaultAttributeDrillState="1">
      <items count="4">
        <item x="0"/>
        <item x="1"/>
        <item x="2"/>
        <item x="3"/>
      </items>
    </pivotField>
  </pivotFields>
  <rowFields count="10">
    <field x="3"/>
    <field x="4"/>
    <field x="6"/>
    <field x="2"/>
    <field x="9"/>
    <field x="10"/>
    <field x="5"/>
    <field x="1"/>
    <field x="7"/>
    <field x="8"/>
  </rowFields>
  <rowItems count="68">
    <i>
      <x/>
    </i>
    <i r="1">
      <x/>
    </i>
    <i r="2">
      <x/>
      <x/>
      <x v="3"/>
      <x/>
    </i>
    <i r="6">
      <x/>
      <x/>
      <x/>
      <x/>
    </i>
    <i r="6">
      <x v="1"/>
      <x/>
      <x v="1"/>
      <x v="1"/>
    </i>
    <i r="6">
      <x v="2"/>
      <x/>
      <x v="2"/>
      <x v="2"/>
    </i>
    <i r="6">
      <x v="3"/>
      <x/>
      <x v="3"/>
      <x v="3"/>
    </i>
    <i r="6">
      <x v="4"/>
      <x/>
      <x v="3"/>
      <x v="4"/>
    </i>
    <i r="6">
      <x v="5"/>
      <x/>
      <x v="2"/>
      <x v="5"/>
    </i>
    <i r="6">
      <x v="6"/>
      <x v="1"/>
      <x v="4"/>
      <x v="6"/>
    </i>
    <i r="6">
      <x v="7"/>
      <x v="2"/>
      <x v="4"/>
      <x v="7"/>
    </i>
    <i t="default">
      <x/>
    </i>
    <i t="blank">
      <x/>
    </i>
    <i>
      <x v="1"/>
    </i>
    <i r="1">
      <x v="1"/>
    </i>
    <i r="2">
      <x v="1"/>
      <x v="1"/>
      <x v="3"/>
      <x/>
    </i>
    <i r="6">
      <x/>
      <x/>
      <x v="5"/>
      <x/>
    </i>
    <i r="6">
      <x v="1"/>
      <x/>
      <x v="6"/>
      <x v="8"/>
    </i>
    <i r="6">
      <x v="2"/>
      <x/>
      <x v="7"/>
      <x v="9"/>
    </i>
    <i r="6">
      <x v="3"/>
      <x/>
      <x v="7"/>
      <x v="10"/>
    </i>
    <i r="6">
      <x v="4"/>
      <x/>
      <x v="7"/>
      <x v="11"/>
    </i>
    <i r="6">
      <x v="5"/>
      <x/>
      <x v="2"/>
      <x v="12"/>
    </i>
    <i r="6">
      <x v="6"/>
      <x v="1"/>
      <x v="8"/>
      <x v="13"/>
    </i>
    <i r="6">
      <x v="7"/>
      <x v="1"/>
      <x v="9"/>
      <x v="14"/>
    </i>
    <i t="default">
      <x v="1"/>
    </i>
    <i t="blank">
      <x v="1"/>
    </i>
    <i>
      <x v="2"/>
    </i>
    <i r="1">
      <x v="2"/>
    </i>
    <i r="2">
      <x v="2"/>
      <x v="2"/>
      <x v="1"/>
      <x v="1"/>
    </i>
    <i r="6">
      <x/>
      <x/>
      <x v="10"/>
      <x/>
    </i>
    <i r="6">
      <x v="1"/>
      <x/>
      <x v="6"/>
      <x v="15"/>
    </i>
    <i r="6">
      <x v="2"/>
      <x/>
      <x v="11"/>
      <x v="16"/>
    </i>
    <i r="6">
      <x v="3"/>
      <x/>
      <x v="12"/>
      <x v="17"/>
    </i>
    <i r="6">
      <x v="4"/>
      <x/>
      <x v="13"/>
      <x v="18"/>
    </i>
    <i r="6">
      <x v="5"/>
      <x/>
      <x v="13"/>
      <x v="19"/>
    </i>
    <i r="6">
      <x v="6"/>
      <x/>
      <x v="14"/>
      <x v="20"/>
    </i>
    <i r="6">
      <x v="7"/>
      <x/>
      <x v="15"/>
      <x v="21"/>
    </i>
    <i r="6">
      <x v="8"/>
      <x/>
      <x v="4"/>
      <x v="22"/>
    </i>
    <i t="default">
      <x v="2"/>
    </i>
    <i t="blank">
      <x v="2"/>
    </i>
    <i>
      <x v="3"/>
    </i>
    <i r="1">
      <x v="3"/>
    </i>
    <i r="2">
      <x v="3"/>
      <x v="3"/>
      <x/>
      <x v="2"/>
    </i>
    <i r="6">
      <x/>
      <x/>
      <x/>
      <x/>
    </i>
    <i r="6">
      <x v="1"/>
      <x/>
      <x v="11"/>
      <x v="23"/>
    </i>
    <i r="6">
      <x v="2"/>
      <x/>
      <x v="11"/>
      <x v="24"/>
    </i>
    <i r="6">
      <x v="3"/>
      <x/>
      <x v="16"/>
      <x v="25"/>
    </i>
    <i r="6">
      <x v="4"/>
      <x/>
      <x v="17"/>
      <x v="26"/>
    </i>
    <i t="default">
      <x v="3"/>
    </i>
    <i t="blank">
      <x v="3"/>
    </i>
    <i>
      <x v="4"/>
    </i>
    <i r="1">
      <x v="4"/>
    </i>
    <i r="2">
      <x v="4"/>
      <x v="4"/>
      <x v="2"/>
      <x v="3"/>
    </i>
    <i r="6">
      <x/>
      <x/>
      <x v="18"/>
      <x/>
    </i>
    <i r="6">
      <x v="1"/>
      <x/>
      <x v="19"/>
      <x v="27"/>
    </i>
    <i r="6">
      <x v="2"/>
      <x/>
      <x v="1"/>
      <x v="28"/>
    </i>
    <i r="6">
      <x v="3"/>
      <x/>
      <x v="1"/>
      <x v="29"/>
    </i>
    <i r="6">
      <x v="4"/>
      <x/>
      <x v="1"/>
      <x v="30"/>
    </i>
    <i r="6">
      <x v="5"/>
      <x/>
      <x v="1"/>
      <x v="31"/>
    </i>
    <i r="6">
      <x v="6"/>
      <x/>
      <x v="1"/>
      <x v="32"/>
    </i>
    <i r="6">
      <x v="7"/>
      <x/>
      <x v="13"/>
      <x v="33"/>
    </i>
    <i r="6">
      <x v="8"/>
      <x v="3"/>
      <x v="20"/>
      <x v="34"/>
    </i>
    <i r="6">
      <x v="9"/>
      <x v="3"/>
      <x v="20"/>
      <x v="35"/>
    </i>
    <i r="6">
      <x v="10"/>
      <x v="3"/>
      <x v="20"/>
      <x v="36"/>
    </i>
    <i r="6">
      <x v="11"/>
      <x v="1"/>
      <x v="4"/>
      <x v="37"/>
    </i>
    <i t="default">
      <x v="4"/>
    </i>
    <i t="blank">
      <x v="4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91">
      <pivotArea dataOnly="0" labelOnly="1" outline="0" axis="axisValues" fieldPosition="0"/>
    </format>
    <format dxfId="90">
      <pivotArea dataOnly="0" labelOnly="1" fieldPosition="0">
        <references count="1">
          <reference field="4" count="0"/>
        </references>
      </pivotArea>
    </format>
    <format dxfId="89">
      <pivotArea dataOnly="0" labelOnly="1" fieldPosition="0">
        <references count="1">
          <reference field="4" count="0"/>
        </references>
      </pivotArea>
    </format>
    <format dxfId="88">
      <pivotArea field="8" type="button" dataOnly="0" labelOnly="1" outline="0" axis="axisRow" fieldPosition="9"/>
    </format>
    <format dxfId="87">
      <pivotArea field="8" type="button" dataOnly="0" labelOnly="1" outline="0" axis="axisRow" fieldPosition="9"/>
    </format>
    <format dxfId="86">
      <pivotArea dataOnly="0" labelOnly="1" fieldPosition="0">
        <references count="1">
          <reference field="8" count="0"/>
        </references>
      </pivotArea>
    </format>
    <format dxfId="85">
      <pivotArea dataOnly="0" labelOnly="1" fieldPosition="0">
        <references count="1">
          <reference field="9" count="0"/>
        </references>
      </pivotArea>
    </format>
    <format dxfId="84">
      <pivotArea dataOnly="0" labelOnly="1" fieldPosition="0">
        <references count="1">
          <reference field="9" count="0"/>
        </references>
      </pivotArea>
    </format>
    <format dxfId="83">
      <pivotArea dataOnly="0" fieldPosition="0">
        <references count="1">
          <reference field="2" count="1">
            <x v="5"/>
          </reference>
        </references>
      </pivotArea>
    </format>
    <format dxfId="82">
      <pivotArea dataOnly="0" fieldPosition="0">
        <references count="1">
          <reference field="2" count="1">
            <x v="5"/>
          </reference>
        </references>
      </pivotArea>
    </format>
    <format dxfId="81">
      <pivotArea dataOnly="0" labelOnly="1" fieldPosition="0">
        <references count="1">
          <reference field="9" count="0"/>
        </references>
      </pivotArea>
    </format>
    <format dxfId="80">
      <pivotArea dataOnly="0" labelOnly="1" fieldPosition="0">
        <references count="1">
          <reference field="9" count="0"/>
        </references>
      </pivotArea>
    </format>
    <format dxfId="79">
      <pivotArea dataOnly="0" labelOnly="1" fieldPosition="0">
        <references count="1">
          <reference field="6" count="0"/>
        </references>
      </pivotArea>
    </format>
    <format dxfId="78">
      <pivotArea dataOnly="0" labelOnly="1" fieldPosition="0">
        <references count="1">
          <reference field="2" count="0"/>
        </references>
      </pivotArea>
    </format>
    <format dxfId="77">
      <pivotArea dataOnly="0" labelOnly="1" fieldPosition="0">
        <references count="1">
          <reference field="2" count="0"/>
        </references>
      </pivotArea>
    </format>
    <format dxfId="76">
      <pivotArea dataOnly="0" labelOnly="1" fieldPosition="0">
        <references count="1">
          <reference field="9" count="0"/>
        </references>
      </pivotArea>
    </format>
    <format dxfId="75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0">
    <rowHierarchyUsage hierarchyUsage="4"/>
    <rowHierarchyUsage hierarchyUsage="3"/>
    <rowHierarchyUsage hierarchyUsage="16"/>
    <rowHierarchyUsage hierarchyUsage="22"/>
    <rowHierarchyUsage hierarchyUsage="24"/>
    <rowHierarchyUsage hierarchyUsage="25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5.xml><?xml version="1.0" encoding="utf-8"?>
<pivotTableDefinition xmlns="http://schemas.openxmlformats.org/spreadsheetml/2006/main" name="ESTATUS DE PAGOS" cacheId="10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H547" firstHeaderRow="1" firstDataRow="1" firstDataCol="7"/>
  <pivotFields count="11">
    <pivotField dataField="1" showAll="0"/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M. CONTRATADO" axis="axisRow" allDrilled="1" outline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axis="axisRow" allDrilled="1" subtotalTop="0" showAll="0" insertBlankRow="1" dataSourceSort="1" defaultAttributeDrillState="1">
      <items count="68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t="default"/>
      </items>
    </pivotField>
    <pivotField axis="axisRow" allDrilled="1" subtotalTop="0" showAll="0" dataSourceSort="1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name="AV.FIS. EST." axis="axisRow" allDrilled="1" showAll="0" dataSourceSort="1" defaultAttributeDrillState="1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AV. FISICO" axis="axisRow" allDrilled="1" outline="0" showAll="0" defaultSubtotal="0" defaultAttributeDrillState="1">
      <items count="51">
        <item x="9"/>
        <item x="0"/>
        <item x="3"/>
        <item x="11"/>
        <item x="18"/>
        <item x="30"/>
        <item x="34"/>
        <item x="36"/>
        <item x="38"/>
        <item x="48"/>
        <item x="4"/>
        <item x="13"/>
        <item x="14"/>
        <item x="22"/>
        <item x="32"/>
        <item x="35"/>
        <item x="1"/>
        <item x="8"/>
        <item x="15"/>
        <item x="16"/>
        <item x="46"/>
        <item x="17"/>
        <item x="31"/>
        <item x="39"/>
        <item x="25"/>
        <item x="27"/>
        <item x="28"/>
        <item x="33"/>
        <item x="21"/>
        <item x="37"/>
        <item x="6"/>
        <item x="7"/>
        <item x="26"/>
        <item x="41"/>
        <item x="47"/>
        <item x="5"/>
        <item x="23"/>
        <item x="43"/>
        <item x="44"/>
        <item x="2"/>
        <item x="12"/>
        <item x="19"/>
        <item x="50"/>
        <item x="40"/>
        <item x="42"/>
        <item x="45"/>
        <item x="49"/>
        <item x="10"/>
        <item x="20"/>
        <item x="24"/>
        <item x="29"/>
      </items>
    </pivotField>
    <pivotField name="AV. FIN." axis="axisRow" allDrilled="1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</pivotFields>
  <rowFields count="10">
    <field x="3"/>
    <field x="4"/>
    <field x="6"/>
    <field x="2"/>
    <field x="9"/>
    <field x="10"/>
    <field x="5"/>
    <field x="1"/>
    <field x="7"/>
    <field x="8"/>
  </rowFields>
  <rowItems count="544">
    <i>
      <x/>
    </i>
    <i r="1">
      <x/>
    </i>
    <i r="2">
      <x/>
      <x/>
      <x v="1"/>
      <x/>
    </i>
    <i r="6">
      <x/>
      <x/>
      <x/>
      <x/>
    </i>
    <i r="6">
      <x v="1"/>
      <x/>
      <x v="1"/>
      <x v="1"/>
    </i>
    <i r="6">
      <x v="2"/>
      <x/>
      <x v="2"/>
      <x v="2"/>
    </i>
    <i r="6">
      <x v="3"/>
      <x v="1"/>
      <x v="3"/>
      <x v="3"/>
    </i>
    <i r="6">
      <x v="4"/>
      <x v="1"/>
      <x v="3"/>
      <x v="4"/>
    </i>
    <i t="default">
      <x/>
    </i>
    <i t="blank">
      <x/>
    </i>
    <i>
      <x v="1"/>
    </i>
    <i r="1">
      <x v="1"/>
    </i>
    <i r="2">
      <x v="1"/>
      <x v="1"/>
      <x v="16"/>
      <x v="1"/>
    </i>
    <i r="6">
      <x/>
      <x/>
      <x v="4"/>
      <x/>
    </i>
    <i r="6">
      <x v="1"/>
      <x/>
      <x v="5"/>
      <x v="5"/>
    </i>
    <i r="6">
      <x v="2"/>
      <x/>
      <x v="6"/>
      <x v="6"/>
    </i>
    <i r="6">
      <x v="3"/>
      <x/>
      <x v="7"/>
      <x v="7"/>
    </i>
    <i t="default">
      <x v="1"/>
    </i>
    <i t="blank">
      <x v="1"/>
    </i>
    <i>
      <x v="2"/>
    </i>
    <i r="1">
      <x v="2"/>
    </i>
    <i r="2">
      <x v="2"/>
      <x v="2"/>
      <x v="39"/>
      <x v="2"/>
    </i>
    <i r="6">
      <x/>
      <x/>
      <x v="8"/>
      <x/>
    </i>
    <i r="6">
      <x v="1"/>
      <x/>
      <x v="6"/>
      <x v="8"/>
    </i>
    <i r="6">
      <x v="2"/>
      <x/>
      <x v="6"/>
      <x v="9"/>
    </i>
    <i r="6">
      <x v="3"/>
      <x/>
      <x v="9"/>
      <x v="10"/>
    </i>
    <i r="6">
      <x v="4"/>
      <x v="2"/>
      <x v="10"/>
      <x v="11"/>
    </i>
    <i t="default">
      <x v="2"/>
    </i>
    <i t="blank">
      <x v="2"/>
    </i>
    <i>
      <x v="3"/>
    </i>
    <i r="1">
      <x v="3"/>
    </i>
    <i r="2">
      <x v="3"/>
      <x v="3"/>
      <x v="2"/>
      <x v="3"/>
    </i>
    <i r="6">
      <x/>
      <x/>
      <x v="11"/>
      <x/>
    </i>
    <i r="6">
      <x v="1"/>
      <x/>
      <x v="12"/>
      <x v="12"/>
    </i>
    <i r="6">
      <x v="2"/>
      <x/>
      <x v="12"/>
      <x v="13"/>
    </i>
    <i r="6">
      <x v="3"/>
      <x/>
      <x v="13"/>
      <x v="14"/>
    </i>
    <i r="6">
      <x v="4"/>
      <x/>
      <x v="9"/>
      <x v="15"/>
    </i>
    <i r="6">
      <x v="5"/>
      <x/>
      <x v="14"/>
      <x v="16"/>
    </i>
    <i r="6">
      <x v="6"/>
      <x/>
      <x v="14"/>
      <x v="17"/>
    </i>
    <i t="default">
      <x v="3"/>
    </i>
    <i t="blank">
      <x v="3"/>
    </i>
    <i>
      <x v="4"/>
    </i>
    <i r="1">
      <x v="4"/>
    </i>
    <i r="2">
      <x v="4"/>
      <x v="4"/>
      <x v="10"/>
      <x v="4"/>
    </i>
    <i r="6">
      <x/>
      <x/>
      <x v="15"/>
      <x/>
    </i>
    <i r="6">
      <x v="1"/>
      <x/>
      <x v="16"/>
      <x v="18"/>
    </i>
    <i r="6">
      <x v="2"/>
      <x/>
      <x v="16"/>
      <x v="19"/>
    </i>
    <i r="6">
      <x v="3"/>
      <x v="2"/>
      <x v="17"/>
      <x v="19"/>
    </i>
    <i t="default">
      <x v="4"/>
    </i>
    <i t="blank">
      <x v="4"/>
    </i>
    <i>
      <x v="5"/>
    </i>
    <i r="1">
      <x v="5"/>
    </i>
    <i r="2">
      <x v="5"/>
      <x v="5"/>
      <x v="35"/>
      <x v="5"/>
    </i>
    <i r="6">
      <x/>
      <x/>
      <x v="18"/>
      <x/>
    </i>
    <i r="6">
      <x v="1"/>
      <x/>
      <x v="7"/>
      <x v="20"/>
    </i>
    <i r="6">
      <x v="2"/>
      <x/>
      <x v="19"/>
      <x v="21"/>
    </i>
    <i r="6">
      <x v="3"/>
      <x v="1"/>
      <x v="3"/>
      <x v="22"/>
    </i>
    <i t="default">
      <x v="5"/>
    </i>
    <i t="blank">
      <x v="5"/>
    </i>
    <i>
      <x v="6"/>
    </i>
    <i r="1">
      <x v="6"/>
    </i>
    <i r="2">
      <x v="6"/>
      <x v="6"/>
      <x v="30"/>
      <x v="6"/>
    </i>
    <i r="6">
      <x/>
      <x/>
      <x v="20"/>
      <x/>
    </i>
    <i r="6">
      <x v="1"/>
      <x/>
      <x v="14"/>
      <x v="23"/>
    </i>
    <i r="6">
      <x v="2"/>
      <x/>
      <x v="14"/>
      <x v="24"/>
    </i>
    <i t="default">
      <x v="6"/>
    </i>
    <i t="blank">
      <x v="6"/>
    </i>
    <i>
      <x v="7"/>
    </i>
    <i r="1">
      <x v="7"/>
    </i>
    <i r="2">
      <x v="7"/>
      <x v="7"/>
      <x v="31"/>
      <x v="7"/>
    </i>
    <i r="6">
      <x/>
      <x/>
      <x v="21"/>
      <x/>
    </i>
    <i r="6">
      <x v="1"/>
      <x/>
      <x v="12"/>
      <x v="25"/>
    </i>
    <i r="6">
      <x v="2"/>
      <x/>
      <x v="12"/>
      <x v="26"/>
    </i>
    <i r="6">
      <x v="3"/>
      <x/>
      <x v="14"/>
      <x v="27"/>
    </i>
    <i t="default">
      <x v="7"/>
    </i>
    <i t="blank">
      <x v="7"/>
    </i>
    <i>
      <x v="8"/>
    </i>
    <i r="1">
      <x v="8"/>
    </i>
    <i r="2">
      <x v="8"/>
      <x v="8"/>
      <x v="17"/>
      <x v="8"/>
    </i>
    <i r="6">
      <x/>
      <x/>
      <x v="22"/>
      <x/>
    </i>
    <i r="6">
      <x v="1"/>
      <x/>
      <x v="23"/>
      <x v="28"/>
    </i>
    <i r="6">
      <x v="2"/>
      <x/>
      <x v="23"/>
      <x v="29"/>
    </i>
    <i r="6">
      <x v="3"/>
      <x/>
      <x v="7"/>
      <x v="30"/>
    </i>
    <i r="6">
      <x v="4"/>
      <x/>
      <x v="7"/>
      <x v="31"/>
    </i>
    <i t="default">
      <x v="8"/>
    </i>
    <i t="blank">
      <x v="8"/>
    </i>
    <i>
      <x v="9"/>
    </i>
    <i r="1">
      <x v="9"/>
    </i>
    <i r="2">
      <x v="9"/>
      <x v="9"/>
      <x/>
      <x v="9"/>
    </i>
    <i r="6">
      <x/>
      <x/>
      <x v="24"/>
      <x/>
    </i>
    <i t="default">
      <x v="9"/>
    </i>
    <i t="blank">
      <x v="9"/>
    </i>
    <i>
      <x v="10"/>
    </i>
    <i r="1">
      <x v="10"/>
    </i>
    <i r="2">
      <x v="10"/>
      <x v="10"/>
      <x v="47"/>
      <x v="10"/>
    </i>
    <i r="6">
      <x/>
      <x/>
      <x v="25"/>
      <x/>
    </i>
    <i r="6">
      <x v="1"/>
      <x v="3"/>
      <x v="3"/>
      <x v="32"/>
    </i>
    <i r="6">
      <x v="2"/>
      <x v="3"/>
      <x v="3"/>
      <x v="33"/>
    </i>
    <i t="default">
      <x v="10"/>
    </i>
    <i t="blank">
      <x v="10"/>
    </i>
    <i>
      <x v="11"/>
    </i>
    <i r="1">
      <x v="11"/>
    </i>
    <i r="2">
      <x v="11"/>
      <x v="11"/>
      <x v="3"/>
      <x v="11"/>
    </i>
    <i r="6">
      <x/>
      <x/>
      <x v="21"/>
      <x/>
    </i>
    <i r="6">
      <x v="1"/>
      <x/>
      <x v="26"/>
      <x v="34"/>
    </i>
    <i t="default">
      <x v="11"/>
    </i>
    <i t="blank">
      <x v="11"/>
    </i>
    <i>
      <x v="12"/>
    </i>
    <i r="1">
      <x v="12"/>
    </i>
    <i r="2">
      <x v="12"/>
      <x v="12"/>
      <x v="40"/>
      <x v="12"/>
    </i>
    <i r="6">
      <x/>
      <x/>
      <x v="21"/>
      <x/>
    </i>
    <i r="6">
      <x v="1"/>
      <x v="1"/>
      <x v="7"/>
      <x v="35"/>
    </i>
    <i r="6">
      <x v="2"/>
      <x v="1"/>
      <x v="7"/>
      <x v="36"/>
    </i>
    <i r="6">
      <x v="3"/>
      <x v="2"/>
      <x v="14"/>
      <x v="37"/>
    </i>
    <i t="default">
      <x v="12"/>
    </i>
    <i t="blank">
      <x v="12"/>
    </i>
    <i>
      <x v="13"/>
    </i>
    <i r="1">
      <x v="13"/>
    </i>
    <i r="2">
      <x v="13"/>
      <x v="13"/>
      <x/>
      <x v="9"/>
    </i>
    <i r="6">
      <x/>
      <x/>
      <x v="1"/>
      <x/>
    </i>
    <i t="default">
      <x v="13"/>
    </i>
    <i t="blank">
      <x v="13"/>
    </i>
    <i>
      <x v="14"/>
    </i>
    <i r="1">
      <x v="14"/>
    </i>
    <i r="2">
      <x v="5"/>
      <x v="14"/>
      <x v="11"/>
      <x v="13"/>
    </i>
    <i r="6">
      <x/>
      <x/>
      <x v="18"/>
      <x/>
    </i>
    <i r="6">
      <x v="1"/>
      <x/>
      <x v="7"/>
      <x v="38"/>
    </i>
    <i t="default">
      <x v="14"/>
    </i>
    <i t="blank">
      <x v="14"/>
    </i>
    <i>
      <x v="15"/>
    </i>
    <i r="1">
      <x v="15"/>
    </i>
    <i r="2">
      <x v="14"/>
      <x v="15"/>
      <x v="12"/>
      <x v="14"/>
    </i>
    <i r="6">
      <x/>
      <x/>
      <x v="27"/>
      <x/>
    </i>
    <i r="6">
      <x v="1"/>
      <x/>
      <x v="28"/>
      <x v="39"/>
    </i>
    <i r="6">
      <x v="2"/>
      <x/>
      <x v="7"/>
      <x v="40"/>
    </i>
    <i t="default">
      <x v="15"/>
    </i>
    <i t="blank">
      <x v="15"/>
    </i>
    <i>
      <x v="16"/>
    </i>
    <i r="1">
      <x v="16"/>
    </i>
    <i r="2">
      <x v="15"/>
      <x v="16"/>
      <x v="18"/>
      <x v="15"/>
    </i>
    <i r="6">
      <x/>
      <x/>
      <x v="29"/>
      <x/>
    </i>
    <i r="6">
      <x v="1"/>
      <x/>
      <x v="6"/>
      <x v="41"/>
    </i>
    <i r="6">
      <x v="2"/>
      <x/>
      <x v="7"/>
      <x v="23"/>
    </i>
    <i r="6">
      <x v="3"/>
      <x/>
      <x v="7"/>
      <x v="42"/>
    </i>
    <i t="default">
      <x v="16"/>
    </i>
    <i t="blank">
      <x v="16"/>
    </i>
    <i>
      <x v="17"/>
    </i>
    <i r="1">
      <x v="17"/>
    </i>
    <i r="2">
      <x v="15"/>
      <x v="17"/>
      <x v="19"/>
      <x v="16"/>
    </i>
    <i r="6">
      <x/>
      <x/>
      <x v="29"/>
      <x/>
    </i>
    <i r="6">
      <x v="1"/>
      <x/>
      <x v="12"/>
      <x v="43"/>
    </i>
    <i r="6">
      <x v="2"/>
      <x/>
      <x v="6"/>
      <x v="44"/>
    </i>
    <i r="6">
      <x v="3"/>
      <x/>
      <x v="7"/>
      <x v="45"/>
    </i>
    <i t="default">
      <x v="17"/>
    </i>
    <i t="blank">
      <x v="17"/>
    </i>
    <i>
      <x v="18"/>
    </i>
    <i r="1">
      <x v="18"/>
    </i>
    <i r="2">
      <x v="12"/>
      <x v="18"/>
      <x v="21"/>
      <x v="17"/>
    </i>
    <i r="6">
      <x/>
      <x/>
      <x v="21"/>
      <x/>
    </i>
    <i r="6">
      <x v="1"/>
      <x/>
      <x v="26"/>
      <x v="46"/>
    </i>
    <i r="6">
      <x v="2"/>
      <x/>
      <x v="26"/>
      <x v="47"/>
    </i>
    <i r="6">
      <x v="3"/>
      <x/>
      <x v="26"/>
      <x v="48"/>
    </i>
    <i t="default">
      <x v="18"/>
    </i>
    <i t="blank">
      <x v="18"/>
    </i>
    <i>
      <x v="19"/>
    </i>
    <i r="1">
      <x v="19"/>
    </i>
    <i r="2">
      <x v="16"/>
      <x v="19"/>
      <x v="4"/>
      <x v="18"/>
    </i>
    <i r="6">
      <x/>
      <x/>
      <x v="25"/>
      <x/>
    </i>
    <i r="6">
      <x v="1"/>
      <x/>
      <x v="16"/>
      <x v="49"/>
    </i>
    <i r="6">
      <x v="2"/>
      <x/>
      <x v="7"/>
      <x v="50"/>
    </i>
    <i t="default">
      <x v="19"/>
    </i>
    <i t="blank">
      <x v="19"/>
    </i>
    <i>
      <x v="20"/>
    </i>
    <i r="1">
      <x v="20"/>
    </i>
    <i r="2">
      <x v="17"/>
      <x v="20"/>
      <x v="41"/>
      <x v="19"/>
    </i>
    <i r="6">
      <x/>
      <x/>
      <x v="30"/>
      <x/>
    </i>
    <i r="6">
      <x v="1"/>
      <x v="2"/>
      <x v="19"/>
      <x v="51"/>
    </i>
    <i r="6">
      <x v="2"/>
      <x v="2"/>
      <x v="14"/>
      <x v="52"/>
    </i>
    <i t="default">
      <x v="20"/>
    </i>
    <i t="blank">
      <x v="20"/>
    </i>
    <i>
      <x v="21"/>
    </i>
    <i r="1">
      <x v="21"/>
    </i>
    <i r="2">
      <x v="18"/>
      <x v="21"/>
      <x v="48"/>
      <x v="20"/>
    </i>
    <i r="6">
      <x v="1"/>
      <x/>
      <x v="7"/>
      <x v="53"/>
    </i>
    <i r="6">
      <x v="3"/>
      <x v="3"/>
      <x v="3"/>
      <x v="54"/>
    </i>
    <i r="1">
      <x v="22"/>
    </i>
    <i r="2">
      <x v="18"/>
      <x v="21"/>
      <x v="48"/>
      <x v="20"/>
    </i>
    <i r="6">
      <x/>
      <x/>
      <x v="31"/>
      <x/>
    </i>
    <i t="default">
      <x v="21"/>
    </i>
    <i t="blank">
      <x v="21"/>
    </i>
    <i>
      <x v="22"/>
    </i>
    <i r="1">
      <x v="23"/>
    </i>
    <i r="2">
      <x v="19"/>
      <x v="22"/>
      <x v="28"/>
      <x v="21"/>
    </i>
    <i r="6">
      <x/>
      <x/>
      <x v="30"/>
      <x/>
    </i>
    <i r="6">
      <x v="1"/>
      <x/>
      <x v="16"/>
      <x v="39"/>
    </i>
    <i r="6">
      <x v="2"/>
      <x/>
      <x v="16"/>
      <x v="55"/>
    </i>
    <i r="6">
      <x v="3"/>
      <x v="2"/>
      <x v="14"/>
      <x v="56"/>
    </i>
    <i t="default">
      <x v="22"/>
    </i>
    <i t="blank">
      <x v="22"/>
    </i>
    <i>
      <x v="23"/>
    </i>
    <i r="1">
      <x v="24"/>
    </i>
    <i r="2">
      <x v="11"/>
      <x v="23"/>
      <x v="13"/>
      <x v="22"/>
    </i>
    <i r="6">
      <x/>
      <x/>
      <x v="32"/>
      <x/>
    </i>
    <i r="6">
      <x v="1"/>
      <x/>
      <x v="7"/>
      <x v="57"/>
    </i>
    <i r="6">
      <x v="2"/>
      <x v="3"/>
      <x v="3"/>
      <x v="58"/>
    </i>
    <i t="default">
      <x v="23"/>
    </i>
    <i t="blank">
      <x v="23"/>
    </i>
    <i>
      <x v="24"/>
    </i>
    <i r="1">
      <x v="25"/>
    </i>
    <i r="2">
      <x v="20"/>
      <x v="24"/>
      <x v="36"/>
      <x v="23"/>
    </i>
    <i r="6">
      <x/>
      <x/>
      <x v="25"/>
      <x/>
    </i>
    <i r="6">
      <x v="1"/>
      <x/>
      <x v="9"/>
      <x v="59"/>
    </i>
    <i r="6">
      <x v="2"/>
      <x v="1"/>
      <x v="33"/>
      <x v="60"/>
    </i>
    <i r="6">
      <x v="3"/>
      <x/>
      <x v="19"/>
      <x v="61"/>
    </i>
    <i t="default">
      <x v="24"/>
    </i>
    <i t="blank">
      <x v="24"/>
    </i>
    <i>
      <x v="25"/>
    </i>
    <i r="1">
      <x v="26"/>
    </i>
    <i r="2">
      <x v="21"/>
      <x v="25"/>
      <x v="49"/>
      <x v="24"/>
    </i>
    <i r="6">
      <x/>
      <x/>
      <x v="25"/>
      <x/>
    </i>
    <i r="6">
      <x v="1"/>
      <x v="3"/>
      <x v="3"/>
      <x v="62"/>
    </i>
    <i t="default">
      <x v="25"/>
    </i>
    <i t="blank">
      <x v="25"/>
    </i>
    <i>
      <x v="26"/>
    </i>
    <i r="1">
      <x v="27"/>
    </i>
    <i r="2">
      <x v="22"/>
      <x v="26"/>
      <x v="13"/>
      <x v="22"/>
    </i>
    <i r="6">
      <x/>
      <x/>
      <x v="32"/>
      <x/>
    </i>
    <i r="6">
      <x v="1"/>
      <x/>
      <x v="26"/>
      <x v="63"/>
    </i>
    <i r="6">
      <x v="2"/>
      <x/>
      <x v="26"/>
      <x v="64"/>
    </i>
    <i t="default">
      <x v="26"/>
    </i>
    <i t="blank">
      <x v="26"/>
    </i>
    <i>
      <x v="27"/>
    </i>
    <i r="1">
      <x v="28"/>
    </i>
    <i r="2">
      <x v="23"/>
      <x v="27"/>
      <x v="24"/>
      <x v="25"/>
    </i>
    <i r="6">
      <x/>
      <x/>
      <x v="25"/>
      <x/>
    </i>
    <i r="6">
      <x v="1"/>
      <x/>
      <x v="26"/>
      <x v="65"/>
    </i>
    <i r="6">
      <x v="2"/>
      <x/>
      <x v="26"/>
      <x v="66"/>
    </i>
    <i t="default">
      <x v="27"/>
    </i>
    <i t="blank">
      <x v="27"/>
    </i>
    <i>
      <x v="28"/>
    </i>
    <i r="1">
      <x v="29"/>
    </i>
    <i r="2">
      <x v="24"/>
      <x v="28"/>
      <x v="32"/>
      <x v="26"/>
    </i>
    <i r="6">
      <x/>
      <x/>
      <x v="1"/>
      <x/>
    </i>
    <i r="6">
      <x v="1"/>
      <x/>
      <x v="14"/>
      <x v="67"/>
    </i>
    <i t="default">
      <x v="28"/>
    </i>
    <i t="blank">
      <x v="28"/>
    </i>
    <i>
      <x v="29"/>
    </i>
    <i r="1">
      <x v="30"/>
    </i>
    <i r="2">
      <x v="25"/>
      <x v="29"/>
      <x v="25"/>
      <x v="27"/>
    </i>
    <i r="6">
      <x/>
      <x/>
      <x v="32"/>
      <x/>
    </i>
    <i r="6">
      <x v="1"/>
      <x/>
      <x v="12"/>
      <x v="68"/>
    </i>
    <i r="6">
      <x v="2"/>
      <x/>
      <x v="12"/>
      <x v="69"/>
    </i>
    <i r="6">
      <x v="3"/>
      <x v="4"/>
      <x v="14"/>
      <x v="70"/>
    </i>
    <i t="default">
      <x v="29"/>
    </i>
    <i t="blank">
      <x v="29"/>
    </i>
    <i>
      <x v="30"/>
    </i>
    <i r="1">
      <x v="31"/>
    </i>
    <i r="2">
      <x v="26"/>
      <x v="30"/>
      <x v="26"/>
      <x v="28"/>
    </i>
    <i r="6">
      <x/>
      <x/>
      <x v="24"/>
      <x/>
    </i>
    <i r="6">
      <x v="1"/>
      <x/>
      <x v="26"/>
      <x v="71"/>
    </i>
    <i r="6">
      <x v="2"/>
      <x v="4"/>
      <x v="34"/>
      <x v="72"/>
    </i>
    <i t="default">
      <x v="30"/>
    </i>
    <i t="blank">
      <x v="30"/>
    </i>
    <i>
      <x v="31"/>
    </i>
    <i r="1">
      <x v="32"/>
    </i>
    <i r="2">
      <x v="27"/>
      <x v="31"/>
      <x v="13"/>
      <x v="22"/>
    </i>
    <i r="6">
      <x/>
      <x/>
      <x v="25"/>
      <x/>
    </i>
    <i r="6">
      <x v="1"/>
      <x/>
      <x v="9"/>
      <x v="73"/>
    </i>
    <i r="6">
      <x v="2"/>
      <x/>
      <x v="7"/>
      <x v="74"/>
    </i>
    <i r="6">
      <x v="3"/>
      <x v="2"/>
      <x v="14"/>
      <x v="75"/>
    </i>
    <i t="default">
      <x v="31"/>
    </i>
    <i t="blank">
      <x v="31"/>
    </i>
    <i>
      <x v="32"/>
    </i>
    <i r="1">
      <x v="33"/>
    </i>
    <i r="2">
      <x v="28"/>
      <x v="32"/>
      <x v="50"/>
      <x v="29"/>
    </i>
    <i r="6">
      <x/>
      <x/>
      <x v="35"/>
      <x/>
    </i>
    <i r="6">
      <x v="1"/>
      <x/>
      <x v="7"/>
      <x v="76"/>
    </i>
    <i r="6">
      <x v="2"/>
      <x/>
      <x v="14"/>
      <x v="77"/>
    </i>
    <i r="6">
      <x v="3"/>
      <x v="3"/>
      <x v="3"/>
      <x v="78"/>
    </i>
    <i t="default">
      <x v="32"/>
    </i>
    <i t="blank">
      <x v="32"/>
    </i>
    <i>
      <x v="33"/>
    </i>
    <i r="1">
      <x v="34"/>
    </i>
    <i r="2">
      <x v="29"/>
      <x v="33"/>
      <x v="5"/>
      <x v="30"/>
    </i>
    <i r="6">
      <x/>
      <x/>
      <x v="24"/>
      <x/>
    </i>
    <i r="6">
      <x v="1"/>
      <x v="4"/>
      <x v="14"/>
      <x v="79"/>
    </i>
    <i t="default">
      <x v="33"/>
    </i>
    <i t="blank">
      <x v="33"/>
    </i>
    <i>
      <x v="34"/>
    </i>
    <i r="1">
      <x v="35"/>
    </i>
    <i r="2">
      <x v="22"/>
      <x v="34"/>
      <x v="22"/>
      <x v="31"/>
    </i>
    <i r="6">
      <x/>
      <x/>
      <x v="25"/>
      <x/>
    </i>
    <i r="6">
      <x v="1"/>
      <x/>
      <x v="12"/>
      <x v="80"/>
    </i>
    <i r="6">
      <x v="2"/>
      <x/>
      <x v="12"/>
      <x v="81"/>
    </i>
    <i r="6">
      <x v="3"/>
      <x/>
      <x v="26"/>
      <x v="82"/>
    </i>
    <i t="default">
      <x v="34"/>
    </i>
    <i t="blank">
      <x v="34"/>
    </i>
    <i>
      <x v="35"/>
    </i>
    <i r="1">
      <x v="36"/>
    </i>
    <i r="2">
      <x v="30"/>
      <x v="35"/>
      <x v="14"/>
      <x v="32"/>
    </i>
    <i r="6">
      <x/>
      <x/>
      <x v="36"/>
      <x/>
    </i>
    <i r="6">
      <x v="1"/>
      <x/>
      <x v="7"/>
      <x v="83"/>
    </i>
    <i t="default">
      <x v="35"/>
    </i>
    <i t="blank">
      <x v="35"/>
    </i>
    <i>
      <x v="36"/>
    </i>
    <i r="1">
      <x v="37"/>
    </i>
    <i r="2">
      <x v="31"/>
      <x v="36"/>
      <x v="27"/>
      <x v="33"/>
    </i>
    <i r="6">
      <x/>
      <x/>
      <x v="20"/>
      <x/>
    </i>
    <i r="6">
      <x v="1"/>
      <x/>
      <x v="14"/>
      <x v="84"/>
    </i>
    <i r="6">
      <x v="2"/>
      <x v="2"/>
      <x v="37"/>
      <x v="85"/>
    </i>
    <i t="default">
      <x v="36"/>
    </i>
    <i t="blank">
      <x v="36"/>
    </i>
    <i>
      <x v="37"/>
    </i>
    <i r="1">
      <x v="38"/>
    </i>
    <i r="2">
      <x v="32"/>
      <x v="37"/>
      <x v="6"/>
      <x v="34"/>
    </i>
    <i r="6">
      <x/>
      <x/>
      <x v="38"/>
      <x/>
    </i>
    <i r="6">
      <x v="1"/>
      <x/>
      <x v="7"/>
      <x v="86"/>
    </i>
    <i t="default">
      <x v="37"/>
    </i>
    <i t="blank">
      <x v="37"/>
    </i>
    <i>
      <x v="38"/>
    </i>
    <i r="1">
      <x v="39"/>
    </i>
    <i r="2">
      <x v="30"/>
      <x v="38"/>
      <x v="15"/>
      <x v="35"/>
    </i>
    <i r="6">
      <x/>
      <x/>
      <x v="36"/>
      <x/>
    </i>
    <i r="6">
      <x v="1"/>
      <x/>
      <x v="7"/>
      <x v="87"/>
    </i>
    <i t="default">
      <x v="38"/>
    </i>
    <i t="blank">
      <x v="38"/>
    </i>
    <i>
      <x v="39"/>
    </i>
    <i r="1">
      <x v="40"/>
    </i>
    <i r="2">
      <x v="27"/>
      <x v="39"/>
      <x v="7"/>
      <x v="36"/>
    </i>
    <i r="6">
      <x/>
      <x/>
      <x v="21"/>
      <x/>
    </i>
    <i r="6">
      <x v="1"/>
      <x/>
      <x v="9"/>
      <x v="88"/>
    </i>
    <i r="6">
      <x v="2"/>
      <x/>
      <x v="9"/>
      <x v="89"/>
    </i>
    <i t="default">
      <x v="39"/>
    </i>
    <i t="blank">
      <x v="39"/>
    </i>
    <i>
      <x v="40"/>
    </i>
    <i r="1">
      <x v="41"/>
    </i>
    <i r="2">
      <x v="33"/>
      <x v="40"/>
      <x v="29"/>
      <x v="37"/>
    </i>
    <i r="6">
      <x/>
      <x/>
      <x v="24"/>
      <x/>
    </i>
    <i r="6">
      <x v="1"/>
      <x/>
      <x v="13"/>
      <x v="90"/>
    </i>
    <i r="6">
      <x v="2"/>
      <x v="1"/>
      <x v="3"/>
      <x v="91"/>
    </i>
    <i r="6">
      <x v="3"/>
      <x/>
      <x v="14"/>
      <x v="92"/>
    </i>
    <i t="default">
      <x v="40"/>
    </i>
    <i t="blank">
      <x v="40"/>
    </i>
    <i>
      <x v="41"/>
    </i>
    <i r="1">
      <x v="42"/>
    </i>
    <i r="2">
      <x v="34"/>
      <x v="41"/>
      <x v="13"/>
      <x v="22"/>
    </i>
    <i r="6">
      <x/>
      <x/>
      <x v="31"/>
      <x/>
    </i>
    <i r="6">
      <x v="1"/>
      <x/>
      <x v="26"/>
      <x v="93"/>
    </i>
    <i r="6">
      <x v="2"/>
      <x/>
      <x v="26"/>
      <x v="94"/>
    </i>
    <i r="6">
      <x v="3"/>
      <x/>
      <x v="26"/>
      <x v="95"/>
    </i>
    <i t="default">
      <x v="41"/>
    </i>
    <i t="blank">
      <x v="41"/>
    </i>
    <i>
      <x v="42"/>
    </i>
    <i r="1">
      <x v="43"/>
    </i>
    <i r="2">
      <x v="34"/>
      <x v="42"/>
      <x v="8"/>
      <x v="38"/>
    </i>
    <i r="6">
      <x/>
      <x/>
      <x v="31"/>
      <x/>
    </i>
    <i r="6">
      <x v="1"/>
      <x/>
      <x v="7"/>
      <x v="96"/>
    </i>
    <i t="default">
      <x v="42"/>
    </i>
    <i t="blank">
      <x v="42"/>
    </i>
    <i>
      <x v="43"/>
    </i>
    <i r="1">
      <x v="44"/>
    </i>
    <i r="2">
      <x v="35"/>
      <x v="43"/>
      <x v="13"/>
      <x v="22"/>
    </i>
    <i r="6">
      <x/>
      <x/>
      <x v="38"/>
      <x/>
    </i>
    <i r="6">
      <x v="1"/>
      <x v="2"/>
      <x v="37"/>
      <x v="97"/>
    </i>
    <i r="6">
      <x v="2"/>
      <x v="2"/>
      <x v="37"/>
      <x v="98"/>
    </i>
    <i r="6">
      <x v="3"/>
      <x v="3"/>
      <x v="14"/>
      <x v="99"/>
    </i>
    <i r="6">
      <x v="4"/>
      <x v="3"/>
      <x v="14"/>
      <x v="100"/>
    </i>
    <i t="default">
      <x v="43"/>
    </i>
    <i t="blank">
      <x v="43"/>
    </i>
    <i>
      <x v="44"/>
    </i>
    <i r="1">
      <x v="45"/>
    </i>
    <i r="2">
      <x v="34"/>
      <x v="44"/>
      <x v="23"/>
      <x v="22"/>
    </i>
    <i r="6">
      <x/>
      <x/>
      <x v="31"/>
      <x/>
    </i>
    <i r="6">
      <x v="1"/>
      <x/>
      <x v="26"/>
      <x v="101"/>
    </i>
    <i r="6">
      <x v="2"/>
      <x/>
      <x v="26"/>
      <x v="102"/>
    </i>
    <i r="6">
      <x v="3"/>
      <x/>
      <x v="26"/>
      <x v="103"/>
    </i>
    <i t="default">
      <x v="44"/>
    </i>
    <i t="blank">
      <x v="44"/>
    </i>
    <i>
      <x v="45"/>
    </i>
    <i r="1">
      <x v="46"/>
    </i>
    <i r="2">
      <x v="36"/>
      <x v="45"/>
      <x v="43"/>
      <x v="39"/>
    </i>
    <i r="6">
      <x/>
      <x/>
      <x v="36"/>
      <x/>
    </i>
    <i r="6">
      <x v="1"/>
      <x v="2"/>
      <x v="3"/>
      <x v="104"/>
    </i>
    <i t="default">
      <x v="45"/>
    </i>
    <i t="blank">
      <x v="45"/>
    </i>
    <i>
      <x v="46"/>
    </i>
    <i r="1">
      <x v="47"/>
    </i>
    <i r="2">
      <x v="16"/>
      <x v="46"/>
      <x v="33"/>
      <x v="40"/>
    </i>
    <i r="6">
      <x/>
      <x/>
      <x v="25"/>
      <x/>
    </i>
    <i r="6">
      <x v="1"/>
      <x/>
      <x v="7"/>
      <x v="105"/>
    </i>
    <i r="6">
      <x v="2"/>
      <x/>
      <x v="14"/>
      <x v="106"/>
    </i>
    <i t="default">
      <x v="46"/>
    </i>
    <i t="blank">
      <x v="46"/>
    </i>
    <i>
      <x v="47"/>
    </i>
    <i r="1">
      <x v="48"/>
    </i>
    <i r="2">
      <x v="37"/>
      <x v="47"/>
      <x v="44"/>
      <x v="41"/>
    </i>
    <i r="6">
      <x/>
      <x/>
      <x v="39"/>
      <x/>
    </i>
    <i r="6">
      <x v="1"/>
      <x v="1"/>
      <x v="33"/>
      <x v="107"/>
    </i>
    <i r="6">
      <x v="2"/>
      <x/>
      <x v="14"/>
      <x v="108"/>
    </i>
    <i r="6">
      <x v="3"/>
      <x/>
      <x v="14"/>
      <x v="109"/>
    </i>
    <i r="6">
      <x v="4"/>
      <x v="2"/>
      <x v="3"/>
      <x v="110"/>
    </i>
    <i t="default">
      <x v="47"/>
    </i>
    <i t="blank">
      <x v="47"/>
    </i>
    <i>
      <x v="48"/>
    </i>
    <i r="1">
      <x v="49"/>
    </i>
    <i r="2">
      <x v="38"/>
      <x v="48"/>
      <x v="13"/>
      <x v="42"/>
    </i>
    <i r="6">
      <x/>
      <x/>
      <x v="24"/>
      <x/>
    </i>
    <i r="6">
      <x v="1"/>
      <x/>
      <x v="23"/>
      <x v="111"/>
    </i>
    <i r="6">
      <x v="2"/>
      <x/>
      <x v="7"/>
      <x v="112"/>
    </i>
    <i r="6">
      <x v="3"/>
      <x/>
      <x v="7"/>
      <x v="113"/>
    </i>
    <i t="default">
      <x v="48"/>
    </i>
    <i t="blank">
      <x v="48"/>
    </i>
    <i>
      <x v="49"/>
    </i>
    <i r="1">
      <x v="50"/>
    </i>
    <i r="2">
      <x v="39"/>
      <x v="49"/>
      <x v="13"/>
      <x v="22"/>
    </i>
    <i r="6">
      <x/>
      <x/>
      <x v="20"/>
      <x/>
    </i>
    <i r="6">
      <x v="1"/>
      <x/>
      <x v="26"/>
      <x v="114"/>
    </i>
    <i r="6">
      <x v="2"/>
      <x/>
      <x v="26"/>
      <x v="115"/>
    </i>
    <i r="6">
      <x v="3"/>
      <x/>
      <x v="26"/>
      <x v="116"/>
    </i>
    <i r="6">
      <x v="4"/>
      <x/>
      <x v="26"/>
      <x v="117"/>
    </i>
    <i t="default">
      <x v="49"/>
    </i>
    <i t="blank">
      <x v="49"/>
    </i>
    <i>
      <x v="50"/>
    </i>
    <i r="1">
      <x v="51"/>
    </i>
    <i r="2">
      <x v="40"/>
      <x v="50"/>
      <x v="37"/>
      <x v="43"/>
    </i>
    <i r="6">
      <x/>
      <x/>
      <x v="39"/>
      <x/>
    </i>
    <i r="6">
      <x v="1"/>
      <x/>
      <x v="14"/>
      <x v="118"/>
    </i>
    <i r="6">
      <x v="2"/>
      <x/>
      <x v="14"/>
      <x v="119"/>
    </i>
    <i t="default">
      <x v="50"/>
    </i>
    <i t="blank">
      <x v="50"/>
    </i>
    <i>
      <x v="51"/>
    </i>
    <i r="1">
      <x v="52"/>
    </i>
    <i r="2">
      <x v="41"/>
      <x v="51"/>
      <x v="38"/>
      <x v="44"/>
    </i>
    <i r="6">
      <x/>
      <x/>
      <x v="18"/>
      <x/>
    </i>
    <i r="6">
      <x v="1"/>
      <x/>
      <x v="14"/>
      <x v="120"/>
    </i>
    <i r="6">
      <x v="2"/>
      <x/>
      <x v="14"/>
      <x v="121"/>
    </i>
    <i t="default">
      <x v="51"/>
    </i>
    <i t="blank">
      <x v="51"/>
    </i>
    <i>
      <x v="52"/>
    </i>
    <i r="1">
      <x v="53"/>
    </i>
    <i r="2">
      <x v="42"/>
      <x v="52"/>
      <x v="45"/>
      <x v="45"/>
    </i>
    <i r="6">
      <x/>
      <x/>
      <x v="39"/>
      <x/>
    </i>
    <i r="6">
      <x v="1"/>
      <x v="2"/>
      <x v="14"/>
      <x v="122"/>
    </i>
    <i r="6">
      <x v="2"/>
      <x v="2"/>
      <x v="3"/>
      <x v="123"/>
    </i>
    <i t="default">
      <x v="52"/>
    </i>
    <i t="blank">
      <x v="52"/>
    </i>
    <i>
      <x v="53"/>
    </i>
    <i r="1">
      <x v="54"/>
    </i>
    <i r="2">
      <x v="43"/>
      <x v="53"/>
      <x v="20"/>
      <x v="46"/>
    </i>
    <i r="6">
      <x/>
      <x/>
      <x v="30"/>
      <x/>
    </i>
    <i r="6">
      <x v="1"/>
      <x/>
      <x v="7"/>
      <x v="124"/>
    </i>
    <i r="6">
      <x v="2"/>
      <x/>
      <x v="7"/>
      <x v="125"/>
    </i>
    <i r="6">
      <x v="3"/>
      <x/>
      <x v="7"/>
      <x v="126"/>
    </i>
    <i t="default">
      <x v="53"/>
    </i>
    <i t="blank">
      <x v="53"/>
    </i>
    <i>
      <x v="54"/>
    </i>
    <i r="1">
      <x v="55"/>
    </i>
    <i r="2">
      <x v="44"/>
      <x v="54"/>
      <x v="34"/>
      <x v="47"/>
    </i>
    <i r="6">
      <x/>
      <x/>
      <x v="35"/>
      <x/>
    </i>
    <i r="6">
      <x v="1"/>
      <x v="4"/>
      <x v="14"/>
      <x v="127"/>
    </i>
    <i r="6">
      <x v="2"/>
      <x v="4"/>
      <x v="14"/>
      <x v="128"/>
    </i>
    <i r="6">
      <x v="3"/>
      <x v="4"/>
      <x v="14"/>
      <x v="129"/>
    </i>
    <i t="default">
      <x v="54"/>
    </i>
    <i t="blank">
      <x v="54"/>
    </i>
    <i>
      <x v="55"/>
    </i>
    <i r="1">
      <x v="56"/>
    </i>
    <i r="2">
      <x v="45"/>
      <x v="55"/>
      <x v="9"/>
      <x v="48"/>
    </i>
    <i r="6">
      <x/>
      <x/>
      <x v="40"/>
      <x/>
    </i>
    <i r="6">
      <x v="1"/>
      <x/>
      <x v="9"/>
      <x v="130"/>
    </i>
    <i t="default">
      <x v="55"/>
    </i>
    <i t="blank">
      <x v="55"/>
    </i>
    <i>
      <x v="56"/>
    </i>
    <i r="1">
      <x v="57"/>
    </i>
    <i r="2">
      <x v="46"/>
      <x v="56"/>
      <x v="46"/>
      <x v="49"/>
    </i>
    <i r="6">
      <x/>
      <x/>
      <x v="18"/>
      <x/>
    </i>
    <i r="6">
      <x v="1"/>
      <x v="1"/>
      <x v="33"/>
      <x v="131"/>
    </i>
    <i r="6">
      <x v="2"/>
      <x/>
      <x v="7"/>
      <x v="132"/>
    </i>
    <i r="6">
      <x v="3"/>
      <x/>
      <x v="7"/>
      <x v="133"/>
    </i>
    <i r="6">
      <x v="4"/>
      <x v="2"/>
      <x v="14"/>
      <x v="134"/>
    </i>
    <i r="6">
      <x v="5"/>
      <x v="2"/>
      <x v="14"/>
      <x v="135"/>
    </i>
    <i t="default">
      <x v="56"/>
    </i>
    <i t="blank">
      <x v="56"/>
    </i>
    <i>
      <x v="57"/>
    </i>
    <i r="1">
      <x v="58"/>
    </i>
    <i r="2">
      <x v="12"/>
      <x v="57"/>
      <x v="42"/>
      <x v="50"/>
    </i>
    <i r="6">
      <x/>
      <x/>
      <x v="2"/>
      <x/>
    </i>
    <i r="6">
      <x v="1"/>
      <x v="2"/>
      <x v="14"/>
      <x v="136"/>
    </i>
    <i t="default">
      <x v="57"/>
    </i>
    <i t="blank">
      <x v="57"/>
    </i>
    <i>
      <x v="58"/>
    </i>
    <i r="1">
      <x v="59"/>
    </i>
    <i r="2">
      <x v="47"/>
      <x v="58"/>
      <x/>
      <x v="9"/>
    </i>
    <i r="6">
      <x/>
      <x/>
      <x v="26"/>
      <x/>
    </i>
    <i t="default">
      <x v="58"/>
    </i>
    <i t="blank">
      <x v="58"/>
    </i>
    <i>
      <x v="59"/>
    </i>
    <i r="1">
      <x v="60"/>
    </i>
    <i r="2">
      <x v="48"/>
      <x v="59"/>
      <x/>
      <x v="9"/>
    </i>
    <i r="6">
      <x/>
      <x/>
      <x v="41"/>
      <x/>
    </i>
    <i t="default">
      <x v="59"/>
    </i>
    <i t="blank">
      <x v="59"/>
    </i>
    <i>
      <x v="60"/>
    </i>
    <i r="1">
      <x v="61"/>
    </i>
    <i r="2">
      <x v="49"/>
      <x v="60"/>
      <x/>
      <x v="9"/>
    </i>
    <i r="6">
      <x/>
      <x/>
      <x v="41"/>
      <x/>
    </i>
    <i t="default">
      <x v="60"/>
    </i>
    <i t="blank">
      <x v="60"/>
    </i>
    <i>
      <x v="61"/>
    </i>
    <i r="1">
      <x v="62"/>
    </i>
    <i r="2">
      <x v="2"/>
      <x v="61"/>
      <x/>
      <x v="9"/>
    </i>
    <i r="6">
      <x/>
      <x/>
      <x v="42"/>
      <x/>
    </i>
    <i t="default">
      <x v="61"/>
    </i>
    <i t="blank">
      <x v="61"/>
    </i>
    <i>
      <x v="62"/>
    </i>
    <i r="1">
      <x v="63"/>
    </i>
    <i r="2">
      <x/>
      <x v="62"/>
      <x/>
      <x v="9"/>
    </i>
    <i r="6">
      <x/>
      <x/>
      <x v="14"/>
      <x/>
    </i>
    <i t="default">
      <x v="62"/>
    </i>
    <i t="blank">
      <x v="62"/>
    </i>
    <i>
      <x v="63"/>
    </i>
    <i r="1">
      <x v="64"/>
    </i>
    <i r="2">
      <x v="50"/>
      <x v="63"/>
      <x/>
      <x v="9"/>
    </i>
    <i r="6">
      <x/>
      <x/>
      <x v="26"/>
      <x/>
    </i>
    <i t="default">
      <x v="63"/>
    </i>
    <i t="blank">
      <x v="63"/>
    </i>
    <i>
      <x v="64"/>
    </i>
    <i r="1">
      <x v="65"/>
    </i>
    <i r="2">
      <x v="12"/>
      <x v="64"/>
      <x/>
      <x v="9"/>
    </i>
    <i r="6">
      <x/>
      <x/>
      <x v="16"/>
      <x/>
    </i>
    <i t="default">
      <x v="64"/>
    </i>
    <i t="blank">
      <x v="64"/>
    </i>
    <i>
      <x v="65"/>
    </i>
    <i r="1">
      <x v="66"/>
    </i>
    <i r="2">
      <x v="51"/>
      <x v="65"/>
      <x/>
      <x v="9"/>
    </i>
    <i r="6">
      <x/>
      <x/>
      <x v="33"/>
      <x/>
    </i>
    <i t="default">
      <x v="65"/>
    </i>
    <i t="blank">
      <x v="65"/>
    </i>
    <i>
      <x v="66"/>
    </i>
    <i r="1">
      <x v="67"/>
    </i>
    <i r="2">
      <x v="52"/>
      <x v="66"/>
      <x/>
      <x v="9"/>
    </i>
    <i r="6">
      <x/>
      <x/>
      <x v="41"/>
      <x/>
    </i>
    <i t="default">
      <x v="66"/>
    </i>
    <i t="blank">
      <x v="66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74">
      <pivotArea dataOnly="0" labelOnly="1" outline="0" axis="axisValues" fieldPosition="0"/>
    </format>
    <format dxfId="73">
      <pivotArea dataOnly="0" labelOnly="1" fieldPosition="0">
        <references count="1">
          <reference field="4" count="0"/>
        </references>
      </pivotArea>
    </format>
    <format dxfId="72">
      <pivotArea dataOnly="0" labelOnly="1" fieldPosition="0">
        <references count="1">
          <reference field="4" count="0"/>
        </references>
      </pivotArea>
    </format>
    <format dxfId="71">
      <pivotArea field="8" type="button" dataOnly="0" labelOnly="1" outline="0" axis="axisRow" fieldPosition="9"/>
    </format>
    <format dxfId="70">
      <pivotArea field="8" type="button" dataOnly="0" labelOnly="1" outline="0" axis="axisRow" fieldPosition="9"/>
    </format>
    <format dxfId="69">
      <pivotArea dataOnly="0" labelOnly="1" fieldPosition="0">
        <references count="1">
          <reference field="8" count="0"/>
        </references>
      </pivotArea>
    </format>
    <format dxfId="68">
      <pivotArea dataOnly="0" labelOnly="1" fieldPosition="0">
        <references count="1">
          <reference field="9" count="0"/>
        </references>
      </pivotArea>
    </format>
    <format dxfId="67">
      <pivotArea dataOnly="0" labelOnly="1" fieldPosition="0">
        <references count="1">
          <reference field="9" count="0"/>
        </references>
      </pivotArea>
    </format>
    <format dxfId="66">
      <pivotArea dataOnly="0" fieldPosition="0">
        <references count="1">
          <reference field="2" count="1">
            <x v="67"/>
          </reference>
        </references>
      </pivotArea>
    </format>
    <format dxfId="65">
      <pivotArea dataOnly="0" fieldPosition="0">
        <references count="1">
          <reference field="2" count="1">
            <x v="67"/>
          </reference>
        </references>
      </pivotArea>
    </format>
    <format dxfId="64">
      <pivotArea dataOnly="0" labelOnly="1" fieldPosition="0">
        <references count="1">
          <reference field="9" count="0"/>
        </references>
      </pivotArea>
    </format>
    <format dxfId="63">
      <pivotArea dataOnly="0" labelOnly="1" fieldPosition="0">
        <references count="1">
          <reference field="9" count="0"/>
        </references>
      </pivotArea>
    </format>
    <format dxfId="62">
      <pivotArea dataOnly="0" labelOnly="1" fieldPosition="0">
        <references count="1">
          <reference field="6" count="0"/>
        </references>
      </pivotArea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fieldPosition="0">
        <references count="1">
          <reference field="9" count="0"/>
        </references>
      </pivotArea>
    </format>
    <format dxfId="58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0">
    <rowHierarchyUsage hierarchyUsage="4"/>
    <rowHierarchyUsage hierarchyUsage="3"/>
    <rowHierarchyUsage hierarchyUsage="16"/>
    <rowHierarchyUsage hierarchyUsage="22"/>
    <rowHierarchyUsage hierarchyUsage="24"/>
    <rowHierarchyUsage hierarchyUsage="25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6.xml><?xml version="1.0" encoding="utf-8"?>
<pivotTableDefinition xmlns="http://schemas.openxmlformats.org/spreadsheetml/2006/main" name="ESTATUS DE PAGOS" cacheId="11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H40" firstHeaderRow="1" firstDataRow="1" firstDataCol="7"/>
  <pivotFields count="11">
    <pivotField dataField="1" showAll="0"/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name="M. CONTRATADO" axis="axisRow" allDrilled="1" outline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insertBlankRow="1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AV.FIS. EST."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name="AV. FISICO" axis="axisRow" allDrilled="1" outline="0" showAll="0" defaultSubtotal="0" defaultAttributeDrillState="1">
      <items count="4">
        <item x="1"/>
        <item x="2"/>
        <item x="0"/>
        <item x="3"/>
      </items>
    </pivotField>
    <pivotField name="AV. FIN."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0">
    <field x="3"/>
    <field x="4"/>
    <field x="6"/>
    <field x="2"/>
    <field x="9"/>
    <field x="10"/>
    <field x="5"/>
    <field x="1"/>
    <field x="7"/>
    <field x="8"/>
  </rowFields>
  <rowItems count="37">
    <i>
      <x/>
    </i>
    <i r="1">
      <x/>
    </i>
    <i r="2">
      <x/>
      <x/>
      <x v="2"/>
      <x/>
    </i>
    <i r="6">
      <x/>
      <x/>
      <x/>
      <x/>
    </i>
    <i r="6">
      <x v="1"/>
      <x v="1"/>
      <x v="1"/>
      <x v="1"/>
    </i>
    <i r="6">
      <x v="2"/>
      <x v="1"/>
      <x v="1"/>
      <x v="2"/>
    </i>
    <i t="default">
      <x/>
    </i>
    <i t="blank">
      <x/>
    </i>
    <i>
      <x v="1"/>
    </i>
    <i r="1">
      <x v="1"/>
    </i>
    <i r="2">
      <x/>
      <x v="1"/>
      <x v="2"/>
      <x/>
    </i>
    <i r="6">
      <x/>
      <x/>
      <x/>
      <x/>
    </i>
    <i r="6">
      <x v="3"/>
      <x/>
      <x v="2"/>
      <x v="1"/>
    </i>
    <i r="6">
      <x v="4"/>
      <x v="1"/>
      <x v="1"/>
      <x v="2"/>
    </i>
    <i t="default">
      <x v="1"/>
    </i>
    <i t="blank">
      <x v="1"/>
    </i>
    <i>
      <x v="2"/>
    </i>
    <i r="1">
      <x v="2"/>
    </i>
    <i r="2">
      <x v="1"/>
      <x v="2"/>
      <x/>
      <x v="1"/>
    </i>
    <i r="6">
      <x/>
      <x/>
      <x/>
      <x/>
    </i>
    <i r="6">
      <x v="1"/>
      <x/>
      <x v="3"/>
      <x v="3"/>
    </i>
    <i t="default">
      <x v="2"/>
    </i>
    <i t="blank">
      <x v="2"/>
    </i>
    <i>
      <x v="3"/>
    </i>
    <i r="1">
      <x v="3"/>
    </i>
    <i r="2">
      <x v="1"/>
      <x v="3"/>
      <x v="1"/>
      <x v="2"/>
    </i>
    <i r="6">
      <x/>
      <x/>
      <x/>
      <x/>
    </i>
    <i r="6">
      <x v="3"/>
      <x/>
      <x v="3"/>
      <x v="4"/>
    </i>
    <i t="default">
      <x v="3"/>
    </i>
    <i t="blank">
      <x v="3"/>
    </i>
    <i>
      <x v="4"/>
    </i>
    <i r="1">
      <x v="4"/>
    </i>
    <i r="2">
      <x v="2"/>
      <x v="4"/>
      <x v="3"/>
      <x v="3"/>
    </i>
    <i r="6">
      <x/>
      <x v="2"/>
      <x v="4"/>
      <x/>
    </i>
    <i t="default">
      <x v="4"/>
    </i>
    <i t="blank">
      <x v="4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4" count="0"/>
        </references>
      </pivotArea>
    </format>
    <format dxfId="55">
      <pivotArea dataOnly="0" labelOnly="1" fieldPosition="0">
        <references count="1">
          <reference field="4" count="0"/>
        </references>
      </pivotArea>
    </format>
    <format dxfId="54">
      <pivotArea field="8" type="button" dataOnly="0" labelOnly="1" outline="0" axis="axisRow" fieldPosition="9"/>
    </format>
    <format dxfId="53">
      <pivotArea field="8" type="button" dataOnly="0" labelOnly="1" outline="0" axis="axisRow" fieldPosition="9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fieldPosition="0">
        <references count="1">
          <reference field="9" count="0"/>
        </references>
      </pivotArea>
    </format>
    <format dxfId="50">
      <pivotArea dataOnly="0" labelOnly="1" fieldPosition="0">
        <references count="1">
          <reference field="9" count="0"/>
        </references>
      </pivotArea>
    </format>
    <format dxfId="49">
      <pivotArea dataOnly="0" fieldPosition="0">
        <references count="1">
          <reference field="2" count="1">
            <x v="5"/>
          </reference>
        </references>
      </pivotArea>
    </format>
    <format dxfId="48">
      <pivotArea dataOnly="0" fieldPosition="0">
        <references count="1">
          <reference field="2" count="1">
            <x v="5"/>
          </reference>
        </references>
      </pivotArea>
    </format>
    <format dxfId="47">
      <pivotArea dataOnly="0" labelOnly="1" fieldPosition="0">
        <references count="1">
          <reference field="9" count="0"/>
        </references>
      </pivotArea>
    </format>
    <format dxfId="46">
      <pivotArea dataOnly="0" labelOnly="1" fieldPosition="0">
        <references count="1">
          <reference field="9" count="0"/>
        </references>
      </pivotArea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1">
          <reference field="9" count="0"/>
        </references>
      </pivotArea>
    </format>
    <format dxfId="41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10">
    <rowHierarchyUsage hierarchyUsage="4"/>
    <rowHierarchyUsage hierarchyUsage="3"/>
    <rowHierarchyUsage hierarchyUsage="16"/>
    <rowHierarchyUsage hierarchyUsage="22"/>
    <rowHierarchyUsage hierarchyUsage="24"/>
    <rowHierarchyUsage hierarchyUsage="25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7.xml><?xml version="1.0" encoding="utf-8"?>
<pivotTableDefinition xmlns="http://schemas.openxmlformats.org/spreadsheetml/2006/main" name="ESTATUS DE PAGOS" cacheId="8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G628" firstHeaderRow="1" firstDataRow="1" firstDataCol="6"/>
  <pivotFields count="10">
    <pivotField dataField="1" showAll="0"/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name="M. CONTRATADO" axis="axisRow" allDrilled="1" outline="0" showAll="0" dataSourceSort="1" defaultSubtotal="0" defaultAttributeDrillState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  <pivotField axis="axisRow" allDrilled="1" subtotalTop="0" showAll="0" insertBlankRow="1" dataSourceSort="1" defaultAttributeDrillState="1">
      <items count="7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t="default"/>
      </items>
    </pivotField>
    <pivotField axis="axisRow" allDrilled="1" subtotalTop="0" showAll="0" dataSourceSort="1" defaultSubtotal="0" defaultAttributeDrillState="1">
      <items count="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</items>
    </pivotField>
    <pivotField axis="axisRow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outline="0" subtotalTop="0" showAll="0" dataSourceSort="1" defaultSubtotal="0" defaultAttributeDrillState="1">
      <items count="3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</items>
    </pivotField>
    <pivotField axis="axisRow" allDrilled="1" outline="0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name="AV.FIN. EST." axis="axisRow" allDrilled="1" showAll="0" dataSourceSort="1" defaultAttributeDrillState="1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AV. FISICO" axis="axisRow" allDrilled="1" showAll="0" defaultSubtotal="0" defaultAttributeDrillState="1">
      <items count="32">
        <item x="0"/>
        <item x="10"/>
        <item x="15"/>
        <item x="9"/>
        <item x="13"/>
        <item x="14"/>
        <item x="2"/>
        <item x="16"/>
        <item x="7"/>
        <item x="12"/>
        <item x="17"/>
        <item x="11"/>
        <item x="20"/>
        <item x="24"/>
        <item x="25"/>
        <item x="1"/>
        <item x="6"/>
        <item x="22"/>
        <item x="27"/>
        <item x="3"/>
        <item x="4"/>
        <item x="5"/>
        <item x="8"/>
        <item x="19"/>
        <item x="21"/>
        <item x="26"/>
        <item x="29"/>
        <item x="28"/>
        <item x="30"/>
        <item x="31"/>
        <item x="18"/>
        <item x="23"/>
      </items>
    </pivotField>
  </pivotFields>
  <rowFields count="9">
    <field x="3"/>
    <field x="4"/>
    <field x="6"/>
    <field x="2"/>
    <field x="9"/>
    <field x="5"/>
    <field x="1"/>
    <field x="7"/>
    <field x="8"/>
  </rowFields>
  <rowItems count="625">
    <i>
      <x/>
    </i>
    <i r="1">
      <x/>
    </i>
    <i r="2">
      <x/>
      <x/>
      <x/>
    </i>
    <i r="5">
      <x/>
      <x/>
      <x/>
      <x/>
    </i>
    <i r="5">
      <x v="1"/>
      <x/>
      <x v="1"/>
      <x v="1"/>
    </i>
    <i r="5">
      <x v="2"/>
      <x/>
      <x v="1"/>
      <x v="1"/>
    </i>
    <i r="5">
      <x v="3"/>
      <x/>
      <x v="1"/>
      <x v="1"/>
    </i>
    <i r="5">
      <x v="4"/>
      <x/>
      <x v="2"/>
      <x v="1"/>
    </i>
    <i t="default">
      <x/>
    </i>
    <i t="blank">
      <x/>
    </i>
    <i>
      <x v="1"/>
    </i>
    <i r="1">
      <x v="1"/>
    </i>
    <i r="2">
      <x v="1"/>
      <x v="1"/>
      <x/>
    </i>
    <i r="5">
      <x/>
      <x/>
      <x v="3"/>
      <x/>
    </i>
    <i r="5">
      <x v="1"/>
      <x/>
      <x v="4"/>
      <x v="1"/>
    </i>
    <i r="5">
      <x v="2"/>
      <x/>
      <x v="2"/>
      <x v="1"/>
    </i>
    <i r="5">
      <x v="3"/>
      <x/>
      <x v="2"/>
      <x v="1"/>
    </i>
    <i r="5">
      <x v="4"/>
      <x/>
      <x v="2"/>
      <x v="1"/>
    </i>
    <i t="default">
      <x v="1"/>
    </i>
    <i t="blank">
      <x v="1"/>
    </i>
    <i>
      <x v="2"/>
    </i>
    <i r="1">
      <x v="2"/>
    </i>
    <i r="2">
      <x v="2"/>
      <x v="2"/>
      <x/>
    </i>
    <i r="5">
      <x/>
      <x/>
      <x v="5"/>
      <x/>
    </i>
    <i r="5">
      <x v="1"/>
      <x/>
      <x v="6"/>
      <x v="2"/>
    </i>
    <i r="5">
      <x v="2"/>
      <x/>
      <x v="6"/>
      <x v="3"/>
    </i>
    <i r="5">
      <x v="3"/>
      <x/>
      <x v="6"/>
      <x v="4"/>
    </i>
    <i r="5">
      <x v="4"/>
      <x/>
      <x v="7"/>
      <x v="5"/>
    </i>
    <i r="5">
      <x v="5"/>
      <x v="1"/>
      <x v="8"/>
      <x v="6"/>
    </i>
    <i r="5">
      <x v="6"/>
      <x v="1"/>
      <x v="8"/>
      <x v="6"/>
    </i>
    <i t="default">
      <x v="2"/>
    </i>
    <i t="blank">
      <x v="2"/>
    </i>
    <i>
      <x v="3"/>
    </i>
    <i r="1">
      <x v="3"/>
    </i>
    <i r="2">
      <x v="3"/>
      <x v="3"/>
      <x/>
    </i>
    <i r="5">
      <x/>
      <x/>
      <x v="9"/>
      <x/>
    </i>
    <i r="5">
      <x v="1"/>
      <x/>
      <x v="10"/>
      <x v="1"/>
    </i>
    <i r="5">
      <x v="2"/>
      <x/>
      <x v="6"/>
      <x v="1"/>
    </i>
    <i r="5">
      <x v="3"/>
      <x/>
      <x v="4"/>
      <x v="1"/>
    </i>
    <i r="5">
      <x v="4"/>
      <x/>
      <x v="11"/>
      <x v="7"/>
    </i>
    <i r="5">
      <x v="5"/>
      <x/>
      <x v="2"/>
      <x v="7"/>
    </i>
    <i t="default">
      <x v="3"/>
    </i>
    <i t="blank">
      <x v="3"/>
    </i>
    <i>
      <x v="4"/>
    </i>
    <i r="1">
      <x v="4"/>
    </i>
    <i r="2">
      <x v="4"/>
      <x v="4"/>
      <x v="15"/>
    </i>
    <i r="5">
      <x/>
      <x/>
      <x v="12"/>
      <x/>
    </i>
    <i r="5">
      <x v="1"/>
      <x/>
      <x v="1"/>
      <x v="8"/>
    </i>
    <i r="5">
      <x v="2"/>
      <x/>
      <x v="1"/>
      <x v="8"/>
    </i>
    <i r="5">
      <x v="3"/>
      <x/>
      <x v="7"/>
      <x v="8"/>
    </i>
    <i r="5">
      <x v="4"/>
      <x/>
      <x v="7"/>
      <x v="8"/>
    </i>
    <i r="5">
      <x v="5"/>
      <x/>
      <x v="2"/>
      <x v="8"/>
    </i>
    <i r="5">
      <x v="6"/>
      <x/>
      <x v="2"/>
      <x v="8"/>
    </i>
    <i r="5">
      <x v="7"/>
      <x/>
      <x v="2"/>
      <x v="8"/>
    </i>
    <i t="default">
      <x v="4"/>
    </i>
    <i t="blank">
      <x v="4"/>
    </i>
    <i>
      <x v="5"/>
    </i>
    <i r="1">
      <x v="5"/>
    </i>
    <i r="2">
      <x v="5"/>
      <x v="5"/>
      <x/>
    </i>
    <i r="5">
      <x v="1"/>
      <x/>
      <x v="2"/>
      <x v="9"/>
    </i>
    <i r="5">
      <x v="2"/>
      <x/>
      <x v="2"/>
      <x v="10"/>
    </i>
    <i t="default">
      <x v="5"/>
    </i>
    <i t="blank">
      <x v="5"/>
    </i>
    <i>
      <x v="6"/>
    </i>
    <i r="1">
      <x v="6"/>
    </i>
    <i r="2">
      <x v="5"/>
      <x v="5"/>
      <x/>
    </i>
    <i r="5">
      <x v="1"/>
      <x/>
      <x v="2"/>
      <x v="11"/>
    </i>
    <i r="5">
      <x v="2"/>
      <x/>
      <x v="2"/>
      <x v="12"/>
    </i>
    <i t="default">
      <x v="6"/>
    </i>
    <i t="blank">
      <x v="6"/>
    </i>
    <i>
      <x v="7"/>
    </i>
    <i r="1">
      <x v="7"/>
    </i>
    <i r="2">
      <x v="6"/>
      <x v="6"/>
      <x/>
    </i>
    <i r="5">
      <x v="1"/>
      <x/>
      <x v="13"/>
      <x v="1"/>
    </i>
    <i r="5">
      <x v="2"/>
      <x/>
      <x v="13"/>
      <x v="1"/>
    </i>
    <i r="5">
      <x v="3"/>
      <x/>
      <x v="13"/>
      <x v="1"/>
    </i>
    <i r="5">
      <x v="4"/>
      <x v="1"/>
      <x v="14"/>
      <x v="1"/>
    </i>
    <i t="default">
      <x v="7"/>
    </i>
    <i t="blank">
      <x v="7"/>
    </i>
    <i>
      <x v="8"/>
    </i>
    <i r="1">
      <x v="8"/>
    </i>
    <i r="2">
      <x v="7"/>
      <x v="7"/>
      <x/>
    </i>
    <i r="5">
      <x/>
      <x/>
      <x v="15"/>
      <x/>
    </i>
    <i r="5">
      <x v="1"/>
      <x/>
      <x v="10"/>
      <x v="13"/>
    </i>
    <i r="5">
      <x v="2"/>
      <x v="1"/>
      <x v="16"/>
      <x v="14"/>
    </i>
    <i t="default">
      <x v="8"/>
    </i>
    <i t="blank">
      <x v="8"/>
    </i>
    <i>
      <x v="9"/>
    </i>
    <i r="1">
      <x v="9"/>
    </i>
    <i r="2">
      <x v="8"/>
      <x v="8"/>
      <x v="6"/>
    </i>
    <i r="5">
      <x v="1"/>
      <x/>
      <x v="17"/>
      <x v="15"/>
    </i>
    <i r="5">
      <x v="2"/>
      <x/>
      <x v="18"/>
      <x v="16"/>
    </i>
    <i r="5">
      <x v="3"/>
      <x/>
      <x v="10"/>
      <x v="17"/>
    </i>
    <i r="5">
      <x v="4"/>
      <x/>
      <x v="13"/>
      <x v="18"/>
    </i>
    <i t="default">
      <x v="9"/>
    </i>
    <i t="blank">
      <x v="9"/>
    </i>
    <i>
      <x v="10"/>
    </i>
    <i r="1">
      <x v="10"/>
    </i>
    <i r="2">
      <x v="6"/>
      <x v="6"/>
      <x/>
    </i>
    <i r="5">
      <x v="1"/>
      <x/>
      <x v="13"/>
      <x v="1"/>
    </i>
    <i r="5">
      <x v="2"/>
      <x/>
      <x v="6"/>
      <x v="1"/>
    </i>
    <i r="5">
      <x v="3"/>
      <x/>
      <x v="2"/>
      <x v="1"/>
    </i>
    <i r="5">
      <x v="4"/>
      <x v="1"/>
      <x v="14"/>
      <x v="1"/>
    </i>
    <i t="default">
      <x v="10"/>
    </i>
    <i t="blank">
      <x v="10"/>
    </i>
    <i>
      <x v="11"/>
    </i>
    <i r="1">
      <x v="11"/>
    </i>
    <i r="2">
      <x v="9"/>
      <x v="9"/>
      <x/>
    </i>
    <i r="5">
      <x/>
      <x/>
      <x v="19"/>
      <x/>
    </i>
    <i r="5">
      <x v="1"/>
      <x/>
      <x v="6"/>
      <x v="19"/>
    </i>
    <i r="5">
      <x v="2"/>
      <x/>
      <x v="6"/>
      <x v="20"/>
    </i>
    <i r="5">
      <x v="3"/>
      <x/>
      <x v="7"/>
      <x v="21"/>
    </i>
    <i r="5">
      <x v="4"/>
      <x/>
      <x v="7"/>
      <x v="21"/>
    </i>
    <i r="5">
      <x v="5"/>
      <x/>
      <x v="4"/>
      <x v="20"/>
    </i>
    <i r="5">
      <x v="6"/>
      <x/>
      <x v="2"/>
      <x v="21"/>
    </i>
    <i r="5">
      <x v="7"/>
      <x/>
      <x v="2"/>
      <x v="22"/>
    </i>
    <i t="default">
      <x v="11"/>
    </i>
    <i t="blank">
      <x v="11"/>
    </i>
    <i>
      <x v="12"/>
    </i>
    <i r="1">
      <x v="12"/>
    </i>
    <i r="2">
      <x v="2"/>
      <x v="10"/>
      <x/>
    </i>
    <i r="5">
      <x/>
      <x/>
      <x v="5"/>
      <x/>
    </i>
    <i r="5">
      <x v="1"/>
      <x/>
      <x v="7"/>
      <x v="23"/>
    </i>
    <i r="5">
      <x v="2"/>
      <x/>
      <x v="7"/>
      <x v="24"/>
    </i>
    <i r="5">
      <x v="3"/>
      <x/>
      <x v="7"/>
      <x v="25"/>
    </i>
    <i r="5">
      <x v="4"/>
      <x/>
      <x v="2"/>
      <x v="26"/>
    </i>
    <i r="5">
      <x v="5"/>
      <x/>
      <x v="2"/>
      <x v="24"/>
    </i>
    <i r="5">
      <x v="6"/>
      <x/>
      <x v="2"/>
      <x v="25"/>
    </i>
    <i r="5">
      <x v="7"/>
      <x v="1"/>
      <x v="16"/>
      <x v="27"/>
    </i>
    <i t="default">
      <x v="12"/>
    </i>
    <i t="blank">
      <x v="12"/>
    </i>
    <i>
      <x v="13"/>
    </i>
    <i r="1">
      <x v="13"/>
    </i>
    <i r="2">
      <x v="10"/>
      <x v="11"/>
      <x v="19"/>
    </i>
    <i r="5">
      <x/>
      <x/>
      <x v="9"/>
      <x/>
    </i>
    <i r="5">
      <x v="1"/>
      <x/>
      <x v="6"/>
      <x v="25"/>
    </i>
    <i r="5">
      <x v="2"/>
      <x/>
      <x v="4"/>
      <x v="25"/>
    </i>
    <i r="5">
      <x v="3"/>
      <x/>
      <x v="2"/>
      <x v="25"/>
    </i>
    <i r="5">
      <x v="4"/>
      <x/>
      <x v="2"/>
      <x v="25"/>
    </i>
    <i r="5">
      <x v="5"/>
      <x/>
      <x v="2"/>
      <x v="25"/>
    </i>
    <i r="5">
      <x v="6"/>
      <x v="1"/>
      <x v="16"/>
      <x v="25"/>
    </i>
    <i t="default">
      <x v="13"/>
    </i>
    <i t="blank">
      <x v="13"/>
    </i>
    <i>
      <x v="14"/>
    </i>
    <i r="1">
      <x v="14"/>
    </i>
    <i r="2">
      <x v="11"/>
      <x v="12"/>
      <x v="20"/>
    </i>
    <i r="5">
      <x/>
      <x/>
      <x v="15"/>
      <x/>
    </i>
    <i r="5">
      <x v="1"/>
      <x v="1"/>
      <x v="16"/>
      <x v="25"/>
    </i>
    <i t="default">
      <x v="14"/>
    </i>
    <i t="blank">
      <x v="14"/>
    </i>
    <i>
      <x v="15"/>
    </i>
    <i r="1">
      <x v="15"/>
    </i>
    <i r="2">
      <x v="4"/>
      <x v="13"/>
      <x v="21"/>
    </i>
    <i r="5">
      <x/>
      <x/>
      <x v="20"/>
      <x/>
    </i>
    <i r="5">
      <x v="1"/>
      <x/>
      <x v="3"/>
      <x v="25"/>
    </i>
    <i r="5">
      <x v="2"/>
      <x/>
      <x v="7"/>
      <x v="25"/>
    </i>
    <i r="5">
      <x v="3"/>
      <x/>
      <x v="4"/>
      <x v="25"/>
    </i>
    <i r="5">
      <x v="4"/>
      <x/>
      <x v="2"/>
      <x v="25"/>
    </i>
    <i r="5">
      <x v="5"/>
      <x/>
      <x v="2"/>
      <x v="25"/>
    </i>
    <i r="5">
      <x v="6"/>
      <x/>
      <x v="2"/>
      <x v="28"/>
    </i>
    <i r="5">
      <x v="7"/>
      <x v="1"/>
      <x v="16"/>
      <x v="28"/>
    </i>
    <i t="default">
      <x v="15"/>
    </i>
    <i t="blank">
      <x v="15"/>
    </i>
    <i>
      <x v="16"/>
    </i>
    <i r="1">
      <x v="16"/>
    </i>
    <i r="2">
      <x v="12"/>
      <x v="14"/>
      <x v="19"/>
    </i>
    <i r="5">
      <x/>
      <x/>
      <x v="10"/>
      <x/>
    </i>
    <i r="5">
      <x v="1"/>
      <x/>
      <x v="2"/>
      <x v="25"/>
    </i>
    <i r="5">
      <x v="2"/>
      <x/>
      <x v="2"/>
      <x v="25"/>
    </i>
    <i r="5">
      <x v="3"/>
      <x/>
      <x v="2"/>
      <x v="25"/>
    </i>
    <i r="5">
      <x v="4"/>
      <x/>
      <x v="2"/>
      <x v="25"/>
    </i>
    <i r="5">
      <x v="5"/>
      <x/>
      <x v="2"/>
      <x v="25"/>
    </i>
    <i r="5">
      <x v="6"/>
      <x v="1"/>
      <x v="21"/>
      <x v="25"/>
    </i>
    <i t="default">
      <x v="16"/>
    </i>
    <i t="blank">
      <x v="16"/>
    </i>
    <i>
      <x v="17"/>
    </i>
    <i r="1">
      <x v="17"/>
    </i>
    <i r="2">
      <x v="13"/>
      <x v="15"/>
      <x v="16"/>
    </i>
    <i r="5">
      <x/>
      <x/>
      <x v="22"/>
      <x/>
    </i>
    <i r="5">
      <x v="1"/>
      <x/>
      <x v="7"/>
      <x v="8"/>
    </i>
    <i r="5">
      <x v="2"/>
      <x/>
      <x v="4"/>
      <x v="8"/>
    </i>
    <i r="5">
      <x v="3"/>
      <x/>
      <x v="2"/>
      <x v="8"/>
    </i>
    <i r="5">
      <x v="4"/>
      <x/>
      <x v="2"/>
      <x v="8"/>
    </i>
    <i r="5">
      <x v="5"/>
      <x v="1"/>
      <x v="14"/>
      <x v="8"/>
    </i>
    <i t="default">
      <x v="17"/>
    </i>
    <i t="blank">
      <x v="17"/>
    </i>
    <i>
      <x v="18"/>
    </i>
    <i r="1">
      <x v="18"/>
    </i>
    <i r="2">
      <x v="14"/>
      <x v="16"/>
      <x v="8"/>
    </i>
    <i r="5">
      <x/>
      <x/>
      <x v="15"/>
      <x/>
    </i>
    <i r="5">
      <x v="1"/>
      <x/>
      <x v="13"/>
      <x v="29"/>
    </i>
    <i r="5">
      <x v="2"/>
      <x/>
      <x v="23"/>
      <x v="30"/>
    </i>
    <i r="5">
      <x v="3"/>
      <x/>
      <x v="24"/>
      <x v="31"/>
    </i>
    <i r="5">
      <x v="4"/>
      <x/>
      <x v="24"/>
      <x v="32"/>
    </i>
    <i t="default">
      <x v="18"/>
    </i>
    <i t="blank">
      <x v="18"/>
    </i>
    <i>
      <x v="19"/>
    </i>
    <i r="1">
      <x v="19"/>
    </i>
    <i r="2">
      <x v="11"/>
      <x v="17"/>
      <x v="22"/>
    </i>
    <i r="5">
      <x/>
      <x/>
      <x v="10"/>
      <x/>
    </i>
    <i r="5">
      <x v="1"/>
      <x/>
      <x v="2"/>
      <x v="25"/>
    </i>
    <i r="5">
      <x v="2"/>
      <x/>
      <x v="2"/>
      <x v="25"/>
    </i>
    <i r="5">
      <x v="3"/>
      <x v="1"/>
      <x v="14"/>
      <x v="25"/>
    </i>
    <i t="default">
      <x v="19"/>
    </i>
    <i t="blank">
      <x v="19"/>
    </i>
    <i>
      <x v="20"/>
    </i>
    <i r="1">
      <x v="20"/>
    </i>
    <i r="2">
      <x v="15"/>
      <x v="18"/>
      <x v="3"/>
    </i>
    <i r="5">
      <x/>
      <x/>
      <x v="10"/>
      <x/>
    </i>
    <i r="5">
      <x v="1"/>
      <x/>
      <x v="6"/>
      <x v="33"/>
    </i>
    <i r="5">
      <x v="2"/>
      <x/>
      <x v="7"/>
      <x v="14"/>
    </i>
    <i r="5">
      <x v="3"/>
      <x/>
      <x v="4"/>
      <x v="14"/>
    </i>
    <i r="5">
      <x v="4"/>
      <x v="1"/>
      <x v="6"/>
      <x v="14"/>
    </i>
    <i t="default">
      <x v="20"/>
    </i>
    <i t="blank">
      <x v="20"/>
    </i>
    <i>
      <x v="21"/>
    </i>
    <i r="1">
      <x v="21"/>
    </i>
    <i r="2">
      <x v="16"/>
      <x v="19"/>
      <x/>
    </i>
    <i r="5">
      <x v="1"/>
      <x/>
      <x v="5"/>
      <x v="34"/>
    </i>
    <i r="5">
      <x v="2"/>
      <x/>
      <x v="10"/>
      <x v="34"/>
    </i>
    <i r="5">
      <x v="3"/>
      <x/>
      <x v="2"/>
      <x v="35"/>
    </i>
    <i r="5">
      <x v="4"/>
      <x/>
      <x v="2"/>
      <x v="36"/>
    </i>
    <i r="5">
      <x v="5"/>
      <x/>
      <x v="2"/>
      <x v="37"/>
    </i>
    <i t="default">
      <x v="21"/>
    </i>
    <i t="blank">
      <x v="21"/>
    </i>
    <i>
      <x v="22"/>
    </i>
    <i r="1">
      <x v="22"/>
    </i>
    <i r="2">
      <x v="17"/>
      <x v="20"/>
      <x/>
    </i>
    <i r="5">
      <x/>
      <x/>
      <x v="10"/>
      <x/>
    </i>
    <i r="5">
      <x v="1"/>
      <x/>
      <x v="7"/>
      <x v="1"/>
    </i>
    <i r="5">
      <x v="2"/>
      <x/>
      <x v="4"/>
      <x v="1"/>
    </i>
    <i r="5">
      <x v="3"/>
      <x/>
      <x v="4"/>
      <x v="1"/>
    </i>
    <i r="5">
      <x v="4"/>
      <x/>
      <x v="25"/>
      <x v="1"/>
    </i>
    <i t="default">
      <x v="22"/>
    </i>
    <i t="blank">
      <x v="22"/>
    </i>
    <i>
      <x v="23"/>
    </i>
    <i r="1">
      <x v="23"/>
    </i>
    <i r="2">
      <x v="18"/>
      <x v="21"/>
      <x v="1"/>
    </i>
    <i r="5">
      <x/>
      <x/>
      <x v="10"/>
      <x/>
    </i>
    <i r="5">
      <x v="1"/>
      <x/>
      <x v="26"/>
      <x v="38"/>
    </i>
    <i r="5">
      <x v="2"/>
      <x/>
      <x v="26"/>
      <x v="39"/>
    </i>
    <i r="5">
      <x v="3"/>
      <x/>
      <x v="26"/>
      <x v="40"/>
    </i>
    <i r="5">
      <x v="4"/>
      <x/>
      <x v="26"/>
      <x v="41"/>
    </i>
    <i t="default">
      <x v="23"/>
    </i>
    <i t="blank">
      <x v="23"/>
    </i>
    <i>
      <x v="24"/>
    </i>
    <i r="1">
      <x v="24"/>
    </i>
    <i r="2">
      <x v="11"/>
      <x v="22"/>
      <x v="11"/>
    </i>
    <i r="5">
      <x/>
      <x/>
      <x v="15"/>
      <x/>
    </i>
    <i r="5">
      <x v="1"/>
      <x/>
      <x v="4"/>
      <x v="42"/>
    </i>
    <i r="5">
      <x v="2"/>
      <x/>
      <x v="2"/>
      <x v="42"/>
    </i>
    <i r="5">
      <x v="3"/>
      <x v="1"/>
      <x v="14"/>
      <x v="42"/>
    </i>
    <i t="default">
      <x v="24"/>
    </i>
    <i t="blank">
      <x v="24"/>
    </i>
    <i>
      <x v="25"/>
    </i>
    <i r="1">
      <x v="25"/>
    </i>
    <i r="2">
      <x v="16"/>
      <x v="23"/>
      <x/>
    </i>
    <i r="5">
      <x/>
      <x/>
      <x v="5"/>
      <x/>
    </i>
    <i r="5">
      <x v="1"/>
      <x/>
      <x v="7"/>
      <x v="42"/>
    </i>
    <i r="5">
      <x v="2"/>
      <x/>
      <x v="2"/>
      <x v="43"/>
    </i>
    <i r="5">
      <x v="3"/>
      <x/>
      <x v="2"/>
      <x v="44"/>
    </i>
    <i r="5">
      <x v="4"/>
      <x v="1"/>
      <x v="27"/>
      <x v="45"/>
    </i>
    <i t="default">
      <x v="25"/>
    </i>
    <i t="blank">
      <x v="25"/>
    </i>
    <i>
      <x v="26"/>
    </i>
    <i r="1">
      <x v="26"/>
    </i>
    <i r="2">
      <x v="16"/>
      <x v="24"/>
      <x v="9"/>
    </i>
    <i r="5">
      <x/>
      <x/>
      <x v="5"/>
      <x/>
    </i>
    <i r="5">
      <x v="1"/>
      <x/>
      <x v="10"/>
      <x v="42"/>
    </i>
    <i r="5">
      <x v="2"/>
      <x/>
      <x v="2"/>
      <x v="42"/>
    </i>
    <i r="5">
      <x v="3"/>
      <x/>
      <x v="2"/>
      <x v="25"/>
    </i>
    <i r="5">
      <x v="4"/>
      <x v="2"/>
      <x v="28"/>
      <x v="46"/>
    </i>
    <i t="default">
      <x v="26"/>
    </i>
    <i t="blank">
      <x v="26"/>
    </i>
    <i>
      <x v="27"/>
    </i>
    <i r="1">
      <x v="27"/>
    </i>
    <i r="2">
      <x v="2"/>
      <x v="25"/>
      <x/>
    </i>
    <i r="5">
      <x/>
      <x/>
      <x v="5"/>
      <x/>
    </i>
    <i r="5">
      <x v="1"/>
      <x/>
      <x v="7"/>
      <x v="1"/>
    </i>
    <i r="5">
      <x v="2"/>
      <x/>
      <x v="4"/>
      <x v="1"/>
    </i>
    <i r="5">
      <x v="3"/>
      <x/>
      <x v="4"/>
      <x v="1"/>
    </i>
    <i r="5">
      <x v="4"/>
      <x/>
      <x v="2"/>
      <x v="47"/>
    </i>
    <i r="5">
      <x v="5"/>
      <x/>
      <x v="2"/>
      <x v="48"/>
    </i>
    <i t="default">
      <x v="27"/>
    </i>
    <i t="blank">
      <x v="27"/>
    </i>
    <i>
      <x v="28"/>
    </i>
    <i r="1">
      <x v="28"/>
    </i>
    <i r="2">
      <x v="16"/>
      <x v="26"/>
      <x/>
    </i>
    <i r="5">
      <x/>
      <x/>
      <x v="29"/>
      <x/>
    </i>
    <i r="5">
      <x v="1"/>
      <x/>
      <x v="6"/>
      <x v="42"/>
    </i>
    <i r="5">
      <x v="2"/>
      <x/>
      <x v="2"/>
      <x v="42"/>
    </i>
    <i r="5">
      <x v="3"/>
      <x/>
      <x v="2"/>
      <x v="25"/>
    </i>
    <i r="5">
      <x v="4"/>
      <x v="2"/>
      <x v="28"/>
      <x v="25"/>
    </i>
    <i t="default">
      <x v="28"/>
    </i>
    <i t="blank">
      <x v="28"/>
    </i>
    <i>
      <x v="29"/>
    </i>
    <i r="1">
      <x v="29"/>
    </i>
    <i r="2">
      <x v="10"/>
      <x v="27"/>
      <x v="4"/>
    </i>
    <i r="5">
      <x v="1"/>
      <x/>
      <x v="6"/>
      <x v="42"/>
    </i>
    <i r="5">
      <x v="2"/>
      <x/>
      <x v="2"/>
      <x v="42"/>
    </i>
    <i t="default">
      <x v="29"/>
    </i>
    <i t="blank">
      <x v="29"/>
    </i>
    <i>
      <x v="30"/>
    </i>
    <i r="1">
      <x v="30"/>
    </i>
    <i r="2">
      <x v="10"/>
      <x v="28"/>
      <x v="4"/>
    </i>
    <i r="5">
      <x v="1"/>
      <x/>
      <x v="7"/>
      <x v="42"/>
    </i>
    <i r="5">
      <x v="2"/>
      <x/>
      <x v="2"/>
      <x v="42"/>
    </i>
    <i t="default">
      <x v="30"/>
    </i>
    <i t="blank">
      <x v="30"/>
    </i>
    <i>
      <x v="31"/>
    </i>
    <i r="1">
      <x v="31"/>
    </i>
    <i r="2">
      <x v="19"/>
      <x v="29"/>
      <x/>
    </i>
    <i r="5">
      <x/>
      <x/>
      <x v="10"/>
      <x/>
    </i>
    <i r="5">
      <x v="1"/>
      <x/>
      <x v="2"/>
      <x v="49"/>
    </i>
    <i r="5">
      <x v="2"/>
      <x/>
      <x v="2"/>
      <x v="49"/>
    </i>
    <i r="5">
      <x v="3"/>
      <x/>
      <x v="2"/>
      <x v="50"/>
    </i>
    <i t="default">
      <x v="31"/>
    </i>
    <i t="blank">
      <x v="31"/>
    </i>
    <i>
      <x v="32"/>
    </i>
    <i r="1">
      <x v="32"/>
    </i>
    <i r="2">
      <x v="20"/>
      <x v="30"/>
      <x v="1"/>
    </i>
    <i r="5">
      <x v="1"/>
      <x/>
      <x v="13"/>
      <x v="51"/>
    </i>
    <i r="5">
      <x v="2"/>
      <x/>
      <x v="2"/>
      <x v="52"/>
    </i>
    <i t="default">
      <x v="32"/>
    </i>
    <i t="blank">
      <x v="32"/>
    </i>
    <i>
      <x v="33"/>
    </i>
    <i r="1">
      <x v="33"/>
    </i>
    <i r="2">
      <x v="20"/>
      <x v="31"/>
      <x/>
    </i>
    <i r="5">
      <x v="1"/>
      <x/>
      <x v="10"/>
      <x v="53"/>
    </i>
    <i r="5">
      <x v="2"/>
      <x/>
      <x v="2"/>
      <x v="54"/>
    </i>
    <i t="default">
      <x v="33"/>
    </i>
    <i t="blank">
      <x v="33"/>
    </i>
    <i>
      <x v="34"/>
    </i>
    <i r="1">
      <x v="34"/>
    </i>
    <i r="2">
      <x v="20"/>
      <x v="32"/>
      <x/>
    </i>
    <i r="5">
      <x v="1"/>
      <x/>
      <x v="6"/>
      <x v="55"/>
    </i>
    <i r="5">
      <x v="2"/>
      <x/>
      <x v="2"/>
      <x v="55"/>
    </i>
    <i t="default">
      <x v="34"/>
    </i>
    <i t="blank">
      <x v="34"/>
    </i>
    <i>
      <x v="35"/>
    </i>
    <i r="1">
      <x v="35"/>
    </i>
    <i r="2">
      <x v="20"/>
      <x v="33"/>
      <x/>
    </i>
    <i r="5">
      <x v="1"/>
      <x/>
      <x v="4"/>
      <x v="55"/>
    </i>
    <i r="5">
      <x v="2"/>
      <x/>
      <x v="2"/>
      <x v="55"/>
    </i>
    <i t="default">
      <x v="35"/>
    </i>
    <i t="blank">
      <x v="35"/>
    </i>
    <i>
      <x v="36"/>
    </i>
    <i r="1">
      <x v="36"/>
    </i>
    <i r="2">
      <x v="20"/>
      <x v="34"/>
      <x v="5"/>
    </i>
    <i r="5">
      <x v="1"/>
      <x/>
      <x v="4"/>
      <x v="56"/>
    </i>
    <i t="default">
      <x v="36"/>
    </i>
    <i t="blank">
      <x v="36"/>
    </i>
    <i>
      <x v="37"/>
    </i>
    <i r="1">
      <x v="37"/>
    </i>
    <i r="2">
      <x v="20"/>
      <x v="32"/>
      <x v="2"/>
    </i>
    <i r="5">
      <x v="1"/>
      <x/>
      <x v="10"/>
      <x v="55"/>
    </i>
    <i t="default">
      <x v="37"/>
    </i>
    <i t="blank">
      <x v="37"/>
    </i>
    <i>
      <x v="38"/>
    </i>
    <i r="1">
      <x v="38"/>
    </i>
    <i r="2">
      <x v="20"/>
      <x v="35"/>
      <x v="2"/>
    </i>
    <i r="5">
      <x v="1"/>
      <x/>
      <x v="10"/>
      <x v="55"/>
    </i>
    <i t="default">
      <x v="38"/>
    </i>
    <i t="blank">
      <x v="38"/>
    </i>
    <i>
      <x v="39"/>
    </i>
    <i r="1">
      <x v="39"/>
    </i>
    <i r="2">
      <x v="20"/>
      <x v="36"/>
      <x v="7"/>
    </i>
    <i r="5">
      <x v="1"/>
      <x/>
      <x v="10"/>
      <x v="57"/>
    </i>
    <i t="default">
      <x v="39"/>
    </i>
    <i t="blank">
      <x v="39"/>
    </i>
    <i>
      <x v="40"/>
    </i>
    <i r="1">
      <x v="40"/>
    </i>
    <i r="2">
      <x v="20"/>
      <x v="37"/>
      <x/>
    </i>
    <i r="5">
      <x v="1"/>
      <x v="1"/>
      <x v="30"/>
      <x v="58"/>
    </i>
    <i t="default">
      <x v="40"/>
    </i>
    <i t="blank">
      <x v="40"/>
    </i>
    <i>
      <x v="41"/>
    </i>
    <i r="1">
      <x v="41"/>
    </i>
    <i r="2">
      <x v="20"/>
      <x v="36"/>
      <x v="7"/>
    </i>
    <i r="5">
      <x v="1"/>
      <x/>
      <x v="31"/>
      <x v="57"/>
    </i>
    <i t="default">
      <x v="41"/>
    </i>
    <i t="blank">
      <x v="41"/>
    </i>
    <i>
      <x v="42"/>
    </i>
    <i r="1">
      <x v="42"/>
    </i>
    <i r="2">
      <x v="21"/>
      <x v="38"/>
      <x v="10"/>
    </i>
    <i r="5">
      <x/>
      <x/>
      <x v="29"/>
      <x/>
    </i>
    <i r="5">
      <x v="1"/>
      <x/>
      <x v="1"/>
      <x v="59"/>
    </i>
    <i r="5">
      <x v="2"/>
      <x/>
      <x v="1"/>
      <x v="60"/>
    </i>
    <i r="5">
      <x v="3"/>
      <x/>
      <x v="4"/>
      <x v="60"/>
    </i>
    <i r="5">
      <x v="4"/>
      <x/>
      <x v="2"/>
      <x v="14"/>
    </i>
    <i r="5">
      <x v="5"/>
      <x/>
      <x v="2"/>
      <x v="60"/>
    </i>
    <i r="5">
      <x v="6"/>
      <x/>
      <x v="2"/>
      <x v="61"/>
    </i>
    <i t="default">
      <x v="42"/>
    </i>
    <i t="blank">
      <x v="42"/>
    </i>
    <i>
      <x v="43"/>
    </i>
    <i r="1">
      <x v="43"/>
    </i>
    <i r="2">
      <x v="5"/>
      <x v="39"/>
      <x/>
    </i>
    <i r="5">
      <x v="1"/>
      <x/>
      <x v="2"/>
      <x v="1"/>
    </i>
    <i r="5">
      <x v="2"/>
      <x/>
      <x v="2"/>
      <x v="1"/>
    </i>
    <i r="5">
      <x v="3"/>
      <x/>
      <x v="2"/>
      <x v="1"/>
    </i>
    <i r="5">
      <x v="4"/>
      <x/>
      <x v="2"/>
      <x v="1"/>
    </i>
    <i t="default">
      <x v="43"/>
    </i>
    <i t="blank">
      <x v="43"/>
    </i>
    <i>
      <x v="44"/>
    </i>
    <i r="1">
      <x v="44"/>
    </i>
    <i r="2">
      <x v="2"/>
      <x v="40"/>
      <x/>
    </i>
    <i r="5">
      <x/>
      <x/>
      <x v="32"/>
      <x/>
    </i>
    <i r="5">
      <x v="1"/>
      <x v="1"/>
      <x v="8"/>
      <x v="62"/>
    </i>
    <i r="5">
      <x v="2"/>
      <x v="1"/>
      <x v="8"/>
      <x v="63"/>
    </i>
    <i r="5">
      <x v="3"/>
      <x v="1"/>
      <x v="8"/>
      <x v="42"/>
    </i>
    <i r="5">
      <x v="4"/>
      <x v="1"/>
      <x v="8"/>
      <x v="64"/>
    </i>
    <i r="5">
      <x v="5"/>
      <x v="1"/>
      <x v="8"/>
      <x v="65"/>
    </i>
    <i t="default">
      <x v="44"/>
    </i>
    <i t="blank">
      <x v="44"/>
    </i>
    <i>
      <x v="45"/>
    </i>
    <i r="1">
      <x v="45"/>
    </i>
    <i r="2">
      <x v="22"/>
      <x v="41"/>
      <x/>
    </i>
    <i r="5">
      <x v="1"/>
      <x/>
      <x v="6"/>
      <x v="66"/>
    </i>
    <i r="5">
      <x v="2"/>
      <x/>
      <x v="6"/>
      <x v="67"/>
    </i>
    <i r="5">
      <x v="3"/>
      <x/>
      <x v="2"/>
      <x v="4"/>
    </i>
    <i r="5">
      <x v="4"/>
      <x/>
      <x v="2"/>
      <x v="68"/>
    </i>
    <i r="5">
      <x v="5"/>
      <x/>
      <x v="2"/>
      <x v="67"/>
    </i>
    <i r="5">
      <x v="6"/>
      <x/>
      <x v="2"/>
      <x v="68"/>
    </i>
    <i r="5">
      <x v="7"/>
      <x v="1"/>
      <x v="33"/>
      <x v="69"/>
    </i>
    <i t="default">
      <x v="45"/>
    </i>
    <i t="blank">
      <x v="45"/>
    </i>
    <i>
      <x v="46"/>
    </i>
    <i r="1">
      <x v="46"/>
    </i>
    <i r="2">
      <x v="23"/>
      <x v="42"/>
      <x v="30"/>
    </i>
    <i r="5">
      <x/>
      <x/>
      <x v="10"/>
      <x/>
    </i>
    <i r="5">
      <x v="1"/>
      <x v="1"/>
      <x v="16"/>
      <x v="70"/>
    </i>
    <i r="5">
      <x v="2"/>
      <x v="1"/>
      <x v="16"/>
      <x v="71"/>
    </i>
    <i r="5">
      <x v="3"/>
      <x v="1"/>
      <x v="16"/>
      <x v="72"/>
    </i>
    <i r="5">
      <x v="7"/>
      <x v="1"/>
      <x v="34"/>
      <x v="73"/>
    </i>
    <i t="default">
      <x v="46"/>
    </i>
    <i t="blank">
      <x v="46"/>
    </i>
    <i>
      <x v="47"/>
    </i>
    <i r="1">
      <x v="47"/>
    </i>
    <i r="2">
      <x v="24"/>
      <x v="43"/>
      <x/>
    </i>
    <i r="5">
      <x v="1"/>
      <x/>
      <x v="29"/>
      <x v="1"/>
    </i>
    <i r="5">
      <x v="2"/>
      <x/>
      <x v="17"/>
      <x v="1"/>
    </i>
    <i r="5">
      <x v="3"/>
      <x/>
      <x v="35"/>
      <x v="1"/>
    </i>
    <i r="5">
      <x v="4"/>
      <x/>
      <x v="8"/>
      <x v="1"/>
    </i>
    <i t="default">
      <x v="47"/>
    </i>
    <i t="blank">
      <x v="47"/>
    </i>
    <i>
      <x v="48"/>
    </i>
    <i r="1">
      <x v="48"/>
    </i>
    <i r="2">
      <x v="24"/>
      <x v="44"/>
      <x/>
    </i>
    <i r="5">
      <x v="1"/>
      <x/>
      <x v="17"/>
      <x v="74"/>
    </i>
    <i r="5">
      <x v="2"/>
      <x/>
      <x v="7"/>
      <x v="10"/>
    </i>
    <i r="5">
      <x v="3"/>
      <x/>
      <x v="36"/>
      <x v="75"/>
    </i>
    <i t="default">
      <x v="48"/>
    </i>
    <i t="blank">
      <x v="48"/>
    </i>
    <i>
      <x v="49"/>
    </i>
    <i r="1">
      <x v="49"/>
    </i>
    <i r="2">
      <x v="25"/>
      <x v="45"/>
      <x v="23"/>
    </i>
    <i r="5">
      <x/>
      <x/>
      <x v="10"/>
      <x/>
    </i>
    <i r="5">
      <x v="1"/>
      <x/>
      <x v="2"/>
      <x v="76"/>
    </i>
    <i r="5">
      <x v="2"/>
      <x/>
      <x v="2"/>
      <x v="77"/>
    </i>
    <i r="5">
      <x v="3"/>
      <x/>
      <x v="2"/>
      <x v="78"/>
    </i>
    <i r="5">
      <x v="4"/>
      <x/>
      <x v="2"/>
      <x v="79"/>
    </i>
    <i r="5">
      <x v="5"/>
      <x/>
      <x v="2"/>
      <x v="77"/>
    </i>
    <i t="default">
      <x v="49"/>
    </i>
    <i t="blank">
      <x v="49"/>
    </i>
    <i>
      <x v="50"/>
    </i>
    <i r="1">
      <x v="50"/>
    </i>
    <i r="2">
      <x v="25"/>
      <x v="46"/>
      <x v="12"/>
    </i>
    <i r="5">
      <x/>
      <x/>
      <x v="10"/>
      <x/>
    </i>
    <i r="5">
      <x v="1"/>
      <x/>
      <x v="26"/>
      <x v="80"/>
    </i>
    <i r="5">
      <x v="2"/>
      <x/>
      <x v="26"/>
      <x v="81"/>
    </i>
    <i r="5">
      <x v="3"/>
      <x/>
      <x v="26"/>
      <x v="82"/>
    </i>
    <i r="5">
      <x v="4"/>
      <x/>
      <x v="2"/>
      <x v="83"/>
    </i>
    <i r="5">
      <x v="5"/>
      <x/>
      <x v="2"/>
      <x v="81"/>
    </i>
    <i t="default">
      <x v="50"/>
    </i>
    <i t="blank">
      <x v="50"/>
    </i>
    <i>
      <x v="51"/>
    </i>
    <i r="1">
      <x v="51"/>
    </i>
    <i r="2">
      <x v="26"/>
      <x v="47"/>
      <x v="24"/>
    </i>
    <i r="5">
      <x v="1"/>
      <x/>
      <x v="10"/>
      <x v="84"/>
    </i>
    <i r="5">
      <x v="2"/>
      <x/>
      <x v="10"/>
      <x v="85"/>
    </i>
    <i r="5">
      <x v="3"/>
      <x/>
      <x v="7"/>
      <x v="46"/>
    </i>
    <i r="5">
      <x v="4"/>
      <x/>
      <x v="4"/>
      <x v="84"/>
    </i>
    <i r="5">
      <x v="5"/>
      <x/>
      <x v="4"/>
      <x v="86"/>
    </i>
    <i r="5">
      <x v="6"/>
      <x/>
      <x v="2"/>
      <x v="87"/>
    </i>
    <i r="5">
      <x v="7"/>
      <x/>
      <x v="2"/>
      <x v="84"/>
    </i>
    <i r="5">
      <x v="8"/>
      <x/>
      <x v="2"/>
      <x v="88"/>
    </i>
    <i r="5">
      <x v="9"/>
      <x v="1"/>
      <x v="21"/>
      <x v="89"/>
    </i>
    <i r="5">
      <x v="10"/>
      <x v="1"/>
      <x v="21"/>
      <x v="84"/>
    </i>
    <i t="default">
      <x v="51"/>
    </i>
    <i t="blank">
      <x v="51"/>
    </i>
    <i>
      <x v="52"/>
    </i>
    <i r="1">
      <x v="52"/>
    </i>
    <i r="2">
      <x v="26"/>
      <x v="48"/>
      <x v="17"/>
    </i>
    <i r="5">
      <x v="1"/>
      <x/>
      <x v="7"/>
      <x v="84"/>
    </i>
    <i r="5">
      <x v="2"/>
      <x/>
      <x v="6"/>
      <x v="25"/>
    </i>
    <i r="5">
      <x v="3"/>
      <x/>
      <x v="2"/>
      <x v="90"/>
    </i>
    <i r="5">
      <x v="4"/>
      <x/>
      <x v="2"/>
      <x v="90"/>
    </i>
    <i r="5">
      <x v="5"/>
      <x/>
      <x v="2"/>
      <x v="91"/>
    </i>
    <i r="5">
      <x v="6"/>
      <x/>
      <x v="2"/>
      <x v="92"/>
    </i>
    <i t="default">
      <x v="52"/>
    </i>
    <i t="blank">
      <x v="52"/>
    </i>
    <i>
      <x v="53"/>
    </i>
    <i r="1">
      <x v="53"/>
    </i>
    <i r="2">
      <x v="27"/>
      <x v="49"/>
      <x v="31"/>
    </i>
    <i r="5">
      <x/>
      <x/>
      <x v="3"/>
      <x/>
    </i>
    <i r="5">
      <x v="1"/>
      <x/>
      <x v="6"/>
      <x v="93"/>
    </i>
    <i r="5">
      <x v="2"/>
      <x/>
      <x v="7"/>
      <x v="25"/>
    </i>
    <i r="5">
      <x v="3"/>
      <x/>
      <x v="4"/>
      <x v="26"/>
    </i>
    <i r="5">
      <x v="4"/>
      <x/>
      <x v="2"/>
      <x v="24"/>
    </i>
    <i r="5">
      <x v="5"/>
      <x/>
      <x v="2"/>
      <x v="25"/>
    </i>
    <i r="5">
      <x v="6"/>
      <x/>
      <x v="2"/>
      <x v="24"/>
    </i>
    <i r="5">
      <x v="7"/>
      <x v="1"/>
      <x v="34"/>
      <x v="25"/>
    </i>
    <i t="default">
      <x v="53"/>
    </i>
    <i t="blank">
      <x v="53"/>
    </i>
    <i>
      <x v="54"/>
    </i>
    <i r="1">
      <x v="54"/>
    </i>
    <i r="2">
      <x v="28"/>
      <x v="50"/>
      <x v="13"/>
    </i>
    <i r="5">
      <x/>
      <x/>
      <x v="3"/>
      <x/>
    </i>
    <i r="5">
      <x v="1"/>
      <x/>
      <x v="6"/>
      <x v="48"/>
    </i>
    <i r="5">
      <x v="2"/>
      <x/>
      <x v="6"/>
      <x v="94"/>
    </i>
    <i r="5">
      <x v="3"/>
      <x/>
      <x v="2"/>
      <x v="94"/>
    </i>
    <i r="5">
      <x v="4"/>
      <x/>
      <x v="27"/>
      <x v="25"/>
    </i>
    <i r="5">
      <x v="5"/>
      <x/>
      <x v="2"/>
      <x v="25"/>
    </i>
    <i r="5">
      <x v="6"/>
      <x/>
      <x v="2"/>
      <x v="46"/>
    </i>
    <i t="default">
      <x v="54"/>
    </i>
    <i t="blank">
      <x v="54"/>
    </i>
    <i>
      <x v="55"/>
    </i>
    <i r="1">
      <x v="55"/>
    </i>
    <i r="2">
      <x v="29"/>
      <x v="51"/>
      <x v="14"/>
    </i>
    <i r="5">
      <x v="1"/>
      <x/>
      <x v="7"/>
      <x v="95"/>
    </i>
    <i r="5">
      <x v="2"/>
      <x/>
      <x v="2"/>
      <x v="25"/>
    </i>
    <i r="5">
      <x v="3"/>
      <x/>
      <x v="2"/>
      <x v="25"/>
    </i>
    <i r="5">
      <x v="4"/>
      <x/>
      <x v="2"/>
      <x v="25"/>
    </i>
    <i r="5">
      <x v="5"/>
      <x v="1"/>
      <x v="25"/>
      <x v="25"/>
    </i>
    <i t="default">
      <x v="55"/>
    </i>
    <i t="blank">
      <x v="55"/>
    </i>
    <i>
      <x v="56"/>
    </i>
    <i r="1">
      <x v="56"/>
    </i>
    <i r="2">
      <x v="30"/>
      <x v="52"/>
      <x v="25"/>
    </i>
    <i r="5">
      <x/>
      <x/>
      <x v="2"/>
      <x/>
    </i>
    <i r="5">
      <x v="1"/>
      <x/>
      <x v="2"/>
      <x v="96"/>
    </i>
    <i r="5">
      <x v="2"/>
      <x/>
      <x v="2"/>
      <x v="97"/>
    </i>
    <i r="5">
      <x v="3"/>
      <x v="1"/>
      <x v="16"/>
      <x v="98"/>
    </i>
    <i t="default">
      <x v="56"/>
    </i>
    <i t="blank">
      <x v="56"/>
    </i>
    <i>
      <x v="57"/>
    </i>
    <i r="1">
      <x v="57"/>
    </i>
    <i r="2">
      <x v="31"/>
      <x v="53"/>
      <x v="18"/>
    </i>
    <i r="5">
      <x/>
      <x/>
      <x v="37"/>
      <x/>
    </i>
    <i r="5">
      <x v="1"/>
      <x v="1"/>
      <x v="16"/>
      <x v="99"/>
    </i>
    <i r="5">
      <x v="2"/>
      <x v="1"/>
      <x v="16"/>
      <x v="99"/>
    </i>
    <i r="5">
      <x v="3"/>
      <x v="1"/>
      <x v="16"/>
      <x v="99"/>
    </i>
    <i t="default">
      <x v="57"/>
    </i>
    <i t="blank">
      <x v="57"/>
    </i>
    <i>
      <x v="58"/>
    </i>
    <i r="1">
      <x v="58"/>
    </i>
    <i r="2">
      <x v="26"/>
      <x v="54"/>
      <x v="27"/>
    </i>
    <i r="5">
      <x/>
      <x/>
      <x v="2"/>
      <x/>
    </i>
    <i r="5">
      <x v="1"/>
      <x v="1"/>
      <x v="38"/>
      <x v="100"/>
    </i>
    <i t="default">
      <x v="58"/>
    </i>
    <i t="blank">
      <x v="58"/>
    </i>
    <i>
      <x v="59"/>
    </i>
    <i r="1">
      <x v="59"/>
    </i>
    <i r="2">
      <x v="32"/>
      <x v="55"/>
      <x v="26"/>
    </i>
    <i r="5">
      <x/>
      <x/>
      <x v="2"/>
      <x/>
    </i>
    <i t="default">
      <x v="59"/>
    </i>
    <i t="blank">
      <x v="59"/>
    </i>
    <i>
      <x v="60"/>
    </i>
    <i r="1">
      <x v="60"/>
    </i>
    <i r="2">
      <x v="20"/>
      <x v="56"/>
      <x v="28"/>
    </i>
    <i r="5">
      <x v="1"/>
      <x v="1"/>
      <x v="39"/>
      <x v="101"/>
    </i>
    <i t="default">
      <x v="60"/>
    </i>
    <i t="blank">
      <x v="60"/>
    </i>
    <i>
      <x v="61"/>
    </i>
    <i r="1">
      <x v="61"/>
    </i>
    <i r="2">
      <x v="33"/>
      <x v="57"/>
      <x v="26"/>
    </i>
    <i r="5">
      <x/>
      <x/>
      <x v="40"/>
      <x/>
    </i>
    <i t="default">
      <x v="61"/>
    </i>
    <i t="blank">
      <x v="61"/>
    </i>
    <i>
      <x v="62"/>
    </i>
    <i r="1">
      <x v="62"/>
    </i>
    <i r="2">
      <x v="34"/>
      <x v="58"/>
      <x v="29"/>
    </i>
    <i r="5">
      <x v="1"/>
      <x/>
      <x v="41"/>
      <x v="1"/>
    </i>
    <i r="5">
      <x v="2"/>
      <x/>
      <x v="42"/>
      <x v="1"/>
    </i>
    <i r="5">
      <x v="3"/>
      <x v="3"/>
      <x v="43"/>
      <x v="1"/>
    </i>
    <i t="default">
      <x v="62"/>
    </i>
    <i t="blank">
      <x v="62"/>
    </i>
    <i>
      <x v="63"/>
    </i>
    <i r="1">
      <x v="63"/>
    </i>
    <i r="2">
      <x v="22"/>
      <x v="59"/>
      <x v="29"/>
    </i>
    <i r="5">
      <x v="1"/>
      <x/>
      <x v="41"/>
      <x v="1"/>
    </i>
    <i r="5">
      <x v="2"/>
      <x/>
      <x v="41"/>
      <x v="1"/>
    </i>
    <i r="5">
      <x v="3"/>
      <x v="3"/>
      <x v="43"/>
      <x v="1"/>
    </i>
    <i t="default">
      <x v="63"/>
    </i>
    <i t="blank">
      <x v="63"/>
    </i>
    <i>
      <x v="64"/>
    </i>
    <i r="1">
      <x v="64"/>
    </i>
    <i r="2">
      <x v="34"/>
      <x v="60"/>
      <x v="29"/>
    </i>
    <i r="5">
      <x v="1"/>
      <x v="4"/>
      <x v="44"/>
      <x v="1"/>
    </i>
    <i r="5">
      <x v="2"/>
      <x/>
      <x v="33"/>
      <x v="1"/>
    </i>
    <i r="5">
      <x v="3"/>
      <x v="3"/>
      <x v="43"/>
      <x v="1"/>
    </i>
    <i t="default">
      <x v="64"/>
    </i>
    <i t="blank">
      <x v="64"/>
    </i>
    <i>
      <x v="65"/>
    </i>
    <i r="1">
      <x v="65"/>
    </i>
    <i r="2">
      <x v="22"/>
      <x v="61"/>
      <x/>
    </i>
    <i r="5">
      <x v="1"/>
      <x/>
      <x v="33"/>
      <x v="1"/>
    </i>
    <i r="5">
      <x v="2"/>
      <x v="3"/>
      <x v="45"/>
      <x v="1"/>
    </i>
    <i r="5">
      <x v="3"/>
      <x v="3"/>
      <x v="46"/>
      <x v="1"/>
    </i>
    <i r="5">
      <x v="4"/>
      <x v="5"/>
      <x v="47"/>
      <x v="1"/>
    </i>
    <i t="default">
      <x v="65"/>
    </i>
    <i t="blank">
      <x v="65"/>
    </i>
    <i>
      <x v="66"/>
    </i>
    <i r="1">
      <x v="66"/>
    </i>
    <i r="2">
      <x v="35"/>
      <x v="62"/>
      <x/>
    </i>
    <i r="5">
      <x v="1"/>
      <x/>
      <x v="33"/>
      <x v="58"/>
    </i>
    <i t="default">
      <x v="66"/>
    </i>
    <i t="blank">
      <x v="66"/>
    </i>
    <i>
      <x v="67"/>
    </i>
    <i r="1">
      <x v="67"/>
    </i>
    <i r="2">
      <x v="36"/>
      <x v="63"/>
      <x/>
    </i>
    <i r="5">
      <x v="1"/>
      <x/>
      <x v="33"/>
      <x v="58"/>
    </i>
    <i t="default">
      <x v="67"/>
    </i>
    <i t="blank">
      <x v="67"/>
    </i>
    <i t="grand">
      <x/>
    </i>
  </rowItems>
  <colItems count="1">
    <i/>
  </colItems>
  <dataFields count="1">
    <dataField name="NETO A PAGAR" fld="0" baseField="6" baseItem="0" numFmtId="165"/>
  </dataFields>
  <formats count="17">
    <format dxfId="40">
      <pivotArea dataOnly="0" labelOnly="1" outline="0" axis="axisValues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fieldPosition="0">
        <references count="1">
          <reference field="4" count="0"/>
        </references>
      </pivotArea>
    </format>
    <format dxfId="37">
      <pivotArea field="8" type="button" dataOnly="0" labelOnly="1" outline="0" axis="axisRow" fieldPosition="8"/>
    </format>
    <format dxfId="36">
      <pivotArea field="8" type="button" dataOnly="0" labelOnly="1" outline="0" axis="axisRow" fieldPosition="8"/>
    </format>
    <format dxfId="35">
      <pivotArea dataOnly="0" labelOnly="1" fieldPosition="0">
        <references count="1">
          <reference field="8" count="0"/>
        </references>
      </pivotArea>
    </format>
    <format dxfId="34">
      <pivotArea dataOnly="0" labelOnly="1" fieldPosition="0">
        <references count="1">
          <reference field="9" count="0"/>
        </references>
      </pivotArea>
    </format>
    <format dxfId="33">
      <pivotArea dataOnly="0" labelOnly="1" fieldPosition="0">
        <references count="1">
          <reference field="9" count="0"/>
        </references>
      </pivotArea>
    </format>
    <format dxfId="32">
      <pivotArea dataOnly="0" fieldPosition="0">
        <references count="1">
          <reference field="2" count="1">
            <x v="64"/>
          </reference>
        </references>
      </pivotArea>
    </format>
    <format dxfId="31">
      <pivotArea dataOnly="0" fieldPosition="0">
        <references count="1">
          <reference field="2" count="1">
            <x v="64"/>
          </reference>
        </references>
      </pivotArea>
    </format>
    <format dxfId="30">
      <pivotArea dataOnly="0" labelOnly="1" fieldPosition="0">
        <references count="1">
          <reference field="9" count="0"/>
        </references>
      </pivotArea>
    </format>
    <format dxfId="29">
      <pivotArea dataOnly="0" labelOnly="1" fieldPosition="0">
        <references count="1">
          <reference field="9" count="0"/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4">
      <pivotArea dataOnly="0" labelOnly="1" fieldPosition="0">
        <references count="1">
          <reference field="9" count="0"/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>
      <members count="200" level="1">
        <member name="[Rango].[CONTRATO].&amp;[SIDUR-ED-16-001]"/>
        <member name="[Rango].[CONTRATO].&amp;[SIDUR-ED-16-002]"/>
        <member name="[Rango].[CONTRATO].&amp;[SIDUR-ED-16-003]"/>
        <member name="[Rango].[CONTRATO].&amp;[SIDUR-ED-16-004]"/>
        <member name="[Rango].[CONTRATO].&amp;[SIDUR-ED-16-005]"/>
        <member name="[Rango].[CONTRATO].&amp;[SIDUR-ED-16-006]"/>
        <member name="[Rango].[CONTRATO].&amp;[SIDUR-ED-16-007]"/>
        <member name="[Rango].[CONTRATO].&amp;[SIDUR-ED-16-008]"/>
        <member name="[Rango].[CONTRATO].&amp;[SIDUR-ED-16-011]"/>
        <member name="[Rango].[CONTRATO].&amp;[SIDUR-ED-16-012]"/>
        <member name="[Rango].[CONTRATO].&amp;[SIDUR-ED-16-013]"/>
        <member name="[Rango].[CONTRATO].&amp;[SIDUR-ED-16-014]"/>
        <member name="[Rango].[CONTRATO].&amp;[SIDUR-ED-16-015]"/>
        <member name="[Rango].[CONTRATO].&amp;[SIDUR-ED-16-016]"/>
        <member name="[Rango].[CONTRATO].&amp;[SIDUR-ED-16-017]"/>
        <member name="[Rango].[CONTRATO].&amp;[SIDUR-ED-16-018]"/>
        <member name="[Rango].[CONTRATO].&amp;[SIDUR-ED-16-019]"/>
        <member name="[Rango].[CONTRATO].&amp;[SIDUR-ED-16-020]"/>
        <member name="[Rango].[CONTRATO].&amp;[SIDUR-ED-16-021]"/>
        <member name="[Rango].[CONTRATO].&amp;[SIDUR-ED-16-022]"/>
        <member name="[Rango].[CONTRATO].&amp;[SIDUR-ED-16-023]"/>
        <member name="[Rango].[CONTRATO].&amp;[SIDUR-ED-16-024]"/>
        <member name="[Rango].[CONTRATO].&amp;[SIDUR-ED-16-025]"/>
        <member name="[Rango].[CONTRATO].&amp;[SIDUR-ED-16-026]"/>
        <member name="[Rango].[CONTRATO].&amp;[SIDUR-ED-16-027]"/>
        <member name="[Rango].[CONTRATO].&amp;[SIDUR-ED-16-031]"/>
        <member name="[Rango].[CONTRATO].&amp;[SIDUR-ED-16-037]"/>
        <member name="[Rango].[CONTRATO].&amp;[SIDUR-ED-16-038]"/>
        <member name="[Rango].[CONTRATO].&amp;[SIDUR-ED-16-039]"/>
        <member name="[Rango].[CONTRATO].&amp;[SIDUR-ED-16-040]"/>
        <member name="[Rango].[CONTRATO].&amp;[SIDUR-ED-16-041]"/>
        <member name="[Rango].[CONTRATO].&amp;[SIDUR-ED-16-042]"/>
        <member name="[Rango].[CONTRATO].&amp;[SIDUR-ED-16-043]"/>
        <member name="[Rango].[CONTRATO].&amp;[SIDUR-ED-16-044]"/>
        <member name="[Rango].[CONTRATO].&amp;[SIDUR-ED-16-045]"/>
        <member name="[Rango].[CONTRATO].&amp;[SIDUR-ED-16-046]"/>
        <member name="[Rango].[CONTRATO].&amp;[SIDUR-ED-16-047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CONTRATO].&amp;[SIDUR-ED-16-10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CONTRATO].&amp;[SIDUR-ED-16-121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CONTRATO].&amp;[SIDUR-ED-16-168]"/>
        <member name="[Rango].[CONTRATO].&amp;[SIDUR-ED-16-170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o].[CONTRATO].&amp;[SIDUR-ED-16-187]"/>
        <member name="[Rango].[CONTRATO].&amp;[SIDUR-ED-16-189]"/>
        <member name=""/>
        <member name="[Rango].[CONTRATO].&amp;[SIDUR-ED-16-210]"/>
        <member name=""/>
        <member name="[Rango].[CONTRATO].&amp;[SIDUR-ED-16-248]"/>
        <member name="[Rango].[CONTRATO].&amp;[SIDUR-ED-16-249]"/>
        <member name="[Rango].[CONTRATO].&amp;[SIDUR-ED-16-250]"/>
        <member name="[Rango].[CONTRATO].&amp;[SIDUR-ED-16-251]"/>
        <member name=""/>
        <member name=""/>
        <member name="[Rango].[CONTRATO].&amp;[SIDUR-ED-16-292]"/>
        <member name="[Rango].[CONTRATO].&amp;[SIDUR-ED-16-353]"/>
        <member name=""/>
        <member name="[Rango].[CONTRATO].&amp;[SIDUR-ED-16-368]"/>
        <member name="[Rango].[CONTRATO].&amp;[SIDUR-ED-16-374]"/>
        <member name="[Rango].[CONTRATO].&amp;[SIDUR-ED-16-375]"/>
        <member name="[Rango].[CONTRATO].&amp;[SIDUR-ED-16-376]"/>
        <member name="[Rango].[CONTRATO].&amp;[SIDUR-ED-16-377]"/>
        <member name="[Rango].[CONTRATO].&amp;[SIDUR-ED-16-378]"/>
        <member name=""/>
        <member name=""/>
        <member name="[Rango].[CONTRATO].&amp;[SIDUR-ED-16-397]"/>
        <member name="[Rango].[CONTRATO].&amp;[SIDUR-ED-16-398]"/>
        <member name="[Rango].[CONTRATO].&amp;[SIDUR-ED-16-414]"/>
        <member name="[Rango].[CONTRATO].&amp;[SIDUR-ED-16-415]"/>
        <member name="[Rango].[CONTRATO].&amp;[SIDUR-ED-16-417]"/>
        <member name="[Rango].[CONTRATO].&amp;[SIDUR-ED-16-418]"/>
        <member name="[Rango].[CONTRATO].&amp;[SIDUR-ED-16-423]"/>
        <member name="[Rango].[CONTRATO].&amp;[SIDUR-ED-16-440]"/>
        <member name="[Rango].[CONTRATO].&amp;[SIDUR-ED-16-441]"/>
        <member name="[Rango].[CONTRATO].&amp;[SIDUR-PF-16-252]"/>
        <member name="[Rango].[CONTRATO].&amp;[SIDUR-PF-16-253]"/>
        <member name="[Rango].[CONTRATO].&amp;[SIDUR-PF-16-254]"/>
        <member name="[Rango].[CONTRATO].&amp;[SIDUR-PF-16-255]"/>
        <member name="[Rango].[CONTRATO].&amp;[SIDUR-PF-16-291]"/>
        <member name="[Rango].[CONTRATO].&amp;[SIDUR-PF-16-293]"/>
        <member name="[Rango].[CONTRATO].&amp;[SIDUR-PF-16-294]"/>
        <member name="[Rango].[CONTRATO].&amp;[SIDUR-PF-16-295]"/>
        <member name="[Rango].[CONTRATO].&amp;[SIDUR-PF-16-296]"/>
        <member name="[Rango].[CONTRATO].&amp;[SIDUR-PF-16-297]"/>
        <member name="[Rango].[CONTRATO].&amp;[SIDUR-PF-16-298]"/>
        <member name="[Rango].[CONTRATO].&amp;[SIDUR-PF-16-299]"/>
        <member name="[Rango].[CONTRATO].&amp;[SIDUR-PF-16-300]"/>
        <member name="[Rango].[CONTRATO].&amp;[SIDUR-PF-16-301]"/>
        <member name="[Rango].[CONTRATO].&amp;[SIDUR-PF-16-302]"/>
        <member name="[Rango].[CONTRATO].&amp;[SIDUR-PF-16-303]"/>
        <member name="[Rango].[CONTRATO].&amp;[SIDUR-PF-16-304]"/>
        <member name="[Rango].[CONTRATO].&amp;[SIDUR-PF-16-305]"/>
        <member name="[Rango].[CONTRATO].&amp;[SIDUR-PF-16-306]"/>
        <member name="[Rango].[CONTRATO].&amp;[SIDUR-PF-16-307]"/>
        <member name="[Rango].[CONTRATO].&amp;[SIDUR-PF-16-308]"/>
        <member name="[Rango].[CONTRATO].&amp;[SIDUR-PF-16-309]"/>
        <member name="[Rango].[CONTRATO].&amp;[SIDUR-PF-16-310]"/>
        <member name="[Rango].[CONTRATO].&amp;[SIDUR-PF-16-314]"/>
        <member name="[Rango].[CONTRATO].&amp;[SIDUR-PF-16-315]"/>
        <member name="[Rango].[CONTRATO].&amp;[SIDUR-PF-16-316]"/>
        <member name=""/>
        <member name=""/>
        <member name=""/>
        <member name=""/>
        <member name="[Rango].[CONTRATO].&amp;[SIDUR-PF-16-323]"/>
        <member name="[Rango].[CONTRATO].&amp;[SIDUR-PF-16-324]"/>
        <member name="[Rango].[CONTRATO].&amp;[SIDUR-PF-16-325]"/>
        <member name="[Rango].[CONTRATO].&amp;[SIDUR-PF-16-326]"/>
        <member name="[Rango].[CONTRATO].&amp;[SIDUR-PF-16-328]"/>
        <member name="[Rango].[CONTRATO].&amp;[SIDUR-PF-16-329]"/>
        <member name="[Rango].[CONTRATO].&amp;[SIDUR-PF-16-330]"/>
        <member name="[Rango].[CONTRATO].&amp;[SIDUR-PF-16-331]"/>
        <member name="[Rango].[CONTRATO].&amp;[SIDUR-PF-16-332]"/>
        <member name="[Rango].[CONTRATO].&amp;[SIDUR-PF-16-333]"/>
        <member name="[Rango].[CONTRATO].&amp;[SIDUR-PF-16-334]"/>
        <member name="[Rango].[CONTRATO].&amp;[SIDUR-PF-16-335]"/>
        <member name="[Rango].[CONTRATO].&amp;[SIDUR-PF-16-336]"/>
        <member name="[Rango].[CONTRATO].&amp;[SIDUR-PF-16-337]"/>
        <member name="[Rango].[CONTRATO].&amp;[SIDUR-PF-16-341]"/>
        <member name="[Rango].[CONTRATO].&amp;[SIDUR-PF-16-343]"/>
        <member name="[Rango].[CONTRATO].&amp;[SIDUR-PF-16-344]"/>
        <member name="[Rango].[CONTRATO].&amp;[SIDUR-PF-16-345]"/>
        <member name="[Rango].[CONTRATO].&amp;[SIDUR-PF-16-346]"/>
        <member name="[Rango].[CONTRATO].&amp;[SIDUR-PF-16-347]"/>
        <member name="[Rango].[CONTRATO].&amp;[SIDUR-PF-16-348]"/>
        <member name="[Rango].[CONTRATO].&amp;[SIDUR-PF-16-350]"/>
        <member name="[Rango].[CONTRATO].&amp;[SIDUR-PF-16-351]"/>
        <member name="[Rango].[CONTRATO].&amp;[SIDUR-PF-16-352]"/>
        <member name="[Rango].[CONTRATO].&amp;[SIDUR-PF-16-355]"/>
        <member name="[Rango].[CONTRATO].&amp;[SIDUR-PF-16-356]"/>
        <member name="[Rango].[CONTRATO].&amp;[SIDUR-PF-16-357]"/>
        <member name="[Rango].[CONTRATO].&amp;[SIDUR-PF-16-358]"/>
        <member name="[Rango].[CONTRATO].&amp;[SIDUR-PF-16-359]"/>
        <member name="[Rango].[CONTRATO].&amp;[SIDUR-PF-16-363]"/>
        <member name="[Rango].[CONTRATO].&amp;[SIDUR-PF-16-364]"/>
        <member name="[Rango].[CONTRATO].&amp;[SIDUR-PF-16-369]"/>
        <member name="[Rango].[CONTRATO].&amp;[SIDUR-PF-16-370]"/>
        <member name="[Rango].[CONTRATO].&amp;[SIDUR-PF-16-371]"/>
        <member name="[Rango].[CONTRATO].&amp;[SIDUR-PF-16-393]"/>
        <member name=""/>
        <member name=""/>
        <member name="[Rango].[CONTRATO].&amp;[SIDUR-ED-16-353.]"/>
        <member name=""/>
        <member name="[Rango].[CONTRATO].&amp;[SIDUR-ED-16-395.]"/>
        <member name="[Rango].[CONTRATO].&amp;[SIDUR-ED-16-396.]"/>
        <member name="[Rango].[CONTRATO].&amp;[SIDUR-ED-16-354-1]"/>
        <member name="[Rango].[CONTRATO].&amp;[SIDUR-ED-16-354-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65" level="1">
        <member name="[Rango].[CONTRATISTA].&amp;[VLEXEL, S. C.]"/>
        <member name="[Rango].[CONTRATISTA].&amp;[CONOSON SA DE CV]"/>
        <member name=""/>
        <member name=""/>
        <member name="[Rango].[CONTRATISTA].&amp;[GROBSON S. DE R. L.]"/>
        <member name="[Rango].[CONTRATISTA].&amp;[IDESON, S.A DE C.V.]"/>
        <member name="[Rango].[CONTRATISTA].&amp;[MARCIA LEON CORONEL]"/>
        <member name="[Rango].[CONTRATISTA].&amp;[CW METAL S.A DE C.V.]"/>
        <member name="[Rango].[CONTRATISTA].&amp;[SEINMI, S.A. DE C.V.]"/>
        <member name="[Rango].[CONTRATISTA].&amp;[RUVERSA, S.A. DE C.V.]"/>
        <member name=""/>
        <member name=""/>
        <member name=""/>
        <member name="[Rango].[CONTRATISTA].&amp;[VICOMMING, S.A. DE C.V.]"/>
        <member name="[Rango].[CONTRATISTA].&amp;[CONSTRUMIL, S.A. DE C.V.]"/>
        <member name="[Rango].[CONTRATISTA].&amp;[CONSTRUKINO, S.A. DE C.V.]"/>
        <member name="[Rango].[CONTRATISTA].&amp;[CONSTRUMAQ, S.A. D E C.V.]"/>
        <member name="[Rango].[CONTRATISTA].&amp;[CONSTRUPIMA, S.A. DE C.V.]"/>
        <member name="[Rango].[CONTRATISTA].&amp;[GRUPO MERCLA S.A DE C. V.]"/>
        <member name="[Rango].[CONTRATISTA].&amp;[GRUPO MESIS, S.A. DE C.V.]"/>
        <member name=""/>
        <member name="[Rango].[CONTRATISTA].&amp;[JORGE ARTURO CELAYA LOPEZ]"/>
        <member name=""/>
        <member name=""/>
        <member name="[Rango].[CONTRATISTA].&amp;[CONSTRUVISAC, S.A. DE C.V.]"/>
        <member name=""/>
        <member name=""/>
        <member name="[Rango].[CONTRATISTA].&amp;[JUAN DIEGO AVILES MARTINEZ]"/>
        <member name="[Rango].[CONTRATISTA].&amp;[KONSTRIKSYON, S.A. DE C.V.]"/>
        <member name=""/>
        <member name=""/>
        <member name=""/>
        <member name=""/>
        <member name=""/>
        <member name="[Rango].[CONTRATISTA].&amp;[ING. GAUDENCIO RAMOS MONTEON]"/>
        <member name="[Rango].[CONTRATISTA].&amp;[ING. ROBERTO DEL RINCON MURO]"/>
        <member name=""/>
        <member name=""/>
        <member name="[Rango].[CONTRATISTA].&amp;[PROMOTORA MAJERUS, S. DE R.L.]"/>
        <member name=""/>
        <member name=""/>
        <member name=""/>
        <member name=""/>
        <member name="[Rango].[CONTRATISTA].&amp;[ING. LUIS ENRIQUE PEÑA RODRIGO]"/>
        <member name=""/>
        <member name="[Rango].[CONTRATISTA].&amp;[LUIS ALFONSO CORDOVA CONTRERAS]"/>
        <member name=""/>
        <member name="[Rango].[CONTRATISTA].&amp;[ADOBE DESARROLLOS, S.A. DE C.V.]"/>
        <member name="[Rango].[CONTRATISTA].&amp;[CONSTRUCTORA OSAL, S.A. DE C.V.]"/>
        <member name="[Rango].[CONTRATISTA].&amp;[EDIFICACIONES BOZA S.A. DE C.V.]"/>
        <member name="[Rango].[CONTRATISTA].&amp;[INMOBILIARIA SOCE, S.A. DE C.V.]"/>
        <member name="[Rango].[CONTRATISTA].&amp;[PROMOCIONES TESIA, S.A. DE C.V.]"/>
        <member name="[Rango].[CONTRATISTA].&amp;[TEKTON INGENIERIA, S.A. DE C.V.]"/>
        <member name="[Rango].[CONTRATISTA].&amp;[ZERO EDIFICACIONES,S.A. DE C.V.]"/>
        <member name="[Rango].[CONTRATISTA].&amp;[CONSTRUCTORA GARPE, S.A. DE C.V.]"/>
        <member name="[Rango].[CONTRATISTA].&amp;[CONSTRUCTORA SAITE, S.A. DE C.V.]"/>
        <member name="[Rango].[CONTRATISTA].&amp;[EDIVIA DESARROLLOS, S.A. DE C.V.]"/>
        <member name="[Rango].[CONTRATISTA].&amp;[HEMONT CONSTRUCTORA S.A. DE C.V.]"/>
        <member name=""/>
        <member name=""/>
        <member name="[Rango].[CONTRATISTA].&amp;[INGENIEROS CIVILES, S.A. DE C.V.]"/>
        <member name="[Rango].[CONTRATISTA].&amp;[MURRIETA SOLUCIONES, S.A.DE C.V.]"/>
        <member name=""/>
        <member name="[Rango].[CONTRATISTA].&amp;[SIT COMUNICACIONES, S.A. DE C.V.]"/>
        <member name="[Rango].[CONTRATISTA].&amp;[URBANIZADORA OASIS, S.A. DE C.V.]"/>
        <member name="[Rango].[CONTRATISTA].&amp;[GILA MINAS Y DESARROLLOS SA DE CV]"/>
        <member name="[Rango].[CONTRATISTA].&amp;[ING. LUIS EDUARDO GUERRA ESQUIVEL]"/>
        <member name=""/>
        <member name="[Rango].[CONTRATISTA].&amp;[MURRIETA SOLUCIONES, S.A. DE C.V.]"/>
        <member name="[Rango].[CONTRATISTA].&amp;[PREMEZCLADOS NOGALES S.A. DE C.V.]"/>
        <member name="[Rango].[CONTRATISTA].&amp;[RAYDA CONSTRUCTORES, S.A. DE C.V.]"/>
        <member name="[Rango].[CONTRATISTA].&amp;[SOLUJET CONSTRUCCION S.A. DE C.V.]"/>
        <member name="[Rango].[CONTRATISTA].&amp;[VALPA SUPERVISIONES, S.A. DE C.V.]"/>
        <member name=""/>
        <member name="[Rango].[CONTRATISTA].&amp;[CONSTRUCTORA KIOKI, S. A. DE C. V.]"/>
        <member name="[Rango].[CONTRATISTA].&amp;[CONSTRUCTORA MIRAMAR, S.A. DE C.V.]"/>
        <member name="[Rango].[CONTRATISTA].&amp;[CONSTRUCTORA SIVIRAL, S.A. DE C.V.]"/>
        <member name="[Rango].[CONTRATISTA].&amp;[CORPORATIVO DE CAMINOS Y MINAS TUI]"/>
        <member name="[Rango].[CONTRATISTA].&amp;[DESARROLLOS TIBURCIO, S.A. DE C.V.]"/>
        <member name="[Rango].[CONTRATISTA].&amp;[GIBHER CONSTRUCTORES, S.A. DE C.V.]"/>
        <member name="[Rango].[CONTRATISTA].&amp;[GLUYAS CONSTRUCCIONES S.A. DE C.V.]"/>
        <member name="[Rango].[CONTRATISTA].&amp;[GRUPO DESARROLLO CONGRUUS SA DE CV]"/>
        <member name="[Rango].[CONTRATISTA].&amp;[PREMEZCLADOS NOGALES, S.A. DE C.V.]"/>
        <member name="[Rango].[CONTRATISTA].&amp;[TESIA CONSTRUCCIONES, S.A. DE C.V.]"/>
        <member name="[Rango].[CONTRATISTA].&amp;[CONSTRUCTORA PARGEL, S. A. DE C. V.]"/>
        <member name="[Rango].[CONTRATISTA].&amp;[EDIFICADORA CABO HARO, S.A. DE C.V.]"/>
        <member name="[Rango].[CONTRATISTA].&amp;[INGENIERIA UNIVERSAL S. A. DE C. V.]"/>
        <member name=""/>
        <member name="[Rango].[CONTRATISTA].&amp;[LA GRANDE CONSTRUCTORA S.A. DE C.V.]"/>
        <member name="[Rango].[CONTRATISTA].&amp;[MEZQUITE CONSTRUCCIONES,S.A.DE C.V.]"/>
        <member name="[Rango].[CONTRATISTA].&amp;[MOCUZARI CONSTRUCTORA, S.A. DE C.V.]"/>
        <member name="[Rango].[CONTRATISTA].&amp;[ORTOPLAN CONSULTORES S. A. DE C. V.]"/>
        <member name="[Rango].[CONTRATISTA].&amp;[ACQUA  DREN  INGENIERIA S.A. DE C.V.]"/>
        <member name="[Rango].[CONTRATISTA].&amp;[D'MARSELLA TERRACERIAS, S.A. DE C.V.]"/>
        <member name="[Rango].[CONTRATISTA].&amp;[CONSTRU ELECTRICA R Y R, S.A. DE C.V.]"/>
        <member name="[Rango].[CONTRATISTA].&amp;[CONSTRUCCIONES EL LLANO, S.A. DE C.V.]"/>
        <member name="[Rango].[CONTRATISTA].&amp;[GRUPO CONSTRUCTOR TERRO, S.A. DE C.V.]"/>
        <member name="[Rango].[CONTRATISTA].&amp;[MEZQUITE CONSTRUCCIONES, S.A. DE C.V.]"/>
        <member name="[Rango].[CONTRATISTA].&amp;[BEJIM, PLANEA Y CONSTRUYE, S.A. DE C.V.]"/>
        <member name="[Rango].[CONTRATISTA].&amp;[CONSTRUCTORES LISTA BLANCA, S.A.DE C.V.]"/>
        <member name="[Rango].[CONTRATISTA].&amp;[CONSTRUCTORES LISTABLANCA, S.A. DE C.V.]"/>
        <member name=""/>
        <member name="[Rango].[CONTRATISTA].&amp;[DESARROLLOS CORCON, S. DE R. L. DE C. V.]"/>
        <member name="[Rango].[CONTRATISTA].&amp;[MAQUINARIA Y AGREGADOS GALA S.A. DE C.V.]"/>
        <member name="[Rango].[CONTRATISTA].&amp;[PALO FIERRO CONSTRUCCIONES, S.A. DE C.V.]"/>
        <member name="[Rango].[CONTRATISTA].&amp;[GRUPO EMPRESARIAL BABASAC, S. A. DE C. V.]"/>
        <member name="[Rango].[CONTRATISTA].&amp;[TECNOASFALTOS Y TERRACERIAS, S.A. DE C.V.]"/>
        <member name=""/>
        <member name="[Rango].[CONTRATISTA].&amp;[DISEÑOS Y CONSTRUCCIONES LOAR S.A. DE C.V.]"/>
        <member name="[Rango].[CONTRATISTA].&amp;[LC PROYECTOS Y CONSTRUCCIONES S.A. DE C.V.]"/>
        <member name=""/>
        <member name="[Rango].[CONTRATISTA].&amp;[ADMINISTRADORA DE OBRAS OACSA, S.A. DE C.V.]"/>
        <member name="[Rango].[CONTRATISTA].&amp;[CERTUS GERENCIA DE PROYECTOS S. A. DE C. V.]"/>
        <member name="[Rango].[CONTRATISTA].&amp;[GALEONEZS LM CONSTRUCCIONES, S. A. DE C. V.]"/>
        <member name="[Rango].[CONTRATISTA].&amp;[GRUPO CONSTRUCCIONES PLANIFICADAS, SA DE CV]"/>
        <member name="[Rango].[CONTRATISTA].&amp;[INGENIERIA INTEGRAL LA ISLETA, S.A. DE C.V.]"/>
        <member name=""/>
        <member name="[Rango].[CONTRATISTA].&amp;[DCR CONSULTORIA Y CONSTRUCCION, S.A. DE C.V.]"/>
        <member name="[Rango].[CONTRATISTA].&amp;[IKARO INGENIERIA Y ARQUITECTURA, S.A. DE C.V]"/>
        <member name="[Rango].[CONTRATISTA].&amp;[MULTISERVICIOS INDUSTRIALES HA, S.A. DE C.V.]"/>
        <member name="[Rango].[CONTRATISTA].&amp;[NA CONSTRUCCIONES DEL PACIFICO, S.A. DE C.V.]"/>
        <member name="[Rango].[CONTRATISTA].&amp;[REVAL DESARROLLOS Y MATERIALES, S.A. DE C.V.]"/>
        <member name="[Rango].[CONTRATISTA].&amp;[CONCRETOS Y AGREGADOS DE CAJEME, S.A. DE C.V.]"/>
        <member name="[Rango].[CONTRATISTA].&amp;[CONSTRUCCIONES VILLA DE SERIS, S. A. DE C. V.]"/>
        <member name="[Rango].[CONTRATISTA].&amp;[PROYECTOS Y EDIFICACIONES RANDA, S.A. DE C.V.]"/>
        <member name="[Rango].[CONTRATISTA].&amp;[CINCO H INGENIERIA Y TERRACERIAS, S.A. DE C.V.]"/>
        <member name="[Rango].[CONTRATISTA].&amp;[CONSTRUCCIONES Y DISEÑOS OPOSURA, S.A. DE C.V.]"/>
        <member name=""/>
        <member name="[Rango].[CONTRATISTA].&amp;[OBRAS Y BASTIMENTOS DEL NOROESTE, S.A. DE C.V.]"/>
        <member name="[Rango].[CONTRATISTA].&amp;[PROYECTOS Y CONSTRUCCIONES ALHER, S.A. DE C.V.]"/>
        <member name=""/>
        <member name="[Rango].[CONTRATISTA].&amp;[BARREDA PROYECTO Y CONSTRUCCIONES, S.A. DE C.V.]"/>
        <member name="[Rango].[CONTRATISTA].&amp;[CONSTRUCTORA E INMOBILIARIA VELIS, S.A. DE C.V.]"/>
        <member name=""/>
        <member name="[Rango].[CONTRATISTA].&amp;[EDIFICACIONES Y PROYECTOS MOCELIK, S.A. DE C.V.]"/>
        <member name="[Rango].[CONTRATISTA].&amp;[EDIFICACIÓN INTEGRAL DEL NOROESTE, S.A. DE C.V.]"/>
        <member name="[Rango].[CONTRATISTA].&amp;[INMOBILIARIA TIERRAS DEL DESIERTO, S.A. DE C.V.]"/>
        <member name="[Rango].[CONTRATISTA].&amp;[NAYAR CONSTRUCCIONES DEL PACIFICO, S.A. DE C.V.]"/>
        <member name="[Rango].[CONTRATISTA].&amp;[EXPLORACIONES MINERAS DEL DESIERTO, S.A. DE C.V.]"/>
        <member name="[Rango].[CONTRATISTA].&amp;[INMOBILIARIA Y CONSTRUCTORA HARBOR, S.A. DE C.V.]"/>
        <member name="[Rango].[CONTRATISTA].&amp;[PROYECTOS Y CONSTRUCCIONES VIRGO, S. A. DE C. V.]"/>
        <member name="[Rango].[CONTRATISTA].&amp;[COORPORATIVO DE CAMINOS Y MINAS TUI, S.A. DE C.V.]"/>
        <member name="[Rango].[CONTRATISTA].&amp;[INMOBILIARIA TIERRAS DEL DESIERTO, S. A. DE C. V.]"/>
        <member name="[Rango].[CONTRATISTA].&amp;[JASA INSTALACIONES Y ALCANTARILLADO, S.A. DE C.V.]"/>
        <member name="[Rango].[CONTRATISTA].&amp;[SIGNS MANUFACTURAS Y CONSTRUCCIONES, S.A. DE C.V.]"/>
        <member name="[Rango].[CONTRATISTA].&amp;[CONSTRUCCIONES Y TERRACERIAS MOVAKAR, S.A. DE C.V.]"/>
        <member name="[Rango].[CONTRATISTA].&amp;[COTISA DESARROLLOS E INFRAESTRUCTURA, S.A. DE C.V.]"/>
        <member name="[Rango].[CONTRATISTA].&amp;[PROTEKO DESARROLLOS E INFRAESTRUCTURA S.A. DE C.V.]"/>
        <member name="[Rango].[CONTRATISTA].&amp;[PROYECTOS Y CONSULTORIA DEL DESIERTO, S.A. DE C.V.]"/>
        <member name=""/>
        <member name=""/>
        <member name=""/>
        <member name="[Rango].[CONTRATISTA].&amp;[SOL Y MAR CONSTRUCCIONES JEEV, S. DE R. L. DE C. V.]"/>
        <member name="[Rango].[CONTRATISTA].&amp;[RENTA, MOVIMIENTO DE CONTRUCCION EQUIPEN, S.A. DE C.V.]"/>
        <member name="[Rango].[CONTRATISTA].&amp;[LA AZTECA CONSTRUCCIONES Y URBANIZACIONES, S.A. DE C.V.]"/>
        <member name="[Rango].[CONTRATISTA].&amp;[RENTA, MOVIMIENTO DE CONSTRUCCION EQUIPEN, S.A. DE C.V.]"/>
        <member name="[Rango].[CONTRATISTA].&amp;[GRUPO PROFING CONSTRUCCIONES Y DESARROLLOS, S. A. DE C. V.]"/>
        <member name="[Rango].[CONTRATISTA].&amp;[PROYECTOS Y CONSTRUCCIONES DEL DESIERTO PYCDE, A.S. DE C.V.]"/>
        <member name="[Rango].[CONTRATISTA].&amp;[GYCR SOLUCIONES INTEGRALES PARA LA CONSTRUCCION, S.A. DE C.V.]"/>
        <member name="[Rango].[CONTRATISTA].&amp;[CONSTRUSERVICIOS Y EDIFICACIONES BAJAMAR DE MEXICO S.A. DE C.V.]"/>
        <member name="[Rango].[CONTRATISTA].&amp;[SEÑALAMIENTOS Y SERVICIOS INTEGRALES DEL NOROESTE, S.A. DE C.V.]"/>
        <member name=""/>
        <member name="[Rango].[CONTRATISTA].&amp;[GYEMM INMOBILIARIA Y DISEÑOS EN INGENIERIA Y ARQUITECTURA, S.A. DE C.V.]"/>
        <member name=""/>
        <member name="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9">
    <rowHierarchyUsage hierarchyUsage="4"/>
    <rowHierarchyUsage hierarchyUsage="3"/>
    <rowHierarchyUsage hierarchyUsage="16"/>
    <rowHierarchyUsage hierarchyUsage="22"/>
    <rowHierarchyUsage hierarchyUsage="24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8.xml><?xml version="1.0" encoding="utf-8"?>
<pivotTableDefinition xmlns="http://schemas.openxmlformats.org/spreadsheetml/2006/main" name="ESTATUS DE PAGOS" cacheId="4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G24" firstHeaderRow="1" firstDataRow="1" firstDataCol="6"/>
  <pivotFields count="10">
    <pivotField dataField="1" showAll="0"/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M. CONTRATADO" axis="axisRow" allDrilled="1" outline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insertBlankRow="1" dataSourceSort="1" defaultAttributeDrillState="1">
      <items count="5">
        <item s="1" x="0"/>
        <item s="1" x="1"/>
        <item s="1" x="2"/>
        <item x="3"/>
        <item t="default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name="AV.FIN. EST."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name="AV. FISICO" allDrilled="1" showAll="0" defaultSubtotal="0" defaultAttributeDrillState="1">
      <items count="10">
        <item x="1"/>
        <item x="9"/>
        <item x="7"/>
        <item x="8"/>
        <item x="5"/>
        <item x="0"/>
        <item x="2"/>
        <item x="3"/>
        <item x="4"/>
        <item x="6"/>
      </items>
    </pivotField>
  </pivotFields>
  <rowFields count="8">
    <field x="3"/>
    <field x="4"/>
    <field x="6"/>
    <field x="2"/>
    <field x="5"/>
    <field x="1"/>
    <field x="7"/>
    <field x="8"/>
  </rowFields>
  <rowItems count="21">
    <i>
      <x/>
    </i>
    <i r="1">
      <x/>
    </i>
    <i r="2">
      <x/>
      <x/>
      <x/>
      <x/>
      <x/>
      <x/>
    </i>
    <i r="4">
      <x v="1"/>
      <x/>
      <x v="1"/>
      <x v="1"/>
    </i>
    <i r="4">
      <x v="2"/>
      <x/>
      <x v="2"/>
      <x v="2"/>
    </i>
    <i r="4">
      <x v="3"/>
      <x/>
      <x v="2"/>
      <x v="3"/>
    </i>
    <i r="4">
      <x v="4"/>
      <x v="1"/>
      <x v="3"/>
      <x v="4"/>
    </i>
    <i r="5">
      <x v="2"/>
      <x v="4"/>
      <x v="5"/>
    </i>
    <i t="default">
      <x/>
    </i>
    <i t="blank">
      <x/>
    </i>
    <i>
      <x v="1"/>
    </i>
    <i r="1">
      <x v="1"/>
    </i>
    <i r="2">
      <x v="1"/>
      <x v="1"/>
      <x/>
      <x v="3"/>
      <x v="5"/>
      <x/>
    </i>
    <i t="default">
      <x v="1"/>
    </i>
    <i t="blank">
      <x v="1"/>
    </i>
    <i>
      <x v="2"/>
    </i>
    <i r="1">
      <x v="2"/>
    </i>
    <i r="2">
      <x v="2"/>
      <x v="2"/>
      <x/>
      <x v="4"/>
      <x v="3"/>
      <x/>
    </i>
    <i t="default">
      <x v="2"/>
    </i>
    <i t="blank">
      <x v="2"/>
    </i>
    <i t="grand">
      <x/>
    </i>
  </rowItems>
  <colItems count="1">
    <i/>
  </colItems>
  <dataFields count="1">
    <dataField name="NETO A PAGAR" fld="0" baseField="6" baseItem="0" numFmtId="165"/>
  </dataFields>
  <formats count="12"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fieldPosition="0">
        <references count="1">
          <reference field="4" count="0"/>
        </references>
      </pivotArea>
    </format>
    <format dxfId="20">
      <pivotArea field="8" type="button" dataOnly="0" labelOnly="1" outline="0" axis="axisRow" fieldPosition="7"/>
    </format>
    <format dxfId="19">
      <pivotArea field="8" type="button" dataOnly="0" labelOnly="1" outline="0" axis="axisRow" fieldPosition="7"/>
    </format>
    <format dxfId="18">
      <pivotArea dataOnly="0" labelOnly="1" fieldPosition="0">
        <references count="1">
          <reference field="8" count="0"/>
        </references>
      </pivotArea>
    </format>
    <format dxfId="17">
      <pivotArea dataOnly="0" fieldPosition="0">
        <references count="1">
          <reference field="2" count="1">
            <x v="3"/>
          </reference>
        </references>
      </pivotArea>
    </format>
    <format dxfId="16">
      <pivotArea dataOnly="0" fieldPosition="0">
        <references count="1">
          <reference field="2" count="1">
            <x v="3"/>
          </reference>
        </references>
      </pivotArea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collapsedLevelsAreSubtotals="1" fieldPosition="0">
        <references count="8">
          <reference field="1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2"/>
          </reference>
          <reference field="6" count="1" selected="0">
            <x v="3"/>
          </reference>
          <reference field="7" count="1" selected="0">
            <x v="6"/>
          </reference>
          <reference field="8" count="1">
            <x v="6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8">
    <rowHierarchyUsage hierarchyUsage="4"/>
    <rowHierarchyUsage hierarchyUsage="3"/>
    <rowHierarchyUsage hierarchyUsage="16"/>
    <rowHierarchyUsage hierarchyUsage="22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pivotTables/pivotTable9.xml><?xml version="1.0" encoding="utf-8"?>
<pivotTableDefinition xmlns="http://schemas.openxmlformats.org/spreadsheetml/2006/main" name="ESTATUS DE PAGOS" cacheId="5" applyNumberFormats="0" applyBorderFormats="0" applyFontFormats="0" applyPatternFormats="0" applyAlignmentFormats="0" applyWidthHeightFormats="1" dataCaption="Valores" updatedVersion="5" minRefreshableVersion="3" showDrill="0" subtotalHiddenItems="1" fieldPrintTitles="1" itemPrintTitles="1" createdVersion="5" indent="0" outline="1" outlineData="1" multipleFieldFilters="0" chartFormat="9" rowHeaderCaption="CONTRATO">
  <location ref="A3:G102" firstHeaderRow="1" firstDataRow="1" firstDataCol="6"/>
  <pivotFields count="11">
    <pivotField dataField="1" showAll="0"/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M. CONTRATADO" axis="axisRow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insertBlankRow="1" dataSourceSort="1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x="11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outline="0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name="AV.FIN. EST." axis="axisRow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AV. FISICO" allDrilled="1" showAll="0" defaultSubtotal="0" defaultAttributeDrillState="1">
      <items count="10">
        <item x="1"/>
        <item x="9"/>
        <item x="7"/>
        <item x="8"/>
        <item x="5"/>
        <item x="0"/>
        <item x="2"/>
        <item x="3"/>
        <item x="4"/>
        <item x="6"/>
      </items>
    </pivotField>
    <pivotField name="AV. FIN."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9">
    <field x="3"/>
    <field x="4"/>
    <field x="6"/>
    <field x="2"/>
    <field x="10"/>
    <field x="5"/>
    <field x="1"/>
    <field x="7"/>
    <field x="8"/>
  </rowFields>
  <rowItems count="99">
    <i>
      <x/>
    </i>
    <i r="1">
      <x/>
    </i>
    <i r="2">
      <x/>
      <x/>
      <x/>
    </i>
    <i r="5">
      <x/>
      <x/>
      <x/>
      <x/>
    </i>
    <i r="5">
      <x v="1"/>
      <x/>
      <x v="1"/>
      <x v="1"/>
    </i>
    <i r="5">
      <x v="2"/>
      <x/>
      <x v="2"/>
      <x v="2"/>
    </i>
    <i r="5">
      <x v="3"/>
      <x v="1"/>
      <x v="3"/>
      <x v="3"/>
    </i>
    <i r="5">
      <x v="4"/>
      <x v="1"/>
      <x v="3"/>
      <x v="4"/>
    </i>
    <i t="default">
      <x/>
    </i>
    <i t="blank">
      <x/>
    </i>
    <i>
      <x v="1"/>
    </i>
    <i r="1">
      <x v="1"/>
    </i>
    <i r="2">
      <x v="1"/>
      <x v="1"/>
      <x v="1"/>
    </i>
    <i r="5">
      <x/>
      <x/>
      <x v="4"/>
      <x/>
    </i>
    <i r="5">
      <x v="1"/>
      <x/>
      <x v="5"/>
      <x v="5"/>
    </i>
    <i r="5">
      <x v="2"/>
      <x/>
      <x v="6"/>
      <x v="6"/>
    </i>
    <i r="5">
      <x v="3"/>
      <x/>
      <x v="7"/>
      <x v="7"/>
    </i>
    <i t="default">
      <x v="1"/>
    </i>
    <i t="blank">
      <x v="1"/>
    </i>
    <i>
      <x v="2"/>
    </i>
    <i r="1">
      <x v="2"/>
    </i>
    <i r="2">
      <x v="2"/>
      <x v="2"/>
      <x v="2"/>
    </i>
    <i r="5">
      <x/>
      <x/>
      <x v="8"/>
      <x/>
    </i>
    <i r="5">
      <x v="1"/>
      <x/>
      <x v="6"/>
      <x v="8"/>
    </i>
    <i r="5">
      <x v="2"/>
      <x/>
      <x v="6"/>
      <x v="9"/>
    </i>
    <i r="5">
      <x v="3"/>
      <x/>
      <x v="9"/>
      <x v="10"/>
    </i>
    <i r="5">
      <x v="4"/>
      <x v="2"/>
      <x v="10"/>
      <x v="11"/>
    </i>
    <i t="default">
      <x v="2"/>
    </i>
    <i t="blank">
      <x v="2"/>
    </i>
    <i>
      <x v="3"/>
    </i>
    <i r="1">
      <x v="3"/>
    </i>
    <i r="2">
      <x v="3"/>
      <x v="3"/>
      <x v="3"/>
    </i>
    <i r="5">
      <x/>
      <x/>
      <x v="11"/>
      <x/>
    </i>
    <i r="5">
      <x v="1"/>
      <x/>
      <x v="12"/>
      <x v="12"/>
    </i>
    <i r="5">
      <x v="2"/>
      <x/>
      <x v="12"/>
      <x v="13"/>
    </i>
    <i r="5">
      <x v="3"/>
      <x/>
      <x v="13"/>
      <x v="14"/>
    </i>
    <i r="5">
      <x v="4"/>
      <x/>
      <x v="9"/>
      <x v="15"/>
    </i>
    <i r="5">
      <x v="5"/>
      <x/>
      <x v="14"/>
      <x v="16"/>
    </i>
    <i r="5">
      <x v="6"/>
      <x/>
      <x v="14"/>
      <x v="17"/>
    </i>
    <i t="default">
      <x v="3"/>
    </i>
    <i t="blank">
      <x v="3"/>
    </i>
    <i>
      <x v="4"/>
    </i>
    <i r="1">
      <x v="4"/>
    </i>
    <i r="2">
      <x v="4"/>
      <x v="4"/>
      <x v="4"/>
    </i>
    <i r="5">
      <x/>
      <x/>
      <x v="15"/>
      <x/>
    </i>
    <i r="5">
      <x v="1"/>
      <x/>
      <x v="16"/>
      <x v="18"/>
    </i>
    <i t="default">
      <x v="4"/>
    </i>
    <i t="blank">
      <x v="4"/>
    </i>
    <i>
      <x v="5"/>
    </i>
    <i r="1">
      <x v="5"/>
    </i>
    <i r="2">
      <x v="5"/>
      <x v="5"/>
      <x v="5"/>
    </i>
    <i r="5">
      <x/>
      <x/>
      <x v="1"/>
      <x/>
    </i>
    <i t="default">
      <x v="5"/>
    </i>
    <i t="blank">
      <x v="5"/>
    </i>
    <i>
      <x v="6"/>
    </i>
    <i r="1">
      <x v="6"/>
    </i>
    <i r="2">
      <x v="6"/>
      <x v="6"/>
      <x v="6"/>
    </i>
    <i r="5">
      <x v="1"/>
      <x/>
      <x v="6"/>
      <x v="19"/>
    </i>
    <i r="5">
      <x v="2"/>
      <x/>
      <x v="17"/>
      <x v="19"/>
    </i>
    <i r="5">
      <x v="3"/>
      <x v="3"/>
      <x v="18"/>
      <x v="19"/>
    </i>
    <i t="default">
      <x v="6"/>
    </i>
    <i t="blank">
      <x v="6"/>
    </i>
    <i>
      <x v="7"/>
    </i>
    <i r="1">
      <x v="7"/>
    </i>
    <i r="2">
      <x v="7"/>
      <x v="7"/>
      <x v="6"/>
    </i>
    <i r="5">
      <x v="1"/>
      <x/>
      <x v="6"/>
      <x v="19"/>
    </i>
    <i r="5">
      <x v="2"/>
      <x/>
      <x v="6"/>
      <x v="19"/>
    </i>
    <i r="5">
      <x v="3"/>
      <x v="3"/>
      <x v="18"/>
      <x v="19"/>
    </i>
    <i t="default">
      <x v="7"/>
    </i>
    <i t="blank">
      <x v="7"/>
    </i>
    <i>
      <x v="8"/>
    </i>
    <i r="1">
      <x v="8"/>
    </i>
    <i r="2">
      <x v="6"/>
      <x v="8"/>
      <x v="6"/>
    </i>
    <i r="5">
      <x v="1"/>
      <x v="2"/>
      <x v="19"/>
      <x v="19"/>
    </i>
    <i r="5">
      <x v="2"/>
      <x/>
      <x v="12"/>
      <x v="19"/>
    </i>
    <i r="5">
      <x v="3"/>
      <x v="3"/>
      <x v="18"/>
      <x v="19"/>
    </i>
    <i t="default">
      <x v="8"/>
    </i>
    <i t="blank">
      <x v="8"/>
    </i>
    <i>
      <x v="9"/>
    </i>
    <i r="1">
      <x v="9"/>
    </i>
    <i r="2">
      <x v="7"/>
      <x v="9"/>
      <x v="7"/>
    </i>
    <i r="5">
      <x v="1"/>
      <x/>
      <x v="12"/>
      <x v="19"/>
    </i>
    <i r="5">
      <x v="2"/>
      <x v="3"/>
      <x v="14"/>
      <x v="19"/>
    </i>
    <i r="5">
      <x v="3"/>
      <x v="3"/>
      <x v="20"/>
      <x v="19"/>
    </i>
    <i r="5">
      <x v="4"/>
      <x v="4"/>
      <x v="3"/>
      <x v="19"/>
    </i>
    <i t="default">
      <x v="9"/>
    </i>
    <i t="blank">
      <x v="9"/>
    </i>
    <i>
      <x v="10"/>
    </i>
    <i r="1">
      <x v="10"/>
    </i>
    <i r="2">
      <x v="8"/>
      <x v="10"/>
      <x v="8"/>
    </i>
    <i r="5">
      <x/>
      <x/>
      <x v="21"/>
      <x/>
    </i>
    <i r="5">
      <x v="1"/>
      <x v="1"/>
      <x v="22"/>
      <x v="20"/>
    </i>
    <i r="5">
      <x v="2"/>
      <x/>
      <x v="7"/>
      <x v="21"/>
    </i>
    <i r="5">
      <x v="3"/>
      <x/>
      <x v="7"/>
      <x v="22"/>
    </i>
    <i r="5">
      <x v="4"/>
      <x v="2"/>
      <x v="14"/>
      <x v="23"/>
    </i>
    <i r="5">
      <x v="5"/>
      <x v="2"/>
      <x v="14"/>
      <x v="24"/>
    </i>
    <i t="default">
      <x v="10"/>
    </i>
    <i t="blank">
      <x v="10"/>
    </i>
    <i t="grand">
      <x/>
    </i>
  </rowItems>
  <colItems count="1">
    <i/>
  </colItems>
  <dataFields count="1">
    <dataField name="NETO A PAGAR" fld="0" baseField="6" baseItem="0" numFmtId="165"/>
  </dataFields>
  <formats count="12"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fieldPosition="0">
        <references count="1">
          <reference field="4" count="0"/>
        </references>
      </pivotArea>
    </format>
    <format dxfId="8">
      <pivotArea field="8" type="button" dataOnly="0" labelOnly="1" outline="0" axis="axisRow" fieldPosition="8"/>
    </format>
    <format dxfId="7">
      <pivotArea field="8" type="button" dataOnly="0" labelOnly="1" outline="0" axis="axisRow" fieldPosition="8"/>
    </format>
    <format dxfId="6">
      <pivotArea dataOnly="0" labelOnly="1" fieldPosition="0">
        <references count="1">
          <reference field="8" count="0"/>
        </references>
      </pivotArea>
    </format>
    <format dxfId="5">
      <pivotArea dataOnly="0" fieldPosition="0">
        <references count="1">
          <reference field="2" count="1">
            <x v="11"/>
          </reference>
        </references>
      </pivotArea>
    </format>
    <format dxfId="4">
      <pivotArea dataOnly="0" fieldPosition="0">
        <references count="1">
          <reference field="2" count="1">
            <x v="11"/>
          </reference>
        </references>
      </pivotArea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collapsedLevelsAreSubtotals="1" fieldPosition="0">
        <references count="8">
          <reference field="1" count="1" selected="0">
            <x v="0"/>
          </reference>
          <reference field="2" count="1" selected="0">
            <x v="11"/>
          </reference>
          <reference field="3" count="1" selected="0">
            <x v="11"/>
          </reference>
          <reference field="4" count="1" selected="0">
            <x v="11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23"/>
          </reference>
          <reference field="8" count="1">
            <x v="25"/>
          </reference>
        </references>
      </pivotArea>
    </format>
  </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ETO A PAGAR"/>
    <pivotHierarchy dragToRow="0" dragToCol="0" dragToPage="0" dragToData="1"/>
    <pivotHierarchy dragToRow="0" dragToCol="0" dragToPage="0" dragToData="1"/>
  </pivotHierarchies>
  <pivotTableStyleInfo name="PivotStyleLight18" showRowHeaders="1" showColHeaders="1" showRowStripes="0" showColStripes="0" showLastColumn="1"/>
  <rowHierarchiesUsage count="9">
    <rowHierarchyUsage hierarchyUsage="4"/>
    <rowHierarchyUsage hierarchyUsage="3"/>
    <rowHierarchyUsage hierarchyUsage="16"/>
    <rowHierarchyUsage hierarchyUsage="22"/>
    <rowHierarchyUsage hierarchyUsage="25"/>
    <rowHierarchyUsage hierarchyUsage="7"/>
    <rowHierarchyUsage hierarchyUsage="20"/>
    <rowHierarchyUsage hierarchyUsage="21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LICITUD DE PAGO!$A:$W">
        <x15:activeTabTopLevelEntity name="[Rango]"/>
      </x15:pivotTableUISettings>
    </ext>
  </extLst>
</pivotTableDefinition>
</file>

<file path=xl/tables/table1.xml><?xml version="1.0" encoding="utf-8"?>
<table xmlns="http://schemas.openxmlformats.org/spreadsheetml/2006/main" id="1" name="RESUMENPAGOS" displayName="RESUMENPAGOS" ref="A5:B14" totalsRowCount="1">
  <autoFilter ref="A5:B13">
    <filterColumn colId="0" hiddenButton="1"/>
    <filterColumn colId="1" hiddenButton="1"/>
  </autoFilter>
  <tableColumns count="2">
    <tableColumn id="1" name="ESTADO DE ESTIMACIÓN" totalsRowLabel="Total"/>
    <tableColumn id="2" name="MONTO NETO" totalsRowFunction="sum" dataDxfId="129" totalsRowDxfId="128" dataCellStyle="Millares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2" name="RESUMENPAGOS3" displayName="RESUMENPAGOS3" ref="A18:B26" totalsRowCount="1">
  <autoFilter ref="A18:B25"/>
  <tableColumns count="2">
    <tableColumn id="1" name="ESTADO DE ESTIMACIÓN NO PAGADAS" totalsRowLabel="Total"/>
    <tableColumn id="2" name="MONTO NETO" totalsRowFunction="sum" dataDxfId="127" totalsRowDxfId="126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2"/>
  <sheetViews>
    <sheetView workbookViewId="0">
      <pane ySplit="1" topLeftCell="A2" activePane="bottomLeft" state="frozen"/>
      <selection pane="bottomLeft" activeCell="E4" sqref="E4"/>
    </sheetView>
  </sheetViews>
  <sheetFormatPr baseColWidth="10" defaultColWidth="10.7109375" defaultRowHeight="15" x14ac:dyDescent="0.25"/>
  <cols>
    <col min="1" max="1" width="14.5703125" style="25" bestFit="1" customWidth="1"/>
    <col min="2" max="2" width="29.5703125" style="14" customWidth="1"/>
    <col min="3" max="3" width="40.140625" style="13" customWidth="1"/>
    <col min="4" max="4" width="16" style="14" customWidth="1"/>
    <col min="5" max="5" width="19.5703125" style="13" bestFit="1" customWidth="1"/>
    <col min="6" max="6" width="27" style="13" customWidth="1"/>
    <col min="7" max="7" width="24.140625" style="13" bestFit="1" customWidth="1"/>
    <col min="8" max="8" width="23.140625" style="13" bestFit="1" customWidth="1"/>
    <col min="9" max="9" width="16.42578125" style="1" bestFit="1" customWidth="1"/>
    <col min="10" max="10" width="22" style="1" bestFit="1" customWidth="1"/>
    <col min="11" max="11" width="22.140625" style="1" bestFit="1" customWidth="1"/>
    <col min="12" max="16384" width="10.7109375" style="13"/>
  </cols>
  <sheetData>
    <row r="1" spans="1:11" x14ac:dyDescent="0.25">
      <c r="A1" s="27" t="s">
        <v>0</v>
      </c>
      <c r="B1" s="28" t="s">
        <v>1</v>
      </c>
      <c r="C1" s="26" t="s">
        <v>2</v>
      </c>
      <c r="D1" s="28" t="s">
        <v>3</v>
      </c>
      <c r="E1" s="26" t="s">
        <v>5</v>
      </c>
      <c r="F1" s="26" t="s">
        <v>4</v>
      </c>
      <c r="G1" s="26" t="s">
        <v>6</v>
      </c>
      <c r="H1" s="26" t="s">
        <v>7</v>
      </c>
      <c r="I1" s="29" t="s">
        <v>16</v>
      </c>
      <c r="J1" s="29" t="s">
        <v>8</v>
      </c>
      <c r="K1" s="85" t="s">
        <v>703</v>
      </c>
    </row>
    <row r="2" spans="1:11" s="14" customFormat="1" ht="60" hidden="1" x14ac:dyDescent="0.25">
      <c r="A2" s="34" t="s">
        <v>9</v>
      </c>
      <c r="B2" s="35" t="s">
        <v>155</v>
      </c>
      <c r="C2" s="17" t="s">
        <v>120</v>
      </c>
      <c r="D2" s="18" t="s">
        <v>121</v>
      </c>
      <c r="E2" s="30" t="s">
        <v>154</v>
      </c>
      <c r="F2" s="26"/>
      <c r="G2" s="28" t="s">
        <v>156</v>
      </c>
      <c r="H2" s="26"/>
      <c r="I2" s="26"/>
      <c r="J2" s="29"/>
      <c r="K2" s="6">
        <v>17161903.07</v>
      </c>
    </row>
    <row r="3" spans="1:11" s="14" customFormat="1" ht="60" hidden="1" x14ac:dyDescent="0.25">
      <c r="A3" s="30" t="s">
        <v>235</v>
      </c>
      <c r="B3" s="28" t="s">
        <v>271</v>
      </c>
      <c r="C3" s="28" t="s">
        <v>270</v>
      </c>
      <c r="D3" s="47" t="s">
        <v>269</v>
      </c>
      <c r="E3" s="30" t="s">
        <v>272</v>
      </c>
      <c r="F3" s="28"/>
      <c r="G3" s="28"/>
      <c r="H3" s="28"/>
      <c r="I3" s="6"/>
      <c r="J3" s="29">
        <v>655931.25</v>
      </c>
      <c r="K3" s="6">
        <v>2962183.47</v>
      </c>
    </row>
    <row r="4" spans="1:11" s="14" customFormat="1" ht="45" hidden="1" x14ac:dyDescent="0.25">
      <c r="A4" s="27" t="s">
        <v>235</v>
      </c>
      <c r="B4" s="28" t="s">
        <v>236</v>
      </c>
      <c r="C4" s="33" t="s">
        <v>234</v>
      </c>
      <c r="D4" s="47" t="s">
        <v>233</v>
      </c>
      <c r="E4" s="27" t="s">
        <v>237</v>
      </c>
      <c r="F4" s="28" t="s">
        <v>254</v>
      </c>
      <c r="G4" s="28"/>
      <c r="H4" s="26" t="s">
        <v>238</v>
      </c>
      <c r="I4" s="29">
        <v>10757239.4</v>
      </c>
      <c r="J4" s="29">
        <v>0</v>
      </c>
      <c r="K4" s="6">
        <v>25515708.309999999</v>
      </c>
    </row>
    <row r="5" spans="1:11" ht="45" hidden="1" x14ac:dyDescent="0.25">
      <c r="A5" s="36" t="s">
        <v>88</v>
      </c>
      <c r="B5" s="37" t="s">
        <v>157</v>
      </c>
      <c r="C5" s="19" t="s">
        <v>85</v>
      </c>
      <c r="D5" s="20" t="s">
        <v>86</v>
      </c>
      <c r="E5" s="30" t="s">
        <v>87</v>
      </c>
      <c r="F5" s="26" t="s">
        <v>252</v>
      </c>
      <c r="G5" s="26" t="s">
        <v>253</v>
      </c>
      <c r="H5" s="26" t="s">
        <v>251</v>
      </c>
      <c r="I5" s="29">
        <v>2000000</v>
      </c>
      <c r="J5" s="32">
        <v>272825.46000000002</v>
      </c>
      <c r="K5" s="29">
        <v>1999878.64</v>
      </c>
    </row>
    <row r="6" spans="1:11" ht="45" hidden="1" x14ac:dyDescent="0.25">
      <c r="A6" s="30" t="s">
        <v>235</v>
      </c>
      <c r="B6" s="28" t="s">
        <v>303</v>
      </c>
      <c r="C6" s="47" t="s">
        <v>302</v>
      </c>
      <c r="D6" s="47" t="s">
        <v>301</v>
      </c>
      <c r="E6" s="30" t="s">
        <v>237</v>
      </c>
      <c r="F6" s="28" t="s">
        <v>305</v>
      </c>
      <c r="G6" s="26" t="s">
        <v>253</v>
      </c>
      <c r="H6" s="28" t="s">
        <v>238</v>
      </c>
      <c r="I6" s="6">
        <v>10757239.4</v>
      </c>
      <c r="J6" s="29"/>
      <c r="K6" s="29">
        <v>778404.8</v>
      </c>
    </row>
    <row r="7" spans="1:11" ht="75" hidden="1" x14ac:dyDescent="0.25">
      <c r="A7" s="27" t="s">
        <v>9</v>
      </c>
      <c r="B7" s="28" t="s">
        <v>229</v>
      </c>
      <c r="C7" s="33" t="s">
        <v>228</v>
      </c>
      <c r="D7" s="47" t="s">
        <v>227</v>
      </c>
      <c r="E7" s="27" t="s">
        <v>230</v>
      </c>
      <c r="F7" s="28" t="s">
        <v>231</v>
      </c>
      <c r="G7" s="28" t="s">
        <v>232</v>
      </c>
      <c r="H7" s="26" t="s">
        <v>22</v>
      </c>
      <c r="I7" s="29">
        <v>5801945.0999999996</v>
      </c>
      <c r="J7" s="29"/>
      <c r="K7" s="29">
        <v>8412238.6600000001</v>
      </c>
    </row>
    <row r="8" spans="1:11" ht="60" hidden="1" x14ac:dyDescent="0.25">
      <c r="A8" s="30" t="s">
        <v>25</v>
      </c>
      <c r="B8" s="28" t="s">
        <v>96</v>
      </c>
      <c r="C8" s="28" t="s">
        <v>104</v>
      </c>
      <c r="D8" s="47" t="s">
        <v>105</v>
      </c>
      <c r="E8" s="27" t="s">
        <v>106</v>
      </c>
      <c r="F8" s="28" t="s">
        <v>107</v>
      </c>
      <c r="G8" s="28" t="s">
        <v>108</v>
      </c>
      <c r="H8" s="26" t="s">
        <v>22</v>
      </c>
      <c r="I8" s="29">
        <v>2745160.6</v>
      </c>
      <c r="J8" s="32">
        <v>9308370.4000000004</v>
      </c>
      <c r="K8" s="29">
        <v>4868065.41</v>
      </c>
    </row>
    <row r="9" spans="1:11" ht="45" hidden="1" x14ac:dyDescent="0.25">
      <c r="A9" s="30" t="s">
        <v>336</v>
      </c>
      <c r="B9" s="28" t="s">
        <v>259</v>
      </c>
      <c r="C9" s="28" t="s">
        <v>335</v>
      </c>
      <c r="D9" s="47" t="s">
        <v>337</v>
      </c>
      <c r="E9" s="30" t="s">
        <v>2479</v>
      </c>
      <c r="F9" s="28" t="s">
        <v>2303</v>
      </c>
      <c r="G9" s="28" t="s">
        <v>2348</v>
      </c>
      <c r="H9" s="28" t="s">
        <v>2302</v>
      </c>
      <c r="I9" s="6">
        <v>2064425.3</v>
      </c>
      <c r="J9" s="29">
        <v>290472</v>
      </c>
      <c r="K9" s="29">
        <v>3275656.65</v>
      </c>
    </row>
    <row r="10" spans="1:11" ht="75" hidden="1" x14ac:dyDescent="0.25">
      <c r="A10" s="27" t="s">
        <v>258</v>
      </c>
      <c r="B10" s="28" t="s">
        <v>259</v>
      </c>
      <c r="C10" s="33" t="s">
        <v>260</v>
      </c>
      <c r="D10" s="28" t="s">
        <v>257</v>
      </c>
      <c r="E10" s="26" t="s">
        <v>261</v>
      </c>
      <c r="F10" s="26" t="s">
        <v>263</v>
      </c>
      <c r="G10" s="26" t="s">
        <v>262</v>
      </c>
      <c r="H10" s="26" t="s">
        <v>22</v>
      </c>
      <c r="I10" s="29">
        <v>3459477</v>
      </c>
      <c r="J10" s="32">
        <v>24292432.870000001</v>
      </c>
      <c r="K10" s="29">
        <v>5404780.6299999999</v>
      </c>
    </row>
    <row r="11" spans="1:11" ht="75" hidden="1" x14ac:dyDescent="0.25">
      <c r="A11" s="30" t="s">
        <v>101</v>
      </c>
      <c r="B11" s="28" t="s">
        <v>96</v>
      </c>
      <c r="C11" s="28" t="s">
        <v>102</v>
      </c>
      <c r="D11" s="47" t="s">
        <v>97</v>
      </c>
      <c r="E11" s="27" t="s">
        <v>98</v>
      </c>
      <c r="F11" s="26" t="s">
        <v>99</v>
      </c>
      <c r="G11" s="28" t="s">
        <v>100</v>
      </c>
      <c r="H11" s="26" t="s">
        <v>22</v>
      </c>
      <c r="I11" s="29">
        <v>2064425.3</v>
      </c>
      <c r="J11" s="29"/>
      <c r="K11" s="29">
        <v>3605068.1</v>
      </c>
    </row>
    <row r="12" spans="1:11" ht="60" hidden="1" x14ac:dyDescent="0.25">
      <c r="A12" s="30" t="s">
        <v>9</v>
      </c>
      <c r="B12" s="28" t="s">
        <v>58</v>
      </c>
      <c r="C12" s="28" t="s">
        <v>59</v>
      </c>
      <c r="D12" s="47" t="s">
        <v>60</v>
      </c>
      <c r="E12" s="30" t="s">
        <v>61</v>
      </c>
      <c r="F12" s="31" t="s">
        <v>62</v>
      </c>
      <c r="G12" s="28" t="s">
        <v>21</v>
      </c>
      <c r="H12" s="28" t="s">
        <v>63</v>
      </c>
      <c r="I12" s="29">
        <v>4614070.93</v>
      </c>
      <c r="J12" s="32">
        <v>3189276.31</v>
      </c>
      <c r="K12" s="29">
        <v>7123210.2300000004</v>
      </c>
    </row>
    <row r="13" spans="1:11" ht="75" hidden="1" x14ac:dyDescent="0.25">
      <c r="A13" s="34" t="s">
        <v>109</v>
      </c>
      <c r="B13" s="35" t="s">
        <v>96</v>
      </c>
      <c r="C13" s="21" t="s">
        <v>94</v>
      </c>
      <c r="D13" s="22" t="s">
        <v>93</v>
      </c>
      <c r="E13" s="30" t="s">
        <v>95</v>
      </c>
      <c r="F13" s="38" t="s">
        <v>160</v>
      </c>
      <c r="G13" s="28" t="s">
        <v>21</v>
      </c>
      <c r="H13" s="26" t="s">
        <v>118</v>
      </c>
      <c r="I13" s="29">
        <v>484624</v>
      </c>
      <c r="J13" s="32">
        <v>3343903.28</v>
      </c>
      <c r="K13" s="29">
        <v>484623.94</v>
      </c>
    </row>
    <row r="14" spans="1:11" ht="75" hidden="1" x14ac:dyDescent="0.25">
      <c r="A14" s="34" t="s">
        <v>109</v>
      </c>
      <c r="B14" s="35" t="s">
        <v>96</v>
      </c>
      <c r="C14" s="21" t="s">
        <v>110</v>
      </c>
      <c r="D14" s="22" t="s">
        <v>111</v>
      </c>
      <c r="E14" s="30" t="s">
        <v>112</v>
      </c>
      <c r="F14" s="38" t="s">
        <v>160</v>
      </c>
      <c r="G14" s="28" t="s">
        <v>21</v>
      </c>
      <c r="H14" s="26" t="s">
        <v>118</v>
      </c>
      <c r="I14" s="29">
        <v>484624</v>
      </c>
      <c r="J14" s="29"/>
      <c r="K14" s="29">
        <v>484623.94</v>
      </c>
    </row>
    <row r="15" spans="1:11" ht="75" hidden="1" x14ac:dyDescent="0.25">
      <c r="A15" s="34" t="s">
        <v>109</v>
      </c>
      <c r="B15" s="35" t="s">
        <v>96</v>
      </c>
      <c r="C15" s="21" t="s">
        <v>122</v>
      </c>
      <c r="D15" s="22" t="s">
        <v>123</v>
      </c>
      <c r="E15" s="30" t="s">
        <v>158</v>
      </c>
      <c r="F15" s="38" t="s">
        <v>160</v>
      </c>
      <c r="G15" s="28" t="s">
        <v>21</v>
      </c>
      <c r="H15" s="26" t="s">
        <v>118</v>
      </c>
      <c r="I15" s="29">
        <v>484624</v>
      </c>
      <c r="J15" s="29"/>
      <c r="K15" s="29">
        <v>484623.94</v>
      </c>
    </row>
    <row r="16" spans="1:11" ht="75" hidden="1" x14ac:dyDescent="0.25">
      <c r="A16" s="34" t="s">
        <v>9</v>
      </c>
      <c r="B16" s="35" t="s">
        <v>58</v>
      </c>
      <c r="C16" s="21" t="s">
        <v>124</v>
      </c>
      <c r="D16" s="22" t="s">
        <v>125</v>
      </c>
      <c r="E16" s="48" t="s">
        <v>159</v>
      </c>
      <c r="F16" s="27" t="s">
        <v>273</v>
      </c>
      <c r="G16" s="26"/>
      <c r="H16" s="26" t="s">
        <v>274</v>
      </c>
      <c r="I16" s="29">
        <v>1092546</v>
      </c>
      <c r="J16" s="29"/>
      <c r="K16" s="29">
        <v>1089729.81</v>
      </c>
    </row>
    <row r="17" spans="1:11" ht="120" hidden="1" x14ac:dyDescent="0.25">
      <c r="A17" s="30" t="s">
        <v>9</v>
      </c>
      <c r="B17" s="28" t="s">
        <v>17</v>
      </c>
      <c r="C17" s="28" t="s">
        <v>275</v>
      </c>
      <c r="D17" s="47" t="s">
        <v>18</v>
      </c>
      <c r="E17" s="30" t="s">
        <v>19</v>
      </c>
      <c r="F17" s="31" t="s">
        <v>20</v>
      </c>
      <c r="G17" s="28" t="s">
        <v>21</v>
      </c>
      <c r="H17" s="28" t="s">
        <v>22</v>
      </c>
      <c r="I17" s="6">
        <v>392347</v>
      </c>
      <c r="J17" s="29"/>
      <c r="K17" s="29">
        <v>389750.66</v>
      </c>
    </row>
    <row r="18" spans="1:11" ht="30" hidden="1" x14ac:dyDescent="0.25">
      <c r="A18" s="30" t="s">
        <v>290</v>
      </c>
      <c r="B18" s="28" t="s">
        <v>521</v>
      </c>
      <c r="C18" s="28" t="s">
        <v>723</v>
      </c>
      <c r="D18" s="47" t="s">
        <v>520</v>
      </c>
      <c r="E18" s="30" t="s">
        <v>724</v>
      </c>
      <c r="F18" s="28" t="s">
        <v>2344</v>
      </c>
      <c r="G18" s="28" t="s">
        <v>725</v>
      </c>
      <c r="H18" s="28" t="s">
        <v>2400</v>
      </c>
      <c r="I18" s="6">
        <v>43762267</v>
      </c>
      <c r="J18" s="29">
        <v>0.01</v>
      </c>
      <c r="K18" s="29">
        <v>42349187.57</v>
      </c>
    </row>
    <row r="19" spans="1:11" ht="60" hidden="1" x14ac:dyDescent="0.25">
      <c r="A19" s="30" t="s">
        <v>25</v>
      </c>
      <c r="B19" s="28" t="s">
        <v>280</v>
      </c>
      <c r="C19" s="28" t="s">
        <v>281</v>
      </c>
      <c r="D19" s="47" t="s">
        <v>279</v>
      </c>
      <c r="E19" s="30" t="s">
        <v>282</v>
      </c>
      <c r="F19" s="28" t="s">
        <v>283</v>
      </c>
      <c r="G19" s="28" t="s">
        <v>284</v>
      </c>
      <c r="H19" s="28" t="s">
        <v>84</v>
      </c>
      <c r="I19" s="6">
        <v>23580647</v>
      </c>
      <c r="J19" s="29"/>
      <c r="K19" s="29">
        <v>22980026.969999999</v>
      </c>
    </row>
    <row r="20" spans="1:11" ht="45" hidden="1" x14ac:dyDescent="0.25">
      <c r="A20" s="30" t="s">
        <v>258</v>
      </c>
      <c r="B20" s="28" t="s">
        <v>396</v>
      </c>
      <c r="C20" s="28" t="s">
        <v>395</v>
      </c>
      <c r="D20" s="47" t="s">
        <v>394</v>
      </c>
      <c r="E20" s="30" t="s">
        <v>397</v>
      </c>
      <c r="F20" s="28" t="s">
        <v>398</v>
      </c>
      <c r="G20" s="28" t="s">
        <v>399</v>
      </c>
      <c r="H20" s="28" t="s">
        <v>2400</v>
      </c>
      <c r="I20" s="6">
        <v>26470588</v>
      </c>
      <c r="J20" s="29">
        <v>228961.99</v>
      </c>
      <c r="K20" s="29">
        <v>26465400</v>
      </c>
    </row>
    <row r="21" spans="1:11" ht="60" hidden="1" x14ac:dyDescent="0.25">
      <c r="A21" s="30" t="s">
        <v>25</v>
      </c>
      <c r="B21" s="28" t="s">
        <v>78</v>
      </c>
      <c r="C21" s="28" t="s">
        <v>79</v>
      </c>
      <c r="D21" s="47" t="s">
        <v>80</v>
      </c>
      <c r="E21" s="30" t="s">
        <v>81</v>
      </c>
      <c r="F21" s="31" t="s">
        <v>82</v>
      </c>
      <c r="G21" s="28" t="s">
        <v>83</v>
      </c>
      <c r="H21" s="28" t="s">
        <v>84</v>
      </c>
      <c r="I21" s="29"/>
      <c r="J21" s="29"/>
      <c r="K21" s="29">
        <v>17283667.420000002</v>
      </c>
    </row>
    <row r="22" spans="1:11" ht="30" hidden="1" x14ac:dyDescent="0.25">
      <c r="A22" s="30" t="s">
        <v>32</v>
      </c>
      <c r="B22" s="28" t="s">
        <v>505</v>
      </c>
      <c r="C22" s="28" t="s">
        <v>504</v>
      </c>
      <c r="D22" s="47" t="s">
        <v>503</v>
      </c>
      <c r="E22" s="30" t="s">
        <v>506</v>
      </c>
      <c r="F22" s="28" t="s">
        <v>2343</v>
      </c>
      <c r="G22" s="28" t="s">
        <v>507</v>
      </c>
      <c r="H22" s="28" t="s">
        <v>2400</v>
      </c>
      <c r="I22" s="6">
        <v>6310680</v>
      </c>
      <c r="J22" s="29">
        <v>110761.82</v>
      </c>
      <c r="K22" s="29">
        <v>6757250.3700000001</v>
      </c>
    </row>
    <row r="23" spans="1:11" ht="45" hidden="1" x14ac:dyDescent="0.25">
      <c r="A23" s="30" t="s">
        <v>9</v>
      </c>
      <c r="B23" s="28" t="s">
        <v>325</v>
      </c>
      <c r="C23" s="28" t="s">
        <v>726</v>
      </c>
      <c r="D23" s="47" t="s">
        <v>524</v>
      </c>
      <c r="E23" s="30" t="s">
        <v>526</v>
      </c>
      <c r="F23" s="28" t="s">
        <v>2342</v>
      </c>
      <c r="G23" s="28" t="s">
        <v>729</v>
      </c>
      <c r="H23" s="28" t="s">
        <v>2400</v>
      </c>
      <c r="I23" s="6">
        <v>23529412</v>
      </c>
      <c r="J23" s="29">
        <v>301290.21999999997</v>
      </c>
      <c r="K23" s="29">
        <v>22955014.68</v>
      </c>
    </row>
    <row r="24" spans="1:11" ht="30" hidden="1" x14ac:dyDescent="0.25">
      <c r="A24" s="30" t="s">
        <v>290</v>
      </c>
      <c r="B24" s="28" t="s">
        <v>717</v>
      </c>
      <c r="C24" s="28" t="s">
        <v>718</v>
      </c>
      <c r="D24" s="47" t="s">
        <v>532</v>
      </c>
      <c r="E24" s="30" t="s">
        <v>534</v>
      </c>
      <c r="F24" s="28" t="s">
        <v>2344</v>
      </c>
      <c r="G24" s="28" t="s">
        <v>719</v>
      </c>
      <c r="H24" s="28" t="s">
        <v>2400</v>
      </c>
      <c r="I24" s="6">
        <v>83333341</v>
      </c>
      <c r="J24" s="29">
        <v>502311.36</v>
      </c>
      <c r="K24" s="29">
        <v>83353232.650000006</v>
      </c>
    </row>
    <row r="25" spans="1:11" ht="45" hidden="1" x14ac:dyDescent="0.25">
      <c r="A25" s="30" t="s">
        <v>88</v>
      </c>
      <c r="B25" s="28" t="s">
        <v>529</v>
      </c>
      <c r="C25" s="28" t="s">
        <v>786</v>
      </c>
      <c r="D25" s="47" t="s">
        <v>528</v>
      </c>
      <c r="E25" s="30" t="s">
        <v>530</v>
      </c>
      <c r="F25" s="28" t="s">
        <v>2403</v>
      </c>
      <c r="G25" s="28" t="s">
        <v>787</v>
      </c>
      <c r="H25" s="28" t="s">
        <v>2400</v>
      </c>
      <c r="I25" s="6">
        <v>29491525</v>
      </c>
      <c r="J25" s="29">
        <v>5474908.0899999999</v>
      </c>
      <c r="K25" s="29">
        <v>28542774.780000001</v>
      </c>
    </row>
    <row r="26" spans="1:11" ht="30" hidden="1" x14ac:dyDescent="0.25">
      <c r="A26" s="30" t="s">
        <v>9</v>
      </c>
      <c r="B26" s="28" t="s">
        <v>169</v>
      </c>
      <c r="C26" s="28" t="s">
        <v>538</v>
      </c>
      <c r="D26" s="47" t="s">
        <v>539</v>
      </c>
      <c r="E26" s="30" t="s">
        <v>540</v>
      </c>
      <c r="F26" s="28" t="s">
        <v>2405</v>
      </c>
      <c r="G26" s="28" t="s">
        <v>730</v>
      </c>
      <c r="H26" s="28" t="s">
        <v>2400</v>
      </c>
      <c r="I26" s="6">
        <v>38235294</v>
      </c>
      <c r="J26" s="29">
        <v>3241.77</v>
      </c>
      <c r="K26" s="29">
        <v>37981342.780000001</v>
      </c>
    </row>
    <row r="27" spans="1:11" ht="30" hidden="1" x14ac:dyDescent="0.25">
      <c r="A27" s="30" t="s">
        <v>258</v>
      </c>
      <c r="B27" s="28" t="s">
        <v>459</v>
      </c>
      <c r="C27" s="28" t="s">
        <v>765</v>
      </c>
      <c r="D27" s="47" t="s">
        <v>546</v>
      </c>
      <c r="E27" s="30" t="s">
        <v>766</v>
      </c>
      <c r="F27" s="28" t="s">
        <v>2406</v>
      </c>
      <c r="G27" s="28" t="s">
        <v>767</v>
      </c>
      <c r="H27" s="28" t="s">
        <v>2400</v>
      </c>
      <c r="I27" s="6">
        <v>24992487</v>
      </c>
      <c r="J27" s="29">
        <v>1463434.17</v>
      </c>
      <c r="K27" s="29">
        <v>24701108.239999998</v>
      </c>
    </row>
    <row r="28" spans="1:11" ht="30" hidden="1" x14ac:dyDescent="0.25">
      <c r="A28" s="30" t="s">
        <v>299</v>
      </c>
      <c r="B28" s="28" t="s">
        <v>856</v>
      </c>
      <c r="C28" s="28" t="s">
        <v>855</v>
      </c>
      <c r="D28" s="47" t="s">
        <v>536</v>
      </c>
      <c r="E28" s="30" t="s">
        <v>548</v>
      </c>
      <c r="F28" s="28" t="s">
        <v>2339</v>
      </c>
      <c r="G28" s="28" t="s">
        <v>2513</v>
      </c>
      <c r="H28" s="28" t="s">
        <v>2338</v>
      </c>
      <c r="I28" s="6">
        <v>156862745</v>
      </c>
      <c r="J28" s="29">
        <v>26312464.359999999</v>
      </c>
      <c r="K28" s="29">
        <v>154846331.36000001</v>
      </c>
    </row>
    <row r="29" spans="1:11" ht="60" hidden="1" x14ac:dyDescent="0.25">
      <c r="A29" s="30" t="s">
        <v>290</v>
      </c>
      <c r="B29" s="28" t="s">
        <v>342</v>
      </c>
      <c r="C29" s="28" t="s">
        <v>341</v>
      </c>
      <c r="D29" s="47" t="s">
        <v>343</v>
      </c>
      <c r="E29" s="30" t="s">
        <v>344</v>
      </c>
      <c r="F29" s="28" t="s">
        <v>2344</v>
      </c>
      <c r="G29" s="28" t="s">
        <v>764</v>
      </c>
      <c r="H29" s="28" t="s">
        <v>2400</v>
      </c>
      <c r="I29" s="29">
        <v>60543852.310000002</v>
      </c>
      <c r="J29" s="29">
        <v>9989384.6199999992</v>
      </c>
      <c r="K29" s="29">
        <v>60543852.310000002</v>
      </c>
    </row>
    <row r="30" spans="1:11" ht="45" hidden="1" x14ac:dyDescent="0.25">
      <c r="A30" s="30" t="s">
        <v>290</v>
      </c>
      <c r="B30" s="28" t="s">
        <v>259</v>
      </c>
      <c r="C30" s="28" t="s">
        <v>596</v>
      </c>
      <c r="D30" s="47" t="s">
        <v>597</v>
      </c>
      <c r="E30" s="30" t="s">
        <v>598</v>
      </c>
      <c r="F30" s="28" t="s">
        <v>2344</v>
      </c>
      <c r="G30" s="28" t="s">
        <v>747</v>
      </c>
      <c r="H30" s="28" t="s">
        <v>2400</v>
      </c>
      <c r="I30" s="6">
        <v>81555281</v>
      </c>
      <c r="J30" s="29">
        <v>21573477.399999999</v>
      </c>
      <c r="K30" s="29">
        <v>79892690.269999996</v>
      </c>
    </row>
    <row r="31" spans="1:11" ht="30" hidden="1" x14ac:dyDescent="0.25">
      <c r="A31" s="30" t="s">
        <v>32</v>
      </c>
      <c r="B31" s="28" t="s">
        <v>391</v>
      </c>
      <c r="C31" s="28" t="s">
        <v>768</v>
      </c>
      <c r="D31" s="47" t="s">
        <v>542</v>
      </c>
      <c r="E31" s="30" t="s">
        <v>544</v>
      </c>
      <c r="F31" s="28" t="s">
        <v>2343</v>
      </c>
      <c r="G31" s="28" t="s">
        <v>769</v>
      </c>
      <c r="H31" s="28" t="s">
        <v>2338</v>
      </c>
      <c r="I31" s="6">
        <v>65405254</v>
      </c>
      <c r="J31" s="29">
        <v>25605551.16</v>
      </c>
      <c r="K31" s="29">
        <v>63672479.109999999</v>
      </c>
    </row>
    <row r="32" spans="1:11" ht="60" hidden="1" x14ac:dyDescent="0.25">
      <c r="A32" s="30" t="s">
        <v>290</v>
      </c>
      <c r="B32" s="28" t="s">
        <v>854</v>
      </c>
      <c r="C32" s="28" t="s">
        <v>853</v>
      </c>
      <c r="D32" s="47" t="s">
        <v>554</v>
      </c>
      <c r="E32" s="30" t="s">
        <v>556</v>
      </c>
      <c r="F32" s="28" t="s">
        <v>2344</v>
      </c>
      <c r="G32" s="28" t="s">
        <v>942</v>
      </c>
      <c r="H32" s="28" t="s">
        <v>2338</v>
      </c>
      <c r="I32" s="6">
        <v>113241558</v>
      </c>
      <c r="J32" s="29">
        <v>18247684.899999999</v>
      </c>
      <c r="K32" s="29">
        <v>112909841.56</v>
      </c>
    </row>
    <row r="33" spans="1:11" ht="30" hidden="1" x14ac:dyDescent="0.25">
      <c r="A33" s="30" t="s">
        <v>88</v>
      </c>
      <c r="B33" s="28" t="s">
        <v>587</v>
      </c>
      <c r="C33" s="28" t="s">
        <v>585</v>
      </c>
      <c r="D33" s="47" t="s">
        <v>586</v>
      </c>
      <c r="E33" s="30" t="s">
        <v>588</v>
      </c>
      <c r="F33" s="28" t="s">
        <v>2407</v>
      </c>
      <c r="G33" s="28" t="s">
        <v>688</v>
      </c>
      <c r="H33" s="28" t="s">
        <v>2400</v>
      </c>
      <c r="I33" s="6">
        <v>79396161</v>
      </c>
      <c r="J33" s="29"/>
      <c r="K33" s="29">
        <v>78902188.120000005</v>
      </c>
    </row>
    <row r="34" spans="1:11" ht="75" hidden="1" x14ac:dyDescent="0.25">
      <c r="A34" s="30" t="s">
        <v>290</v>
      </c>
      <c r="B34" s="28" t="s">
        <v>351</v>
      </c>
      <c r="C34" s="28" t="s">
        <v>589</v>
      </c>
      <c r="D34" s="47" t="s">
        <v>590</v>
      </c>
      <c r="E34" s="30" t="s">
        <v>591</v>
      </c>
      <c r="F34" s="28" t="s">
        <v>2408</v>
      </c>
      <c r="G34" s="28" t="s">
        <v>770</v>
      </c>
      <c r="H34" s="28" t="s">
        <v>2400</v>
      </c>
      <c r="I34" s="6">
        <v>34313725</v>
      </c>
      <c r="J34" s="29">
        <v>9047307.5299999993</v>
      </c>
      <c r="K34" s="29">
        <v>33809827.159999996</v>
      </c>
    </row>
    <row r="35" spans="1:11" ht="60" hidden="1" x14ac:dyDescent="0.25">
      <c r="A35" s="30" t="s">
        <v>290</v>
      </c>
      <c r="B35" s="28" t="s">
        <v>721</v>
      </c>
      <c r="C35" s="28" t="s">
        <v>720</v>
      </c>
      <c r="D35" s="47" t="s">
        <v>566</v>
      </c>
      <c r="E35" s="30" t="s">
        <v>568</v>
      </c>
      <c r="F35" s="28" t="s">
        <v>2344</v>
      </c>
      <c r="G35" s="28" t="s">
        <v>2514</v>
      </c>
      <c r="H35" s="28" t="s">
        <v>2400</v>
      </c>
      <c r="I35" s="6">
        <v>21568627</v>
      </c>
      <c r="J35" s="29">
        <v>1035036.48</v>
      </c>
      <c r="K35" s="29">
        <v>21349397.859999999</v>
      </c>
    </row>
    <row r="36" spans="1:11" ht="90" hidden="1" x14ac:dyDescent="0.25">
      <c r="A36" s="30" t="s">
        <v>290</v>
      </c>
      <c r="B36" s="28" t="s">
        <v>575</v>
      </c>
      <c r="C36" s="28" t="s">
        <v>727</v>
      </c>
      <c r="D36" s="47" t="s">
        <v>574</v>
      </c>
      <c r="E36" s="30" t="s">
        <v>576</v>
      </c>
      <c r="F36" s="28" t="s">
        <v>2344</v>
      </c>
      <c r="G36" s="28" t="s">
        <v>728</v>
      </c>
      <c r="H36" s="28" t="s">
        <v>2400</v>
      </c>
      <c r="I36" s="6">
        <v>12058824</v>
      </c>
      <c r="J36" s="29">
        <v>275258.11</v>
      </c>
      <c r="K36" s="29">
        <v>11799981.390000001</v>
      </c>
    </row>
    <row r="37" spans="1:11" ht="75" hidden="1" x14ac:dyDescent="0.25">
      <c r="A37" s="30" t="s">
        <v>290</v>
      </c>
      <c r="B37" s="28" t="s">
        <v>745</v>
      </c>
      <c r="C37" s="28" t="s">
        <v>744</v>
      </c>
      <c r="D37" s="47" t="s">
        <v>550</v>
      </c>
      <c r="E37" s="30" t="s">
        <v>552</v>
      </c>
      <c r="F37" s="28" t="s">
        <v>2344</v>
      </c>
      <c r="G37" s="28" t="s">
        <v>746</v>
      </c>
      <c r="H37" s="28" t="s">
        <v>2400</v>
      </c>
      <c r="I37" s="6">
        <v>15196078</v>
      </c>
      <c r="J37" s="29">
        <v>3556135.61</v>
      </c>
      <c r="K37" s="29">
        <v>14898875.880000001</v>
      </c>
    </row>
    <row r="38" spans="1:11" ht="30" hidden="1" x14ac:dyDescent="0.25">
      <c r="A38" s="30" t="s">
        <v>560</v>
      </c>
      <c r="B38" s="28" t="s">
        <v>738</v>
      </c>
      <c r="C38" s="28" t="s">
        <v>737</v>
      </c>
      <c r="D38" s="47" t="s">
        <v>562</v>
      </c>
      <c r="E38" s="30" t="s">
        <v>564</v>
      </c>
      <c r="F38" s="28" t="s">
        <v>2410</v>
      </c>
      <c r="G38" s="28" t="s">
        <v>739</v>
      </c>
      <c r="H38" s="28" t="s">
        <v>2400</v>
      </c>
      <c r="I38" s="6">
        <v>40686275</v>
      </c>
      <c r="J38" s="29">
        <v>214149.69</v>
      </c>
      <c r="K38" s="29">
        <v>40380067.490000002</v>
      </c>
    </row>
    <row r="39" spans="1:11" ht="30" hidden="1" x14ac:dyDescent="0.25">
      <c r="A39" s="30" t="s">
        <v>290</v>
      </c>
      <c r="B39" s="28" t="s">
        <v>229</v>
      </c>
      <c r="C39" s="28" t="s">
        <v>599</v>
      </c>
      <c r="D39" s="47" t="s">
        <v>600</v>
      </c>
      <c r="E39" s="30" t="s">
        <v>601</v>
      </c>
      <c r="F39" s="28" t="s">
        <v>372</v>
      </c>
      <c r="G39" s="28" t="s">
        <v>857</v>
      </c>
      <c r="H39" s="28" t="s">
        <v>367</v>
      </c>
      <c r="I39" s="6">
        <v>25980392</v>
      </c>
      <c r="J39" s="29"/>
      <c r="K39" s="29">
        <v>25694303.850000001</v>
      </c>
    </row>
    <row r="40" spans="1:11" ht="30" hidden="1" x14ac:dyDescent="0.25">
      <c r="A40" s="30" t="s">
        <v>290</v>
      </c>
      <c r="B40" s="28" t="s">
        <v>571</v>
      </c>
      <c r="C40" s="28" t="s">
        <v>798</v>
      </c>
      <c r="D40" s="47" t="s">
        <v>570</v>
      </c>
      <c r="E40" s="30" t="s">
        <v>572</v>
      </c>
      <c r="F40" s="28" t="s">
        <v>2344</v>
      </c>
      <c r="G40" s="28" t="s">
        <v>799</v>
      </c>
      <c r="H40" s="28" t="s">
        <v>2400</v>
      </c>
      <c r="I40" s="6">
        <v>26960784</v>
      </c>
      <c r="J40" s="29">
        <v>6122590.9800000004</v>
      </c>
      <c r="K40" s="29">
        <f>22856582.3+1167399.67</f>
        <v>24023981.969999999</v>
      </c>
    </row>
    <row r="41" spans="1:11" ht="30" hidden="1" x14ac:dyDescent="0.25">
      <c r="A41" s="30" t="s">
        <v>290</v>
      </c>
      <c r="B41" s="28" t="s">
        <v>505</v>
      </c>
      <c r="C41" s="28" t="s">
        <v>771</v>
      </c>
      <c r="D41" s="47" t="s">
        <v>558</v>
      </c>
      <c r="E41" s="30" t="s">
        <v>559</v>
      </c>
      <c r="F41" s="28" t="s">
        <v>2344</v>
      </c>
      <c r="G41" s="28" t="s">
        <v>772</v>
      </c>
      <c r="H41" s="28" t="s">
        <v>2400</v>
      </c>
      <c r="I41" s="6">
        <v>22549020</v>
      </c>
      <c r="J41" s="29"/>
      <c r="K41" s="29">
        <v>20287001.809999999</v>
      </c>
    </row>
    <row r="42" spans="1:11" ht="60" hidden="1" x14ac:dyDescent="0.25">
      <c r="A42" s="30" t="s">
        <v>290</v>
      </c>
      <c r="B42" s="28" t="s">
        <v>583</v>
      </c>
      <c r="C42" s="28" t="s">
        <v>581</v>
      </c>
      <c r="D42" s="47" t="s">
        <v>582</v>
      </c>
      <c r="E42" s="30" t="s">
        <v>584</v>
      </c>
      <c r="F42" s="28" t="s">
        <v>2409</v>
      </c>
      <c r="G42" s="28" t="s">
        <v>722</v>
      </c>
      <c r="H42" s="28" t="s">
        <v>2400</v>
      </c>
      <c r="I42" s="6">
        <v>31862745</v>
      </c>
      <c r="J42" s="29">
        <v>2543289.21</v>
      </c>
      <c r="K42" s="29">
        <v>31555491.960000001</v>
      </c>
    </row>
    <row r="43" spans="1:11" ht="45" hidden="1" x14ac:dyDescent="0.25">
      <c r="A43" s="30" t="s">
        <v>9</v>
      </c>
      <c r="B43" s="28" t="s">
        <v>579</v>
      </c>
      <c r="C43" s="28" t="s">
        <v>852</v>
      </c>
      <c r="D43" s="47" t="s">
        <v>578</v>
      </c>
      <c r="E43" s="30" t="s">
        <v>580</v>
      </c>
      <c r="F43" s="31" t="s">
        <v>2345</v>
      </c>
      <c r="G43" s="28" t="s">
        <v>2515</v>
      </c>
      <c r="H43" s="28" t="s">
        <v>2338</v>
      </c>
      <c r="I43" s="6">
        <v>61267295</v>
      </c>
      <c r="J43" s="29">
        <v>34383037.259999998</v>
      </c>
      <c r="K43" s="29">
        <v>61862670.979999997</v>
      </c>
    </row>
    <row r="44" spans="1:11" ht="75" hidden="1" x14ac:dyDescent="0.25">
      <c r="A44" s="30" t="s">
        <v>9</v>
      </c>
      <c r="B44" s="28" t="s">
        <v>66</v>
      </c>
      <c r="C44" s="28" t="s">
        <v>363</v>
      </c>
      <c r="D44" s="47" t="s">
        <v>364</v>
      </c>
      <c r="E44" s="30" t="s">
        <v>365</v>
      </c>
      <c r="F44" s="28" t="s">
        <v>2344</v>
      </c>
      <c r="G44" s="28" t="s">
        <v>366</v>
      </c>
      <c r="H44" s="28" t="s">
        <v>2400</v>
      </c>
      <c r="I44" s="6">
        <v>26470588</v>
      </c>
      <c r="J44" s="29">
        <v>5873860.4400000004</v>
      </c>
      <c r="K44" s="29">
        <v>23895598.399999999</v>
      </c>
    </row>
    <row r="45" spans="1:11" ht="45" hidden="1" x14ac:dyDescent="0.25">
      <c r="A45" s="30" t="s">
        <v>290</v>
      </c>
      <c r="B45" s="28" t="s">
        <v>608</v>
      </c>
      <c r="C45" s="28" t="s">
        <v>606</v>
      </c>
      <c r="D45" s="47" t="s">
        <v>607</v>
      </c>
      <c r="E45" s="30" t="s">
        <v>609</v>
      </c>
      <c r="F45" s="28" t="s">
        <v>2344</v>
      </c>
      <c r="G45" s="28" t="s">
        <v>762</v>
      </c>
      <c r="H45" s="28" t="s">
        <v>2400</v>
      </c>
      <c r="I45" s="6">
        <v>27450980</v>
      </c>
      <c r="J45" s="29">
        <v>16023445.869999999</v>
      </c>
      <c r="K45" s="29">
        <v>27782320.260000002</v>
      </c>
    </row>
    <row r="46" spans="1:11" ht="45" hidden="1" x14ac:dyDescent="0.25">
      <c r="A46" s="30" t="s">
        <v>290</v>
      </c>
      <c r="B46" s="28" t="s">
        <v>594</v>
      </c>
      <c r="C46" s="28" t="s">
        <v>592</v>
      </c>
      <c r="D46" s="47" t="s">
        <v>593</v>
      </c>
      <c r="E46" s="30" t="s">
        <v>595</v>
      </c>
      <c r="F46" s="28" t="s">
        <v>2344</v>
      </c>
      <c r="G46" s="28" t="s">
        <v>763</v>
      </c>
      <c r="H46" s="28" t="s">
        <v>2400</v>
      </c>
      <c r="I46" s="6">
        <v>15686275</v>
      </c>
      <c r="J46" s="29">
        <v>7168603.6900000004</v>
      </c>
      <c r="K46" s="29">
        <v>15890776.26</v>
      </c>
    </row>
    <row r="47" spans="1:11" ht="30" hidden="1" x14ac:dyDescent="0.25">
      <c r="A47" s="30" t="s">
        <v>48</v>
      </c>
      <c r="B47" s="28" t="s">
        <v>604</v>
      </c>
      <c r="C47" s="28" t="s">
        <v>602</v>
      </c>
      <c r="D47" s="47" t="s">
        <v>603</v>
      </c>
      <c r="E47" s="30" t="s">
        <v>605</v>
      </c>
      <c r="F47" s="31" t="s">
        <v>2305</v>
      </c>
      <c r="G47" s="28" t="s">
        <v>761</v>
      </c>
      <c r="H47" s="28" t="s">
        <v>2302</v>
      </c>
      <c r="I47" s="6">
        <v>34166354</v>
      </c>
      <c r="J47" s="29">
        <v>2234045.4700000002</v>
      </c>
      <c r="K47" s="29">
        <v>34216706.5</v>
      </c>
    </row>
    <row r="48" spans="1:11" ht="60" hidden="1" x14ac:dyDescent="0.25">
      <c r="A48" s="30" t="s">
        <v>290</v>
      </c>
      <c r="B48" s="28" t="s">
        <v>368</v>
      </c>
      <c r="C48" s="28" t="s">
        <v>369</v>
      </c>
      <c r="D48" s="47" t="s">
        <v>370</v>
      </c>
      <c r="E48" s="30" t="s">
        <v>371</v>
      </c>
      <c r="F48" s="28" t="s">
        <v>2344</v>
      </c>
      <c r="G48" s="28" t="s">
        <v>373</v>
      </c>
      <c r="H48" s="28" t="s">
        <v>2400</v>
      </c>
      <c r="I48" s="6">
        <v>76520295</v>
      </c>
      <c r="J48" s="29">
        <v>16271597.84</v>
      </c>
      <c r="K48" s="29">
        <v>76463113.200000003</v>
      </c>
    </row>
    <row r="49" spans="1:11" ht="60" hidden="1" x14ac:dyDescent="0.25">
      <c r="A49" s="30" t="s">
        <v>290</v>
      </c>
      <c r="B49" s="28" t="s">
        <v>378</v>
      </c>
      <c r="C49" s="28" t="s">
        <v>380</v>
      </c>
      <c r="D49" s="47" t="s">
        <v>381</v>
      </c>
      <c r="E49" s="30" t="s">
        <v>382</v>
      </c>
      <c r="F49" s="28" t="s">
        <v>2411</v>
      </c>
      <c r="G49" s="28" t="s">
        <v>383</v>
      </c>
      <c r="H49" s="28" t="s">
        <v>2400</v>
      </c>
      <c r="I49" s="6">
        <v>79369734</v>
      </c>
      <c r="J49" s="29">
        <v>20362318.23</v>
      </c>
      <c r="K49" s="29">
        <v>79270178.980000004</v>
      </c>
    </row>
    <row r="50" spans="1:11" ht="45" hidden="1" x14ac:dyDescent="0.25">
      <c r="A50" s="30" t="s">
        <v>9</v>
      </c>
      <c r="B50" s="28" t="s">
        <v>351</v>
      </c>
      <c r="C50" s="28" t="s">
        <v>350</v>
      </c>
      <c r="D50" s="47" t="s">
        <v>349</v>
      </c>
      <c r="E50" s="30" t="s">
        <v>352</v>
      </c>
      <c r="F50" s="28" t="s">
        <v>2342</v>
      </c>
      <c r="G50" s="28" t="s">
        <v>353</v>
      </c>
      <c r="H50" s="28" t="s">
        <v>2338</v>
      </c>
      <c r="I50" s="6">
        <v>20800000</v>
      </c>
      <c r="J50" s="29">
        <v>3722249.01</v>
      </c>
      <c r="K50" s="29">
        <v>20694418.350000001</v>
      </c>
    </row>
    <row r="51" spans="1:11" ht="30" hidden="1" x14ac:dyDescent="0.25">
      <c r="A51" s="30" t="s">
        <v>9</v>
      </c>
      <c r="B51" s="28" t="s">
        <v>339</v>
      </c>
      <c r="C51" s="28" t="s">
        <v>338</v>
      </c>
      <c r="D51" s="47" t="s">
        <v>300</v>
      </c>
      <c r="E51" s="30" t="s">
        <v>340</v>
      </c>
      <c r="F51" s="28" t="s">
        <v>2342</v>
      </c>
      <c r="G51" s="28" t="s">
        <v>731</v>
      </c>
      <c r="H51" s="28" t="s">
        <v>2400</v>
      </c>
      <c r="I51" s="29">
        <v>18289741.390000001</v>
      </c>
      <c r="J51" s="29">
        <v>838372.83</v>
      </c>
      <c r="K51" s="29">
        <v>18289741.390000001</v>
      </c>
    </row>
    <row r="52" spans="1:11" ht="45" hidden="1" x14ac:dyDescent="0.25">
      <c r="A52" s="30" t="s">
        <v>9</v>
      </c>
      <c r="B52" s="28" t="s">
        <v>384</v>
      </c>
      <c r="C52" s="28" t="s">
        <v>385</v>
      </c>
      <c r="D52" s="47" t="s">
        <v>386</v>
      </c>
      <c r="E52" s="30" t="s">
        <v>388</v>
      </c>
      <c r="F52" s="28" t="s">
        <v>2342</v>
      </c>
      <c r="G52" s="28" t="s">
        <v>387</v>
      </c>
      <c r="H52" s="28" t="s">
        <v>2338</v>
      </c>
      <c r="I52" s="6">
        <v>46631451</v>
      </c>
      <c r="J52" s="29">
        <v>19406661.109999999</v>
      </c>
      <c r="K52" s="29">
        <v>45827894.390000001</v>
      </c>
    </row>
    <row r="53" spans="1:11" ht="60" hidden="1" x14ac:dyDescent="0.25">
      <c r="A53" s="30" t="s">
        <v>9</v>
      </c>
      <c r="B53" s="28" t="s">
        <v>325</v>
      </c>
      <c r="C53" s="28" t="s">
        <v>324</v>
      </c>
      <c r="D53" s="47" t="s">
        <v>326</v>
      </c>
      <c r="E53" s="30" t="s">
        <v>327</v>
      </c>
      <c r="F53" s="28" t="s">
        <v>2342</v>
      </c>
      <c r="G53" s="28" t="s">
        <v>334</v>
      </c>
      <c r="H53" s="28" t="s">
        <v>2338</v>
      </c>
      <c r="I53" s="6">
        <v>19150000</v>
      </c>
      <c r="J53" s="29">
        <v>1943565.6</v>
      </c>
      <c r="K53" s="29">
        <v>19015925.609999999</v>
      </c>
    </row>
    <row r="54" spans="1:11" ht="60" hidden="1" x14ac:dyDescent="0.25">
      <c r="A54" s="30" t="s">
        <v>9</v>
      </c>
      <c r="B54" s="28" t="s">
        <v>378</v>
      </c>
      <c r="C54" s="28" t="s">
        <v>377</v>
      </c>
      <c r="D54" s="47" t="s">
        <v>375</v>
      </c>
      <c r="E54" s="30" t="s">
        <v>376</v>
      </c>
      <c r="F54" s="28" t="s">
        <v>2342</v>
      </c>
      <c r="G54" s="28" t="s">
        <v>379</v>
      </c>
      <c r="H54" s="28" t="s">
        <v>2338</v>
      </c>
      <c r="I54" s="6">
        <v>22800000</v>
      </c>
      <c r="J54" s="29">
        <v>10905572.029999999</v>
      </c>
      <c r="K54" s="29">
        <v>22599852.190000001</v>
      </c>
    </row>
    <row r="55" spans="1:11" ht="75" hidden="1" x14ac:dyDescent="0.25">
      <c r="A55" s="30" t="s">
        <v>258</v>
      </c>
      <c r="B55" s="28" t="s">
        <v>356</v>
      </c>
      <c r="C55" s="28" t="s">
        <v>357</v>
      </c>
      <c r="D55" s="47" t="s">
        <v>358</v>
      </c>
      <c r="E55" s="30" t="s">
        <v>323</v>
      </c>
      <c r="F55" s="28" t="s">
        <v>292</v>
      </c>
      <c r="G55" s="28" t="s">
        <v>253</v>
      </c>
      <c r="H55" s="28" t="s">
        <v>354</v>
      </c>
      <c r="I55" s="6">
        <v>794118</v>
      </c>
      <c r="J55" s="29"/>
      <c r="K55" s="29">
        <v>789105.03</v>
      </c>
    </row>
    <row r="56" spans="1:11" ht="75" hidden="1" x14ac:dyDescent="0.25">
      <c r="A56" s="30" t="s">
        <v>25</v>
      </c>
      <c r="B56" s="28" t="s">
        <v>425</v>
      </c>
      <c r="C56" s="28" t="s">
        <v>427</v>
      </c>
      <c r="D56" s="47" t="s">
        <v>426</v>
      </c>
      <c r="E56" s="30" t="s">
        <v>323</v>
      </c>
      <c r="F56" s="28" t="s">
        <v>292</v>
      </c>
      <c r="G56" s="28" t="s">
        <v>253</v>
      </c>
      <c r="H56" s="28" t="s">
        <v>354</v>
      </c>
      <c r="I56" s="6"/>
      <c r="J56" s="29"/>
      <c r="K56" s="29">
        <v>525494.24</v>
      </c>
    </row>
    <row r="57" spans="1:11" ht="60" hidden="1" x14ac:dyDescent="0.25">
      <c r="A57" s="30" t="s">
        <v>9</v>
      </c>
      <c r="B57" s="28" t="s">
        <v>418</v>
      </c>
      <c r="C57" s="28" t="s">
        <v>417</v>
      </c>
      <c r="D57" s="47" t="s">
        <v>419</v>
      </c>
      <c r="E57" s="30" t="s">
        <v>304</v>
      </c>
      <c r="F57" s="28" t="s">
        <v>316</v>
      </c>
      <c r="G57" s="28" t="s">
        <v>253</v>
      </c>
      <c r="H57" s="28" t="s">
        <v>319</v>
      </c>
      <c r="I57" s="6">
        <v>705882</v>
      </c>
      <c r="J57" s="29"/>
      <c r="K57" s="29">
        <v>703223.55</v>
      </c>
    </row>
    <row r="58" spans="1:11" ht="75" hidden="1" x14ac:dyDescent="0.25">
      <c r="A58" s="30" t="s">
        <v>290</v>
      </c>
      <c r="B58" s="28" t="s">
        <v>362</v>
      </c>
      <c r="C58" s="28" t="s">
        <v>361</v>
      </c>
      <c r="D58" s="47" t="s">
        <v>359</v>
      </c>
      <c r="E58" s="30" t="s">
        <v>323</v>
      </c>
      <c r="F58" s="28" t="s">
        <v>292</v>
      </c>
      <c r="G58" s="28" t="s">
        <v>360</v>
      </c>
      <c r="H58" s="28" t="s">
        <v>354</v>
      </c>
      <c r="I58" s="6">
        <v>1294118</v>
      </c>
      <c r="J58" s="29"/>
      <c r="K58" s="29">
        <v>1055021.97</v>
      </c>
    </row>
    <row r="59" spans="1:11" ht="75" hidden="1" x14ac:dyDescent="0.25">
      <c r="A59" s="30" t="s">
        <v>290</v>
      </c>
      <c r="B59" s="28" t="s">
        <v>289</v>
      </c>
      <c r="C59" s="28" t="s">
        <v>317</v>
      </c>
      <c r="D59" s="47" t="s">
        <v>315</v>
      </c>
      <c r="E59" s="30" t="s">
        <v>304</v>
      </c>
      <c r="F59" s="28" t="s">
        <v>316</v>
      </c>
      <c r="G59" s="28" t="s">
        <v>318</v>
      </c>
      <c r="H59" s="28" t="s">
        <v>319</v>
      </c>
      <c r="I59" s="6">
        <v>4090628</v>
      </c>
      <c r="J59" s="29"/>
      <c r="K59" s="29">
        <v>2497488.54</v>
      </c>
    </row>
    <row r="60" spans="1:11" ht="90" hidden="1" x14ac:dyDescent="0.25">
      <c r="A60" s="30" t="s">
        <v>258</v>
      </c>
      <c r="B60" s="28" t="s">
        <v>444</v>
      </c>
      <c r="C60" s="28" t="s">
        <v>445</v>
      </c>
      <c r="D60" s="47" t="s">
        <v>446</v>
      </c>
      <c r="E60" s="30" t="s">
        <v>455</v>
      </c>
      <c r="F60" s="28" t="s">
        <v>449</v>
      </c>
      <c r="G60" s="28" t="s">
        <v>21</v>
      </c>
      <c r="H60" s="28" t="s">
        <v>448</v>
      </c>
      <c r="I60" s="6">
        <v>220900</v>
      </c>
      <c r="J60" s="29"/>
      <c r="K60" s="29">
        <v>220885.44</v>
      </c>
    </row>
    <row r="61" spans="1:11" ht="90" hidden="1" x14ac:dyDescent="0.25">
      <c r="A61" s="30" t="s">
        <v>258</v>
      </c>
      <c r="B61" s="28" t="s">
        <v>444</v>
      </c>
      <c r="C61" s="28" t="s">
        <v>450</v>
      </c>
      <c r="D61" s="47" t="s">
        <v>447</v>
      </c>
      <c r="E61" s="30" t="s">
        <v>455</v>
      </c>
      <c r="F61" s="28" t="s">
        <v>449</v>
      </c>
      <c r="G61" s="28" t="s">
        <v>21</v>
      </c>
      <c r="H61" s="28" t="s">
        <v>448</v>
      </c>
      <c r="I61" s="6">
        <v>220900</v>
      </c>
      <c r="J61" s="29"/>
      <c r="K61" s="29">
        <v>220885.44</v>
      </c>
    </row>
    <row r="62" spans="1:11" ht="60" hidden="1" x14ac:dyDescent="0.25">
      <c r="A62" s="30" t="s">
        <v>299</v>
      </c>
      <c r="B62" s="28" t="s">
        <v>295</v>
      </c>
      <c r="C62" s="28" t="s">
        <v>741</v>
      </c>
      <c r="D62" s="47" t="s">
        <v>740</v>
      </c>
      <c r="E62" s="30" t="s">
        <v>742</v>
      </c>
      <c r="F62" s="28" t="s">
        <v>316</v>
      </c>
      <c r="G62" s="28" t="s">
        <v>21</v>
      </c>
      <c r="H62" s="28" t="s">
        <v>473</v>
      </c>
      <c r="I62" s="6">
        <v>612099.5</v>
      </c>
      <c r="J62" s="29"/>
      <c r="K62" s="29">
        <v>338488.93</v>
      </c>
    </row>
    <row r="63" spans="1:11" ht="45" hidden="1" x14ac:dyDescent="0.25">
      <c r="A63" s="30" t="s">
        <v>32</v>
      </c>
      <c r="B63" s="28" t="s">
        <v>286</v>
      </c>
      <c r="C63" s="28" t="s">
        <v>692</v>
      </c>
      <c r="D63" s="47" t="s">
        <v>287</v>
      </c>
      <c r="E63" s="30" t="s">
        <v>323</v>
      </c>
      <c r="F63" s="28" t="s">
        <v>292</v>
      </c>
      <c r="G63" s="28" t="s">
        <v>21</v>
      </c>
      <c r="H63" s="28" t="s">
        <v>354</v>
      </c>
      <c r="I63" s="6">
        <v>189320</v>
      </c>
      <c r="J63" s="29"/>
      <c r="K63" s="29">
        <v>189320</v>
      </c>
    </row>
    <row r="64" spans="1:11" ht="75" hidden="1" x14ac:dyDescent="0.25">
      <c r="A64" s="30" t="s">
        <v>9</v>
      </c>
      <c r="B64" s="28" t="s">
        <v>690</v>
      </c>
      <c r="C64" s="28" t="s">
        <v>689</v>
      </c>
      <c r="D64" s="47" t="s">
        <v>691</v>
      </c>
      <c r="E64" s="30" t="s">
        <v>629</v>
      </c>
      <c r="F64" s="28" t="s">
        <v>316</v>
      </c>
      <c r="G64" s="28" t="s">
        <v>21</v>
      </c>
      <c r="H64" s="28" t="s">
        <v>473</v>
      </c>
      <c r="I64" s="6">
        <v>110855</v>
      </c>
      <c r="J64" s="29"/>
      <c r="K64" s="29">
        <v>110854.24</v>
      </c>
    </row>
    <row r="65" spans="1:11" ht="90" hidden="1" x14ac:dyDescent="0.25">
      <c r="A65" s="30" t="s">
        <v>299</v>
      </c>
      <c r="B65" s="28" t="s">
        <v>295</v>
      </c>
      <c r="C65" s="28" t="s">
        <v>484</v>
      </c>
      <c r="D65" s="47" t="s">
        <v>296</v>
      </c>
      <c r="E65" s="30" t="s">
        <v>297</v>
      </c>
      <c r="F65" s="31" t="s">
        <v>298</v>
      </c>
      <c r="G65" s="28" t="s">
        <v>21</v>
      </c>
      <c r="H65" s="28" t="s">
        <v>485</v>
      </c>
      <c r="I65" s="6">
        <v>396484</v>
      </c>
      <c r="J65" s="29"/>
      <c r="K65" s="29">
        <v>338488.93</v>
      </c>
    </row>
    <row r="66" spans="1:11" ht="45" hidden="1" x14ac:dyDescent="0.25">
      <c r="A66" s="30" t="s">
        <v>330</v>
      </c>
      <c r="B66" s="28" t="s">
        <v>329</v>
      </c>
      <c r="C66" s="28" t="s">
        <v>328</v>
      </c>
      <c r="D66" s="47" t="s">
        <v>331</v>
      </c>
      <c r="E66" s="30" t="s">
        <v>332</v>
      </c>
      <c r="F66" s="28" t="s">
        <v>2404</v>
      </c>
      <c r="G66" s="28" t="s">
        <v>333</v>
      </c>
      <c r="H66" s="28" t="s">
        <v>2401</v>
      </c>
      <c r="I66" s="6">
        <v>2270275</v>
      </c>
      <c r="J66" s="29">
        <v>572888.27</v>
      </c>
      <c r="K66" s="29">
        <v>2209859.44</v>
      </c>
    </row>
    <row r="67" spans="1:11" ht="75" hidden="1" x14ac:dyDescent="0.25">
      <c r="A67" s="30" t="s">
        <v>88</v>
      </c>
      <c r="B67" s="28" t="s">
        <v>452</v>
      </c>
      <c r="C67" s="28" t="s">
        <v>453</v>
      </c>
      <c r="D67" s="47" t="s">
        <v>451</v>
      </c>
      <c r="E67" s="30" t="s">
        <v>323</v>
      </c>
      <c r="F67" s="28" t="s">
        <v>454</v>
      </c>
      <c r="G67" s="28" t="s">
        <v>456</v>
      </c>
      <c r="H67" s="28" t="s">
        <v>293</v>
      </c>
      <c r="I67" s="6">
        <v>2381885</v>
      </c>
      <c r="J67" s="29"/>
      <c r="K67" s="29">
        <v>2299094.85</v>
      </c>
    </row>
    <row r="68" spans="1:11" ht="75" hidden="1" x14ac:dyDescent="0.25">
      <c r="A68" s="30" t="s">
        <v>9</v>
      </c>
      <c r="B68" s="28" t="s">
        <v>418</v>
      </c>
      <c r="C68" s="28" t="s">
        <v>420</v>
      </c>
      <c r="D68" s="47" t="s">
        <v>421</v>
      </c>
      <c r="E68" s="30" t="s">
        <v>323</v>
      </c>
      <c r="F68" s="28" t="s">
        <v>292</v>
      </c>
      <c r="G68" s="28" t="s">
        <v>422</v>
      </c>
      <c r="H68" s="28" t="s">
        <v>293</v>
      </c>
      <c r="I68" s="6">
        <v>1147059</v>
      </c>
      <c r="J68" s="29"/>
      <c r="K68" s="29">
        <v>1146994.1499999999</v>
      </c>
    </row>
    <row r="69" spans="1:11" ht="120" hidden="1" x14ac:dyDescent="0.25">
      <c r="A69" s="30" t="s">
        <v>290</v>
      </c>
      <c r="B69" s="28" t="s">
        <v>489</v>
      </c>
      <c r="C69" s="28" t="s">
        <v>321</v>
      </c>
      <c r="D69" s="47" t="s">
        <v>320</v>
      </c>
      <c r="E69" s="30" t="s">
        <v>323</v>
      </c>
      <c r="F69" s="28" t="s">
        <v>292</v>
      </c>
      <c r="G69" s="28" t="s">
        <v>322</v>
      </c>
      <c r="H69" s="28" t="s">
        <v>293</v>
      </c>
      <c r="I69" s="6">
        <v>1694970</v>
      </c>
      <c r="J69" s="29"/>
      <c r="K69" s="29">
        <v>1648266.09</v>
      </c>
    </row>
    <row r="70" spans="1:11" ht="90" hidden="1" x14ac:dyDescent="0.25">
      <c r="A70" s="30" t="s">
        <v>290</v>
      </c>
      <c r="B70" s="28" t="s">
        <v>432</v>
      </c>
      <c r="C70" s="28" t="s">
        <v>435</v>
      </c>
      <c r="D70" s="47" t="s">
        <v>436</v>
      </c>
      <c r="E70" s="30" t="s">
        <v>323</v>
      </c>
      <c r="F70" s="28" t="s">
        <v>292</v>
      </c>
      <c r="G70" s="28" t="s">
        <v>434</v>
      </c>
      <c r="H70" s="28" t="s">
        <v>293</v>
      </c>
      <c r="I70" s="6"/>
      <c r="J70" s="29"/>
      <c r="K70" s="29">
        <v>3389999.24</v>
      </c>
    </row>
    <row r="71" spans="1:11" ht="75" hidden="1" x14ac:dyDescent="0.25">
      <c r="A71" s="30" t="s">
        <v>290</v>
      </c>
      <c r="B71" s="28" t="s">
        <v>289</v>
      </c>
      <c r="C71" s="28" t="s">
        <v>288</v>
      </c>
      <c r="D71" s="47" t="s">
        <v>291</v>
      </c>
      <c r="E71" s="30" t="s">
        <v>323</v>
      </c>
      <c r="F71" s="28" t="s">
        <v>292</v>
      </c>
      <c r="G71" s="28" t="s">
        <v>294</v>
      </c>
      <c r="H71" s="28" t="s">
        <v>293</v>
      </c>
      <c r="I71" s="6">
        <v>13029977</v>
      </c>
      <c r="J71" s="29"/>
      <c r="K71" s="29">
        <v>2445138.9700000002</v>
      </c>
    </row>
    <row r="72" spans="1:11" ht="75" hidden="1" x14ac:dyDescent="0.25">
      <c r="A72" s="30" t="s">
        <v>32</v>
      </c>
      <c r="B72" s="28" t="s">
        <v>443</v>
      </c>
      <c r="C72" s="28" t="s">
        <v>430</v>
      </c>
      <c r="D72" s="47" t="s">
        <v>428</v>
      </c>
      <c r="E72" s="30" t="s">
        <v>323</v>
      </c>
      <c r="F72" s="28" t="s">
        <v>292</v>
      </c>
      <c r="G72" s="28" t="s">
        <v>429</v>
      </c>
      <c r="H72" s="28" t="s">
        <v>293</v>
      </c>
      <c r="I72" s="6"/>
      <c r="J72" s="29"/>
      <c r="K72" s="29">
        <v>1948486.8</v>
      </c>
    </row>
    <row r="73" spans="1:11" ht="135" hidden="1" x14ac:dyDescent="0.25">
      <c r="A73" s="30" t="s">
        <v>290</v>
      </c>
      <c r="B73" s="28" t="s">
        <v>402</v>
      </c>
      <c r="C73" s="28" t="s">
        <v>406</v>
      </c>
      <c r="D73" s="47" t="s">
        <v>403</v>
      </c>
      <c r="E73" s="30" t="s">
        <v>407</v>
      </c>
      <c r="F73" s="28" t="s">
        <v>292</v>
      </c>
      <c r="G73" s="28" t="s">
        <v>404</v>
      </c>
      <c r="H73" s="28" t="s">
        <v>405</v>
      </c>
      <c r="I73" s="6">
        <v>4640000</v>
      </c>
      <c r="J73" s="29"/>
      <c r="K73" s="29">
        <v>4605867.6500000004</v>
      </c>
    </row>
    <row r="74" spans="1:11" ht="75" hidden="1" x14ac:dyDescent="0.25">
      <c r="A74" s="30" t="s">
        <v>9</v>
      </c>
      <c r="B74" s="28" t="s">
        <v>408</v>
      </c>
      <c r="C74" s="28" t="s">
        <v>409</v>
      </c>
      <c r="D74" s="4" t="s">
        <v>410</v>
      </c>
      <c r="E74" s="30" t="s">
        <v>580</v>
      </c>
      <c r="F74" s="31" t="s">
        <v>2436</v>
      </c>
      <c r="G74" s="28" t="s">
        <v>411</v>
      </c>
      <c r="H74" s="28" t="s">
        <v>412</v>
      </c>
      <c r="I74" s="6">
        <v>2450692</v>
      </c>
      <c r="J74" s="29"/>
      <c r="K74" s="29">
        <v>2428933.5699999998</v>
      </c>
    </row>
    <row r="75" spans="1:11" ht="45" hidden="1" x14ac:dyDescent="0.25">
      <c r="A75" s="30" t="s">
        <v>48</v>
      </c>
      <c r="B75" s="28" t="s">
        <v>481</v>
      </c>
      <c r="C75" s="28" t="s">
        <v>479</v>
      </c>
      <c r="D75" s="47" t="s">
        <v>480</v>
      </c>
      <c r="E75" s="30" t="s">
        <v>482</v>
      </c>
      <c r="F75" s="28" t="s">
        <v>2480</v>
      </c>
      <c r="G75" s="28" t="s">
        <v>483</v>
      </c>
      <c r="H75" s="28" t="s">
        <v>2481</v>
      </c>
      <c r="I75" s="6">
        <v>1366654</v>
      </c>
      <c r="J75" s="29">
        <v>728155</v>
      </c>
      <c r="K75" s="29">
        <v>1367299.18</v>
      </c>
    </row>
    <row r="76" spans="1:11" ht="105" hidden="1" x14ac:dyDescent="0.25">
      <c r="A76" s="30" t="s">
        <v>290</v>
      </c>
      <c r="B76" s="28" t="s">
        <v>432</v>
      </c>
      <c r="C76" s="28" t="s">
        <v>439</v>
      </c>
      <c r="D76" s="47" t="s">
        <v>437</v>
      </c>
      <c r="E76" s="30" t="s">
        <v>323</v>
      </c>
      <c r="F76" s="28" t="s">
        <v>292</v>
      </c>
      <c r="G76" s="28" t="s">
        <v>438</v>
      </c>
      <c r="H76" s="28" t="s">
        <v>348</v>
      </c>
      <c r="I76" s="6"/>
      <c r="J76" s="29"/>
      <c r="K76" s="29">
        <v>1028990.34</v>
      </c>
    </row>
    <row r="77" spans="1:11" ht="75" hidden="1" x14ac:dyDescent="0.25">
      <c r="A77" s="30" t="s">
        <v>560</v>
      </c>
      <c r="B77" s="28" t="s">
        <v>693</v>
      </c>
      <c r="C77" s="28" t="s">
        <v>696</v>
      </c>
      <c r="D77" s="47" t="s">
        <v>695</v>
      </c>
      <c r="E77" s="30" t="s">
        <v>323</v>
      </c>
      <c r="F77" s="28" t="s">
        <v>292</v>
      </c>
      <c r="G77" s="28" t="s">
        <v>694</v>
      </c>
      <c r="H77" s="28" t="s">
        <v>348</v>
      </c>
      <c r="I77" s="6">
        <v>1220588.25</v>
      </c>
      <c r="J77" s="29"/>
      <c r="K77" s="29">
        <v>1216824.22</v>
      </c>
    </row>
    <row r="78" spans="1:11" ht="150" hidden="1" x14ac:dyDescent="0.25">
      <c r="A78" s="30" t="s">
        <v>290</v>
      </c>
      <c r="B78" s="28" t="s">
        <v>346</v>
      </c>
      <c r="C78" s="28" t="s">
        <v>347</v>
      </c>
      <c r="D78" s="47" t="s">
        <v>345</v>
      </c>
      <c r="E78" s="30" t="s">
        <v>323</v>
      </c>
      <c r="F78" s="28" t="s">
        <v>292</v>
      </c>
      <c r="G78" s="28" t="s">
        <v>21</v>
      </c>
      <c r="H78" s="28" t="s">
        <v>348</v>
      </c>
      <c r="I78" s="6">
        <v>361764.72</v>
      </c>
      <c r="J78" s="29"/>
      <c r="K78" s="29">
        <v>333168.8</v>
      </c>
    </row>
    <row r="79" spans="1:11" ht="75" hidden="1" x14ac:dyDescent="0.25">
      <c r="A79" s="30" t="s">
        <v>299</v>
      </c>
      <c r="B79" s="28" t="s">
        <v>459</v>
      </c>
      <c r="C79" s="28" t="s">
        <v>463</v>
      </c>
      <c r="D79" s="47" t="s">
        <v>462</v>
      </c>
      <c r="E79" s="30" t="s">
        <v>461</v>
      </c>
      <c r="F79" s="28" t="s">
        <v>2339</v>
      </c>
      <c r="G79" s="28" t="s">
        <v>460</v>
      </c>
      <c r="H79" s="28" t="s">
        <v>2338</v>
      </c>
      <c r="I79" s="6">
        <v>91802629</v>
      </c>
      <c r="J79" s="29">
        <v>58679391.399999999</v>
      </c>
      <c r="K79" s="29">
        <v>91796179.200000003</v>
      </c>
    </row>
    <row r="80" spans="1:11" ht="45" hidden="1" x14ac:dyDescent="0.25">
      <c r="A80" s="30" t="s">
        <v>25</v>
      </c>
      <c r="B80" s="28" t="s">
        <v>440</v>
      </c>
      <c r="C80" s="28" t="s">
        <v>442</v>
      </c>
      <c r="D80" s="47" t="s">
        <v>441</v>
      </c>
      <c r="E80" s="30" t="s">
        <v>323</v>
      </c>
      <c r="F80" s="28" t="s">
        <v>292</v>
      </c>
      <c r="G80" s="28" t="s">
        <v>253</v>
      </c>
      <c r="H80" s="28" t="s">
        <v>354</v>
      </c>
      <c r="I80" s="6"/>
      <c r="J80" s="29"/>
      <c r="K80" s="29">
        <v>706809.62</v>
      </c>
    </row>
    <row r="81" spans="1:11" ht="60" hidden="1" x14ac:dyDescent="0.25">
      <c r="A81" s="30" t="s">
        <v>290</v>
      </c>
      <c r="B81" s="28" t="s">
        <v>33</v>
      </c>
      <c r="C81" s="28" t="s">
        <v>486</v>
      </c>
      <c r="D81" s="47" t="s">
        <v>487</v>
      </c>
      <c r="E81" s="30" t="s">
        <v>323</v>
      </c>
      <c r="F81" s="28" t="s">
        <v>292</v>
      </c>
      <c r="G81" s="28" t="s">
        <v>253</v>
      </c>
      <c r="H81" s="28" t="s">
        <v>348</v>
      </c>
      <c r="I81" s="6">
        <v>808823.52</v>
      </c>
      <c r="J81" s="29"/>
      <c r="K81" s="29">
        <v>798051.37</v>
      </c>
    </row>
    <row r="82" spans="1:11" ht="90" hidden="1" x14ac:dyDescent="0.25">
      <c r="A82" s="30" t="s">
        <v>290</v>
      </c>
      <c r="B82" s="28" t="s">
        <v>432</v>
      </c>
      <c r="C82" s="28" t="s">
        <v>433</v>
      </c>
      <c r="D82" s="47" t="s">
        <v>431</v>
      </c>
      <c r="E82" s="30" t="s">
        <v>323</v>
      </c>
      <c r="F82" s="28" t="s">
        <v>292</v>
      </c>
      <c r="G82" s="28" t="s">
        <v>253</v>
      </c>
      <c r="H82" s="28" t="s">
        <v>348</v>
      </c>
      <c r="I82" s="6"/>
      <c r="J82" s="29"/>
      <c r="K82" s="29">
        <v>779094.22</v>
      </c>
    </row>
    <row r="83" spans="1:11" ht="90" hidden="1" x14ac:dyDescent="0.25">
      <c r="A83" s="30" t="s">
        <v>290</v>
      </c>
      <c r="B83" s="28" t="s">
        <v>346</v>
      </c>
      <c r="C83" s="28" t="s">
        <v>415</v>
      </c>
      <c r="D83" s="47" t="s">
        <v>416</v>
      </c>
      <c r="E83" s="30" t="s">
        <v>323</v>
      </c>
      <c r="F83" s="28" t="s">
        <v>292</v>
      </c>
      <c r="G83" s="28" t="s">
        <v>253</v>
      </c>
      <c r="H83" s="28" t="s">
        <v>348</v>
      </c>
      <c r="I83" s="6">
        <v>647058.81000000006</v>
      </c>
      <c r="J83" s="29"/>
      <c r="K83" s="29">
        <v>623622.72</v>
      </c>
    </row>
    <row r="84" spans="1:11" ht="90" hidden="1" x14ac:dyDescent="0.25">
      <c r="A84" s="30" t="s">
        <v>290</v>
      </c>
      <c r="B84" s="28" t="s">
        <v>346</v>
      </c>
      <c r="C84" s="28" t="s">
        <v>413</v>
      </c>
      <c r="D84" s="47" t="s">
        <v>414</v>
      </c>
      <c r="E84" s="30" t="s">
        <v>323</v>
      </c>
      <c r="F84" s="28" t="s">
        <v>292</v>
      </c>
      <c r="G84" s="28" t="s">
        <v>253</v>
      </c>
      <c r="H84" s="28" t="s">
        <v>348</v>
      </c>
      <c r="I84" s="6">
        <v>455882.34</v>
      </c>
      <c r="J84" s="29"/>
      <c r="K84" s="29">
        <v>449609.84</v>
      </c>
    </row>
    <row r="85" spans="1:11" ht="75" hidden="1" x14ac:dyDescent="0.25">
      <c r="A85" s="30" t="s">
        <v>258</v>
      </c>
      <c r="B85" s="28" t="s">
        <v>418</v>
      </c>
      <c r="C85" s="28" t="s">
        <v>423</v>
      </c>
      <c r="D85" s="47" t="s">
        <v>424</v>
      </c>
      <c r="E85" s="30" t="s">
        <v>323</v>
      </c>
      <c r="F85" s="28" t="s">
        <v>292</v>
      </c>
      <c r="G85" s="28" t="s">
        <v>253</v>
      </c>
      <c r="H85" s="28" t="s">
        <v>348</v>
      </c>
      <c r="I85" s="6">
        <v>9773304.3900000006</v>
      </c>
      <c r="J85" s="29"/>
      <c r="K85" s="29">
        <v>739633.54</v>
      </c>
    </row>
    <row r="86" spans="1:11" ht="90" hidden="1" x14ac:dyDescent="0.25">
      <c r="A86" s="30" t="s">
        <v>290</v>
      </c>
      <c r="B86" s="28" t="s">
        <v>346</v>
      </c>
      <c r="C86" s="28" t="s">
        <v>464</v>
      </c>
      <c r="D86" s="47" t="s">
        <v>465</v>
      </c>
      <c r="E86" s="30" t="s">
        <v>323</v>
      </c>
      <c r="F86" s="28" t="s">
        <v>292</v>
      </c>
      <c r="G86" s="28" t="s">
        <v>253</v>
      </c>
      <c r="H86" s="28" t="s">
        <v>348</v>
      </c>
      <c r="I86" s="6">
        <v>955882.35</v>
      </c>
      <c r="J86" s="29"/>
      <c r="K86" s="29">
        <v>838791.85</v>
      </c>
    </row>
    <row r="87" spans="1:11" ht="60" hidden="1" x14ac:dyDescent="0.25">
      <c r="A87" s="30" t="s">
        <v>290</v>
      </c>
      <c r="B87" s="28" t="s">
        <v>489</v>
      </c>
      <c r="C87" s="28" t="s">
        <v>488</v>
      </c>
      <c r="D87" s="47" t="s">
        <v>490</v>
      </c>
      <c r="E87" s="30" t="s">
        <v>323</v>
      </c>
      <c r="F87" s="28" t="s">
        <v>292</v>
      </c>
      <c r="G87" s="28" t="s">
        <v>253</v>
      </c>
      <c r="H87" s="28" t="s">
        <v>348</v>
      </c>
      <c r="I87" s="6"/>
      <c r="J87" s="29"/>
      <c r="K87" s="29">
        <v>470588.81</v>
      </c>
    </row>
    <row r="88" spans="1:11" ht="60" hidden="1" x14ac:dyDescent="0.25">
      <c r="A88" s="30" t="s">
        <v>290</v>
      </c>
      <c r="B88" s="28" t="s">
        <v>489</v>
      </c>
      <c r="C88" s="28" t="s">
        <v>491</v>
      </c>
      <c r="D88" s="47" t="s">
        <v>492</v>
      </c>
      <c r="E88" s="30" t="s">
        <v>323</v>
      </c>
      <c r="F88" s="28" t="s">
        <v>292</v>
      </c>
      <c r="G88" s="28" t="s">
        <v>253</v>
      </c>
      <c r="H88" s="28" t="s">
        <v>348</v>
      </c>
      <c r="I88" s="6">
        <v>823529.4</v>
      </c>
      <c r="J88" s="29"/>
      <c r="K88" s="29">
        <v>823528.08</v>
      </c>
    </row>
    <row r="89" spans="1:11" ht="45" hidden="1" x14ac:dyDescent="0.25">
      <c r="A89" s="30" t="s">
        <v>290</v>
      </c>
      <c r="B89" s="28" t="s">
        <v>682</v>
      </c>
      <c r="C89" s="28" t="s">
        <v>681</v>
      </c>
      <c r="D89" s="47" t="s">
        <v>683</v>
      </c>
      <c r="E89" s="30" t="s">
        <v>323</v>
      </c>
      <c r="F89" s="28" t="s">
        <v>292</v>
      </c>
      <c r="G89" s="28" t="s">
        <v>253</v>
      </c>
      <c r="H89" s="28" t="s">
        <v>348</v>
      </c>
      <c r="I89" s="6">
        <v>676470.6</v>
      </c>
      <c r="J89" s="29"/>
      <c r="K89" s="29">
        <v>674014.68</v>
      </c>
    </row>
    <row r="90" spans="1:11" ht="75" hidden="1" x14ac:dyDescent="0.25">
      <c r="A90" s="30" t="s">
        <v>73</v>
      </c>
      <c r="B90" s="28" t="s">
        <v>649</v>
      </c>
      <c r="C90" s="28" t="s">
        <v>647</v>
      </c>
      <c r="D90" s="47" t="s">
        <v>648</v>
      </c>
      <c r="E90" s="30" t="s">
        <v>650</v>
      </c>
      <c r="F90" s="28" t="s">
        <v>316</v>
      </c>
      <c r="G90" s="28" t="s">
        <v>21</v>
      </c>
      <c r="H90" s="28" t="s">
        <v>473</v>
      </c>
      <c r="I90" s="6">
        <v>139420.06</v>
      </c>
      <c r="J90" s="29"/>
      <c r="K90" s="29">
        <v>36659</v>
      </c>
    </row>
    <row r="91" spans="1:11" ht="75" hidden="1" x14ac:dyDescent="0.25">
      <c r="A91" s="30" t="s">
        <v>73</v>
      </c>
      <c r="B91" s="28" t="s">
        <v>649</v>
      </c>
      <c r="C91" s="28" t="s">
        <v>652</v>
      </c>
      <c r="D91" s="47" t="s">
        <v>651</v>
      </c>
      <c r="E91" s="30" t="s">
        <v>653</v>
      </c>
      <c r="F91" s="28" t="s">
        <v>316</v>
      </c>
      <c r="G91" s="28" t="s">
        <v>21</v>
      </c>
      <c r="H91" s="28" t="s">
        <v>473</v>
      </c>
      <c r="I91" s="6">
        <v>480194.5</v>
      </c>
      <c r="J91" s="29"/>
      <c r="K91" s="29">
        <v>72670</v>
      </c>
    </row>
    <row r="92" spans="1:11" ht="60" hidden="1" x14ac:dyDescent="0.25">
      <c r="A92" s="30" t="s">
        <v>88</v>
      </c>
      <c r="B92" s="28" t="s">
        <v>649</v>
      </c>
      <c r="C92" s="28" t="s">
        <v>654</v>
      </c>
      <c r="D92" s="47" t="s">
        <v>655</v>
      </c>
      <c r="E92" s="30" t="s">
        <v>656</v>
      </c>
      <c r="F92" s="28" t="s">
        <v>316</v>
      </c>
      <c r="G92" s="28" t="s">
        <v>21</v>
      </c>
      <c r="H92" s="28" t="s">
        <v>473</v>
      </c>
      <c r="I92" s="6">
        <v>365020.23</v>
      </c>
      <c r="J92" s="29"/>
      <c r="K92" s="29">
        <v>57460</v>
      </c>
    </row>
    <row r="93" spans="1:11" ht="60" hidden="1" x14ac:dyDescent="0.25">
      <c r="A93" s="30" t="s">
        <v>88</v>
      </c>
      <c r="B93" s="28" t="s">
        <v>649</v>
      </c>
      <c r="C93" s="28" t="s">
        <v>657</v>
      </c>
      <c r="D93" s="47" t="s">
        <v>658</v>
      </c>
      <c r="E93" s="30" t="s">
        <v>659</v>
      </c>
      <c r="F93" s="28" t="s">
        <v>316</v>
      </c>
      <c r="G93" s="28" t="s">
        <v>21</v>
      </c>
      <c r="H93" s="28" t="s">
        <v>473</v>
      </c>
      <c r="I93" s="6">
        <v>299878</v>
      </c>
      <c r="J93" s="29"/>
      <c r="K93" s="29">
        <v>44459.99</v>
      </c>
    </row>
    <row r="94" spans="1:11" ht="60" hidden="1" x14ac:dyDescent="0.25">
      <c r="A94" s="30" t="s">
        <v>9</v>
      </c>
      <c r="B94" s="28" t="s">
        <v>649</v>
      </c>
      <c r="C94" s="28" t="s">
        <v>756</v>
      </c>
      <c r="D94" s="47" t="s">
        <v>753</v>
      </c>
      <c r="E94" s="30" t="s">
        <v>629</v>
      </c>
      <c r="F94" s="28" t="s">
        <v>316</v>
      </c>
      <c r="G94" s="28"/>
      <c r="H94" s="28" t="s">
        <v>473</v>
      </c>
      <c r="I94" s="6">
        <v>481293.95</v>
      </c>
      <c r="J94" s="29"/>
      <c r="K94" s="29">
        <v>121939.99</v>
      </c>
    </row>
    <row r="95" spans="1:11" ht="60" hidden="1" x14ac:dyDescent="0.25">
      <c r="A95" s="30" t="s">
        <v>48</v>
      </c>
      <c r="B95" s="28" t="s">
        <v>649</v>
      </c>
      <c r="C95" s="28" t="s">
        <v>660</v>
      </c>
      <c r="D95" s="47" t="s">
        <v>661</v>
      </c>
      <c r="E95" s="30" t="s">
        <v>662</v>
      </c>
      <c r="F95" s="28" t="s">
        <v>316</v>
      </c>
      <c r="G95" s="28" t="s">
        <v>21</v>
      </c>
      <c r="H95" s="28" t="s">
        <v>473</v>
      </c>
      <c r="I95" s="6">
        <v>365020.23</v>
      </c>
      <c r="J95" s="29"/>
      <c r="K95" s="29">
        <v>57460</v>
      </c>
    </row>
    <row r="96" spans="1:11" ht="60" hidden="1" x14ac:dyDescent="0.25">
      <c r="A96" s="30" t="s">
        <v>48</v>
      </c>
      <c r="B96" s="28" t="s">
        <v>649</v>
      </c>
      <c r="C96" s="28" t="s">
        <v>663</v>
      </c>
      <c r="D96" s="47" t="s">
        <v>664</v>
      </c>
      <c r="E96" s="30" t="s">
        <v>665</v>
      </c>
      <c r="F96" s="28" t="s">
        <v>316</v>
      </c>
      <c r="G96" s="28" t="s">
        <v>21</v>
      </c>
      <c r="H96" s="28" t="s">
        <v>473</v>
      </c>
      <c r="I96" s="6">
        <v>486406</v>
      </c>
      <c r="J96" s="29"/>
      <c r="K96" s="29">
        <v>73189.990000000005</v>
      </c>
    </row>
    <row r="97" spans="1:12" ht="75" hidden="1" x14ac:dyDescent="0.25">
      <c r="A97" s="30" t="s">
        <v>258</v>
      </c>
      <c r="B97" s="28" t="s">
        <v>649</v>
      </c>
      <c r="C97" s="28" t="s">
        <v>666</v>
      </c>
      <c r="D97" s="47" t="s">
        <v>667</v>
      </c>
      <c r="E97" s="30" t="s">
        <v>668</v>
      </c>
      <c r="F97" s="28" t="s">
        <v>316</v>
      </c>
      <c r="G97" s="28" t="s">
        <v>21</v>
      </c>
      <c r="H97" s="28" t="s">
        <v>473</v>
      </c>
      <c r="I97" s="6">
        <v>1385422.47</v>
      </c>
      <c r="J97" s="29"/>
      <c r="K97" s="29">
        <v>227629.99</v>
      </c>
    </row>
    <row r="98" spans="1:12" ht="60" hidden="1" x14ac:dyDescent="0.25">
      <c r="A98" s="30" t="s">
        <v>258</v>
      </c>
      <c r="B98" s="28" t="s">
        <v>649</v>
      </c>
      <c r="C98" s="28" t="s">
        <v>1733</v>
      </c>
      <c r="D98" s="47" t="s">
        <v>1734</v>
      </c>
      <c r="E98" s="30" t="s">
        <v>1735</v>
      </c>
      <c r="F98" s="28" t="s">
        <v>1736</v>
      </c>
      <c r="G98" s="28" t="s">
        <v>21</v>
      </c>
      <c r="H98" s="28" t="s">
        <v>473</v>
      </c>
      <c r="I98" s="6">
        <v>7814878.4800000004</v>
      </c>
      <c r="J98" s="29"/>
      <c r="K98" s="29">
        <v>51999.99</v>
      </c>
    </row>
    <row r="99" spans="1:12" ht="60" hidden="1" x14ac:dyDescent="0.25">
      <c r="A99" s="30" t="s">
        <v>235</v>
      </c>
      <c r="B99" s="28" t="s">
        <v>649</v>
      </c>
      <c r="C99" s="28" t="s">
        <v>669</v>
      </c>
      <c r="D99" s="47" t="s">
        <v>670</v>
      </c>
      <c r="E99" s="30" t="s">
        <v>671</v>
      </c>
      <c r="F99" s="28" t="s">
        <v>316</v>
      </c>
      <c r="G99" s="28" t="s">
        <v>21</v>
      </c>
      <c r="H99" s="28" t="s">
        <v>473</v>
      </c>
      <c r="I99" s="6">
        <v>1385422.47</v>
      </c>
      <c r="J99" s="29"/>
      <c r="K99" s="29">
        <v>227629.99</v>
      </c>
    </row>
    <row r="100" spans="1:12" ht="45" hidden="1" x14ac:dyDescent="0.25">
      <c r="A100" s="30" t="s">
        <v>258</v>
      </c>
      <c r="B100" s="28" t="s">
        <v>620</v>
      </c>
      <c r="C100" s="28" t="s">
        <v>619</v>
      </c>
      <c r="D100" s="47" t="s">
        <v>621</v>
      </c>
      <c r="E100" s="30" t="s">
        <v>622</v>
      </c>
      <c r="F100" s="31" t="s">
        <v>2341</v>
      </c>
      <c r="G100" s="28" t="s">
        <v>623</v>
      </c>
      <c r="H100" s="28" t="s">
        <v>2338</v>
      </c>
      <c r="I100" s="6">
        <v>38890185</v>
      </c>
      <c r="J100" s="29">
        <v>27223129.510000002</v>
      </c>
      <c r="K100" s="29">
        <v>38949797.340000004</v>
      </c>
    </row>
    <row r="101" spans="1:12" ht="90" hidden="1" x14ac:dyDescent="0.25">
      <c r="A101" s="30" t="s">
        <v>9</v>
      </c>
      <c r="B101" s="28" t="s">
        <v>708</v>
      </c>
      <c r="C101" s="28" t="s">
        <v>706</v>
      </c>
      <c r="D101" s="47" t="s">
        <v>707</v>
      </c>
      <c r="E101" s="30" t="s">
        <v>2161</v>
      </c>
      <c r="F101" s="28" t="s">
        <v>2301</v>
      </c>
      <c r="G101" s="28" t="s">
        <v>253</v>
      </c>
      <c r="H101" s="28" t="s">
        <v>2302</v>
      </c>
      <c r="I101" s="6">
        <v>2205000</v>
      </c>
      <c r="J101" s="29">
        <v>1273.46</v>
      </c>
      <c r="K101" s="29">
        <v>2145846.29</v>
      </c>
    </row>
    <row r="102" spans="1:12" ht="60" hidden="1" x14ac:dyDescent="0.25">
      <c r="A102" s="30" t="s">
        <v>88</v>
      </c>
      <c r="B102" s="28" t="s">
        <v>468</v>
      </c>
      <c r="C102" s="28" t="s">
        <v>467</v>
      </c>
      <c r="D102" s="47" t="s">
        <v>466</v>
      </c>
      <c r="E102" s="30" t="s">
        <v>304</v>
      </c>
      <c r="F102" s="28" t="s">
        <v>316</v>
      </c>
      <c r="G102" s="28" t="s">
        <v>253</v>
      </c>
      <c r="H102" s="28" t="s">
        <v>319</v>
      </c>
      <c r="I102" s="6">
        <v>884746</v>
      </c>
      <c r="J102" s="29" t="e">
        <f>I102-#REF!</f>
        <v>#REF!</v>
      </c>
      <c r="K102" s="29">
        <v>878717.92</v>
      </c>
    </row>
    <row r="103" spans="1:12" ht="75" hidden="1" x14ac:dyDescent="0.25">
      <c r="A103" s="30" t="s">
        <v>25</v>
      </c>
      <c r="B103" s="28" t="s">
        <v>444</v>
      </c>
      <c r="C103" s="28" t="s">
        <v>475</v>
      </c>
      <c r="D103" s="47" t="s">
        <v>476</v>
      </c>
      <c r="E103" s="30" t="s">
        <v>455</v>
      </c>
      <c r="F103" s="28" t="s">
        <v>477</v>
      </c>
      <c r="G103" s="28"/>
      <c r="H103" s="28" t="s">
        <v>448</v>
      </c>
      <c r="I103" s="6">
        <v>441799</v>
      </c>
      <c r="J103" s="29"/>
      <c r="K103" s="29">
        <v>439187.6</v>
      </c>
    </row>
    <row r="104" spans="1:12" ht="60" hidden="1" x14ac:dyDescent="0.25">
      <c r="A104" s="30" t="s">
        <v>290</v>
      </c>
      <c r="B104" s="28" t="s">
        <v>418</v>
      </c>
      <c r="C104" s="28" t="s">
        <v>810</v>
      </c>
      <c r="D104" s="47" t="s">
        <v>809</v>
      </c>
      <c r="E104" s="30" t="s">
        <v>323</v>
      </c>
      <c r="F104" s="28" t="s">
        <v>292</v>
      </c>
      <c r="G104" s="28" t="s">
        <v>253</v>
      </c>
      <c r="H104" s="28" t="s">
        <v>348</v>
      </c>
      <c r="I104" s="6"/>
      <c r="J104" s="29"/>
      <c r="K104" s="29">
        <v>790968.61</v>
      </c>
    </row>
    <row r="105" spans="1:12" ht="75" hidden="1" x14ac:dyDescent="0.25">
      <c r="A105" s="30" t="s">
        <v>9</v>
      </c>
      <c r="B105" s="28" t="s">
        <v>796</v>
      </c>
      <c r="C105" s="28" t="s">
        <v>795</v>
      </c>
      <c r="D105" s="47" t="s">
        <v>797</v>
      </c>
      <c r="E105" s="30" t="s">
        <v>304</v>
      </c>
      <c r="F105" s="28" t="s">
        <v>316</v>
      </c>
      <c r="G105" s="28" t="s">
        <v>253</v>
      </c>
      <c r="H105" s="28" t="s">
        <v>676</v>
      </c>
      <c r="I105" s="6">
        <v>525176</v>
      </c>
      <c r="J105" s="29"/>
      <c r="K105" s="29">
        <v>529215.07999999996</v>
      </c>
    </row>
    <row r="106" spans="1:12" ht="60" hidden="1" x14ac:dyDescent="0.25">
      <c r="A106" s="30" t="s">
        <v>9</v>
      </c>
      <c r="B106" s="28" t="s">
        <v>686</v>
      </c>
      <c r="C106" s="28" t="s">
        <v>685</v>
      </c>
      <c r="D106" s="47" t="s">
        <v>687</v>
      </c>
      <c r="E106" s="30" t="s">
        <v>304</v>
      </c>
      <c r="F106" s="28" t="s">
        <v>316</v>
      </c>
      <c r="G106" s="28" t="s">
        <v>253</v>
      </c>
      <c r="H106" s="28" t="s">
        <v>676</v>
      </c>
      <c r="I106" s="6">
        <v>684000</v>
      </c>
      <c r="J106" s="29"/>
      <c r="K106" s="29">
        <v>659996.81999999995</v>
      </c>
    </row>
    <row r="107" spans="1:12" ht="60" hidden="1" x14ac:dyDescent="0.25">
      <c r="A107" s="30" t="s">
        <v>9</v>
      </c>
      <c r="B107" s="28" t="s">
        <v>478</v>
      </c>
      <c r="C107" s="28" t="s">
        <v>627</v>
      </c>
      <c r="D107" s="47" t="s">
        <v>628</v>
      </c>
      <c r="E107" s="30" t="s">
        <v>629</v>
      </c>
      <c r="F107" s="28" t="s">
        <v>316</v>
      </c>
      <c r="G107" s="28" t="s">
        <v>21</v>
      </c>
      <c r="H107" s="28" t="s">
        <v>473</v>
      </c>
      <c r="I107" s="6">
        <v>481293.95</v>
      </c>
      <c r="J107" s="29"/>
      <c r="K107" s="29">
        <v>247814.28</v>
      </c>
    </row>
    <row r="108" spans="1:12" ht="75" hidden="1" x14ac:dyDescent="0.25">
      <c r="A108" s="30" t="s">
        <v>9</v>
      </c>
      <c r="B108" s="28" t="s">
        <v>478</v>
      </c>
      <c r="C108" s="28" t="s">
        <v>472</v>
      </c>
      <c r="D108" s="47" t="s">
        <v>471</v>
      </c>
      <c r="E108" s="30" t="s">
        <v>474</v>
      </c>
      <c r="F108" s="28" t="s">
        <v>316</v>
      </c>
      <c r="G108" s="28" t="s">
        <v>21</v>
      </c>
      <c r="H108" s="28" t="s">
        <v>473</v>
      </c>
      <c r="I108" s="6">
        <v>184452.36</v>
      </c>
      <c r="J108" s="29"/>
      <c r="K108" s="29">
        <v>70967.48</v>
      </c>
    </row>
    <row r="109" spans="1:12" ht="45" hidden="1" x14ac:dyDescent="0.25">
      <c r="A109" s="30" t="s">
        <v>299</v>
      </c>
      <c r="B109" s="28" t="s">
        <v>494</v>
      </c>
      <c r="C109" s="28" t="s">
        <v>493</v>
      </c>
      <c r="D109" s="47" t="s">
        <v>495</v>
      </c>
      <c r="E109" s="30" t="s">
        <v>304</v>
      </c>
      <c r="F109" s="28" t="s">
        <v>316</v>
      </c>
      <c r="G109" s="28" t="s">
        <v>496</v>
      </c>
      <c r="H109" s="28" t="s">
        <v>497</v>
      </c>
      <c r="I109" s="6">
        <v>4645446</v>
      </c>
      <c r="J109" s="29"/>
      <c r="K109" s="29">
        <v>4585637.5999999996</v>
      </c>
    </row>
    <row r="110" spans="1:12" ht="75" hidden="1" x14ac:dyDescent="0.25">
      <c r="A110" s="30" t="s">
        <v>299</v>
      </c>
      <c r="B110" s="28" t="s">
        <v>494</v>
      </c>
      <c r="C110" s="28" t="s">
        <v>498</v>
      </c>
      <c r="D110" s="47" t="s">
        <v>499</v>
      </c>
      <c r="E110" s="30" t="s">
        <v>304</v>
      </c>
      <c r="F110" s="28" t="s">
        <v>316</v>
      </c>
      <c r="G110" s="28" t="s">
        <v>500</v>
      </c>
      <c r="H110" s="28" t="s">
        <v>497</v>
      </c>
      <c r="I110" s="6">
        <v>2754200</v>
      </c>
      <c r="J110" s="29"/>
      <c r="K110" s="29">
        <v>2706741.39</v>
      </c>
      <c r="L110" s="93" t="s">
        <v>773</v>
      </c>
    </row>
    <row r="111" spans="1:12" ht="75" hidden="1" x14ac:dyDescent="0.25">
      <c r="A111" s="30" t="s">
        <v>290</v>
      </c>
      <c r="B111" s="28" t="s">
        <v>734</v>
      </c>
      <c r="C111" s="28" t="s">
        <v>733</v>
      </c>
      <c r="D111" s="47" t="s">
        <v>732</v>
      </c>
      <c r="E111" s="30" t="s">
        <v>323</v>
      </c>
      <c r="F111" s="28" t="s">
        <v>292</v>
      </c>
      <c r="G111" s="28" t="s">
        <v>736</v>
      </c>
      <c r="H111" s="28" t="s">
        <v>735</v>
      </c>
      <c r="I111" s="6">
        <v>2295608.85</v>
      </c>
      <c r="J111" s="29"/>
      <c r="K111" s="29">
        <v>2329580.42</v>
      </c>
    </row>
    <row r="112" spans="1:12" ht="75" hidden="1" x14ac:dyDescent="0.25">
      <c r="A112" s="30" t="s">
        <v>290</v>
      </c>
      <c r="B112" s="28" t="s">
        <v>734</v>
      </c>
      <c r="C112" s="28" t="s">
        <v>750</v>
      </c>
      <c r="D112" s="47" t="s">
        <v>749</v>
      </c>
      <c r="E112" s="30" t="s">
        <v>323</v>
      </c>
      <c r="F112" s="28" t="s">
        <v>292</v>
      </c>
      <c r="G112" s="28" t="s">
        <v>751</v>
      </c>
      <c r="H112" s="28" t="s">
        <v>735</v>
      </c>
      <c r="I112" s="6">
        <v>2381092.02</v>
      </c>
      <c r="J112" s="29"/>
      <c r="K112" s="29">
        <v>2346107.56</v>
      </c>
    </row>
    <row r="113" spans="1:11" ht="60" hidden="1" x14ac:dyDescent="0.25">
      <c r="A113" s="30" t="s">
        <v>9</v>
      </c>
      <c r="B113" s="28" t="s">
        <v>679</v>
      </c>
      <c r="C113" s="28" t="s">
        <v>677</v>
      </c>
      <c r="D113" s="47" t="s">
        <v>678</v>
      </c>
      <c r="E113" s="30" t="s">
        <v>304</v>
      </c>
      <c r="F113" s="28" t="s">
        <v>316</v>
      </c>
      <c r="G113" s="28" t="s">
        <v>680</v>
      </c>
      <c r="H113" s="28" t="s">
        <v>676</v>
      </c>
      <c r="I113" s="6">
        <v>1398944</v>
      </c>
      <c r="J113" s="29"/>
      <c r="K113" s="29">
        <v>1369447.44</v>
      </c>
    </row>
    <row r="114" spans="1:11" ht="60" hidden="1" x14ac:dyDescent="0.25">
      <c r="A114" s="30" t="s">
        <v>631</v>
      </c>
      <c r="B114" s="28" t="s">
        <v>632</v>
      </c>
      <c r="C114" s="28" t="s">
        <v>630</v>
      </c>
      <c r="D114" s="47" t="s">
        <v>633</v>
      </c>
      <c r="E114" s="30" t="s">
        <v>634</v>
      </c>
      <c r="F114" s="28" t="s">
        <v>2346</v>
      </c>
      <c r="G114" s="28" t="s">
        <v>635</v>
      </c>
      <c r="H114" s="28" t="s">
        <v>2338</v>
      </c>
      <c r="I114" s="6">
        <v>12342713</v>
      </c>
      <c r="J114" s="29">
        <v>3489290.8</v>
      </c>
      <c r="K114" s="29">
        <v>11695805.57</v>
      </c>
    </row>
    <row r="115" spans="1:11" ht="90" hidden="1" x14ac:dyDescent="0.25">
      <c r="A115" s="30" t="s">
        <v>235</v>
      </c>
      <c r="B115" s="28" t="s">
        <v>604</v>
      </c>
      <c r="C115" s="28" t="s">
        <v>711</v>
      </c>
      <c r="D115" s="47" t="s">
        <v>712</v>
      </c>
      <c r="E115" s="30" t="s">
        <v>713</v>
      </c>
      <c r="F115" s="28" t="s">
        <v>2337</v>
      </c>
      <c r="G115" s="28" t="s">
        <v>714</v>
      </c>
      <c r="H115" s="28" t="s">
        <v>2338</v>
      </c>
      <c r="I115" s="6">
        <v>88235294</v>
      </c>
      <c r="J115" s="29">
        <v>59167881.140000001</v>
      </c>
      <c r="K115" s="29">
        <v>87577216.609999999</v>
      </c>
    </row>
    <row r="116" spans="1:11" ht="60" hidden="1" x14ac:dyDescent="0.25">
      <c r="A116" s="30" t="s">
        <v>9</v>
      </c>
      <c r="B116" s="28" t="s">
        <v>674</v>
      </c>
      <c r="C116" s="28" t="s">
        <v>673</v>
      </c>
      <c r="D116" s="47" t="s">
        <v>675</v>
      </c>
      <c r="E116" s="30" t="s">
        <v>304</v>
      </c>
      <c r="F116" s="28" t="s">
        <v>316</v>
      </c>
      <c r="G116" s="28" t="s">
        <v>253</v>
      </c>
      <c r="H116" s="28" t="s">
        <v>676</v>
      </c>
      <c r="I116" s="6">
        <v>624000</v>
      </c>
      <c r="J116" s="29"/>
      <c r="K116" s="29">
        <v>608472.5</v>
      </c>
    </row>
    <row r="117" spans="1:11" ht="45" hidden="1" x14ac:dyDescent="0.25">
      <c r="A117" s="30" t="s">
        <v>299</v>
      </c>
      <c r="B117" s="28" t="s">
        <v>784</v>
      </c>
      <c r="C117" s="28" t="s">
        <v>783</v>
      </c>
      <c r="D117" s="47" t="s">
        <v>776</v>
      </c>
      <c r="E117" s="30" t="s">
        <v>782</v>
      </c>
      <c r="F117" s="28" t="s">
        <v>2340</v>
      </c>
      <c r="G117" s="28"/>
      <c r="H117" s="28" t="s">
        <v>2338</v>
      </c>
      <c r="I117" s="6">
        <v>83559322</v>
      </c>
      <c r="J117" s="29">
        <v>43380781.219999999</v>
      </c>
      <c r="K117" s="29">
        <v>82488388.799999997</v>
      </c>
    </row>
    <row r="118" spans="1:11" ht="90" hidden="1" x14ac:dyDescent="0.25">
      <c r="A118" s="30" t="s">
        <v>9</v>
      </c>
      <c r="B118" s="28" t="s">
        <v>850</v>
      </c>
      <c r="C118" s="28" t="s">
        <v>849</v>
      </c>
      <c r="D118" s="47" t="s">
        <v>848</v>
      </c>
      <c r="E118" s="30" t="s">
        <v>304</v>
      </c>
      <c r="F118" s="28" t="s">
        <v>316</v>
      </c>
      <c r="G118" s="28" t="s">
        <v>253</v>
      </c>
      <c r="H118" s="28" t="s">
        <v>676</v>
      </c>
      <c r="I118" s="6">
        <v>574500</v>
      </c>
      <c r="J118" s="29"/>
      <c r="K118" s="29">
        <v>573551.26</v>
      </c>
    </row>
    <row r="119" spans="1:11" ht="30" hidden="1" x14ac:dyDescent="0.25">
      <c r="A119" s="30" t="s">
        <v>9</v>
      </c>
      <c r="B119" s="28" t="s">
        <v>860</v>
      </c>
      <c r="C119" s="28" t="s">
        <v>859</v>
      </c>
      <c r="D119" s="47" t="s">
        <v>858</v>
      </c>
      <c r="E119" s="30" t="s">
        <v>861</v>
      </c>
      <c r="F119" s="28" t="s">
        <v>2310</v>
      </c>
      <c r="G119" s="28" t="s">
        <v>862</v>
      </c>
      <c r="H119" s="28" t="s">
        <v>2295</v>
      </c>
      <c r="I119" s="6">
        <v>29845342</v>
      </c>
      <c r="J119" s="29">
        <v>11427743.869999999</v>
      </c>
      <c r="K119" s="29">
        <v>29931744.359999999</v>
      </c>
    </row>
    <row r="120" spans="1:11" ht="45" hidden="1" x14ac:dyDescent="0.25">
      <c r="A120" s="30" t="s">
        <v>803</v>
      </c>
      <c r="B120" s="28" t="s">
        <v>802</v>
      </c>
      <c r="C120" s="28" t="s">
        <v>801</v>
      </c>
      <c r="D120" s="47" t="s">
        <v>804</v>
      </c>
      <c r="E120" s="30" t="s">
        <v>807</v>
      </c>
      <c r="F120" s="28" t="s">
        <v>2307</v>
      </c>
      <c r="G120" s="28" t="s">
        <v>805</v>
      </c>
      <c r="H120" s="28" t="s">
        <v>2306</v>
      </c>
      <c r="I120" s="6">
        <v>33217818.809999999</v>
      </c>
      <c r="J120" s="29">
        <v>9347171.7400000002</v>
      </c>
      <c r="K120" s="29">
        <v>32938936.050000001</v>
      </c>
    </row>
    <row r="121" spans="1:11" ht="30" hidden="1" x14ac:dyDescent="0.25">
      <c r="A121" s="30" t="s">
        <v>817</v>
      </c>
      <c r="B121" s="28" t="s">
        <v>816</v>
      </c>
      <c r="C121" s="28" t="s">
        <v>815</v>
      </c>
      <c r="D121" s="47" t="s">
        <v>813</v>
      </c>
      <c r="E121" s="30" t="s">
        <v>818</v>
      </c>
      <c r="F121" s="28" t="s">
        <v>2296</v>
      </c>
      <c r="G121" s="28" t="s">
        <v>827</v>
      </c>
      <c r="H121" s="28" t="s">
        <v>2295</v>
      </c>
      <c r="I121" s="6">
        <v>13176148</v>
      </c>
      <c r="J121" s="29">
        <v>3023758.68</v>
      </c>
      <c r="K121" s="29">
        <v>12899260.779999999</v>
      </c>
    </row>
    <row r="122" spans="1:11" ht="60" hidden="1" x14ac:dyDescent="0.25">
      <c r="A122" s="30" t="s">
        <v>48</v>
      </c>
      <c r="B122" s="28" t="s">
        <v>200</v>
      </c>
      <c r="C122" s="28" t="s">
        <v>819</v>
      </c>
      <c r="D122" s="47" t="s">
        <v>814</v>
      </c>
      <c r="E122" s="30" t="s">
        <v>820</v>
      </c>
      <c r="F122" s="28" t="s">
        <v>2300</v>
      </c>
      <c r="G122" s="28" t="s">
        <v>831</v>
      </c>
      <c r="H122" s="28" t="s">
        <v>2295</v>
      </c>
      <c r="I122" s="6">
        <v>14705882</v>
      </c>
      <c r="J122" s="29">
        <v>1375037.2</v>
      </c>
      <c r="K122" s="29">
        <v>15121824.33</v>
      </c>
    </row>
    <row r="123" spans="1:11" ht="60" hidden="1" x14ac:dyDescent="0.25">
      <c r="A123" s="30" t="s">
        <v>299</v>
      </c>
      <c r="B123" s="28" t="s">
        <v>821</v>
      </c>
      <c r="C123" s="28" t="s">
        <v>829</v>
      </c>
      <c r="D123" s="47" t="s">
        <v>822</v>
      </c>
      <c r="E123" s="30" t="s">
        <v>323</v>
      </c>
      <c r="F123" s="28" t="s">
        <v>292</v>
      </c>
      <c r="G123" s="28" t="s">
        <v>828</v>
      </c>
      <c r="H123" s="28" t="s">
        <v>830</v>
      </c>
      <c r="I123" s="6">
        <v>3760170</v>
      </c>
      <c r="J123" s="29"/>
      <c r="K123" s="29">
        <v>3398669.09</v>
      </c>
    </row>
    <row r="124" spans="1:11" ht="75" hidden="1" x14ac:dyDescent="0.25">
      <c r="A124" s="30" t="s">
        <v>258</v>
      </c>
      <c r="B124" s="28" t="s">
        <v>877</v>
      </c>
      <c r="C124" s="28" t="s">
        <v>876</v>
      </c>
      <c r="D124" s="47" t="s">
        <v>838</v>
      </c>
      <c r="E124" s="30" t="s">
        <v>304</v>
      </c>
      <c r="F124" s="28" t="s">
        <v>2576</v>
      </c>
      <c r="G124" s="28" t="s">
        <v>2516</v>
      </c>
      <c r="H124" s="28" t="s">
        <v>2575</v>
      </c>
      <c r="I124" s="6">
        <v>1166706</v>
      </c>
      <c r="J124" s="6">
        <v>1166706</v>
      </c>
      <c r="K124" s="29">
        <v>1131962.7</v>
      </c>
    </row>
    <row r="125" spans="1:11" ht="30" hidden="1" x14ac:dyDescent="0.25">
      <c r="A125" s="30" t="s">
        <v>967</v>
      </c>
      <c r="B125" s="28" t="s">
        <v>587</v>
      </c>
      <c r="C125" s="28" t="s">
        <v>993</v>
      </c>
      <c r="D125" s="47" t="s">
        <v>992</v>
      </c>
      <c r="E125" s="30" t="s">
        <v>2162</v>
      </c>
      <c r="F125" s="28" t="s">
        <v>2297</v>
      </c>
      <c r="G125" s="28" t="s">
        <v>994</v>
      </c>
      <c r="H125" s="28" t="s">
        <v>2295</v>
      </c>
      <c r="I125" s="6">
        <v>7078846.0700000003</v>
      </c>
      <c r="J125" s="29">
        <v>1281028.71</v>
      </c>
      <c r="K125" s="29">
        <v>7078846.0700000003</v>
      </c>
    </row>
    <row r="126" spans="1:11" ht="45" hidden="1" x14ac:dyDescent="0.25">
      <c r="A126" s="30" t="s">
        <v>109</v>
      </c>
      <c r="B126" s="28" t="s">
        <v>1643</v>
      </c>
      <c r="C126" s="28" t="s">
        <v>2437</v>
      </c>
      <c r="D126" s="47" t="s">
        <v>1644</v>
      </c>
      <c r="E126" s="30" t="s">
        <v>1645</v>
      </c>
      <c r="F126" s="31" t="s">
        <v>2299</v>
      </c>
      <c r="G126" s="28" t="s">
        <v>1646</v>
      </c>
      <c r="H126" s="28" t="s">
        <v>2295</v>
      </c>
      <c r="I126" s="6">
        <v>2929404.64</v>
      </c>
      <c r="J126" s="29">
        <v>863982.62</v>
      </c>
      <c r="K126" s="29">
        <v>2879975.4</v>
      </c>
    </row>
    <row r="127" spans="1:11" ht="45" hidden="1" x14ac:dyDescent="0.25">
      <c r="A127" s="30" t="s">
        <v>109</v>
      </c>
      <c r="B127" s="28" t="s">
        <v>1643</v>
      </c>
      <c r="C127" s="28" t="s">
        <v>1648</v>
      </c>
      <c r="D127" s="47" t="s">
        <v>1647</v>
      </c>
      <c r="E127" s="30" t="s">
        <v>1649</v>
      </c>
      <c r="F127" s="31" t="s">
        <v>2299</v>
      </c>
      <c r="G127" s="28" t="s">
        <v>1646</v>
      </c>
      <c r="H127" s="28" t="s">
        <v>2295</v>
      </c>
      <c r="I127" s="6">
        <v>2913396.64</v>
      </c>
      <c r="J127" s="29">
        <v>863992.48</v>
      </c>
      <c r="K127" s="29">
        <v>2879974.93</v>
      </c>
    </row>
    <row r="128" spans="1:11" ht="60" hidden="1" x14ac:dyDescent="0.25">
      <c r="A128" s="30" t="s">
        <v>299</v>
      </c>
      <c r="B128" s="28" t="s">
        <v>1437</v>
      </c>
      <c r="C128" s="28" t="s">
        <v>1631</v>
      </c>
      <c r="D128" s="47" t="s">
        <v>1650</v>
      </c>
      <c r="E128" s="30" t="s">
        <v>1630</v>
      </c>
      <c r="F128" s="31" t="s">
        <v>2299</v>
      </c>
      <c r="G128" s="28" t="s">
        <v>1438</v>
      </c>
      <c r="H128" s="28" t="s">
        <v>2295</v>
      </c>
      <c r="I128" s="6">
        <v>2173380.5499999998</v>
      </c>
      <c r="J128" s="29">
        <v>1307993.43</v>
      </c>
      <c r="K128" s="29">
        <v>2113583.09</v>
      </c>
    </row>
    <row r="129" spans="1:11" ht="45" hidden="1" x14ac:dyDescent="0.25">
      <c r="A129" s="30" t="s">
        <v>25</v>
      </c>
      <c r="B129" s="28" t="s">
        <v>1437</v>
      </c>
      <c r="C129" s="28" t="s">
        <v>1632</v>
      </c>
      <c r="D129" s="47" t="s">
        <v>1651</v>
      </c>
      <c r="E129" s="30" t="s">
        <v>1629</v>
      </c>
      <c r="F129" s="31" t="s">
        <v>2299</v>
      </c>
      <c r="G129" s="28" t="s">
        <v>1438</v>
      </c>
      <c r="H129" s="28" t="s">
        <v>2295</v>
      </c>
      <c r="I129" s="6">
        <v>2271528.17</v>
      </c>
      <c r="J129" s="29">
        <v>681458.45</v>
      </c>
      <c r="K129" s="29">
        <v>2246395.02</v>
      </c>
    </row>
    <row r="130" spans="1:11" ht="75" hidden="1" x14ac:dyDescent="0.25">
      <c r="A130" s="30" t="s">
        <v>299</v>
      </c>
      <c r="B130" s="28" t="s">
        <v>2471</v>
      </c>
      <c r="C130" s="28" t="s">
        <v>2470</v>
      </c>
      <c r="D130" s="47" t="s">
        <v>2472</v>
      </c>
      <c r="E130" s="30" t="s">
        <v>2469</v>
      </c>
      <c r="F130" s="31" t="s">
        <v>2583</v>
      </c>
      <c r="G130" s="28" t="s">
        <v>21</v>
      </c>
      <c r="H130" s="28" t="s">
        <v>2581</v>
      </c>
      <c r="I130" s="6">
        <v>689526.99</v>
      </c>
      <c r="J130" s="29">
        <v>689526.99</v>
      </c>
      <c r="K130" s="29">
        <v>689526.99</v>
      </c>
    </row>
    <row r="131" spans="1:11" ht="60" hidden="1" x14ac:dyDescent="0.25">
      <c r="A131" s="30" t="s">
        <v>803</v>
      </c>
      <c r="B131" s="28" t="s">
        <v>734</v>
      </c>
      <c r="C131" s="28" t="s">
        <v>1841</v>
      </c>
      <c r="D131" s="47" t="s">
        <v>1842</v>
      </c>
      <c r="E131" s="30" t="s">
        <v>807</v>
      </c>
      <c r="F131" s="28" t="s">
        <v>316</v>
      </c>
      <c r="G131" s="28" t="s">
        <v>1843</v>
      </c>
      <c r="H131" s="28" t="s">
        <v>1777</v>
      </c>
      <c r="I131" s="6">
        <v>986157.02</v>
      </c>
      <c r="J131" s="29"/>
      <c r="K131" s="29">
        <v>986157.02</v>
      </c>
    </row>
    <row r="132" spans="1:11" ht="90" hidden="1" x14ac:dyDescent="0.25">
      <c r="A132" s="30" t="s">
        <v>235</v>
      </c>
      <c r="B132" s="28" t="s">
        <v>1635</v>
      </c>
      <c r="C132" s="28" t="s">
        <v>1634</v>
      </c>
      <c r="D132" s="47" t="s">
        <v>1633</v>
      </c>
      <c r="E132" s="28" t="s">
        <v>304</v>
      </c>
      <c r="F132" s="28" t="s">
        <v>316</v>
      </c>
      <c r="G132" s="28" t="s">
        <v>1637</v>
      </c>
      <c r="H132" s="28" t="s">
        <v>1636</v>
      </c>
      <c r="I132" s="6">
        <v>3758151.8</v>
      </c>
      <c r="J132" s="29"/>
      <c r="K132" s="29">
        <v>3390447.65</v>
      </c>
    </row>
    <row r="133" spans="1:11" ht="75" hidden="1" x14ac:dyDescent="0.25">
      <c r="A133" s="30" t="s">
        <v>9</v>
      </c>
      <c r="B133" s="28" t="s">
        <v>1861</v>
      </c>
      <c r="C133" s="28" t="s">
        <v>1860</v>
      </c>
      <c r="D133" s="47" t="s">
        <v>1859</v>
      </c>
      <c r="E133" s="30" t="s">
        <v>1862</v>
      </c>
      <c r="F133" s="28" t="s">
        <v>2582</v>
      </c>
      <c r="G133" s="28" t="s">
        <v>1865</v>
      </c>
      <c r="H133" s="28" t="s">
        <v>2581</v>
      </c>
      <c r="I133" s="6">
        <v>18910026</v>
      </c>
      <c r="J133" s="29">
        <v>18797996.920000002</v>
      </c>
      <c r="K133" s="29">
        <v>18797996.920000002</v>
      </c>
    </row>
    <row r="134" spans="1:11" ht="60" hidden="1" x14ac:dyDescent="0.25">
      <c r="A134" s="30" t="s">
        <v>9</v>
      </c>
      <c r="B134" s="28" t="s">
        <v>1938</v>
      </c>
      <c r="C134" s="28" t="s">
        <v>1937</v>
      </c>
      <c r="D134" s="47" t="s">
        <v>1936</v>
      </c>
      <c r="E134" s="30" t="s">
        <v>1940</v>
      </c>
      <c r="F134" s="31" t="s">
        <v>1939</v>
      </c>
      <c r="G134" s="28" t="s">
        <v>21</v>
      </c>
      <c r="H134" s="28" t="s">
        <v>1864</v>
      </c>
      <c r="I134" s="6">
        <v>161330.94</v>
      </c>
      <c r="J134" s="29"/>
      <c r="K134" s="29">
        <v>161330.94</v>
      </c>
    </row>
    <row r="135" spans="1:11" ht="30" hidden="1" x14ac:dyDescent="0.25">
      <c r="A135" s="30" t="s">
        <v>9</v>
      </c>
      <c r="B135" s="28" t="s">
        <v>408</v>
      </c>
      <c r="C135" s="28" t="s">
        <v>859</v>
      </c>
      <c r="D135" s="47" t="s">
        <v>1776</v>
      </c>
      <c r="E135" s="30" t="s">
        <v>861</v>
      </c>
      <c r="F135" s="28" t="s">
        <v>316</v>
      </c>
      <c r="G135" s="28" t="s">
        <v>253</v>
      </c>
      <c r="H135" s="28" t="s">
        <v>1777</v>
      </c>
      <c r="I135" s="6">
        <v>1891984.85</v>
      </c>
      <c r="J135" s="29"/>
      <c r="K135" s="29">
        <v>826057.46</v>
      </c>
    </row>
    <row r="136" spans="1:11" ht="30" hidden="1" x14ac:dyDescent="0.25">
      <c r="A136" s="30" t="s">
        <v>134</v>
      </c>
      <c r="B136" s="28" t="s">
        <v>604</v>
      </c>
      <c r="C136" s="28" t="s">
        <v>1737</v>
      </c>
      <c r="D136" s="47" t="s">
        <v>1739</v>
      </c>
      <c r="E136" s="30" t="s">
        <v>1738</v>
      </c>
      <c r="F136" s="28" t="s">
        <v>2402</v>
      </c>
      <c r="G136" s="28" t="s">
        <v>253</v>
      </c>
      <c r="H136" s="28" t="s">
        <v>2400</v>
      </c>
      <c r="I136" s="6">
        <v>1569130</v>
      </c>
      <c r="J136" s="29">
        <v>924762.9</v>
      </c>
      <c r="K136" s="29">
        <v>1284585.54</v>
      </c>
    </row>
    <row r="137" spans="1:11" ht="60" hidden="1" x14ac:dyDescent="0.25">
      <c r="A137" s="30" t="s">
        <v>48</v>
      </c>
      <c r="B137" s="28" t="s">
        <v>604</v>
      </c>
      <c r="C137" s="28" t="s">
        <v>1747</v>
      </c>
      <c r="D137" s="47" t="s">
        <v>1746</v>
      </c>
      <c r="E137" s="30" t="s">
        <v>1748</v>
      </c>
      <c r="F137" s="31" t="s">
        <v>2298</v>
      </c>
      <c r="G137" s="28" t="s">
        <v>1749</v>
      </c>
      <c r="H137" s="28" t="s">
        <v>2295</v>
      </c>
      <c r="I137" s="6">
        <v>8241610.6799999997</v>
      </c>
      <c r="J137" s="29">
        <v>7661207.6799999997</v>
      </c>
      <c r="K137" s="29">
        <v>8591026.3200000003</v>
      </c>
    </row>
    <row r="138" spans="1:11" ht="60" hidden="1" x14ac:dyDescent="0.25">
      <c r="A138" s="30" t="s">
        <v>32</v>
      </c>
      <c r="B138" s="28" t="s">
        <v>571</v>
      </c>
      <c r="C138" s="28" t="s">
        <v>2019</v>
      </c>
      <c r="D138" s="47" t="s">
        <v>2021</v>
      </c>
      <c r="E138" s="30" t="s">
        <v>2020</v>
      </c>
      <c r="F138" s="28" t="s">
        <v>2304</v>
      </c>
      <c r="G138" s="28" t="s">
        <v>2500</v>
      </c>
      <c r="H138" s="28" t="s">
        <v>2302</v>
      </c>
      <c r="I138" s="6">
        <v>2962632</v>
      </c>
      <c r="J138" s="29">
        <v>642539.68000000005</v>
      </c>
      <c r="K138" s="29">
        <v>6532283.4100000001</v>
      </c>
    </row>
    <row r="139" spans="1:11" ht="60" hidden="1" x14ac:dyDescent="0.25">
      <c r="A139" s="30" t="s">
        <v>9</v>
      </c>
      <c r="B139" s="28" t="s">
        <v>649</v>
      </c>
      <c r="C139" s="28" t="s">
        <v>1929</v>
      </c>
      <c r="D139" s="47" t="s">
        <v>1922</v>
      </c>
      <c r="E139" s="30" t="s">
        <v>304</v>
      </c>
      <c r="F139" s="28" t="s">
        <v>2576</v>
      </c>
      <c r="G139" s="28" t="s">
        <v>21</v>
      </c>
      <c r="H139" s="28" t="s">
        <v>2575</v>
      </c>
      <c r="I139" s="6">
        <v>298000</v>
      </c>
      <c r="J139" s="6">
        <v>298000</v>
      </c>
      <c r="K139" s="29">
        <v>297888</v>
      </c>
    </row>
    <row r="140" spans="1:11" ht="75" hidden="1" x14ac:dyDescent="0.25">
      <c r="A140" s="30" t="s">
        <v>9</v>
      </c>
      <c r="B140" s="28" t="s">
        <v>1932</v>
      </c>
      <c r="C140" s="28" t="s">
        <v>1931</v>
      </c>
      <c r="D140" s="47" t="s">
        <v>1930</v>
      </c>
      <c r="E140" s="30" t="s">
        <v>1472</v>
      </c>
      <c r="F140" s="28" t="s">
        <v>1933</v>
      </c>
      <c r="G140" s="28" t="s">
        <v>1934</v>
      </c>
      <c r="H140" s="28" t="s">
        <v>1474</v>
      </c>
      <c r="I140" s="6">
        <v>1132401</v>
      </c>
      <c r="J140" s="29"/>
      <c r="K140" s="29">
        <v>968879</v>
      </c>
    </row>
    <row r="141" spans="1:11" ht="60" hidden="1" x14ac:dyDescent="0.25">
      <c r="A141" s="30" t="s">
        <v>48</v>
      </c>
      <c r="B141" s="28" t="s">
        <v>604</v>
      </c>
      <c r="C141" s="28" t="s">
        <v>2041</v>
      </c>
      <c r="D141" s="47" t="s">
        <v>2040</v>
      </c>
      <c r="E141" s="30" t="s">
        <v>2042</v>
      </c>
      <c r="F141" s="31" t="s">
        <v>2335</v>
      </c>
      <c r="G141" s="28" t="s">
        <v>2517</v>
      </c>
      <c r="H141" s="28" t="s">
        <v>2336</v>
      </c>
      <c r="I141" s="6">
        <v>16150000</v>
      </c>
      <c r="J141" s="6">
        <v>16150000</v>
      </c>
      <c r="K141" s="29">
        <v>16098814.93</v>
      </c>
    </row>
    <row r="142" spans="1:11" ht="60" hidden="1" x14ac:dyDescent="0.25">
      <c r="A142" s="30" t="s">
        <v>235</v>
      </c>
      <c r="B142" s="28" t="s">
        <v>66</v>
      </c>
      <c r="C142" s="28" t="s">
        <v>2029</v>
      </c>
      <c r="D142" s="47" t="s">
        <v>2030</v>
      </c>
      <c r="E142" s="30" t="s">
        <v>2017</v>
      </c>
      <c r="F142" s="28" t="s">
        <v>2031</v>
      </c>
      <c r="G142" s="28" t="s">
        <v>21</v>
      </c>
      <c r="H142" s="28" t="s">
        <v>2002</v>
      </c>
      <c r="I142" s="6">
        <v>818779.02</v>
      </c>
      <c r="J142" s="29"/>
      <c r="K142" s="29">
        <v>818779.01</v>
      </c>
    </row>
    <row r="143" spans="1:11" ht="60" hidden="1" x14ac:dyDescent="0.25">
      <c r="A143" s="30" t="s">
        <v>2036</v>
      </c>
      <c r="B143" s="28" t="s">
        <v>2008</v>
      </c>
      <c r="C143" s="28" t="s">
        <v>2037</v>
      </c>
      <c r="D143" s="47" t="s">
        <v>2035</v>
      </c>
      <c r="E143" s="30" t="s">
        <v>2038</v>
      </c>
      <c r="F143" s="28" t="s">
        <v>2039</v>
      </c>
      <c r="G143" s="28" t="s">
        <v>21</v>
      </c>
      <c r="H143" s="28" t="s">
        <v>2002</v>
      </c>
      <c r="I143" s="6">
        <v>825125.69</v>
      </c>
      <c r="J143" s="29"/>
      <c r="K143" s="29">
        <v>820789.33</v>
      </c>
    </row>
    <row r="144" spans="1:11" ht="60" hidden="1" x14ac:dyDescent="0.25">
      <c r="A144" s="30" t="s">
        <v>148</v>
      </c>
      <c r="B144" s="28" t="s">
        <v>2027</v>
      </c>
      <c r="C144" s="28" t="s">
        <v>2032</v>
      </c>
      <c r="D144" s="47" t="s">
        <v>2028</v>
      </c>
      <c r="E144" s="30" t="s">
        <v>2163</v>
      </c>
      <c r="F144" s="28" t="s">
        <v>2034</v>
      </c>
      <c r="G144" s="28" t="s">
        <v>21</v>
      </c>
      <c r="H144" s="28" t="s">
        <v>2033</v>
      </c>
      <c r="I144" s="6">
        <v>602245.43999999994</v>
      </c>
      <c r="J144" s="29"/>
      <c r="K144" s="29">
        <v>593752.25</v>
      </c>
    </row>
    <row r="145" spans="1:11" ht="45" hidden="1" x14ac:dyDescent="0.25">
      <c r="A145" s="30" t="s">
        <v>9</v>
      </c>
      <c r="B145" s="28" t="s">
        <v>2049</v>
      </c>
      <c r="C145" s="28" t="s">
        <v>2050</v>
      </c>
      <c r="D145" s="47" t="s">
        <v>2051</v>
      </c>
      <c r="E145" s="30" t="s">
        <v>2052</v>
      </c>
      <c r="F145" s="28" t="s">
        <v>1863</v>
      </c>
      <c r="G145" s="28" t="s">
        <v>21</v>
      </c>
      <c r="H145" s="28" t="s">
        <v>2024</v>
      </c>
      <c r="I145" s="6">
        <v>847303.66</v>
      </c>
      <c r="J145" s="29"/>
      <c r="K145" s="29">
        <v>847189.76</v>
      </c>
    </row>
    <row r="146" spans="1:11" ht="90" hidden="1" x14ac:dyDescent="0.25">
      <c r="A146" s="30" t="s">
        <v>148</v>
      </c>
      <c r="B146" s="28" t="s">
        <v>2027</v>
      </c>
      <c r="C146" s="28" t="s">
        <v>2023</v>
      </c>
      <c r="D146" s="47" t="s">
        <v>2026</v>
      </c>
      <c r="E146" s="30" t="s">
        <v>2022</v>
      </c>
      <c r="F146" s="28" t="s">
        <v>2025</v>
      </c>
      <c r="G146" s="28" t="s">
        <v>21</v>
      </c>
      <c r="H146" s="28" t="s">
        <v>2024</v>
      </c>
      <c r="I146" s="6">
        <v>135299.88</v>
      </c>
      <c r="J146" s="29"/>
      <c r="K146" s="29">
        <v>135261.79999999999</v>
      </c>
    </row>
    <row r="147" spans="1:11" ht="30" hidden="1" x14ac:dyDescent="0.25">
      <c r="A147" s="30" t="s">
        <v>803</v>
      </c>
      <c r="B147" s="28" t="s">
        <v>2053</v>
      </c>
      <c r="C147" s="28" t="s">
        <v>2054</v>
      </c>
      <c r="D147" s="47" t="s">
        <v>2057</v>
      </c>
      <c r="E147" s="30" t="s">
        <v>2055</v>
      </c>
      <c r="F147" s="31" t="s">
        <v>2056</v>
      </c>
      <c r="G147" s="28" t="s">
        <v>253</v>
      </c>
      <c r="H147" s="28" t="s">
        <v>1864</v>
      </c>
      <c r="I147" s="6">
        <v>1423956.34</v>
      </c>
      <c r="J147" s="29"/>
      <c r="K147" s="29">
        <v>1408614.85</v>
      </c>
    </row>
    <row r="148" spans="1:11" ht="60" hidden="1" x14ac:dyDescent="0.25">
      <c r="A148" s="30" t="s">
        <v>299</v>
      </c>
      <c r="B148" s="28" t="s">
        <v>425</v>
      </c>
      <c r="C148" s="28" t="s">
        <v>2064</v>
      </c>
      <c r="D148" s="47" t="s">
        <v>2065</v>
      </c>
      <c r="E148" s="30" t="s">
        <v>2066</v>
      </c>
      <c r="F148" s="28" t="s">
        <v>2067</v>
      </c>
      <c r="G148" s="28" t="s">
        <v>253</v>
      </c>
      <c r="H148" s="28" t="s">
        <v>2012</v>
      </c>
      <c r="I148" s="6">
        <v>2112142.7000000002</v>
      </c>
      <c r="J148" s="29"/>
      <c r="K148" s="29">
        <v>2108203.2200000002</v>
      </c>
    </row>
    <row r="149" spans="1:11" ht="75" hidden="1" x14ac:dyDescent="0.25">
      <c r="A149" s="30" t="s">
        <v>88</v>
      </c>
      <c r="B149" s="28" t="s">
        <v>339</v>
      </c>
      <c r="C149" s="28" t="s">
        <v>2166</v>
      </c>
      <c r="D149" s="47" t="s">
        <v>2075</v>
      </c>
      <c r="E149" s="30" t="s">
        <v>2167</v>
      </c>
      <c r="F149" s="28" t="s">
        <v>2168</v>
      </c>
      <c r="G149" s="28" t="s">
        <v>253</v>
      </c>
      <c r="H149" s="28" t="s">
        <v>2012</v>
      </c>
      <c r="I149" s="6">
        <v>2079216.7</v>
      </c>
      <c r="J149" s="29"/>
      <c r="K149" s="29">
        <v>2068451.35</v>
      </c>
    </row>
    <row r="150" spans="1:11" ht="75" hidden="1" x14ac:dyDescent="0.25">
      <c r="A150" s="30" t="s">
        <v>88</v>
      </c>
      <c r="B150" s="28" t="s">
        <v>339</v>
      </c>
      <c r="C150" s="28" t="s">
        <v>2171</v>
      </c>
      <c r="D150" s="47" t="s">
        <v>2076</v>
      </c>
      <c r="E150" s="30" t="s">
        <v>2172</v>
      </c>
      <c r="F150" s="28" t="s">
        <v>2173</v>
      </c>
      <c r="G150" s="28" t="s">
        <v>253</v>
      </c>
      <c r="H150" s="28" t="s">
        <v>2174</v>
      </c>
      <c r="I150" s="6">
        <f>1686694.52+431465.48</f>
        <v>2118160</v>
      </c>
      <c r="J150" s="29"/>
      <c r="K150" s="29">
        <v>2104279.17</v>
      </c>
    </row>
    <row r="151" spans="1:11" ht="90" hidden="1" x14ac:dyDescent="0.25">
      <c r="A151" s="30" t="s">
        <v>2036</v>
      </c>
      <c r="B151" s="28" t="s">
        <v>2008</v>
      </c>
      <c r="C151" s="28" t="s">
        <v>2169</v>
      </c>
      <c r="D151" s="47" t="s">
        <v>2077</v>
      </c>
      <c r="E151" s="30" t="s">
        <v>2170</v>
      </c>
      <c r="F151" s="28" t="s">
        <v>2009</v>
      </c>
      <c r="G151" s="28" t="s">
        <v>253</v>
      </c>
      <c r="H151" s="28" t="s">
        <v>2024</v>
      </c>
      <c r="I151" s="6">
        <v>2073942.9</v>
      </c>
      <c r="J151" s="29"/>
      <c r="K151" s="29">
        <v>2072248.64</v>
      </c>
    </row>
    <row r="152" spans="1:11" ht="45" hidden="1" x14ac:dyDescent="0.25">
      <c r="A152" s="30" t="s">
        <v>330</v>
      </c>
      <c r="B152" s="28" t="s">
        <v>329</v>
      </c>
      <c r="C152" s="28" t="s">
        <v>2439</v>
      </c>
      <c r="D152" s="47" t="s">
        <v>2438</v>
      </c>
      <c r="E152" s="30" t="s">
        <v>332</v>
      </c>
      <c r="F152" s="28" t="s">
        <v>2404</v>
      </c>
      <c r="G152" s="28" t="s">
        <v>21</v>
      </c>
      <c r="H152" s="28" t="s">
        <v>2400</v>
      </c>
      <c r="I152" s="6">
        <v>572888.27</v>
      </c>
      <c r="J152" s="29"/>
      <c r="K152" s="29">
        <v>572888.27</v>
      </c>
    </row>
    <row r="153" spans="1:11" ht="90" hidden="1" x14ac:dyDescent="0.25">
      <c r="A153" s="30" t="s">
        <v>9</v>
      </c>
      <c r="B153" s="28" t="s">
        <v>2391</v>
      </c>
      <c r="C153" s="28" t="s">
        <v>2390</v>
      </c>
      <c r="D153" s="47" t="s">
        <v>2389</v>
      </c>
      <c r="E153" s="30" t="s">
        <v>2387</v>
      </c>
      <c r="F153" s="28" t="s">
        <v>2388</v>
      </c>
      <c r="G153" s="28" t="s">
        <v>2392</v>
      </c>
      <c r="H153" s="28" t="s">
        <v>2336</v>
      </c>
      <c r="I153" s="6">
        <v>4907925</v>
      </c>
      <c r="J153" s="6">
        <v>4907925</v>
      </c>
      <c r="K153" s="29">
        <v>4834566.0999999996</v>
      </c>
    </row>
    <row r="154" spans="1:11" ht="45" hidden="1" x14ac:dyDescent="0.25">
      <c r="A154" s="30" t="s">
        <v>9</v>
      </c>
      <c r="B154" s="28" t="s">
        <v>2586</v>
      </c>
      <c r="C154" s="28" t="s">
        <v>2587</v>
      </c>
      <c r="D154" s="47" t="s">
        <v>2585</v>
      </c>
      <c r="E154" s="30" t="s">
        <v>482</v>
      </c>
      <c r="F154" s="28" t="s">
        <v>2576</v>
      </c>
      <c r="G154" s="28" t="s">
        <v>21</v>
      </c>
      <c r="H154" s="28" t="s">
        <v>2575</v>
      </c>
      <c r="I154" s="6">
        <v>69451</v>
      </c>
      <c r="J154" s="6">
        <v>69451</v>
      </c>
      <c r="K154" s="29">
        <v>69450.36</v>
      </c>
    </row>
    <row r="155" spans="1:11" ht="60" hidden="1" x14ac:dyDescent="0.25">
      <c r="A155" s="30" t="s">
        <v>9</v>
      </c>
      <c r="B155" s="28" t="s">
        <v>873</v>
      </c>
      <c r="C155" s="28" t="s">
        <v>2286</v>
      </c>
      <c r="D155" s="47" t="s">
        <v>2285</v>
      </c>
      <c r="E155" s="30" t="s">
        <v>2287</v>
      </c>
      <c r="F155" s="28" t="s">
        <v>2342</v>
      </c>
      <c r="G155" s="28" t="s">
        <v>2288</v>
      </c>
      <c r="H155" s="28" t="s">
        <v>2400</v>
      </c>
      <c r="I155" s="6">
        <v>15650787.130000001</v>
      </c>
      <c r="J155" s="29">
        <v>15650787.130000001</v>
      </c>
      <c r="K155" s="29">
        <v>15506134.640000001</v>
      </c>
    </row>
    <row r="156" spans="1:11" ht="60" x14ac:dyDescent="0.25">
      <c r="A156" s="30" t="s">
        <v>73</v>
      </c>
      <c r="B156" s="28" t="s">
        <v>2589</v>
      </c>
      <c r="C156" s="28" t="s">
        <v>2590</v>
      </c>
      <c r="D156" s="47" t="s">
        <v>2588</v>
      </c>
      <c r="E156" s="30" t="s">
        <v>2591</v>
      </c>
      <c r="F156" s="28" t="s">
        <v>2592</v>
      </c>
      <c r="G156" s="28" t="s">
        <v>2594</v>
      </c>
      <c r="H156" s="28" t="s">
        <v>2593</v>
      </c>
      <c r="I156" s="6">
        <v>28128214</v>
      </c>
      <c r="J156" s="29"/>
      <c r="K156" s="29">
        <v>26740195.280000001</v>
      </c>
    </row>
    <row r="157" spans="1:11" ht="45" hidden="1" x14ac:dyDescent="0.25">
      <c r="A157" s="30" t="s">
        <v>299</v>
      </c>
      <c r="B157" s="28" t="s">
        <v>49</v>
      </c>
      <c r="C157" s="28" t="s">
        <v>636</v>
      </c>
      <c r="D157" s="47" t="s">
        <v>637</v>
      </c>
      <c r="E157" s="30" t="s">
        <v>638</v>
      </c>
      <c r="F157" s="31" t="s">
        <v>639</v>
      </c>
      <c r="G157" s="28"/>
      <c r="H157" s="28" t="s">
        <v>640</v>
      </c>
      <c r="I157" s="6">
        <v>969181</v>
      </c>
      <c r="J157" s="29"/>
      <c r="K157" s="29">
        <v>7588548.3700000001</v>
      </c>
    </row>
    <row r="158" spans="1:11" ht="45" hidden="1" x14ac:dyDescent="0.25">
      <c r="A158" s="30" t="s">
        <v>299</v>
      </c>
      <c r="B158" s="28" t="s">
        <v>49</v>
      </c>
      <c r="C158" s="28" t="s">
        <v>643</v>
      </c>
      <c r="D158" s="47" t="s">
        <v>641</v>
      </c>
      <c r="E158" s="30" t="s">
        <v>644</v>
      </c>
      <c r="F158" s="31" t="s">
        <v>639</v>
      </c>
      <c r="G158" s="28"/>
      <c r="H158" s="28" t="s">
        <v>640</v>
      </c>
      <c r="I158" s="6">
        <v>160374</v>
      </c>
      <c r="J158" s="29"/>
      <c r="K158" s="29">
        <v>7588548.3700000001</v>
      </c>
    </row>
    <row r="159" spans="1:11" ht="60" hidden="1" x14ac:dyDescent="0.25">
      <c r="A159" s="30" t="s">
        <v>299</v>
      </c>
      <c r="B159" s="28" t="s">
        <v>49</v>
      </c>
      <c r="C159" s="28" t="s">
        <v>646</v>
      </c>
      <c r="D159" s="47" t="s">
        <v>642</v>
      </c>
      <c r="E159" s="30" t="s">
        <v>645</v>
      </c>
      <c r="F159" s="31" t="s">
        <v>639</v>
      </c>
      <c r="G159" s="28"/>
      <c r="H159" s="28" t="s">
        <v>640</v>
      </c>
      <c r="I159" s="6">
        <v>1407066</v>
      </c>
      <c r="J159" s="29"/>
      <c r="K159" s="29">
        <v>7588548.3700000001</v>
      </c>
    </row>
    <row r="160" spans="1:11" ht="60" hidden="1" x14ac:dyDescent="0.25">
      <c r="A160" s="39" t="s">
        <v>126</v>
      </c>
      <c r="B160" s="40" t="s">
        <v>161</v>
      </c>
      <c r="C160" s="15" t="s">
        <v>127</v>
      </c>
      <c r="D160" s="16" t="s">
        <v>128</v>
      </c>
      <c r="E160" s="30" t="s">
        <v>163</v>
      </c>
      <c r="F160" s="28" t="s">
        <v>164</v>
      </c>
      <c r="G160" s="28" t="s">
        <v>165</v>
      </c>
      <c r="H160" s="26" t="s">
        <v>162</v>
      </c>
      <c r="I160" s="41">
        <v>791976</v>
      </c>
      <c r="J160" s="29"/>
      <c r="K160" s="29">
        <v>1999625.37</v>
      </c>
    </row>
    <row r="161" spans="1:11" ht="60" hidden="1" x14ac:dyDescent="0.25">
      <c r="A161" s="30" t="s">
        <v>176</v>
      </c>
      <c r="B161" s="28" t="s">
        <v>177</v>
      </c>
      <c r="C161" s="40" t="s">
        <v>178</v>
      </c>
      <c r="D161" s="47" t="s">
        <v>179</v>
      </c>
      <c r="E161" s="30" t="s">
        <v>180</v>
      </c>
      <c r="F161" s="26" t="s">
        <v>76</v>
      </c>
      <c r="G161" s="26" t="s">
        <v>181</v>
      </c>
      <c r="H161" s="26" t="s">
        <v>162</v>
      </c>
      <c r="I161" s="29">
        <v>3460875</v>
      </c>
      <c r="J161" s="29"/>
      <c r="K161" s="29">
        <v>7178542.3799999999</v>
      </c>
    </row>
    <row r="162" spans="1:11" ht="105" hidden="1" x14ac:dyDescent="0.25">
      <c r="A162" s="39" t="s">
        <v>129</v>
      </c>
      <c r="B162" s="40"/>
      <c r="C162" s="15" t="s">
        <v>130</v>
      </c>
      <c r="D162" s="16" t="s">
        <v>131</v>
      </c>
      <c r="E162" s="30" t="s">
        <v>166</v>
      </c>
      <c r="F162" s="26"/>
      <c r="G162" s="26"/>
      <c r="H162" s="26"/>
      <c r="I162" s="26"/>
      <c r="J162" s="29"/>
      <c r="K162" s="29">
        <v>4687374.18</v>
      </c>
    </row>
    <row r="163" spans="1:11" ht="30" hidden="1" x14ac:dyDescent="0.25">
      <c r="A163" s="27" t="s">
        <v>32</v>
      </c>
      <c r="B163" s="28" t="s">
        <v>183</v>
      </c>
      <c r="C163" s="40" t="s">
        <v>188</v>
      </c>
      <c r="D163" s="47" t="s">
        <v>189</v>
      </c>
      <c r="E163" s="27" t="s">
        <v>190</v>
      </c>
      <c r="F163" s="26"/>
      <c r="G163" s="26"/>
      <c r="H163" s="26"/>
      <c r="I163" s="29"/>
      <c r="J163" s="29"/>
      <c r="K163" s="29">
        <v>7031021.3700000001</v>
      </c>
    </row>
    <row r="164" spans="1:11" ht="105" hidden="1" x14ac:dyDescent="0.25">
      <c r="A164" s="27" t="s">
        <v>184</v>
      </c>
      <c r="B164" s="28" t="s">
        <v>183</v>
      </c>
      <c r="C164" s="40" t="s">
        <v>182</v>
      </c>
      <c r="D164" s="47" t="s">
        <v>185</v>
      </c>
      <c r="E164" s="27" t="s">
        <v>186</v>
      </c>
      <c r="F164" s="26" t="s">
        <v>164</v>
      </c>
      <c r="G164" s="26" t="s">
        <v>187</v>
      </c>
      <c r="H164" s="26" t="s">
        <v>162</v>
      </c>
      <c r="I164" s="44">
        <v>949834</v>
      </c>
      <c r="J164" s="29"/>
      <c r="K164" s="29">
        <v>3431465.7</v>
      </c>
    </row>
    <row r="165" spans="1:11" ht="45" hidden="1" x14ac:dyDescent="0.25">
      <c r="A165" s="30" t="s">
        <v>48</v>
      </c>
      <c r="B165" s="28" t="s">
        <v>2044</v>
      </c>
      <c r="C165" s="28" t="s">
        <v>2045</v>
      </c>
      <c r="D165" s="47" t="s">
        <v>2043</v>
      </c>
      <c r="E165" s="30" t="s">
        <v>2048</v>
      </c>
      <c r="F165" s="31" t="s">
        <v>2047</v>
      </c>
      <c r="G165" s="28"/>
      <c r="H165" s="28" t="s">
        <v>2046</v>
      </c>
      <c r="I165" s="6">
        <v>912822</v>
      </c>
      <c r="J165" s="29"/>
      <c r="K165" s="29">
        <v>10287366.43</v>
      </c>
    </row>
    <row r="166" spans="1:11" ht="60" hidden="1" x14ac:dyDescent="0.25">
      <c r="A166" s="42" t="s">
        <v>73</v>
      </c>
      <c r="B166" s="43" t="s">
        <v>169</v>
      </c>
      <c r="C166" s="15" t="s">
        <v>132</v>
      </c>
      <c r="D166" s="16" t="s">
        <v>133</v>
      </c>
      <c r="E166" s="30" t="s">
        <v>167</v>
      </c>
      <c r="F166" s="26" t="s">
        <v>76</v>
      </c>
      <c r="G166" s="28" t="s">
        <v>168</v>
      </c>
      <c r="H166" s="26" t="s">
        <v>162</v>
      </c>
      <c r="I166" s="29">
        <v>1339422.56</v>
      </c>
      <c r="J166" s="29"/>
      <c r="K166" s="29">
        <v>8799903.5299999993</v>
      </c>
    </row>
    <row r="167" spans="1:11" ht="105" hidden="1" x14ac:dyDescent="0.25">
      <c r="A167" s="30" t="s">
        <v>64</v>
      </c>
      <c r="B167" s="28" t="s">
        <v>66</v>
      </c>
      <c r="C167" s="28" t="s">
        <v>65</v>
      </c>
      <c r="D167" s="47" t="s">
        <v>67</v>
      </c>
      <c r="E167" s="30" t="s">
        <v>68</v>
      </c>
      <c r="F167" s="31" t="s">
        <v>69</v>
      </c>
      <c r="G167" s="28" t="s">
        <v>70</v>
      </c>
      <c r="H167" s="28" t="s">
        <v>71</v>
      </c>
      <c r="I167" s="29">
        <v>3634468.42</v>
      </c>
      <c r="J167" s="29"/>
      <c r="K167" s="29">
        <v>9599055.3300000001</v>
      </c>
    </row>
    <row r="168" spans="1:11" ht="75" hidden="1" x14ac:dyDescent="0.25">
      <c r="A168" s="34" t="s">
        <v>73</v>
      </c>
      <c r="B168" s="35" t="s">
        <v>75</v>
      </c>
      <c r="C168" s="15" t="s">
        <v>74</v>
      </c>
      <c r="D168" s="16" t="s">
        <v>72</v>
      </c>
      <c r="E168" s="30" t="s">
        <v>170</v>
      </c>
      <c r="F168" s="28" t="s">
        <v>76</v>
      </c>
      <c r="G168" s="28" t="s">
        <v>77</v>
      </c>
      <c r="H168" s="26" t="s">
        <v>162</v>
      </c>
      <c r="I168" s="44">
        <v>2244967</v>
      </c>
      <c r="J168" s="29"/>
      <c r="K168" s="29">
        <v>3300120.44</v>
      </c>
    </row>
    <row r="169" spans="1:11" ht="75" hidden="1" x14ac:dyDescent="0.25">
      <c r="A169" s="30" t="s">
        <v>48</v>
      </c>
      <c r="B169" s="28" t="s">
        <v>49</v>
      </c>
      <c r="C169" s="28" t="s">
        <v>50</v>
      </c>
      <c r="D169" s="47" t="s">
        <v>51</v>
      </c>
      <c r="E169" s="30" t="s">
        <v>52</v>
      </c>
      <c r="F169" s="31" t="s">
        <v>53</v>
      </c>
      <c r="G169" s="28" t="s">
        <v>56</v>
      </c>
      <c r="H169" s="28" t="s">
        <v>54</v>
      </c>
      <c r="I169" s="6">
        <v>4008204</v>
      </c>
      <c r="J169" s="29"/>
      <c r="K169" s="29">
        <v>24243908.91</v>
      </c>
    </row>
    <row r="170" spans="1:11" ht="60" hidden="1" x14ac:dyDescent="0.25">
      <c r="A170" s="156" t="s">
        <v>134</v>
      </c>
      <c r="B170" s="35" t="s">
        <v>172</v>
      </c>
      <c r="C170" s="23" t="s">
        <v>135</v>
      </c>
      <c r="D170" s="16" t="s">
        <v>136</v>
      </c>
      <c r="E170" s="30" t="s">
        <v>173</v>
      </c>
      <c r="F170" s="26" t="s">
        <v>174</v>
      </c>
      <c r="G170" s="26" t="s">
        <v>175</v>
      </c>
      <c r="H170" s="26" t="s">
        <v>171</v>
      </c>
      <c r="I170" s="29">
        <v>1739455.32</v>
      </c>
      <c r="J170" s="29"/>
      <c r="K170" s="29">
        <v>3675038.12</v>
      </c>
    </row>
    <row r="171" spans="1:11" ht="45" hidden="1" x14ac:dyDescent="0.25">
      <c r="A171" s="34" t="s">
        <v>9</v>
      </c>
      <c r="B171" s="35" t="s">
        <v>210</v>
      </c>
      <c r="C171" s="15" t="s">
        <v>137</v>
      </c>
      <c r="D171" s="16" t="s">
        <v>138</v>
      </c>
      <c r="E171" s="30" t="s">
        <v>211</v>
      </c>
      <c r="F171" s="38" t="s">
        <v>240</v>
      </c>
      <c r="G171" s="26" t="s">
        <v>212</v>
      </c>
      <c r="H171" s="26" t="s">
        <v>92</v>
      </c>
      <c r="I171" s="29">
        <v>808696.94</v>
      </c>
      <c r="J171" s="29"/>
      <c r="K171" s="29">
        <v>4941656.07</v>
      </c>
    </row>
    <row r="172" spans="1:11" ht="30" hidden="1" x14ac:dyDescent="0.25">
      <c r="A172" s="42" t="s">
        <v>9</v>
      </c>
      <c r="B172" s="43" t="s">
        <v>208</v>
      </c>
      <c r="C172" s="15" t="s">
        <v>139</v>
      </c>
      <c r="D172" s="16" t="s">
        <v>140</v>
      </c>
      <c r="E172" s="30" t="s">
        <v>209</v>
      </c>
      <c r="F172" s="38" t="s">
        <v>240</v>
      </c>
      <c r="G172" s="26"/>
      <c r="H172" s="26" t="s">
        <v>92</v>
      </c>
      <c r="I172" s="29">
        <v>1783047.61</v>
      </c>
      <c r="J172" s="29"/>
      <c r="K172" s="29">
        <v>2970290.45</v>
      </c>
    </row>
    <row r="173" spans="1:11" ht="45" hidden="1" x14ac:dyDescent="0.25">
      <c r="A173" s="42" t="s">
        <v>9</v>
      </c>
      <c r="B173" s="43" t="s">
        <v>207</v>
      </c>
      <c r="C173" s="15" t="s">
        <v>91</v>
      </c>
      <c r="D173" s="16" t="s">
        <v>89</v>
      </c>
      <c r="E173" s="30" t="s">
        <v>90</v>
      </c>
      <c r="F173" s="38" t="s">
        <v>242</v>
      </c>
      <c r="G173" s="26" t="s">
        <v>278</v>
      </c>
      <c r="H173" s="26" t="s">
        <v>92</v>
      </c>
      <c r="I173" s="29">
        <v>6540606.7999999998</v>
      </c>
      <c r="J173" s="29"/>
      <c r="K173" s="29">
        <v>10308275.199999999</v>
      </c>
    </row>
    <row r="174" spans="1:11" ht="60" hidden="1" x14ac:dyDescent="0.25">
      <c r="A174" s="34" t="s">
        <v>141</v>
      </c>
      <c r="B174" s="35" t="s">
        <v>205</v>
      </c>
      <c r="C174" s="17" t="s">
        <v>142</v>
      </c>
      <c r="D174" s="18" t="s">
        <v>143</v>
      </c>
      <c r="E174" s="30" t="s">
        <v>206</v>
      </c>
      <c r="F174" s="26" t="s">
        <v>243</v>
      </c>
      <c r="G174" s="28" t="s">
        <v>241</v>
      </c>
      <c r="H174" s="26" t="s">
        <v>196</v>
      </c>
      <c r="I174" s="29">
        <v>608808.54</v>
      </c>
      <c r="J174" s="29"/>
      <c r="K174" s="29">
        <v>6030383.2599999998</v>
      </c>
    </row>
    <row r="175" spans="1:11" ht="75" hidden="1" x14ac:dyDescent="0.25">
      <c r="A175" s="34" t="s">
        <v>9</v>
      </c>
      <c r="B175" s="35" t="s">
        <v>203</v>
      </c>
      <c r="C175" s="23" t="s">
        <v>144</v>
      </c>
      <c r="D175" s="16" t="s">
        <v>145</v>
      </c>
      <c r="E175" s="30" t="s">
        <v>194</v>
      </c>
      <c r="F175" s="26" t="s">
        <v>244</v>
      </c>
      <c r="G175" s="26" t="s">
        <v>204</v>
      </c>
      <c r="H175" s="26" t="s">
        <v>92</v>
      </c>
      <c r="I175" s="45">
        <v>3730534.26</v>
      </c>
      <c r="J175" s="29"/>
      <c r="K175" s="29">
        <v>25909363.280000001</v>
      </c>
    </row>
    <row r="176" spans="1:11" ht="45" hidden="1" x14ac:dyDescent="0.25">
      <c r="A176" s="30" t="s">
        <v>9</v>
      </c>
      <c r="B176" s="28" t="s">
        <v>10</v>
      </c>
      <c r="C176" s="28" t="s">
        <v>11</v>
      </c>
      <c r="D176" s="47" t="s">
        <v>45</v>
      </c>
      <c r="E176" s="30" t="s">
        <v>12</v>
      </c>
      <c r="F176" s="31" t="s">
        <v>13</v>
      </c>
      <c r="G176" s="28" t="s">
        <v>57</v>
      </c>
      <c r="H176" s="28" t="s">
        <v>14</v>
      </c>
      <c r="I176" s="6">
        <v>30076290.940000001</v>
      </c>
      <c r="J176" s="29"/>
      <c r="K176" s="29">
        <v>53569288.82</v>
      </c>
    </row>
    <row r="177" spans="1:11" ht="60" hidden="1" x14ac:dyDescent="0.25">
      <c r="A177" s="42" t="s">
        <v>48</v>
      </c>
      <c r="B177" s="43" t="s">
        <v>200</v>
      </c>
      <c r="C177" s="15" t="s">
        <v>146</v>
      </c>
      <c r="D177" s="16" t="s">
        <v>147</v>
      </c>
      <c r="E177" s="30" t="s">
        <v>201</v>
      </c>
      <c r="F177" s="38" t="s">
        <v>245</v>
      </c>
      <c r="G177" s="26" t="s">
        <v>202</v>
      </c>
      <c r="H177" s="26" t="s">
        <v>92</v>
      </c>
      <c r="I177" s="29">
        <v>12553100.439999999</v>
      </c>
      <c r="J177" s="29"/>
      <c r="K177" s="29">
        <v>17439154.870000001</v>
      </c>
    </row>
    <row r="178" spans="1:11" ht="60" hidden="1" x14ac:dyDescent="0.25">
      <c r="A178" s="46" t="s">
        <v>148</v>
      </c>
      <c r="B178" s="43" t="s">
        <v>197</v>
      </c>
      <c r="C178" s="15" t="s">
        <v>149</v>
      </c>
      <c r="D178" s="24" t="s">
        <v>150</v>
      </c>
      <c r="E178" s="30" t="s">
        <v>198</v>
      </c>
      <c r="F178" s="26" t="s">
        <v>246</v>
      </c>
      <c r="G178" s="26" t="s">
        <v>199</v>
      </c>
      <c r="H178" s="26" t="s">
        <v>196</v>
      </c>
      <c r="I178" s="29">
        <v>2781228.49</v>
      </c>
      <c r="J178" s="29"/>
      <c r="K178" s="29">
        <v>7864941.8700000001</v>
      </c>
    </row>
    <row r="179" spans="1:11" ht="90" hidden="1" x14ac:dyDescent="0.25">
      <c r="A179" s="34" t="s">
        <v>9</v>
      </c>
      <c r="B179" s="35" t="s">
        <v>193</v>
      </c>
      <c r="C179" s="15" t="s">
        <v>705</v>
      </c>
      <c r="D179" s="18" t="s">
        <v>151</v>
      </c>
      <c r="E179" s="30" t="s">
        <v>194</v>
      </c>
      <c r="F179" s="26" t="s">
        <v>247</v>
      </c>
      <c r="G179" s="26" t="s">
        <v>195</v>
      </c>
      <c r="H179" s="26" t="s">
        <v>196</v>
      </c>
      <c r="I179" s="29">
        <v>243701.11</v>
      </c>
      <c r="J179" s="29"/>
      <c r="K179" s="29">
        <v>463327.31</v>
      </c>
    </row>
    <row r="180" spans="1:11" ht="30" hidden="1" x14ac:dyDescent="0.25">
      <c r="A180" s="30" t="s">
        <v>1009</v>
      </c>
      <c r="B180" s="28" t="s">
        <v>1010</v>
      </c>
      <c r="C180" s="28" t="s">
        <v>1011</v>
      </c>
      <c r="D180" s="47" t="s">
        <v>1008</v>
      </c>
      <c r="E180" s="30" t="s">
        <v>1013</v>
      </c>
      <c r="F180" s="31" t="s">
        <v>1012</v>
      </c>
      <c r="G180" s="28" t="s">
        <v>1014</v>
      </c>
      <c r="H180" s="28" t="s">
        <v>313</v>
      </c>
      <c r="I180" s="6">
        <v>900597.6</v>
      </c>
      <c r="J180" s="29"/>
      <c r="K180" s="29">
        <v>4022583.21</v>
      </c>
    </row>
    <row r="181" spans="1:11" ht="60" hidden="1" x14ac:dyDescent="0.25">
      <c r="A181" s="27" t="s">
        <v>9</v>
      </c>
      <c r="B181" s="28" t="s">
        <v>193</v>
      </c>
      <c r="C181" s="33" t="s">
        <v>265</v>
      </c>
      <c r="D181" s="28" t="s">
        <v>470</v>
      </c>
      <c r="E181" s="26" t="s">
        <v>90</v>
      </c>
      <c r="F181" s="38" t="s">
        <v>266</v>
      </c>
      <c r="G181" s="33" t="s">
        <v>267</v>
      </c>
      <c r="H181" s="26" t="s">
        <v>92</v>
      </c>
      <c r="I181" s="29">
        <v>131978.49</v>
      </c>
      <c r="J181" s="29"/>
      <c r="K181" s="29">
        <v>183692.58</v>
      </c>
    </row>
    <row r="182" spans="1:11" ht="75" hidden="1" x14ac:dyDescent="0.25">
      <c r="A182" s="30" t="s">
        <v>48</v>
      </c>
      <c r="B182" s="28" t="s">
        <v>193</v>
      </c>
      <c r="C182" s="28" t="s">
        <v>614</v>
      </c>
      <c r="D182" s="47" t="s">
        <v>501</v>
      </c>
      <c r="E182" s="30" t="s">
        <v>201</v>
      </c>
      <c r="F182" s="31" t="s">
        <v>502</v>
      </c>
      <c r="G182" s="28" t="s">
        <v>21</v>
      </c>
      <c r="H182" s="28" t="s">
        <v>313</v>
      </c>
      <c r="I182" s="6">
        <v>241563.8</v>
      </c>
      <c r="J182" s="29"/>
      <c r="K182" s="29">
        <v>343063.19</v>
      </c>
    </row>
    <row r="183" spans="1:11" ht="60" hidden="1" x14ac:dyDescent="0.25">
      <c r="A183" s="30" t="s">
        <v>9</v>
      </c>
      <c r="B183" s="28" t="s">
        <v>193</v>
      </c>
      <c r="C183" s="28" t="s">
        <v>758</v>
      </c>
      <c r="D183" s="47" t="s">
        <v>757</v>
      </c>
      <c r="E183" s="30" t="s">
        <v>12</v>
      </c>
      <c r="F183" s="31" t="s">
        <v>13</v>
      </c>
      <c r="G183" s="26" t="s">
        <v>760</v>
      </c>
      <c r="H183" s="28" t="s">
        <v>14</v>
      </c>
      <c r="I183" s="6">
        <v>879034.81</v>
      </c>
      <c r="J183" s="29"/>
      <c r="K183" s="29">
        <v>514711.56</v>
      </c>
    </row>
    <row r="184" spans="1:11" ht="90" hidden="1" x14ac:dyDescent="0.25">
      <c r="A184" s="39" t="s">
        <v>9</v>
      </c>
      <c r="B184" s="40" t="s">
        <v>191</v>
      </c>
      <c r="C184" s="15" t="s">
        <v>152</v>
      </c>
      <c r="D184" s="16" t="s">
        <v>153</v>
      </c>
      <c r="E184" s="30" t="s">
        <v>192</v>
      </c>
      <c r="F184" s="26" t="s">
        <v>255</v>
      </c>
      <c r="G184" s="26" t="s">
        <v>256</v>
      </c>
      <c r="H184" s="26" t="s">
        <v>92</v>
      </c>
      <c r="I184" s="29">
        <v>807768.57</v>
      </c>
      <c r="J184" s="29"/>
      <c r="K184" s="29">
        <v>1153168.68</v>
      </c>
    </row>
    <row r="185" spans="1:11" ht="45" hidden="1" x14ac:dyDescent="0.25">
      <c r="A185" s="30" t="s">
        <v>64</v>
      </c>
      <c r="B185" s="28" t="s">
        <v>309</v>
      </c>
      <c r="C185" s="28" t="s">
        <v>308</v>
      </c>
      <c r="D185" s="47" t="s">
        <v>307</v>
      </c>
      <c r="E185" s="30" t="s">
        <v>310</v>
      </c>
      <c r="F185" s="28" t="s">
        <v>311</v>
      </c>
      <c r="G185" s="28" t="s">
        <v>312</v>
      </c>
      <c r="H185" s="28" t="s">
        <v>313</v>
      </c>
      <c r="I185" s="6">
        <v>563674.78</v>
      </c>
      <c r="J185" s="29"/>
      <c r="K185" s="29">
        <v>803832.44</v>
      </c>
    </row>
    <row r="186" spans="1:11" ht="60" hidden="1" x14ac:dyDescent="0.25">
      <c r="A186" s="30" t="s">
        <v>176</v>
      </c>
      <c r="B186" s="28" t="s">
        <v>1784</v>
      </c>
      <c r="C186" s="28" t="s">
        <v>1877</v>
      </c>
      <c r="D186" s="47" t="s">
        <v>1876</v>
      </c>
      <c r="E186" s="30" t="s">
        <v>1879</v>
      </c>
      <c r="F186" s="28" t="s">
        <v>1878</v>
      </c>
      <c r="G186" s="28" t="s">
        <v>1880</v>
      </c>
      <c r="H186" s="28" t="s">
        <v>313</v>
      </c>
      <c r="I186" s="6">
        <v>374193.03</v>
      </c>
      <c r="J186" s="29"/>
      <c r="K186" s="29">
        <v>7074445.54</v>
      </c>
    </row>
    <row r="187" spans="1:11" ht="45" hidden="1" x14ac:dyDescent="0.25">
      <c r="A187" s="30" t="s">
        <v>176</v>
      </c>
      <c r="B187" s="28" t="s">
        <v>1784</v>
      </c>
      <c r="C187" s="28" t="s">
        <v>1783</v>
      </c>
      <c r="D187" s="47" t="s">
        <v>1782</v>
      </c>
      <c r="E187" s="30" t="s">
        <v>1787</v>
      </c>
      <c r="F187" s="28" t="s">
        <v>1786</v>
      </c>
      <c r="G187" s="28" t="s">
        <v>1788</v>
      </c>
      <c r="H187" s="28" t="s">
        <v>1785</v>
      </c>
      <c r="I187" s="6">
        <v>2308033.31</v>
      </c>
      <c r="J187" s="29"/>
      <c r="K187" s="29">
        <v>2290985.7200000002</v>
      </c>
    </row>
    <row r="188" spans="1:11" ht="75" hidden="1" x14ac:dyDescent="0.25">
      <c r="A188" s="30" t="s">
        <v>299</v>
      </c>
      <c r="B188" s="28" t="s">
        <v>26</v>
      </c>
      <c r="C188" s="28" t="s">
        <v>955</v>
      </c>
      <c r="D188" s="47" t="s">
        <v>759</v>
      </c>
      <c r="E188" s="30"/>
      <c r="F188" s="28"/>
      <c r="G188" s="28"/>
      <c r="H188" s="28"/>
      <c r="I188" s="118">
        <v>14726637.93</v>
      </c>
      <c r="J188" s="29"/>
      <c r="K188" s="119">
        <v>15050219.25</v>
      </c>
    </row>
    <row r="189" spans="1:11" ht="60" hidden="1" x14ac:dyDescent="0.25">
      <c r="A189" s="30" t="s">
        <v>258</v>
      </c>
      <c r="B189" s="28" t="s">
        <v>957</v>
      </c>
      <c r="C189" s="28" t="s">
        <v>956</v>
      </c>
      <c r="D189" s="47" t="s">
        <v>393</v>
      </c>
      <c r="E189" s="30"/>
      <c r="F189" s="28"/>
      <c r="G189" s="28"/>
      <c r="H189" s="28"/>
      <c r="I189" s="6">
        <v>7363318.9699999997</v>
      </c>
      <c r="J189" s="29"/>
      <c r="K189" s="29">
        <v>7382663.6299999999</v>
      </c>
    </row>
    <row r="190" spans="1:11" ht="45" hidden="1" x14ac:dyDescent="0.25">
      <c r="A190" s="30" t="s">
        <v>258</v>
      </c>
      <c r="B190" s="28" t="s">
        <v>699</v>
      </c>
      <c r="C190" s="28" t="s">
        <v>698</v>
      </c>
      <c r="D190" s="47" t="s">
        <v>697</v>
      </c>
      <c r="E190" s="30" t="s">
        <v>700</v>
      </c>
      <c r="F190" s="28" t="s">
        <v>701</v>
      </c>
      <c r="G190" s="28" t="s">
        <v>704</v>
      </c>
      <c r="H190" s="28" t="s">
        <v>702</v>
      </c>
      <c r="I190" s="6">
        <v>7363318.9699999997</v>
      </c>
      <c r="J190" s="29"/>
      <c r="K190" s="29">
        <v>7521996.9299999997</v>
      </c>
    </row>
    <row r="191" spans="1:11" ht="45" hidden="1" x14ac:dyDescent="0.25">
      <c r="A191" s="30" t="s">
        <v>235</v>
      </c>
      <c r="B191" s="28" t="s">
        <v>169</v>
      </c>
      <c r="C191" s="28" t="s">
        <v>2001</v>
      </c>
      <c r="D191" s="47" t="s">
        <v>2000</v>
      </c>
      <c r="E191" s="30" t="s">
        <v>2004</v>
      </c>
      <c r="F191" s="28" t="s">
        <v>2003</v>
      </c>
      <c r="G191" s="28" t="s">
        <v>2577</v>
      </c>
      <c r="H191" s="28" t="s">
        <v>2002</v>
      </c>
      <c r="I191" s="6">
        <v>8262460.6399999997</v>
      </c>
      <c r="J191" s="29"/>
      <c r="K191" s="29">
        <v>2446622.4</v>
      </c>
    </row>
    <row r="192" spans="1:11" ht="30" hidden="1" x14ac:dyDescent="0.25">
      <c r="A192" s="30" t="s">
        <v>299</v>
      </c>
      <c r="B192" s="28" t="s">
        <v>571</v>
      </c>
      <c r="C192" s="28" t="s">
        <v>2016</v>
      </c>
      <c r="D192" s="47" t="s">
        <v>2015</v>
      </c>
      <c r="E192" s="30" t="s">
        <v>2017</v>
      </c>
      <c r="F192" s="28" t="s">
        <v>2018</v>
      </c>
      <c r="G192" s="28" t="s">
        <v>2578</v>
      </c>
      <c r="H192" s="28" t="s">
        <v>2002</v>
      </c>
      <c r="I192" s="6">
        <v>2543644.6</v>
      </c>
      <c r="J192" s="29"/>
      <c r="K192" s="29">
        <v>665309.1</v>
      </c>
    </row>
    <row r="193" spans="1:11" ht="45" hidden="1" x14ac:dyDescent="0.25">
      <c r="A193" s="30" t="s">
        <v>73</v>
      </c>
      <c r="B193" s="28" t="s">
        <v>2008</v>
      </c>
      <c r="C193" s="28" t="s">
        <v>2007</v>
      </c>
      <c r="D193" s="47" t="s">
        <v>2006</v>
      </c>
      <c r="E193" s="30" t="s">
        <v>2164</v>
      </c>
      <c r="F193" s="28" t="s">
        <v>2009</v>
      </c>
      <c r="G193" s="28" t="s">
        <v>2579</v>
      </c>
      <c r="H193" s="28" t="s">
        <v>2002</v>
      </c>
      <c r="I193" s="6">
        <v>3086684.45</v>
      </c>
      <c r="J193" s="29"/>
      <c r="K193" s="29">
        <v>7294593.2300000004</v>
      </c>
    </row>
    <row r="194" spans="1:11" ht="45" hidden="1" x14ac:dyDescent="0.25">
      <c r="A194" s="30" t="s">
        <v>88</v>
      </c>
      <c r="B194" s="28" t="s">
        <v>339</v>
      </c>
      <c r="C194" s="28" t="s">
        <v>2011</v>
      </c>
      <c r="D194" s="47" t="s">
        <v>2010</v>
      </c>
      <c r="E194" s="30" t="s">
        <v>2013</v>
      </c>
      <c r="F194" s="28" t="s">
        <v>2014</v>
      </c>
      <c r="G194" s="28" t="s">
        <v>2580</v>
      </c>
      <c r="H194" s="28" t="s">
        <v>2012</v>
      </c>
      <c r="I194" s="6">
        <v>2793346.87</v>
      </c>
      <c r="J194" s="29"/>
      <c r="K194" s="29">
        <v>4959000</v>
      </c>
    </row>
    <row r="195" spans="1:11" ht="60" hidden="1" x14ac:dyDescent="0.25">
      <c r="A195" s="30" t="s">
        <v>25</v>
      </c>
      <c r="B195" s="28" t="s">
        <v>953</v>
      </c>
      <c r="C195" s="28" t="s">
        <v>954</v>
      </c>
      <c r="D195" s="47" t="s">
        <v>755</v>
      </c>
      <c r="E195" s="30"/>
      <c r="F195" s="28"/>
      <c r="G195" s="28"/>
      <c r="H195" s="28" t="s">
        <v>951</v>
      </c>
      <c r="I195" s="6">
        <v>12472710.810000001</v>
      </c>
      <c r="J195" s="29"/>
      <c r="K195" s="29">
        <v>12019389.67</v>
      </c>
    </row>
    <row r="196" spans="1:11" ht="45" hidden="1" x14ac:dyDescent="0.25">
      <c r="A196" s="30" t="s">
        <v>299</v>
      </c>
      <c r="B196" s="28" t="s">
        <v>391</v>
      </c>
      <c r="C196" s="28" t="s">
        <v>390</v>
      </c>
      <c r="D196" s="47" t="s">
        <v>389</v>
      </c>
      <c r="E196" s="30" t="s">
        <v>2165</v>
      </c>
      <c r="F196" s="31" t="s">
        <v>392</v>
      </c>
      <c r="G196" s="28"/>
      <c r="H196" s="28"/>
      <c r="I196" s="118">
        <v>13216130.18</v>
      </c>
      <c r="J196" s="29"/>
      <c r="K196" s="29">
        <v>12932638.52</v>
      </c>
    </row>
    <row r="197" spans="1:11" ht="60" hidden="1" x14ac:dyDescent="0.25">
      <c r="A197" s="30" t="s">
        <v>803</v>
      </c>
      <c r="B197" s="28" t="s">
        <v>950</v>
      </c>
      <c r="C197" s="28" t="s">
        <v>949</v>
      </c>
      <c r="D197" s="47" t="s">
        <v>896</v>
      </c>
      <c r="E197" s="30" t="s">
        <v>743</v>
      </c>
      <c r="F197" s="28"/>
      <c r="G197" s="28"/>
      <c r="H197" s="28" t="s">
        <v>951</v>
      </c>
      <c r="I197" s="6">
        <v>9724278.9499999993</v>
      </c>
      <c r="J197" s="29"/>
      <c r="K197" s="29">
        <v>9190547.5</v>
      </c>
    </row>
    <row r="198" spans="1:11" ht="90" hidden="1" x14ac:dyDescent="0.25">
      <c r="A198" s="27" t="s">
        <v>48</v>
      </c>
      <c r="B198" s="28" t="s">
        <v>115</v>
      </c>
      <c r="C198" s="28" t="s">
        <v>113</v>
      </c>
      <c r="D198" s="47" t="s">
        <v>114</v>
      </c>
      <c r="E198" s="27" t="s">
        <v>116</v>
      </c>
      <c r="F198" s="31" t="s">
        <v>119</v>
      </c>
      <c r="G198" s="28" t="s">
        <v>117</v>
      </c>
      <c r="H198" s="26" t="s">
        <v>118</v>
      </c>
      <c r="I198" s="29">
        <v>2268318</v>
      </c>
      <c r="J198" s="29"/>
      <c r="K198" s="29">
        <v>1962379.1</v>
      </c>
    </row>
    <row r="199" spans="1:11" ht="30" hidden="1" x14ac:dyDescent="0.25">
      <c r="A199" s="30" t="s">
        <v>9</v>
      </c>
      <c r="B199" s="28" t="s">
        <v>604</v>
      </c>
      <c r="C199" s="28" t="s">
        <v>791</v>
      </c>
      <c r="D199" s="47" t="s">
        <v>790</v>
      </c>
      <c r="E199" s="30" t="s">
        <v>792</v>
      </c>
      <c r="F199" s="28"/>
      <c r="G199" s="28"/>
      <c r="H199" s="117">
        <v>4908879.3099999996</v>
      </c>
      <c r="I199" s="6"/>
      <c r="J199" s="29"/>
      <c r="K199" s="29">
        <v>3955324.73</v>
      </c>
    </row>
    <row r="200" spans="1:11" ht="60" hidden="1" x14ac:dyDescent="0.25">
      <c r="A200" s="30" t="s">
        <v>458</v>
      </c>
      <c r="B200" s="28" t="s">
        <v>944</v>
      </c>
      <c r="C200" s="28" t="s">
        <v>943</v>
      </c>
      <c r="D200" s="47" t="s">
        <v>457</v>
      </c>
      <c r="E200" s="30" t="s">
        <v>945</v>
      </c>
      <c r="F200" s="28"/>
      <c r="G200" s="28"/>
      <c r="H200" s="28" t="s">
        <v>946</v>
      </c>
      <c r="I200" s="6">
        <v>6917529.4500000002</v>
      </c>
      <c r="J200" s="29"/>
      <c r="K200" s="29">
        <v>6682427.0199999996</v>
      </c>
    </row>
    <row r="201" spans="1:11" ht="60" hidden="1" x14ac:dyDescent="0.25">
      <c r="A201" s="30" t="s">
        <v>64</v>
      </c>
      <c r="B201" s="28" t="s">
        <v>632</v>
      </c>
      <c r="C201" s="28" t="s">
        <v>947</v>
      </c>
      <c r="D201" s="47" t="s">
        <v>625</v>
      </c>
      <c r="E201" s="30" t="s">
        <v>948</v>
      </c>
      <c r="F201" s="28"/>
      <c r="G201" s="28"/>
      <c r="H201" s="28" t="s">
        <v>946</v>
      </c>
      <c r="I201" s="6">
        <v>6970885.46</v>
      </c>
      <c r="J201" s="29"/>
      <c r="K201" s="29">
        <v>6736102.7800000003</v>
      </c>
    </row>
    <row r="202" spans="1:11" ht="45" hidden="1" x14ac:dyDescent="0.25">
      <c r="A202" s="30" t="s">
        <v>73</v>
      </c>
      <c r="B202" s="28" t="s">
        <v>845</v>
      </c>
      <c r="C202" s="28" t="s">
        <v>844</v>
      </c>
      <c r="D202" s="47" t="s">
        <v>843</v>
      </c>
      <c r="E202" s="30"/>
      <c r="F202" s="28"/>
      <c r="G202" s="28"/>
      <c r="H202" s="28" t="s">
        <v>846</v>
      </c>
      <c r="I202" s="6">
        <v>1963551.72</v>
      </c>
      <c r="J202" s="29"/>
      <c r="K202" s="29">
        <v>1959188.77</v>
      </c>
    </row>
    <row r="203" spans="1:11" ht="60" hidden="1" x14ac:dyDescent="0.25">
      <c r="A203" s="27" t="s">
        <v>9</v>
      </c>
      <c r="B203" s="28" t="s">
        <v>699</v>
      </c>
      <c r="C203" s="28" t="s">
        <v>952</v>
      </c>
      <c r="D203" s="47" t="s">
        <v>752</v>
      </c>
      <c r="E203" s="30"/>
      <c r="F203" s="28"/>
      <c r="G203" s="28"/>
      <c r="H203" s="28" t="s">
        <v>946</v>
      </c>
      <c r="I203" s="6">
        <v>6860004.0499999998</v>
      </c>
      <c r="J203" s="29"/>
      <c r="K203" s="29">
        <v>6670426.4299999997</v>
      </c>
    </row>
    <row r="204" spans="1:11" ht="60" hidden="1" x14ac:dyDescent="0.25">
      <c r="A204" s="30" t="s">
        <v>25</v>
      </c>
      <c r="B204" s="28" t="s">
        <v>26</v>
      </c>
      <c r="C204" s="28" t="s">
        <v>24</v>
      </c>
      <c r="D204" s="47" t="s">
        <v>27</v>
      </c>
      <c r="E204" s="30" t="s">
        <v>28</v>
      </c>
      <c r="F204" s="28" t="s">
        <v>30</v>
      </c>
      <c r="G204" s="28" t="s">
        <v>29</v>
      </c>
      <c r="H204" s="28" t="s">
        <v>14</v>
      </c>
      <c r="I204" s="6">
        <v>4612192.53</v>
      </c>
      <c r="J204" s="29"/>
      <c r="K204" s="29">
        <v>4556109.0199999996</v>
      </c>
    </row>
    <row r="205" spans="1:11" ht="60" hidden="1" x14ac:dyDescent="0.25">
      <c r="A205" s="30" t="s">
        <v>32</v>
      </c>
      <c r="B205" s="28" t="s">
        <v>33</v>
      </c>
      <c r="C205" s="28" t="s">
        <v>34</v>
      </c>
      <c r="D205" s="47" t="s">
        <v>35</v>
      </c>
      <c r="E205" s="30" t="s">
        <v>31</v>
      </c>
      <c r="F205" s="28" t="s">
        <v>30</v>
      </c>
      <c r="G205" s="28" t="s">
        <v>36</v>
      </c>
      <c r="H205" s="28" t="s">
        <v>14</v>
      </c>
      <c r="I205" s="6">
        <v>4841618.83</v>
      </c>
      <c r="J205" s="29"/>
      <c r="K205" s="29">
        <v>4777004.6900000004</v>
      </c>
    </row>
    <row r="206" spans="1:11" ht="75" hidden="1" x14ac:dyDescent="0.25">
      <c r="A206" s="30" t="s">
        <v>9</v>
      </c>
      <c r="B206" s="28" t="s">
        <v>779</v>
      </c>
      <c r="C206" s="28" t="s">
        <v>778</v>
      </c>
      <c r="D206" s="47" t="s">
        <v>777</v>
      </c>
      <c r="E206" s="30" t="s">
        <v>780</v>
      </c>
      <c r="F206" s="28" t="s">
        <v>2261</v>
      </c>
      <c r="G206" s="28" t="s">
        <v>781</v>
      </c>
      <c r="H206" s="28" t="s">
        <v>2193</v>
      </c>
      <c r="I206" s="6">
        <v>20492557.449999999</v>
      </c>
      <c r="J206" s="29">
        <v>10779017.689999999</v>
      </c>
      <c r="K206" s="29">
        <v>19539418.57</v>
      </c>
    </row>
    <row r="207" spans="1:11" ht="90" hidden="1" x14ac:dyDescent="0.25">
      <c r="A207" s="30" t="s">
        <v>9</v>
      </c>
      <c r="B207" s="28" t="s">
        <v>823</v>
      </c>
      <c r="C207" s="28" t="s">
        <v>826</v>
      </c>
      <c r="D207" s="47" t="s">
        <v>824</v>
      </c>
      <c r="E207" s="30" t="s">
        <v>825</v>
      </c>
      <c r="F207" s="28" t="s">
        <v>2261</v>
      </c>
      <c r="G207" s="28" t="s">
        <v>832</v>
      </c>
      <c r="H207" s="28" t="s">
        <v>2193</v>
      </c>
      <c r="I207" s="6">
        <v>23003099.84</v>
      </c>
      <c r="J207" s="29">
        <v>16849478.370000001</v>
      </c>
      <c r="K207" s="29">
        <v>22873151.760000002</v>
      </c>
    </row>
    <row r="208" spans="1:11" ht="45" hidden="1" x14ac:dyDescent="0.25">
      <c r="A208" s="30" t="s">
        <v>9</v>
      </c>
      <c r="B208" s="28" t="s">
        <v>873</v>
      </c>
      <c r="C208" s="28" t="s">
        <v>874</v>
      </c>
      <c r="D208" s="47" t="s">
        <v>872</v>
      </c>
      <c r="E208" s="30" t="s">
        <v>875</v>
      </c>
      <c r="F208" s="28" t="s">
        <v>2261</v>
      </c>
      <c r="G208" s="28" t="s">
        <v>2512</v>
      </c>
      <c r="H208" s="28" t="s">
        <v>2193</v>
      </c>
      <c r="I208" s="6">
        <v>28724473.370000001</v>
      </c>
      <c r="J208" s="29">
        <v>9891766.0999999996</v>
      </c>
      <c r="K208" s="29">
        <v>26153970.379999999</v>
      </c>
    </row>
    <row r="209" spans="1:11" ht="75" hidden="1" x14ac:dyDescent="0.25">
      <c r="A209" s="30" t="s">
        <v>9</v>
      </c>
      <c r="B209" s="28" t="s">
        <v>834</v>
      </c>
      <c r="C209" s="28" t="s">
        <v>836</v>
      </c>
      <c r="D209" s="47" t="s">
        <v>835</v>
      </c>
      <c r="E209" s="30" t="s">
        <v>851</v>
      </c>
      <c r="F209" s="28" t="s">
        <v>2261</v>
      </c>
      <c r="G209" s="28" t="s">
        <v>837</v>
      </c>
      <c r="H209" s="28" t="s">
        <v>2193</v>
      </c>
      <c r="I209" s="6">
        <v>20970756</v>
      </c>
      <c r="J209" s="29">
        <v>9094206.1600000001</v>
      </c>
      <c r="K209" s="29">
        <v>19069990.460000001</v>
      </c>
    </row>
    <row r="210" spans="1:11" ht="60" hidden="1" x14ac:dyDescent="0.25">
      <c r="A210" s="30" t="s">
        <v>336</v>
      </c>
      <c r="B210" s="28" t="s">
        <v>913</v>
      </c>
      <c r="C210" s="28" t="s">
        <v>912</v>
      </c>
      <c r="D210" s="47" t="s">
        <v>914</v>
      </c>
      <c r="E210" s="30" t="s">
        <v>915</v>
      </c>
      <c r="F210" s="28" t="s">
        <v>2261</v>
      </c>
      <c r="G210" s="28" t="s">
        <v>2511</v>
      </c>
      <c r="H210" s="28" t="s">
        <v>2194</v>
      </c>
      <c r="I210" s="6">
        <v>11278934.970000001</v>
      </c>
      <c r="J210" s="6">
        <v>11278934.970000001</v>
      </c>
      <c r="K210" s="29">
        <v>10237851.949999999</v>
      </c>
    </row>
    <row r="211" spans="1:11" ht="60" hidden="1" x14ac:dyDescent="0.25">
      <c r="A211" s="30" t="s">
        <v>9</v>
      </c>
      <c r="B211" s="28" t="s">
        <v>66</v>
      </c>
      <c r="C211" s="28" t="s">
        <v>1726</v>
      </c>
      <c r="D211" s="47" t="s">
        <v>1725</v>
      </c>
      <c r="E211" s="30" t="s">
        <v>1727</v>
      </c>
      <c r="F211" s="28" t="s">
        <v>2262</v>
      </c>
      <c r="G211" s="28" t="s">
        <v>1728</v>
      </c>
      <c r="H211" s="28" t="s">
        <v>2194</v>
      </c>
      <c r="I211" s="6">
        <v>14664527.17</v>
      </c>
      <c r="J211" s="6">
        <v>14664527.17</v>
      </c>
      <c r="K211" s="29">
        <v>14497968.359999999</v>
      </c>
    </row>
    <row r="212" spans="1:11" ht="75" hidden="1" x14ac:dyDescent="0.25">
      <c r="A212" s="30" t="s">
        <v>88</v>
      </c>
      <c r="B212" s="28" t="s">
        <v>1228</v>
      </c>
      <c r="C212" s="28" t="s">
        <v>1229</v>
      </c>
      <c r="D212" s="47" t="s">
        <v>1230</v>
      </c>
      <c r="E212" s="30" t="s">
        <v>1231</v>
      </c>
      <c r="F212" s="28" t="s">
        <v>2263</v>
      </c>
      <c r="G212" s="28" t="s">
        <v>1232</v>
      </c>
      <c r="H212" s="28" t="s">
        <v>2194</v>
      </c>
      <c r="I212" s="6">
        <v>11781894.369999999</v>
      </c>
      <c r="J212" s="6">
        <v>11781894.369999999</v>
      </c>
      <c r="K212" s="29">
        <v>11512863.189999999</v>
      </c>
    </row>
    <row r="213" spans="1:11" ht="45" hidden="1" x14ac:dyDescent="0.25">
      <c r="A213" s="30" t="s">
        <v>973</v>
      </c>
      <c r="B213" s="28" t="s">
        <v>96</v>
      </c>
      <c r="C213" s="28" t="s">
        <v>974</v>
      </c>
      <c r="D213" s="47" t="s">
        <v>975</v>
      </c>
      <c r="E213" s="30" t="s">
        <v>976</v>
      </c>
      <c r="F213" s="28" t="s">
        <v>2264</v>
      </c>
      <c r="G213" s="28" t="s">
        <v>977</v>
      </c>
      <c r="H213" s="28" t="s">
        <v>2194</v>
      </c>
      <c r="I213" s="6">
        <v>14575023.41</v>
      </c>
      <c r="J213" s="29">
        <v>10667349.23</v>
      </c>
      <c r="K213" s="29">
        <v>14487117.35</v>
      </c>
    </row>
    <row r="214" spans="1:11" ht="60" hidden="1" x14ac:dyDescent="0.25">
      <c r="A214" s="30" t="s">
        <v>258</v>
      </c>
      <c r="B214" s="28" t="s">
        <v>928</v>
      </c>
      <c r="C214" s="28" t="s">
        <v>929</v>
      </c>
      <c r="D214" s="47" t="s">
        <v>930</v>
      </c>
      <c r="E214" s="30" t="s">
        <v>1247</v>
      </c>
      <c r="F214" s="28" t="s">
        <v>2265</v>
      </c>
      <c r="G214" s="28" t="s">
        <v>2510</v>
      </c>
      <c r="H214" s="28" t="s">
        <v>2194</v>
      </c>
      <c r="I214" s="6">
        <v>15914440</v>
      </c>
      <c r="J214" s="29">
        <v>10386358.26</v>
      </c>
      <c r="K214" s="29">
        <v>15642799.039999999</v>
      </c>
    </row>
    <row r="215" spans="1:11" ht="45" hidden="1" x14ac:dyDescent="0.25">
      <c r="A215" s="30" t="s">
        <v>258</v>
      </c>
      <c r="B215" s="28" t="s">
        <v>2196</v>
      </c>
      <c r="C215" s="28" t="s">
        <v>1626</v>
      </c>
      <c r="D215" s="47" t="s">
        <v>1625</v>
      </c>
      <c r="E215" s="30" t="s">
        <v>1627</v>
      </c>
      <c r="F215" s="28" t="s">
        <v>2265</v>
      </c>
      <c r="G215" s="28" t="s">
        <v>1628</v>
      </c>
      <c r="H215" s="28" t="s">
        <v>2194</v>
      </c>
      <c r="I215" s="6">
        <v>23038534.969999999</v>
      </c>
      <c r="J215" s="6">
        <v>23038534.969999999</v>
      </c>
      <c r="K215" s="29">
        <v>22807797.98</v>
      </c>
    </row>
    <row r="216" spans="1:11" ht="105" hidden="1" x14ac:dyDescent="0.25">
      <c r="A216" s="30" t="s">
        <v>235</v>
      </c>
      <c r="B216" s="28" t="s">
        <v>1243</v>
      </c>
      <c r="C216" s="28" t="s">
        <v>1245</v>
      </c>
      <c r="D216" s="47" t="s">
        <v>1244</v>
      </c>
      <c r="E216" s="30" t="s">
        <v>1246</v>
      </c>
      <c r="F216" s="28" t="s">
        <v>2267</v>
      </c>
      <c r="G216" s="28" t="s">
        <v>2509</v>
      </c>
      <c r="H216" s="28" t="s">
        <v>2197</v>
      </c>
      <c r="I216" s="6">
        <v>6832100.0800000001</v>
      </c>
      <c r="J216" s="6">
        <v>6832100.0800000001</v>
      </c>
      <c r="K216" s="29">
        <v>6725615.25</v>
      </c>
    </row>
    <row r="217" spans="1:11" ht="60" hidden="1" x14ac:dyDescent="0.25">
      <c r="A217" s="30" t="s">
        <v>134</v>
      </c>
      <c r="B217" s="28" t="s">
        <v>932</v>
      </c>
      <c r="C217" s="28" t="s">
        <v>938</v>
      </c>
      <c r="D217" s="47" t="s">
        <v>937</v>
      </c>
      <c r="E217" s="30" t="s">
        <v>935</v>
      </c>
      <c r="F217" s="28" t="s">
        <v>2263</v>
      </c>
      <c r="G217" s="28" t="s">
        <v>936</v>
      </c>
      <c r="H217" s="28" t="s">
        <v>2194</v>
      </c>
      <c r="I217" s="6">
        <v>3224275.6</v>
      </c>
      <c r="J217" s="6">
        <v>3224275.6</v>
      </c>
      <c r="K217" s="29">
        <v>3223256.02</v>
      </c>
    </row>
    <row r="218" spans="1:11" ht="60" hidden="1" x14ac:dyDescent="0.25">
      <c r="A218" s="30" t="s">
        <v>235</v>
      </c>
      <c r="B218" s="28" t="s">
        <v>898</v>
      </c>
      <c r="C218" s="28" t="s">
        <v>964</v>
      </c>
      <c r="D218" s="47" t="s">
        <v>963</v>
      </c>
      <c r="E218" s="30" t="s">
        <v>965</v>
      </c>
      <c r="F218" s="28" t="s">
        <v>2292</v>
      </c>
      <c r="G218" s="28" t="s">
        <v>966</v>
      </c>
      <c r="H218" s="28" t="s">
        <v>2290</v>
      </c>
      <c r="I218" s="6">
        <v>8116040.3799999999</v>
      </c>
      <c r="J218" s="6">
        <v>8116040.3799999999</v>
      </c>
      <c r="K218" s="29">
        <v>8091604.4400000004</v>
      </c>
    </row>
    <row r="219" spans="1:11" ht="60" hidden="1" x14ac:dyDescent="0.25">
      <c r="A219" s="30" t="s">
        <v>48</v>
      </c>
      <c r="B219" s="28" t="s">
        <v>75</v>
      </c>
      <c r="C219" s="28" t="s">
        <v>1815</v>
      </c>
      <c r="D219" s="47" t="s">
        <v>1814</v>
      </c>
      <c r="E219" s="30" t="s">
        <v>1816</v>
      </c>
      <c r="F219" s="28" t="s">
        <v>2268</v>
      </c>
      <c r="G219" s="28" t="s">
        <v>1817</v>
      </c>
      <c r="H219" s="28" t="s">
        <v>2194</v>
      </c>
      <c r="I219" s="6">
        <v>6286564.6299999999</v>
      </c>
      <c r="J219" s="6">
        <v>6286564.6299999999</v>
      </c>
      <c r="K219" s="29">
        <v>6189552.5599999996</v>
      </c>
    </row>
    <row r="220" spans="1:11" ht="60" hidden="1" x14ac:dyDescent="0.25">
      <c r="A220" s="30" t="s">
        <v>48</v>
      </c>
      <c r="B220" s="28" t="s">
        <v>66</v>
      </c>
      <c r="C220" s="28" t="s">
        <v>1730</v>
      </c>
      <c r="D220" s="47" t="s">
        <v>1731</v>
      </c>
      <c r="E220" s="30" t="s">
        <v>1729</v>
      </c>
      <c r="F220" s="28" t="s">
        <v>2268</v>
      </c>
      <c r="G220" s="28" t="s">
        <v>1732</v>
      </c>
      <c r="H220" s="28" t="s">
        <v>2194</v>
      </c>
      <c r="I220" s="6">
        <v>6549298.5099999998</v>
      </c>
      <c r="J220" s="6">
        <v>6549298.5099999998</v>
      </c>
      <c r="K220" s="29">
        <v>6446641.3200000003</v>
      </c>
    </row>
    <row r="221" spans="1:11" ht="60" hidden="1" x14ac:dyDescent="0.25">
      <c r="A221" s="30" t="s">
        <v>909</v>
      </c>
      <c r="B221" s="28" t="s">
        <v>906</v>
      </c>
      <c r="C221" s="28" t="s">
        <v>904</v>
      </c>
      <c r="D221" s="47" t="s">
        <v>907</v>
      </c>
      <c r="E221" s="30" t="s">
        <v>905</v>
      </c>
      <c r="F221" s="28" t="s">
        <v>2269</v>
      </c>
      <c r="G221" s="28" t="s">
        <v>908</v>
      </c>
      <c r="H221" s="28" t="s">
        <v>2197</v>
      </c>
      <c r="I221" s="6">
        <v>4037637.99</v>
      </c>
      <c r="J221" s="29">
        <v>3140533.79</v>
      </c>
      <c r="K221" s="29">
        <v>3979000.91</v>
      </c>
    </row>
    <row r="222" spans="1:11" ht="60" hidden="1" x14ac:dyDescent="0.25">
      <c r="A222" s="30" t="s">
        <v>916</v>
      </c>
      <c r="B222" s="28" t="s">
        <v>917</v>
      </c>
      <c r="C222" s="28" t="s">
        <v>918</v>
      </c>
      <c r="D222" s="47" t="s">
        <v>919</v>
      </c>
      <c r="E222" s="30" t="s">
        <v>920</v>
      </c>
      <c r="F222" s="28" t="s">
        <v>2270</v>
      </c>
      <c r="G222" s="28" t="s">
        <v>921</v>
      </c>
      <c r="H222" s="28" t="s">
        <v>2194</v>
      </c>
      <c r="I222" s="6">
        <v>1893700.2</v>
      </c>
      <c r="J222" s="29">
        <v>863759.42</v>
      </c>
      <c r="K222" s="29">
        <v>1890844.29</v>
      </c>
    </row>
    <row r="223" spans="1:11" ht="75" hidden="1" x14ac:dyDescent="0.25">
      <c r="A223" s="30" t="s">
        <v>922</v>
      </c>
      <c r="B223" s="28" t="s">
        <v>917</v>
      </c>
      <c r="C223" s="28" t="s">
        <v>923</v>
      </c>
      <c r="D223" s="47" t="s">
        <v>924</v>
      </c>
      <c r="E223" s="30" t="s">
        <v>925</v>
      </c>
      <c r="F223" s="28" t="s">
        <v>2270</v>
      </c>
      <c r="G223" s="28" t="s">
        <v>926</v>
      </c>
      <c r="H223" s="28" t="s">
        <v>2194</v>
      </c>
      <c r="I223" s="6">
        <v>2629862.5</v>
      </c>
      <c r="J223" s="29">
        <v>1423751.85</v>
      </c>
      <c r="K223" s="29">
        <v>2595924.5299999998</v>
      </c>
    </row>
    <row r="224" spans="1:11" ht="45" hidden="1" x14ac:dyDescent="0.25">
      <c r="A224" s="30" t="s">
        <v>897</v>
      </c>
      <c r="B224" s="28" t="s">
        <v>898</v>
      </c>
      <c r="C224" s="28" t="s">
        <v>899</v>
      </c>
      <c r="D224" s="47" t="s">
        <v>900</v>
      </c>
      <c r="E224" s="30" t="s">
        <v>903</v>
      </c>
      <c r="F224" s="28" t="s">
        <v>2280</v>
      </c>
      <c r="G224" s="28" t="s">
        <v>901</v>
      </c>
      <c r="H224" s="28" t="s">
        <v>2194</v>
      </c>
      <c r="I224" s="6">
        <v>852298.09</v>
      </c>
      <c r="J224" s="29">
        <v>852298.09</v>
      </c>
      <c r="K224" s="29">
        <v>851581.37</v>
      </c>
    </row>
    <row r="225" spans="1:11" ht="60" hidden="1" x14ac:dyDescent="0.25">
      <c r="A225" s="30" t="s">
        <v>330</v>
      </c>
      <c r="B225" s="28" t="s">
        <v>1207</v>
      </c>
      <c r="C225" s="28" t="s">
        <v>1208</v>
      </c>
      <c r="D225" s="47" t="s">
        <v>1209</v>
      </c>
      <c r="E225" s="30" t="s">
        <v>1210</v>
      </c>
      <c r="F225" s="28" t="s">
        <v>2271</v>
      </c>
      <c r="G225" s="28" t="s">
        <v>1211</v>
      </c>
      <c r="H225" s="28" t="s">
        <v>2194</v>
      </c>
      <c r="I225" s="6">
        <v>1848435.12</v>
      </c>
      <c r="J225" s="6">
        <v>1848435.12</v>
      </c>
      <c r="K225" s="29">
        <v>1799973.59</v>
      </c>
    </row>
    <row r="226" spans="1:11" ht="60" hidden="1" x14ac:dyDescent="0.25">
      <c r="A226" s="30" t="s">
        <v>967</v>
      </c>
      <c r="B226" s="28" t="s">
        <v>968</v>
      </c>
      <c r="C226" s="28" t="s">
        <v>971</v>
      </c>
      <c r="D226" s="47" t="s">
        <v>972</v>
      </c>
      <c r="E226" s="30" t="s">
        <v>969</v>
      </c>
      <c r="F226" s="28" t="s">
        <v>2266</v>
      </c>
      <c r="G226" s="28" t="s">
        <v>970</v>
      </c>
      <c r="H226" s="28" t="s">
        <v>2197</v>
      </c>
      <c r="I226" s="6">
        <v>3240741.72</v>
      </c>
      <c r="J226" s="6">
        <v>3240741.72</v>
      </c>
      <c r="K226" s="29">
        <v>3149792.52</v>
      </c>
    </row>
    <row r="227" spans="1:11" ht="60" hidden="1" x14ac:dyDescent="0.25">
      <c r="A227" s="30" t="s">
        <v>258</v>
      </c>
      <c r="B227" s="28" t="s">
        <v>984</v>
      </c>
      <c r="C227" s="28" t="s">
        <v>985</v>
      </c>
      <c r="D227" s="47" t="s">
        <v>986</v>
      </c>
      <c r="E227" s="30" t="s">
        <v>987</v>
      </c>
      <c r="F227" s="28" t="s">
        <v>2265</v>
      </c>
      <c r="G227" s="28" t="s">
        <v>989</v>
      </c>
      <c r="H227" s="28" t="s">
        <v>2194</v>
      </c>
      <c r="I227" s="6">
        <v>9905430.9399999995</v>
      </c>
      <c r="J227" s="6">
        <v>9905430.9399999995</v>
      </c>
      <c r="K227" s="29">
        <v>9501178.9600000009</v>
      </c>
    </row>
    <row r="228" spans="1:11" ht="45" hidden="1" x14ac:dyDescent="0.25">
      <c r="A228" s="30" t="s">
        <v>258</v>
      </c>
      <c r="B228" s="28" t="s">
        <v>1478</v>
      </c>
      <c r="C228" s="28" t="s">
        <v>1479</v>
      </c>
      <c r="D228" s="47" t="s">
        <v>1480</v>
      </c>
      <c r="E228" s="30" t="s">
        <v>1481</v>
      </c>
      <c r="F228" s="28" t="s">
        <v>2265</v>
      </c>
      <c r="G228" s="28" t="s">
        <v>1482</v>
      </c>
      <c r="H228" s="28" t="s">
        <v>2194</v>
      </c>
      <c r="I228" s="6">
        <v>19350804.34</v>
      </c>
      <c r="J228" s="6">
        <v>19350804.34</v>
      </c>
      <c r="K228" s="29">
        <v>18299948.469999999</v>
      </c>
    </row>
    <row r="229" spans="1:11" ht="60" hidden="1" x14ac:dyDescent="0.25">
      <c r="A229" s="30" t="s">
        <v>931</v>
      </c>
      <c r="B229" s="28" t="s">
        <v>932</v>
      </c>
      <c r="C229" s="28" t="s">
        <v>933</v>
      </c>
      <c r="D229" s="47" t="s">
        <v>934</v>
      </c>
      <c r="E229" s="30" t="s">
        <v>939</v>
      </c>
      <c r="F229" s="28" t="s">
        <v>2272</v>
      </c>
      <c r="G229" s="28" t="s">
        <v>940</v>
      </c>
      <c r="H229" s="28" t="s">
        <v>2197</v>
      </c>
      <c r="I229" s="6">
        <v>1985659.41</v>
      </c>
      <c r="J229" s="6">
        <v>1985659.41</v>
      </c>
      <c r="K229" s="29">
        <v>1976714.43</v>
      </c>
    </row>
    <row r="230" spans="1:11" ht="75" hidden="1" x14ac:dyDescent="0.25">
      <c r="A230" s="30" t="s">
        <v>817</v>
      </c>
      <c r="B230" s="28" t="s">
        <v>1233</v>
      </c>
      <c r="C230" s="28" t="s">
        <v>1234</v>
      </c>
      <c r="D230" s="47" t="s">
        <v>1235</v>
      </c>
      <c r="E230" s="30" t="s">
        <v>1236</v>
      </c>
      <c r="F230" s="28" t="s">
        <v>2273</v>
      </c>
      <c r="G230" s="28" t="s">
        <v>1237</v>
      </c>
      <c r="H230" s="28" t="s">
        <v>2197</v>
      </c>
      <c r="I230" s="6">
        <v>9455939.4800000004</v>
      </c>
      <c r="J230" s="29">
        <v>8906028.2699999996</v>
      </c>
      <c r="K230" s="29">
        <v>8795522.2799999993</v>
      </c>
    </row>
    <row r="231" spans="1:11" ht="45" hidden="1" x14ac:dyDescent="0.25">
      <c r="A231" s="30" t="s">
        <v>9</v>
      </c>
      <c r="B231" s="28" t="s">
        <v>58</v>
      </c>
      <c r="C231" s="28" t="s">
        <v>1473</v>
      </c>
      <c r="D231" s="47" t="s">
        <v>1476</v>
      </c>
      <c r="E231" s="30" t="s">
        <v>1472</v>
      </c>
      <c r="F231" s="28" t="s">
        <v>1475</v>
      </c>
      <c r="G231" s="28" t="s">
        <v>1477</v>
      </c>
      <c r="H231" s="28" t="s">
        <v>1474</v>
      </c>
      <c r="I231" s="6">
        <v>32354334.120000001</v>
      </c>
      <c r="J231" s="29"/>
      <c r="K231" s="29">
        <v>32294129.84</v>
      </c>
    </row>
    <row r="232" spans="1:11" ht="75" hidden="1" x14ac:dyDescent="0.25">
      <c r="A232" s="30" t="s">
        <v>9</v>
      </c>
      <c r="B232" s="28" t="s">
        <v>1926</v>
      </c>
      <c r="C232" s="28" t="s">
        <v>1927</v>
      </c>
      <c r="D232" s="47" t="s">
        <v>1923</v>
      </c>
      <c r="E232" s="30" t="s">
        <v>780</v>
      </c>
      <c r="F232" s="28" t="s">
        <v>2261</v>
      </c>
      <c r="G232" s="28" t="s">
        <v>1928</v>
      </c>
      <c r="H232" s="28" t="s">
        <v>2193</v>
      </c>
      <c r="I232" s="6">
        <v>359518.55</v>
      </c>
      <c r="J232" s="29">
        <v>182050.57</v>
      </c>
      <c r="K232" s="29">
        <v>354935.96</v>
      </c>
    </row>
    <row r="233" spans="1:11" ht="75" hidden="1" x14ac:dyDescent="0.25">
      <c r="A233" s="30" t="s">
        <v>9</v>
      </c>
      <c r="B233" s="28" t="s">
        <v>796</v>
      </c>
      <c r="C233" s="28" t="s">
        <v>1921</v>
      </c>
      <c r="D233" s="47" t="s">
        <v>1914</v>
      </c>
      <c r="E233" s="30" t="s">
        <v>875</v>
      </c>
      <c r="F233" s="28" t="s">
        <v>2261</v>
      </c>
      <c r="G233" s="28" t="s">
        <v>1915</v>
      </c>
      <c r="H233" s="28" t="s">
        <v>2193</v>
      </c>
      <c r="I233" s="6">
        <v>503938.13</v>
      </c>
      <c r="J233" s="29">
        <v>253881.99</v>
      </c>
      <c r="K233" s="29">
        <v>500112.28</v>
      </c>
    </row>
    <row r="234" spans="1:11" ht="60" hidden="1" x14ac:dyDescent="0.25">
      <c r="A234" s="30" t="s">
        <v>9</v>
      </c>
      <c r="B234" s="28" t="s">
        <v>1926</v>
      </c>
      <c r="C234" s="28" t="s">
        <v>1925</v>
      </c>
      <c r="D234" s="47" t="s">
        <v>1924</v>
      </c>
      <c r="E234" s="30" t="s">
        <v>825</v>
      </c>
      <c r="F234" s="28" t="s">
        <v>2274</v>
      </c>
      <c r="G234" s="28" t="s">
        <v>21</v>
      </c>
      <c r="H234" s="28" t="s">
        <v>2193</v>
      </c>
      <c r="I234" s="6">
        <v>403563.16</v>
      </c>
      <c r="J234" s="29">
        <v>303223.83</v>
      </c>
      <c r="K234" s="29">
        <v>401357.31</v>
      </c>
    </row>
    <row r="235" spans="1:11" ht="75" hidden="1" x14ac:dyDescent="0.25">
      <c r="A235" s="30" t="s">
        <v>9</v>
      </c>
      <c r="B235" s="28" t="s">
        <v>796</v>
      </c>
      <c r="C235" s="28" t="s">
        <v>1917</v>
      </c>
      <c r="D235" s="47" t="s">
        <v>1916</v>
      </c>
      <c r="E235" s="30" t="s">
        <v>851</v>
      </c>
      <c r="F235" s="28" t="s">
        <v>2274</v>
      </c>
      <c r="G235" s="28" t="s">
        <v>1918</v>
      </c>
      <c r="H235" s="28" t="s">
        <v>2193</v>
      </c>
      <c r="I235" s="6">
        <v>367908</v>
      </c>
      <c r="J235" s="29">
        <v>276461.17</v>
      </c>
      <c r="K235" s="29">
        <v>365787.3</v>
      </c>
    </row>
    <row r="236" spans="1:11" ht="45" hidden="1" x14ac:dyDescent="0.25">
      <c r="A236" s="30" t="s">
        <v>458</v>
      </c>
      <c r="B236" s="28" t="s">
        <v>961</v>
      </c>
      <c r="C236" s="28" t="s">
        <v>958</v>
      </c>
      <c r="D236" s="47" t="s">
        <v>959</v>
      </c>
      <c r="E236" s="30" t="s">
        <v>960</v>
      </c>
      <c r="F236" s="28" t="s">
        <v>2275</v>
      </c>
      <c r="G236" s="28" t="s">
        <v>962</v>
      </c>
      <c r="H236" s="28" t="s">
        <v>2194</v>
      </c>
      <c r="I236" s="6">
        <v>863924.37</v>
      </c>
      <c r="J236" s="6">
        <v>863924.37</v>
      </c>
      <c r="K236" s="29">
        <v>861118.9</v>
      </c>
    </row>
    <row r="237" spans="1:11" ht="60" hidden="1" x14ac:dyDescent="0.25">
      <c r="A237" s="30" t="s">
        <v>73</v>
      </c>
      <c r="B237" s="28" t="s">
        <v>632</v>
      </c>
      <c r="C237" s="28" t="s">
        <v>1867</v>
      </c>
      <c r="D237" s="47" t="s">
        <v>1868</v>
      </c>
      <c r="E237" s="30" t="s">
        <v>1869</v>
      </c>
      <c r="F237" s="28" t="s">
        <v>2276</v>
      </c>
      <c r="G237" s="28" t="s">
        <v>1870</v>
      </c>
      <c r="H237" s="28" t="s">
        <v>2194</v>
      </c>
      <c r="I237" s="6">
        <v>393639.05</v>
      </c>
      <c r="J237" s="6">
        <v>393639.05</v>
      </c>
      <c r="K237" s="29">
        <v>392965.69</v>
      </c>
    </row>
    <row r="238" spans="1:11" ht="75" hidden="1" x14ac:dyDescent="0.25">
      <c r="A238" s="30" t="s">
        <v>258</v>
      </c>
      <c r="B238" s="28" t="s">
        <v>1217</v>
      </c>
      <c r="C238" s="28" t="s">
        <v>1218</v>
      </c>
      <c r="D238" s="47" t="s">
        <v>1219</v>
      </c>
      <c r="E238" s="30" t="s">
        <v>1220</v>
      </c>
      <c r="F238" s="28" t="s">
        <v>2265</v>
      </c>
      <c r="G238" s="28" t="s">
        <v>1221</v>
      </c>
      <c r="H238" s="28" t="s">
        <v>2194</v>
      </c>
      <c r="I238" s="6">
        <v>629047.76</v>
      </c>
      <c r="J238" s="6">
        <v>629047.76</v>
      </c>
      <c r="K238" s="29">
        <v>626656.36</v>
      </c>
    </row>
    <row r="239" spans="1:11" ht="60" hidden="1" x14ac:dyDescent="0.25">
      <c r="A239" s="30" t="s">
        <v>1223</v>
      </c>
      <c r="B239" s="28" t="s">
        <v>1224</v>
      </c>
      <c r="C239" s="28" t="s">
        <v>1225</v>
      </c>
      <c r="D239" s="47" t="s">
        <v>1222</v>
      </c>
      <c r="E239" s="30" t="s">
        <v>1226</v>
      </c>
      <c r="F239" s="28" t="s">
        <v>2293</v>
      </c>
      <c r="G239" s="28" t="s">
        <v>1227</v>
      </c>
      <c r="H239" s="28" t="s">
        <v>2290</v>
      </c>
      <c r="I239" s="6">
        <v>2398755.87</v>
      </c>
      <c r="J239" s="6">
        <v>2398755.87</v>
      </c>
      <c r="K239" s="29">
        <v>2299957.2999999998</v>
      </c>
    </row>
    <row r="240" spans="1:11" ht="45" hidden="1" x14ac:dyDescent="0.25">
      <c r="A240" s="30" t="s">
        <v>978</v>
      </c>
      <c r="B240" s="28" t="s">
        <v>980</v>
      </c>
      <c r="C240" s="28" t="s">
        <v>979</v>
      </c>
      <c r="D240" s="47" t="s">
        <v>981</v>
      </c>
      <c r="E240" s="30" t="s">
        <v>982</v>
      </c>
      <c r="F240" s="28" t="s">
        <v>2269</v>
      </c>
      <c r="G240" s="28" t="s">
        <v>983</v>
      </c>
      <c r="H240" s="28" t="s">
        <v>2197</v>
      </c>
      <c r="I240" s="6">
        <v>1971899.46</v>
      </c>
      <c r="J240" s="29">
        <v>1320848.3700000001</v>
      </c>
      <c r="K240" s="6">
        <v>1971899.46</v>
      </c>
    </row>
    <row r="241" spans="1:11" ht="45" hidden="1" x14ac:dyDescent="0.25">
      <c r="A241" s="30" t="s">
        <v>73</v>
      </c>
      <c r="B241" s="28" t="s">
        <v>632</v>
      </c>
      <c r="C241" s="28" t="s">
        <v>1653</v>
      </c>
      <c r="D241" s="47" t="s">
        <v>1652</v>
      </c>
      <c r="E241" s="30" t="s">
        <v>1654</v>
      </c>
      <c r="F241" s="28" t="s">
        <v>2276</v>
      </c>
      <c r="G241" s="28" t="s">
        <v>1655</v>
      </c>
      <c r="H241" s="28" t="s">
        <v>2194</v>
      </c>
      <c r="I241" s="6">
        <v>9619230.6699999999</v>
      </c>
      <c r="J241" s="6">
        <v>9619230.6699999999</v>
      </c>
      <c r="K241" s="29">
        <v>9494347.9299999997</v>
      </c>
    </row>
    <row r="242" spans="1:11" ht="45" hidden="1" x14ac:dyDescent="0.25">
      <c r="A242" s="30" t="s">
        <v>1001</v>
      </c>
      <c r="B242" s="28" t="s">
        <v>1000</v>
      </c>
      <c r="C242" s="28" t="s">
        <v>996</v>
      </c>
      <c r="D242" s="47" t="s">
        <v>997</v>
      </c>
      <c r="E242" s="30" t="s">
        <v>998</v>
      </c>
      <c r="F242" s="28" t="s">
        <v>2277</v>
      </c>
      <c r="G242" s="28" t="s">
        <v>999</v>
      </c>
      <c r="H242" s="28" t="s">
        <v>2197</v>
      </c>
      <c r="I242" s="6">
        <v>1260832.3700000001</v>
      </c>
      <c r="J242" s="29">
        <v>780170.58</v>
      </c>
      <c r="K242" s="29">
        <v>1199939.8899999999</v>
      </c>
    </row>
    <row r="243" spans="1:11" ht="45" hidden="1" x14ac:dyDescent="0.25">
      <c r="A243" s="30" t="s">
        <v>126</v>
      </c>
      <c r="B243" s="28" t="s">
        <v>1461</v>
      </c>
      <c r="C243" s="28" t="s">
        <v>1459</v>
      </c>
      <c r="D243" s="47" t="s">
        <v>1457</v>
      </c>
      <c r="E243" s="30" t="s">
        <v>1458</v>
      </c>
      <c r="F243" s="28" t="s">
        <v>2278</v>
      </c>
      <c r="G243" s="28" t="s">
        <v>1460</v>
      </c>
      <c r="H243" s="28" t="s">
        <v>2194</v>
      </c>
      <c r="I243" s="6">
        <v>1655701.15</v>
      </c>
      <c r="J243" s="6">
        <v>1655701.15</v>
      </c>
      <c r="K243" s="29">
        <v>1621630.07</v>
      </c>
    </row>
    <row r="244" spans="1:11" ht="60" hidden="1" x14ac:dyDescent="0.25">
      <c r="A244" s="30" t="s">
        <v>184</v>
      </c>
      <c r="B244" s="28" t="s">
        <v>1469</v>
      </c>
      <c r="C244" s="28" t="s">
        <v>1468</v>
      </c>
      <c r="D244" s="47" t="s">
        <v>1467</v>
      </c>
      <c r="E244" s="30" t="s">
        <v>1470</v>
      </c>
      <c r="F244" s="28" t="s">
        <v>2279</v>
      </c>
      <c r="G244" s="28" t="s">
        <v>1471</v>
      </c>
      <c r="H244" s="28" t="s">
        <v>2197</v>
      </c>
      <c r="I244" s="6">
        <v>4073091.07</v>
      </c>
      <c r="J244" s="6">
        <v>4073091.07</v>
      </c>
      <c r="K244" s="29">
        <v>3909669.34</v>
      </c>
    </row>
    <row r="245" spans="1:11" ht="75" hidden="1" x14ac:dyDescent="0.25">
      <c r="A245" s="30" t="s">
        <v>1212</v>
      </c>
      <c r="B245" s="28" t="s">
        <v>961</v>
      </c>
      <c r="C245" s="28" t="s">
        <v>1213</v>
      </c>
      <c r="D245" s="47" t="s">
        <v>1214</v>
      </c>
      <c r="E245" s="30" t="s">
        <v>1215</v>
      </c>
      <c r="F245" s="28" t="s">
        <v>2275</v>
      </c>
      <c r="G245" s="28" t="s">
        <v>1216</v>
      </c>
      <c r="H245" s="28" t="s">
        <v>2194</v>
      </c>
      <c r="I245" s="6">
        <v>1296783.49</v>
      </c>
      <c r="J245" s="29">
        <v>598037.03</v>
      </c>
      <c r="K245" s="29">
        <v>1256127.72</v>
      </c>
    </row>
    <row r="246" spans="1:11" ht="30" hidden="1" x14ac:dyDescent="0.25">
      <c r="A246" s="30" t="s">
        <v>1466</v>
      </c>
      <c r="B246" s="28" t="s">
        <v>1463</v>
      </c>
      <c r="C246" s="28" t="s">
        <v>1484</v>
      </c>
      <c r="D246" s="47" t="s">
        <v>1483</v>
      </c>
      <c r="E246" s="30" t="s">
        <v>1485</v>
      </c>
      <c r="F246" s="28" t="s">
        <v>2280</v>
      </c>
      <c r="G246" s="28" t="s">
        <v>1486</v>
      </c>
      <c r="H246" s="28" t="s">
        <v>2194</v>
      </c>
      <c r="I246" s="6">
        <v>2746657.63</v>
      </c>
      <c r="J246" s="6">
        <v>2746657.63</v>
      </c>
      <c r="K246" s="29">
        <v>2725991.13</v>
      </c>
    </row>
    <row r="247" spans="1:11" ht="60" hidden="1" x14ac:dyDescent="0.25">
      <c r="A247" s="30" t="s">
        <v>1007</v>
      </c>
      <c r="B247" s="28" t="s">
        <v>1003</v>
      </c>
      <c r="C247" s="28" t="s">
        <v>1002</v>
      </c>
      <c r="D247" s="47" t="s">
        <v>1004</v>
      </c>
      <c r="E247" s="30" t="s">
        <v>1005</v>
      </c>
      <c r="F247" s="28" t="s">
        <v>2291</v>
      </c>
      <c r="G247" s="28" t="s">
        <v>1006</v>
      </c>
      <c r="H247" s="28" t="s">
        <v>2290</v>
      </c>
      <c r="I247" s="6">
        <v>1902403.14</v>
      </c>
      <c r="J247" s="6">
        <v>1902403.14</v>
      </c>
      <c r="K247" s="29">
        <v>1899536.81</v>
      </c>
    </row>
    <row r="248" spans="1:11" ht="45" hidden="1" x14ac:dyDescent="0.25">
      <c r="A248" s="30" t="s">
        <v>1617</v>
      </c>
      <c r="B248" s="28" t="s">
        <v>1615</v>
      </c>
      <c r="C248" s="28" t="s">
        <v>1613</v>
      </c>
      <c r="D248" s="47" t="s">
        <v>1614</v>
      </c>
      <c r="E248" s="30" t="s">
        <v>1616</v>
      </c>
      <c r="F248" s="28" t="s">
        <v>2269</v>
      </c>
      <c r="G248" s="28" t="s">
        <v>1618</v>
      </c>
      <c r="H248" s="28" t="s">
        <v>2197</v>
      </c>
      <c r="I248" s="6">
        <v>1786196.54</v>
      </c>
      <c r="J248" s="6">
        <v>1786136.54</v>
      </c>
      <c r="K248" s="29">
        <v>1797489.34</v>
      </c>
    </row>
    <row r="249" spans="1:11" ht="30" hidden="1" x14ac:dyDescent="0.25">
      <c r="A249" s="30" t="s">
        <v>1466</v>
      </c>
      <c r="B249" s="28" t="s">
        <v>1463</v>
      </c>
      <c r="C249" s="28" t="s">
        <v>2195</v>
      </c>
      <c r="D249" s="47" t="s">
        <v>1462</v>
      </c>
      <c r="E249" s="30" t="s">
        <v>1464</v>
      </c>
      <c r="F249" s="28" t="s">
        <v>2280</v>
      </c>
      <c r="G249" s="28" t="s">
        <v>1465</v>
      </c>
      <c r="H249" s="28" t="s">
        <v>2194</v>
      </c>
      <c r="I249" s="6">
        <v>2979498.22</v>
      </c>
      <c r="J249" s="6">
        <v>2979498.22</v>
      </c>
      <c r="K249" s="29">
        <v>2899984.17</v>
      </c>
    </row>
    <row r="250" spans="1:11" ht="45" hidden="1" x14ac:dyDescent="0.25">
      <c r="A250" s="30" t="s">
        <v>1001</v>
      </c>
      <c r="B250" s="28" t="s">
        <v>1000</v>
      </c>
      <c r="C250" s="28" t="s">
        <v>1015</v>
      </c>
      <c r="D250" s="47" t="s">
        <v>1016</v>
      </c>
      <c r="E250" s="30" t="s">
        <v>1017</v>
      </c>
      <c r="F250" s="28" t="s">
        <v>2294</v>
      </c>
      <c r="G250" s="28" t="s">
        <v>2508</v>
      </c>
      <c r="H250" s="28" t="s">
        <v>2290</v>
      </c>
      <c r="I250" s="6">
        <v>534429.92000000004</v>
      </c>
      <c r="J250" s="29">
        <v>105810.95</v>
      </c>
      <c r="K250" s="29">
        <v>534054.88</v>
      </c>
    </row>
    <row r="251" spans="1:11" ht="60" hidden="1" x14ac:dyDescent="0.25">
      <c r="A251" s="30" t="s">
        <v>1612</v>
      </c>
      <c r="B251" s="28" t="s">
        <v>953</v>
      </c>
      <c r="C251" s="28" t="s">
        <v>1609</v>
      </c>
      <c r="D251" s="47" t="s">
        <v>1608</v>
      </c>
      <c r="E251" s="30" t="s">
        <v>1610</v>
      </c>
      <c r="F251" s="28" t="s">
        <v>2291</v>
      </c>
      <c r="G251" s="28" t="s">
        <v>1611</v>
      </c>
      <c r="H251" s="28" t="s">
        <v>2290</v>
      </c>
      <c r="I251" s="6">
        <v>8449393.5399999991</v>
      </c>
      <c r="J251" s="29">
        <v>6828428.8099999996</v>
      </c>
      <c r="K251" s="29">
        <v>8449393.5399999991</v>
      </c>
    </row>
    <row r="252" spans="1:11" ht="60" hidden="1" x14ac:dyDescent="0.25">
      <c r="A252" s="30" t="s">
        <v>1491</v>
      </c>
      <c r="B252" s="28" t="s">
        <v>1449</v>
      </c>
      <c r="C252" s="28" t="s">
        <v>1487</v>
      </c>
      <c r="D252" s="47" t="s">
        <v>1488</v>
      </c>
      <c r="E252" s="30" t="s">
        <v>1489</v>
      </c>
      <c r="F252" s="28" t="s">
        <v>2281</v>
      </c>
      <c r="G252" s="28" t="s">
        <v>1490</v>
      </c>
      <c r="H252" s="28" t="s">
        <v>2197</v>
      </c>
      <c r="I252" s="6">
        <v>1916424.39</v>
      </c>
      <c r="J252" s="29">
        <v>1933774.51</v>
      </c>
      <c r="K252" s="29">
        <v>1916424.39</v>
      </c>
    </row>
    <row r="253" spans="1:11" ht="60" hidden="1" x14ac:dyDescent="0.25">
      <c r="A253" s="30" t="s">
        <v>1451</v>
      </c>
      <c r="B253" s="28" t="s">
        <v>1449</v>
      </c>
      <c r="C253" s="28" t="s">
        <v>1448</v>
      </c>
      <c r="D253" s="47" t="s">
        <v>1446</v>
      </c>
      <c r="E253" s="30" t="s">
        <v>1447</v>
      </c>
      <c r="F253" s="28" t="s">
        <v>2309</v>
      </c>
      <c r="G253" s="28" t="s">
        <v>1450</v>
      </c>
      <c r="H253" s="28" t="s">
        <v>2290</v>
      </c>
      <c r="I253" s="6">
        <v>1651536.82</v>
      </c>
      <c r="J253" s="6">
        <v>1651536.82</v>
      </c>
      <c r="K253" s="29">
        <v>1590534.08</v>
      </c>
    </row>
    <row r="254" spans="1:11" ht="45" hidden="1" x14ac:dyDescent="0.25">
      <c r="A254" s="30" t="s">
        <v>1668</v>
      </c>
      <c r="B254" s="28" t="s">
        <v>1665</v>
      </c>
      <c r="C254" s="28" t="s">
        <v>1664</v>
      </c>
      <c r="D254" s="47" t="s">
        <v>1663</v>
      </c>
      <c r="E254" s="30" t="s">
        <v>1666</v>
      </c>
      <c r="F254" s="28" t="s">
        <v>2282</v>
      </c>
      <c r="G254" s="28" t="s">
        <v>1667</v>
      </c>
      <c r="H254" s="28" t="s">
        <v>2194</v>
      </c>
      <c r="I254" s="6">
        <v>2862158.73</v>
      </c>
      <c r="J254" s="6">
        <v>2862158.73</v>
      </c>
      <c r="K254" s="29">
        <v>2855324.57</v>
      </c>
    </row>
    <row r="255" spans="1:11" ht="45" hidden="1" x14ac:dyDescent="0.25">
      <c r="A255" s="30" t="s">
        <v>1456</v>
      </c>
      <c r="B255" s="28" t="s">
        <v>1449</v>
      </c>
      <c r="C255" s="28" t="s">
        <v>1452</v>
      </c>
      <c r="D255" s="47" t="s">
        <v>1453</v>
      </c>
      <c r="E255" s="30" t="s">
        <v>1454</v>
      </c>
      <c r="F255" s="28" t="s">
        <v>2281</v>
      </c>
      <c r="G255" s="28" t="s">
        <v>1455</v>
      </c>
      <c r="H255" s="28" t="s">
        <v>2197</v>
      </c>
      <c r="I255" s="29">
        <v>1415056.07</v>
      </c>
      <c r="J255" s="29">
        <v>1415056.07</v>
      </c>
      <c r="K255" s="29">
        <v>1318284.3999999999</v>
      </c>
    </row>
    <row r="256" spans="1:11" ht="45" hidden="1" x14ac:dyDescent="0.25">
      <c r="A256" s="30" t="s">
        <v>1606</v>
      </c>
      <c r="B256" s="28" t="s">
        <v>1604</v>
      </c>
      <c r="C256" s="28" t="s">
        <v>1603</v>
      </c>
      <c r="D256" s="47" t="s">
        <v>1602</v>
      </c>
      <c r="E256" s="30" t="s">
        <v>1605</v>
      </c>
      <c r="F256" s="28" t="s">
        <v>2264</v>
      </c>
      <c r="G256" s="28" t="s">
        <v>1607</v>
      </c>
      <c r="H256" s="28" t="s">
        <v>2194</v>
      </c>
      <c r="I256" s="6">
        <v>3420418.72</v>
      </c>
      <c r="J256" s="6">
        <v>3420418.72</v>
      </c>
      <c r="K256" s="29">
        <v>3392572.89</v>
      </c>
    </row>
    <row r="257" spans="1:11" ht="60" hidden="1" x14ac:dyDescent="0.25">
      <c r="A257" s="30" t="s">
        <v>1238</v>
      </c>
      <c r="B257" s="28" t="s">
        <v>1207</v>
      </c>
      <c r="C257" s="28" t="s">
        <v>1239</v>
      </c>
      <c r="D257" s="47" t="s">
        <v>1240</v>
      </c>
      <c r="E257" s="30" t="s">
        <v>1241</v>
      </c>
      <c r="F257" s="28" t="s">
        <v>2263</v>
      </c>
      <c r="G257" s="28" t="s">
        <v>1242</v>
      </c>
      <c r="H257" s="28" t="s">
        <v>2194</v>
      </c>
      <c r="I257" s="6">
        <v>2070557.78</v>
      </c>
      <c r="J257" s="6">
        <v>2070557.78</v>
      </c>
      <c r="K257" s="29">
        <v>1997998.34</v>
      </c>
    </row>
    <row r="258" spans="1:11" ht="45" hidden="1" x14ac:dyDescent="0.25">
      <c r="A258" s="30" t="s">
        <v>1723</v>
      </c>
      <c r="B258" s="28" t="s">
        <v>1721</v>
      </c>
      <c r="C258" s="28" t="s">
        <v>1720</v>
      </c>
      <c r="D258" s="47" t="s">
        <v>1719</v>
      </c>
      <c r="E258" s="30" t="s">
        <v>1722</v>
      </c>
      <c r="F258" s="28" t="s">
        <v>2269</v>
      </c>
      <c r="G258" s="28" t="s">
        <v>1724</v>
      </c>
      <c r="H258" s="28" t="s">
        <v>2197</v>
      </c>
      <c r="I258" s="6">
        <v>2853629.22</v>
      </c>
      <c r="J258" s="6">
        <v>2853629.22</v>
      </c>
      <c r="K258" s="29">
        <v>2851069.39</v>
      </c>
    </row>
    <row r="259" spans="1:11" ht="60" hidden="1" x14ac:dyDescent="0.25">
      <c r="A259" s="30" t="s">
        <v>1009</v>
      </c>
      <c r="B259" s="28" t="s">
        <v>1639</v>
      </c>
      <c r="C259" s="28" t="s">
        <v>1640</v>
      </c>
      <c r="D259" s="47" t="s">
        <v>1638</v>
      </c>
      <c r="E259" s="30" t="s">
        <v>1641</v>
      </c>
      <c r="F259" s="30" t="s">
        <v>2269</v>
      </c>
      <c r="G259" s="28" t="s">
        <v>1642</v>
      </c>
      <c r="H259" s="28" t="s">
        <v>2197</v>
      </c>
      <c r="I259" s="6">
        <v>2615604.91</v>
      </c>
      <c r="J259" s="29">
        <v>2434400.2999999998</v>
      </c>
      <c r="K259" s="29">
        <v>2609103.9500000002</v>
      </c>
    </row>
    <row r="260" spans="1:11" ht="45" hidden="1" x14ac:dyDescent="0.25">
      <c r="A260" s="30" t="s">
        <v>1439</v>
      </c>
      <c r="B260" s="28" t="s">
        <v>1440</v>
      </c>
      <c r="C260" s="28" t="s">
        <v>1441</v>
      </c>
      <c r="D260" s="47" t="s">
        <v>1442</v>
      </c>
      <c r="E260" s="30" t="s">
        <v>1443</v>
      </c>
      <c r="F260" s="28" t="s">
        <v>2269</v>
      </c>
      <c r="G260" s="28" t="s">
        <v>1444</v>
      </c>
      <c r="H260" s="28" t="s">
        <v>2197</v>
      </c>
      <c r="I260" s="6">
        <v>2016076.95</v>
      </c>
      <c r="J260" s="6">
        <v>2016076.95</v>
      </c>
      <c r="K260" s="29">
        <v>1968982.56</v>
      </c>
    </row>
    <row r="261" spans="1:11" ht="60" hidden="1" x14ac:dyDescent="0.25">
      <c r="A261" s="30" t="s">
        <v>1744</v>
      </c>
      <c r="B261" s="28" t="s">
        <v>1742</v>
      </c>
      <c r="C261" s="28" t="s">
        <v>1741</v>
      </c>
      <c r="D261" s="47" t="s">
        <v>1740</v>
      </c>
      <c r="E261" s="30" t="s">
        <v>1743</v>
      </c>
      <c r="F261" s="28" t="s">
        <v>2283</v>
      </c>
      <c r="G261" s="28" t="s">
        <v>1745</v>
      </c>
      <c r="H261" s="28" t="s">
        <v>2194</v>
      </c>
      <c r="I261" s="6">
        <v>5721006.29</v>
      </c>
      <c r="J261" s="6">
        <v>5721006.29</v>
      </c>
      <c r="K261" s="29">
        <v>5679511.0099999998</v>
      </c>
    </row>
    <row r="262" spans="1:11" ht="60" hidden="1" x14ac:dyDescent="0.25">
      <c r="A262" s="30" t="s">
        <v>73</v>
      </c>
      <c r="B262" s="28" t="s">
        <v>1810</v>
      </c>
      <c r="C262" s="28" t="s">
        <v>1811</v>
      </c>
      <c r="D262" s="47" t="s">
        <v>1809</v>
      </c>
      <c r="E262" s="30" t="s">
        <v>1812</v>
      </c>
      <c r="F262" s="28" t="s">
        <v>2473</v>
      </c>
      <c r="G262" s="28" t="s">
        <v>1813</v>
      </c>
      <c r="H262" s="28" t="s">
        <v>2197</v>
      </c>
      <c r="I262" s="6">
        <v>3376107.62</v>
      </c>
      <c r="J262" s="6">
        <v>3376107.62</v>
      </c>
      <c r="K262" s="29">
        <v>3354071.51</v>
      </c>
    </row>
    <row r="263" spans="1:11" ht="60" hidden="1" x14ac:dyDescent="0.25">
      <c r="A263" s="30" t="s">
        <v>134</v>
      </c>
      <c r="B263" s="28" t="s">
        <v>1820</v>
      </c>
      <c r="C263" s="28" t="s">
        <v>1818</v>
      </c>
      <c r="D263" s="47" t="s">
        <v>1819</v>
      </c>
      <c r="E263" s="30" t="s">
        <v>1821</v>
      </c>
      <c r="F263" s="28" t="s">
        <v>2272</v>
      </c>
      <c r="G263" s="28" t="s">
        <v>1822</v>
      </c>
      <c r="H263" s="28" t="s">
        <v>2197</v>
      </c>
      <c r="I263" s="6">
        <v>2781982.67</v>
      </c>
      <c r="J263" s="6">
        <v>2781982.67</v>
      </c>
      <c r="K263" s="29">
        <v>2752337.34</v>
      </c>
    </row>
    <row r="264" spans="1:11" ht="60" hidden="1" x14ac:dyDescent="0.25">
      <c r="A264" s="30" t="s">
        <v>631</v>
      </c>
      <c r="B264" s="28" t="s">
        <v>1874</v>
      </c>
      <c r="C264" s="28" t="s">
        <v>1871</v>
      </c>
      <c r="D264" s="47" t="s">
        <v>1872</v>
      </c>
      <c r="E264" s="30" t="s">
        <v>1873</v>
      </c>
      <c r="F264" s="28" t="s">
        <v>2263</v>
      </c>
      <c r="G264" s="28" t="s">
        <v>2507</v>
      </c>
      <c r="H264" s="28" t="s">
        <v>2194</v>
      </c>
      <c r="I264" s="6">
        <v>5700936.1600000001</v>
      </c>
      <c r="J264" s="6">
        <v>5700936.1600000001</v>
      </c>
      <c r="K264" s="29">
        <v>5629974.5099999998</v>
      </c>
    </row>
    <row r="265" spans="1:11" ht="45" hidden="1" x14ac:dyDescent="0.25">
      <c r="A265" s="30" t="s">
        <v>1624</v>
      </c>
      <c r="B265" s="28" t="s">
        <v>1619</v>
      </c>
      <c r="C265" s="28" t="s">
        <v>1621</v>
      </c>
      <c r="D265" s="47" t="s">
        <v>1620</v>
      </c>
      <c r="E265" s="30" t="s">
        <v>1622</v>
      </c>
      <c r="F265" s="28" t="s">
        <v>2268</v>
      </c>
      <c r="G265" s="28" t="s">
        <v>1623</v>
      </c>
      <c r="H265" s="28" t="s">
        <v>2194</v>
      </c>
      <c r="I265" s="6">
        <v>3690591.47</v>
      </c>
      <c r="J265" s="29">
        <v>3783215.77</v>
      </c>
      <c r="K265" s="29">
        <v>3690591.47</v>
      </c>
    </row>
    <row r="266" spans="1:11" ht="60" hidden="1" x14ac:dyDescent="0.25">
      <c r="A266" s="30" t="s">
        <v>1661</v>
      </c>
      <c r="B266" s="28" t="s">
        <v>1659</v>
      </c>
      <c r="C266" s="28" t="s">
        <v>1658</v>
      </c>
      <c r="D266" s="47" t="s">
        <v>1656</v>
      </c>
      <c r="E266" s="30" t="s">
        <v>1657</v>
      </c>
      <c r="F266" s="28" t="s">
        <v>2284</v>
      </c>
      <c r="G266" s="28" t="s">
        <v>1660</v>
      </c>
      <c r="H266" s="28" t="s">
        <v>2197</v>
      </c>
      <c r="I266" s="6">
        <v>1548667.78</v>
      </c>
      <c r="J266" s="6">
        <v>1548667.78</v>
      </c>
      <c r="K266" s="29">
        <v>1499699.33</v>
      </c>
    </row>
    <row r="267" spans="1:11" ht="45" hidden="1" x14ac:dyDescent="0.25">
      <c r="A267" s="30" t="s">
        <v>129</v>
      </c>
      <c r="B267" s="28" t="s">
        <v>1671</v>
      </c>
      <c r="C267" s="28" t="s">
        <v>1669</v>
      </c>
      <c r="D267" s="47" t="s">
        <v>1670</v>
      </c>
      <c r="E267" s="30" t="s">
        <v>1672</v>
      </c>
      <c r="F267" s="28" t="s">
        <v>2279</v>
      </c>
      <c r="G267" s="28" t="s">
        <v>1673</v>
      </c>
      <c r="H267" s="28" t="s">
        <v>2197</v>
      </c>
      <c r="I267" s="6">
        <v>3874420.02</v>
      </c>
      <c r="J267" s="29">
        <v>3403816.21</v>
      </c>
      <c r="K267" s="29">
        <v>3795808.73</v>
      </c>
    </row>
    <row r="268" spans="1:11" ht="45" hidden="1" x14ac:dyDescent="0.25">
      <c r="A268" s="30" t="s">
        <v>1775</v>
      </c>
      <c r="B268" s="28" t="s">
        <v>1771</v>
      </c>
      <c r="C268" s="28" t="s">
        <v>1772</v>
      </c>
      <c r="D268" s="47" t="s">
        <v>1770</v>
      </c>
      <c r="E268" s="30" t="s">
        <v>1773</v>
      </c>
      <c r="F268" s="28" t="s">
        <v>2308</v>
      </c>
      <c r="G268" s="28" t="s">
        <v>1774</v>
      </c>
      <c r="H268" s="28" t="s">
        <v>2193</v>
      </c>
      <c r="I268" s="6">
        <v>5505484.9500000002</v>
      </c>
      <c r="J268" s="29">
        <v>5505484.9500000002</v>
      </c>
      <c r="K268" s="29">
        <v>5165280.09</v>
      </c>
    </row>
    <row r="269" spans="1:11" ht="75" hidden="1" x14ac:dyDescent="0.25">
      <c r="A269" s="30" t="s">
        <v>299</v>
      </c>
      <c r="B269" s="28" t="s">
        <v>898</v>
      </c>
      <c r="C269" s="28" t="s">
        <v>1779</v>
      </c>
      <c r="D269" s="47" t="s">
        <v>1778</v>
      </c>
      <c r="E269" s="30" t="s">
        <v>1780</v>
      </c>
      <c r="F269" s="28" t="s">
        <v>2264</v>
      </c>
      <c r="G269" s="28" t="s">
        <v>1781</v>
      </c>
      <c r="H269" s="28" t="s">
        <v>2194</v>
      </c>
      <c r="I269" s="6">
        <v>1957041.47</v>
      </c>
      <c r="J269" s="6">
        <v>1957041.47</v>
      </c>
      <c r="K269" s="29">
        <v>1881441.35</v>
      </c>
    </row>
    <row r="270" spans="1:11" ht="45" hidden="1" x14ac:dyDescent="0.25">
      <c r="A270" s="30" t="s">
        <v>9</v>
      </c>
      <c r="B270" s="28" t="s">
        <v>2070</v>
      </c>
      <c r="C270" s="28" t="s">
        <v>2069</v>
      </c>
      <c r="D270" s="47" t="s">
        <v>2068</v>
      </c>
      <c r="E270" s="30" t="s">
        <v>2061</v>
      </c>
      <c r="F270" s="28" t="s">
        <v>2478</v>
      </c>
      <c r="G270" s="28" t="s">
        <v>2071</v>
      </c>
      <c r="H270" s="28" t="s">
        <v>2477</v>
      </c>
      <c r="I270" s="6">
        <v>25000000</v>
      </c>
      <c r="J270" s="29"/>
      <c r="K270" s="29">
        <v>28623613.550000001</v>
      </c>
    </row>
    <row r="271" spans="1:11" ht="60" hidden="1" x14ac:dyDescent="0.25">
      <c r="A271" s="30" t="s">
        <v>25</v>
      </c>
      <c r="B271" s="28" t="s">
        <v>391</v>
      </c>
      <c r="C271" s="28" t="s">
        <v>2198</v>
      </c>
      <c r="D271" s="47" t="s">
        <v>2236</v>
      </c>
      <c r="E271" s="30" t="s">
        <v>2199</v>
      </c>
      <c r="F271" s="28" t="s">
        <v>2201</v>
      </c>
      <c r="G271" s="28" t="s">
        <v>2237</v>
      </c>
      <c r="H271" s="28" t="s">
        <v>2200</v>
      </c>
      <c r="I271" s="6">
        <v>16525949.439999999</v>
      </c>
      <c r="J271" s="29"/>
      <c r="K271" s="29">
        <v>16201052.08</v>
      </c>
    </row>
    <row r="272" spans="1:11" ht="45" hidden="1" x14ac:dyDescent="0.25">
      <c r="A272" s="30" t="s">
        <v>32</v>
      </c>
      <c r="B272" s="28" t="s">
        <v>2230</v>
      </c>
      <c r="C272" s="28" t="s">
        <v>2207</v>
      </c>
      <c r="D272" s="47" t="s">
        <v>2229</v>
      </c>
      <c r="E272" s="30" t="s">
        <v>2208</v>
      </c>
      <c r="F272" s="28" t="s">
        <v>2201</v>
      </c>
      <c r="G272" s="28" t="s">
        <v>2506</v>
      </c>
      <c r="H272" s="28" t="s">
        <v>2200</v>
      </c>
      <c r="I272" s="6">
        <v>12651218.23</v>
      </c>
      <c r="J272" s="29"/>
      <c r="K272" s="29">
        <v>12456963.140000001</v>
      </c>
    </row>
    <row r="273" spans="1:11" ht="90" hidden="1" x14ac:dyDescent="0.25">
      <c r="A273" s="30" t="s">
        <v>9</v>
      </c>
      <c r="B273" s="28" t="s">
        <v>2234</v>
      </c>
      <c r="C273" s="28" t="s">
        <v>2212</v>
      </c>
      <c r="D273" s="47" t="s">
        <v>2233</v>
      </c>
      <c r="E273" s="30" t="s">
        <v>2213</v>
      </c>
      <c r="F273" s="28" t="s">
        <v>2214</v>
      </c>
      <c r="G273" s="28" t="s">
        <v>2235</v>
      </c>
      <c r="H273" s="28" t="s">
        <v>2200</v>
      </c>
      <c r="I273" s="6">
        <v>11717702.24</v>
      </c>
      <c r="J273" s="29"/>
      <c r="K273" s="29">
        <v>9516565.0800000001</v>
      </c>
    </row>
    <row r="274" spans="1:11" ht="90" hidden="1" x14ac:dyDescent="0.25">
      <c r="A274" s="30" t="s">
        <v>9</v>
      </c>
      <c r="B274" s="28" t="s">
        <v>873</v>
      </c>
      <c r="C274" s="28" t="s">
        <v>2215</v>
      </c>
      <c r="D274" s="47" t="s">
        <v>2224</v>
      </c>
      <c r="E274" s="30" t="s">
        <v>2216</v>
      </c>
      <c r="F274" s="28" t="s">
        <v>2214</v>
      </c>
      <c r="G274" s="28" t="s">
        <v>2505</v>
      </c>
      <c r="H274" s="28" t="s">
        <v>2200</v>
      </c>
      <c r="I274" s="6">
        <v>29062225.399999999</v>
      </c>
      <c r="J274" s="29"/>
      <c r="K274" s="29">
        <v>28150335.899999999</v>
      </c>
    </row>
    <row r="275" spans="1:11" ht="90" hidden="1" x14ac:dyDescent="0.25">
      <c r="A275" s="30" t="s">
        <v>9</v>
      </c>
      <c r="B275" s="28" t="s">
        <v>779</v>
      </c>
      <c r="C275" s="28" t="s">
        <v>2219</v>
      </c>
      <c r="D275" s="47" t="s">
        <v>2232</v>
      </c>
      <c r="E275" s="30" t="s">
        <v>2220</v>
      </c>
      <c r="F275" s="28" t="s">
        <v>2221</v>
      </c>
      <c r="G275" s="28" t="s">
        <v>21</v>
      </c>
      <c r="H275" s="28" t="s">
        <v>910</v>
      </c>
      <c r="I275" s="6">
        <v>1472663.79</v>
      </c>
      <c r="J275" s="29"/>
      <c r="K275" s="29">
        <v>1118120.47</v>
      </c>
    </row>
    <row r="276" spans="1:11" ht="60" hidden="1" x14ac:dyDescent="0.25">
      <c r="A276" s="30" t="s">
        <v>9</v>
      </c>
      <c r="B276" s="28" t="s">
        <v>169</v>
      </c>
      <c r="C276" s="28" t="s">
        <v>2217</v>
      </c>
      <c r="D276" s="47" t="s">
        <v>2223</v>
      </c>
      <c r="E276" s="30" t="s">
        <v>2218</v>
      </c>
      <c r="F276" s="28" t="s">
        <v>2214</v>
      </c>
      <c r="G276" s="28" t="s">
        <v>2504</v>
      </c>
      <c r="H276" s="28" t="s">
        <v>2200</v>
      </c>
      <c r="I276" s="6">
        <v>6531492.4100000001</v>
      </c>
      <c r="J276" s="29"/>
      <c r="K276" s="29">
        <v>6490215.8099999996</v>
      </c>
    </row>
    <row r="277" spans="1:11" ht="60" hidden="1" x14ac:dyDescent="0.25">
      <c r="A277" s="30" t="s">
        <v>2206</v>
      </c>
      <c r="B277" s="28" t="s">
        <v>898</v>
      </c>
      <c r="C277" s="28" t="s">
        <v>2204</v>
      </c>
      <c r="D277" s="47" t="s">
        <v>2222</v>
      </c>
      <c r="E277" s="30" t="s">
        <v>2205</v>
      </c>
      <c r="F277" s="28" t="s">
        <v>2203</v>
      </c>
      <c r="G277" s="28" t="s">
        <v>2503</v>
      </c>
      <c r="H277" s="28" t="s">
        <v>2200</v>
      </c>
      <c r="I277" s="6">
        <v>5217911.9000000004</v>
      </c>
      <c r="J277" s="29"/>
      <c r="K277" s="29">
        <v>5188754.83</v>
      </c>
    </row>
    <row r="278" spans="1:11" ht="60" hidden="1" x14ac:dyDescent="0.25">
      <c r="A278" s="30" t="s">
        <v>148</v>
      </c>
      <c r="B278" s="28" t="s">
        <v>686</v>
      </c>
      <c r="C278" s="28" t="s">
        <v>2209</v>
      </c>
      <c r="D278" s="47" t="s">
        <v>2225</v>
      </c>
      <c r="E278" s="30" t="s">
        <v>2210</v>
      </c>
      <c r="F278" s="28" t="s">
        <v>2211</v>
      </c>
      <c r="G278" s="28" t="s">
        <v>2502</v>
      </c>
      <c r="H278" s="28" t="s">
        <v>2200</v>
      </c>
      <c r="I278" s="6">
        <v>6186834.0700000003</v>
      </c>
      <c r="J278" s="29"/>
      <c r="K278" s="29">
        <v>6186834.0700000003</v>
      </c>
    </row>
    <row r="279" spans="1:11" ht="45" hidden="1" x14ac:dyDescent="0.25">
      <c r="A279" s="30" t="s">
        <v>64</v>
      </c>
      <c r="B279" s="28" t="s">
        <v>2227</v>
      </c>
      <c r="C279" s="28" t="s">
        <v>2226</v>
      </c>
      <c r="D279" s="47" t="s">
        <v>2228</v>
      </c>
      <c r="E279" s="30" t="s">
        <v>2202</v>
      </c>
      <c r="F279" s="28" t="s">
        <v>2203</v>
      </c>
      <c r="G279" s="28" t="s">
        <v>2501</v>
      </c>
      <c r="H279" s="28" t="s">
        <v>2200</v>
      </c>
      <c r="I279" s="6">
        <v>7203134.6799999997</v>
      </c>
      <c r="J279" s="29"/>
      <c r="K279" s="29">
        <v>7191166.0899999999</v>
      </c>
    </row>
    <row r="280" spans="1:11" ht="60" hidden="1" x14ac:dyDescent="0.25">
      <c r="A280" s="30" t="s">
        <v>9</v>
      </c>
      <c r="B280" s="28" t="s">
        <v>2072</v>
      </c>
      <c r="C280" s="28" t="s">
        <v>2073</v>
      </c>
      <c r="D280" s="47" t="s">
        <v>2074</v>
      </c>
      <c r="E280" s="30" t="s">
        <v>2061</v>
      </c>
      <c r="F280" s="28" t="s">
        <v>2062</v>
      </c>
      <c r="G280" s="28" t="s">
        <v>21</v>
      </c>
      <c r="H280" s="28" t="s">
        <v>2063</v>
      </c>
      <c r="I280" s="6">
        <v>5926724.8399999999</v>
      </c>
      <c r="J280" s="29"/>
      <c r="K280" s="29">
        <v>638000</v>
      </c>
    </row>
    <row r="281" spans="1:11" ht="75" hidden="1" x14ac:dyDescent="0.25">
      <c r="A281" s="30" t="s">
        <v>9</v>
      </c>
      <c r="B281" s="28" t="s">
        <v>2059</v>
      </c>
      <c r="C281" s="28" t="s">
        <v>2060</v>
      </c>
      <c r="D281" s="47" t="s">
        <v>2058</v>
      </c>
      <c r="E281" s="30" t="s">
        <v>2061</v>
      </c>
      <c r="F281" s="28" t="s">
        <v>2062</v>
      </c>
      <c r="G281" s="28" t="s">
        <v>21</v>
      </c>
      <c r="H281" s="28" t="s">
        <v>2063</v>
      </c>
      <c r="I281" s="6">
        <v>5926724.8399999999</v>
      </c>
      <c r="J281" s="29"/>
      <c r="K281" s="29">
        <v>233558.91</v>
      </c>
    </row>
    <row r="282" spans="1:11" hidden="1" x14ac:dyDescent="0.25">
      <c r="A282" s="30"/>
      <c r="B282" s="28"/>
      <c r="C282" s="28"/>
      <c r="D282" s="47"/>
      <c r="E282" s="30"/>
      <c r="F282" s="28"/>
      <c r="G282" s="28"/>
      <c r="H282" s="28"/>
      <c r="I282" s="6"/>
      <c r="J282" s="29"/>
      <c r="K282" s="29"/>
    </row>
    <row r="283" spans="1:11" hidden="1" x14ac:dyDescent="0.25">
      <c r="A283" s="30"/>
      <c r="B283" s="28"/>
      <c r="C283" s="28"/>
      <c r="D283" s="47"/>
      <c r="E283" s="30"/>
      <c r="F283" s="28"/>
      <c r="G283" s="28"/>
      <c r="H283" s="28"/>
      <c r="I283" s="6"/>
      <c r="J283" s="29"/>
      <c r="K283" s="29"/>
    </row>
    <row r="284" spans="1:11" hidden="1" x14ac:dyDescent="0.25">
      <c r="A284" s="30"/>
      <c r="B284" s="28"/>
      <c r="C284" s="28"/>
      <c r="D284" s="47"/>
      <c r="E284" s="30"/>
      <c r="F284" s="28"/>
      <c r="G284" s="28"/>
      <c r="H284" s="28"/>
      <c r="I284" s="6"/>
      <c r="J284" s="29"/>
      <c r="K284" s="29"/>
    </row>
    <row r="285" spans="1:11" hidden="1" x14ac:dyDescent="0.25">
      <c r="A285" s="30"/>
      <c r="B285" s="28"/>
      <c r="C285" s="28"/>
      <c r="D285" s="47"/>
      <c r="E285" s="30"/>
      <c r="F285" s="28"/>
      <c r="G285" s="28"/>
      <c r="H285" s="28"/>
      <c r="I285" s="6"/>
      <c r="J285" s="29"/>
      <c r="K285" s="29"/>
    </row>
    <row r="286" spans="1:11" hidden="1" x14ac:dyDescent="0.25">
      <c r="A286" s="30"/>
      <c r="B286" s="28"/>
      <c r="C286" s="28"/>
      <c r="D286" s="47"/>
      <c r="E286" s="30"/>
      <c r="F286" s="28"/>
      <c r="G286" s="28"/>
      <c r="H286" s="28"/>
      <c r="I286" s="6"/>
      <c r="J286" s="29"/>
      <c r="K286" s="29"/>
    </row>
    <row r="287" spans="1:11" hidden="1" x14ac:dyDescent="0.25">
      <c r="A287" s="30"/>
      <c r="B287" s="28"/>
      <c r="C287" s="28"/>
      <c r="D287" s="47"/>
      <c r="E287" s="30"/>
      <c r="F287" s="28"/>
      <c r="G287" s="28"/>
      <c r="H287" s="28"/>
      <c r="I287" s="6"/>
      <c r="J287" s="29"/>
      <c r="K287" s="29"/>
    </row>
    <row r="288" spans="1:11" hidden="1" x14ac:dyDescent="0.25">
      <c r="A288" s="30"/>
      <c r="B288" s="28"/>
      <c r="C288" s="28"/>
      <c r="D288" s="47"/>
      <c r="E288" s="30"/>
      <c r="F288" s="28"/>
      <c r="G288" s="28"/>
      <c r="H288" s="28"/>
      <c r="I288" s="6"/>
      <c r="J288" s="29"/>
      <c r="K288" s="29"/>
    </row>
    <row r="289" spans="1:11" hidden="1" x14ac:dyDescent="0.25">
      <c r="A289" s="30"/>
      <c r="B289" s="28"/>
      <c r="C289" s="28"/>
      <c r="D289" s="47"/>
      <c r="E289" s="30"/>
      <c r="F289" s="28"/>
      <c r="G289" s="28"/>
      <c r="H289" s="28"/>
      <c r="I289" s="6"/>
      <c r="J289" s="29"/>
      <c r="K289" s="29"/>
    </row>
    <row r="290" spans="1:11" x14ac:dyDescent="0.25">
      <c r="A290" s="30"/>
      <c r="B290" s="28"/>
      <c r="C290" s="28"/>
      <c r="D290" s="47"/>
      <c r="E290" s="30"/>
      <c r="F290" s="28"/>
      <c r="G290" s="28"/>
      <c r="H290" s="28"/>
      <c r="I290" s="6"/>
      <c r="J290" s="29"/>
      <c r="K290" s="29"/>
    </row>
    <row r="291" spans="1:11" x14ac:dyDescent="0.25">
      <c r="A291" s="30"/>
      <c r="B291" s="28"/>
      <c r="C291" s="28"/>
      <c r="D291" s="47"/>
      <c r="E291" s="30"/>
      <c r="F291" s="28"/>
      <c r="G291" s="28"/>
      <c r="H291" s="28"/>
      <c r="I291" s="6"/>
      <c r="J291" s="29"/>
      <c r="K291" s="29"/>
    </row>
    <row r="292" spans="1:11" x14ac:dyDescent="0.25">
      <c r="A292" s="30"/>
      <c r="B292" s="28"/>
      <c r="C292" s="28"/>
      <c r="D292" s="47"/>
      <c r="E292" s="30"/>
      <c r="F292" s="28"/>
      <c r="G292" s="28"/>
      <c r="H292" s="28"/>
      <c r="I292" s="6"/>
      <c r="J292" s="29"/>
      <c r="K292" s="29"/>
    </row>
    <row r="293" spans="1:11" x14ac:dyDescent="0.25">
      <c r="A293" s="30"/>
      <c r="B293" s="28"/>
      <c r="C293" s="28"/>
      <c r="D293" s="47"/>
      <c r="E293" s="30"/>
      <c r="F293" s="28"/>
      <c r="G293" s="28"/>
      <c r="H293" s="28"/>
      <c r="I293" s="6"/>
      <c r="J293" s="29"/>
      <c r="K293" s="29"/>
    </row>
    <row r="294" spans="1:11" x14ac:dyDescent="0.25">
      <c r="A294" s="30"/>
      <c r="B294" s="28"/>
      <c r="C294" s="28"/>
      <c r="D294" s="47"/>
      <c r="E294" s="30"/>
      <c r="F294" s="28"/>
      <c r="G294" s="28"/>
      <c r="H294" s="28"/>
      <c r="I294" s="6"/>
      <c r="J294" s="29"/>
      <c r="K294" s="29"/>
    </row>
    <row r="295" spans="1:11" x14ac:dyDescent="0.25">
      <c r="A295" s="30"/>
      <c r="B295" s="28"/>
      <c r="C295" s="28"/>
      <c r="D295" s="47"/>
      <c r="E295" s="30"/>
      <c r="F295" s="28"/>
      <c r="G295" s="28"/>
      <c r="H295" s="28"/>
      <c r="I295" s="6"/>
      <c r="J295" s="29"/>
      <c r="K295" s="29"/>
    </row>
    <row r="296" spans="1:11" x14ac:dyDescent="0.25">
      <c r="A296" s="30"/>
      <c r="B296" s="28"/>
      <c r="C296" s="28"/>
      <c r="D296" s="47"/>
      <c r="E296" s="30"/>
      <c r="F296" s="28"/>
      <c r="G296" s="28"/>
      <c r="H296" s="28"/>
      <c r="I296" s="6"/>
      <c r="J296" s="29"/>
      <c r="K296" s="29"/>
    </row>
    <row r="297" spans="1:11" x14ac:dyDescent="0.25">
      <c r="A297" s="30"/>
      <c r="B297" s="28"/>
      <c r="C297" s="28"/>
      <c r="D297" s="47"/>
      <c r="E297" s="30"/>
      <c r="F297" s="28"/>
      <c r="G297" s="28"/>
      <c r="H297" s="28"/>
      <c r="I297" s="6"/>
      <c r="J297" s="29"/>
      <c r="K297" s="29"/>
    </row>
    <row r="298" spans="1:11" x14ac:dyDescent="0.25">
      <c r="A298" s="30"/>
      <c r="B298" s="28"/>
      <c r="C298" s="28"/>
      <c r="D298" s="47"/>
      <c r="E298" s="30"/>
      <c r="F298" s="28"/>
      <c r="G298" s="28"/>
      <c r="H298" s="28"/>
      <c r="I298" s="6"/>
      <c r="J298" s="29"/>
      <c r="K298" s="29"/>
    </row>
    <row r="299" spans="1:11" x14ac:dyDescent="0.25">
      <c r="A299" s="30"/>
      <c r="B299" s="28"/>
      <c r="C299" s="28"/>
      <c r="D299" s="47"/>
      <c r="E299" s="30"/>
      <c r="F299" s="28"/>
      <c r="G299" s="28"/>
      <c r="H299" s="28"/>
      <c r="I299" s="6"/>
      <c r="J299" s="29"/>
      <c r="K299" s="29"/>
    </row>
    <row r="300" spans="1:11" x14ac:dyDescent="0.25">
      <c r="A300" s="30"/>
      <c r="B300" s="28"/>
      <c r="C300" s="28"/>
      <c r="D300" s="47"/>
      <c r="E300" s="30"/>
      <c r="F300" s="28"/>
      <c r="G300" s="28"/>
      <c r="H300" s="28"/>
      <c r="I300" s="6"/>
      <c r="J300" s="29"/>
      <c r="K300" s="29"/>
    </row>
    <row r="301" spans="1:11" x14ac:dyDescent="0.25">
      <c r="A301" s="30"/>
      <c r="B301" s="28"/>
      <c r="C301" s="28"/>
      <c r="D301" s="47"/>
      <c r="E301" s="30"/>
      <c r="F301" s="28"/>
      <c r="G301" s="28"/>
      <c r="H301" s="28"/>
      <c r="I301" s="6"/>
      <c r="J301" s="29"/>
      <c r="K301" s="29"/>
    </row>
    <row r="302" spans="1:11" x14ac:dyDescent="0.25">
      <c r="A302" s="30"/>
      <c r="B302" s="28"/>
      <c r="C302" s="28"/>
      <c r="D302" s="47"/>
      <c r="E302" s="30"/>
      <c r="F302" s="28"/>
      <c r="G302" s="28"/>
      <c r="H302" s="28"/>
      <c r="I302" s="6"/>
      <c r="J302" s="29"/>
      <c r="K302" s="29"/>
    </row>
    <row r="303" spans="1:11" x14ac:dyDescent="0.25">
      <c r="A303" s="30"/>
      <c r="B303" s="28"/>
      <c r="C303" s="28"/>
      <c r="D303" s="47"/>
      <c r="E303" s="30"/>
      <c r="F303" s="28"/>
      <c r="G303" s="28"/>
      <c r="H303" s="28"/>
      <c r="I303" s="6"/>
      <c r="J303" s="29"/>
      <c r="K303" s="29"/>
    </row>
    <row r="304" spans="1:11" x14ac:dyDescent="0.25">
      <c r="A304" s="30"/>
      <c r="B304" s="28"/>
      <c r="C304" s="28"/>
      <c r="D304" s="47"/>
      <c r="E304" s="30"/>
      <c r="F304" s="28"/>
      <c r="G304" s="28"/>
      <c r="H304" s="28"/>
      <c r="I304" s="6"/>
      <c r="J304" s="29"/>
      <c r="K304" s="29"/>
    </row>
    <row r="305" spans="1:11" x14ac:dyDescent="0.25">
      <c r="A305" s="30"/>
      <c r="B305" s="28"/>
      <c r="C305" s="28"/>
      <c r="D305" s="47"/>
      <c r="E305" s="30"/>
      <c r="F305" s="28"/>
      <c r="G305" s="28"/>
      <c r="H305" s="28"/>
      <c r="I305" s="6"/>
      <c r="J305" s="29"/>
      <c r="K305" s="29"/>
    </row>
    <row r="306" spans="1:11" x14ac:dyDescent="0.25">
      <c r="A306" s="30"/>
      <c r="B306" s="28"/>
      <c r="C306" s="28"/>
      <c r="D306" s="47"/>
      <c r="E306" s="30"/>
      <c r="F306" s="28"/>
      <c r="G306" s="28"/>
      <c r="H306" s="28"/>
      <c r="I306" s="6"/>
      <c r="J306" s="29"/>
      <c r="K306" s="29"/>
    </row>
    <row r="307" spans="1:11" x14ac:dyDescent="0.25">
      <c r="A307" s="30"/>
      <c r="B307" s="28"/>
      <c r="C307" s="28"/>
      <c r="D307" s="47"/>
      <c r="E307" s="30"/>
      <c r="F307" s="28"/>
      <c r="G307" s="28"/>
      <c r="H307" s="28"/>
      <c r="I307" s="6"/>
      <c r="J307" s="29"/>
      <c r="K307" s="29"/>
    </row>
    <row r="308" spans="1:11" x14ac:dyDescent="0.25">
      <c r="A308" s="30"/>
      <c r="B308" s="28"/>
      <c r="C308" s="28"/>
      <c r="D308" s="47"/>
      <c r="E308" s="30"/>
      <c r="F308" s="28"/>
      <c r="G308" s="28"/>
      <c r="H308" s="28"/>
      <c r="I308" s="6"/>
      <c r="J308" s="29"/>
      <c r="K308" s="29"/>
    </row>
    <row r="309" spans="1:11" x14ac:dyDescent="0.25">
      <c r="A309" s="30"/>
      <c r="B309" s="28"/>
      <c r="C309" s="28"/>
      <c r="D309" s="47"/>
      <c r="E309" s="30"/>
      <c r="F309" s="28"/>
      <c r="G309" s="28"/>
      <c r="H309" s="28"/>
      <c r="I309" s="6"/>
      <c r="J309" s="29"/>
      <c r="K309" s="29"/>
    </row>
    <row r="310" spans="1:11" x14ac:dyDescent="0.25">
      <c r="A310" s="30"/>
      <c r="B310" s="28"/>
      <c r="C310" s="28"/>
      <c r="D310" s="47"/>
      <c r="E310" s="30"/>
      <c r="F310" s="28"/>
      <c r="G310" s="28"/>
      <c r="H310" s="28"/>
      <c r="I310" s="6"/>
      <c r="J310" s="29"/>
      <c r="K310" s="29"/>
    </row>
    <row r="311" spans="1:11" x14ac:dyDescent="0.25">
      <c r="A311" s="30"/>
      <c r="B311" s="28"/>
      <c r="C311" s="28"/>
      <c r="D311" s="47"/>
      <c r="E311" s="30"/>
      <c r="F311" s="28"/>
      <c r="G311" s="28"/>
      <c r="H311" s="28"/>
      <c r="I311" s="6"/>
      <c r="J311" s="29"/>
      <c r="K311" s="29"/>
    </row>
    <row r="312" spans="1:11" x14ac:dyDescent="0.25">
      <c r="A312" s="30"/>
      <c r="B312" s="28"/>
      <c r="C312" s="28"/>
      <c r="D312" s="47"/>
      <c r="E312" s="30"/>
      <c r="F312" s="28"/>
      <c r="G312" s="28"/>
      <c r="H312" s="28"/>
      <c r="I312" s="6"/>
      <c r="J312" s="29"/>
      <c r="K312" s="29"/>
    </row>
    <row r="313" spans="1:11" x14ac:dyDescent="0.25">
      <c r="A313" s="30"/>
      <c r="B313" s="28"/>
      <c r="C313" s="28"/>
      <c r="D313" s="47"/>
      <c r="E313" s="30"/>
      <c r="F313" s="28"/>
      <c r="G313" s="28"/>
      <c r="H313" s="28"/>
      <c r="I313" s="6"/>
      <c r="J313" s="29"/>
      <c r="K313" s="29"/>
    </row>
    <row r="314" spans="1:11" x14ac:dyDescent="0.25">
      <c r="A314" s="30"/>
      <c r="B314" s="28"/>
      <c r="C314" s="28"/>
      <c r="D314" s="47"/>
      <c r="E314" s="30"/>
      <c r="F314" s="28"/>
      <c r="G314" s="28"/>
      <c r="H314" s="28"/>
      <c r="I314" s="6"/>
      <c r="J314" s="29"/>
      <c r="K314" s="29"/>
    </row>
    <row r="315" spans="1:11" x14ac:dyDescent="0.25">
      <c r="A315" s="30"/>
      <c r="B315" s="28"/>
      <c r="C315" s="28"/>
      <c r="D315" s="47"/>
      <c r="E315" s="30"/>
      <c r="F315" s="28"/>
      <c r="G315" s="28"/>
      <c r="H315" s="28"/>
      <c r="I315" s="6"/>
      <c r="J315" s="29"/>
      <c r="K315" s="29"/>
    </row>
    <row r="316" spans="1:11" x14ac:dyDescent="0.25">
      <c r="A316" s="30"/>
      <c r="B316" s="28"/>
      <c r="C316" s="28"/>
      <c r="D316" s="47"/>
      <c r="E316" s="30"/>
      <c r="F316" s="28"/>
      <c r="G316" s="28"/>
      <c r="H316" s="28"/>
      <c r="I316" s="6"/>
      <c r="J316" s="29"/>
      <c r="K316" s="29"/>
    </row>
    <row r="317" spans="1:11" x14ac:dyDescent="0.25">
      <c r="A317" s="30"/>
      <c r="B317" s="28"/>
      <c r="C317" s="28"/>
      <c r="D317" s="47"/>
      <c r="E317" s="30"/>
      <c r="F317" s="28"/>
      <c r="G317" s="28"/>
      <c r="H317" s="28"/>
      <c r="I317" s="6"/>
      <c r="J317" s="29"/>
      <c r="K317" s="29"/>
    </row>
    <row r="318" spans="1:11" x14ac:dyDescent="0.25">
      <c r="A318" s="30"/>
      <c r="B318" s="28"/>
      <c r="C318" s="28"/>
      <c r="D318" s="47"/>
      <c r="E318" s="30"/>
      <c r="F318" s="28"/>
      <c r="G318" s="28"/>
      <c r="H318" s="28"/>
      <c r="I318" s="6"/>
      <c r="J318" s="29"/>
      <c r="K318" s="29"/>
    </row>
    <row r="319" spans="1:11" x14ac:dyDescent="0.25">
      <c r="A319" s="30"/>
      <c r="B319" s="28"/>
      <c r="C319" s="28"/>
      <c r="D319" s="47"/>
      <c r="E319" s="30"/>
      <c r="F319" s="28"/>
      <c r="G319" s="28"/>
      <c r="H319" s="28"/>
      <c r="I319" s="6"/>
      <c r="J319" s="29"/>
      <c r="K319" s="29"/>
    </row>
    <row r="320" spans="1:11" x14ac:dyDescent="0.25">
      <c r="A320" s="30"/>
      <c r="B320" s="28"/>
      <c r="C320" s="28"/>
      <c r="D320" s="47"/>
      <c r="E320" s="30"/>
      <c r="F320" s="28"/>
      <c r="G320" s="28"/>
      <c r="H320" s="28"/>
      <c r="I320" s="6"/>
      <c r="J320" s="29"/>
      <c r="K320" s="29"/>
    </row>
    <row r="321" spans="1:11" x14ac:dyDescent="0.25">
      <c r="A321" s="30"/>
      <c r="B321" s="28"/>
      <c r="C321" s="28"/>
      <c r="D321" s="47"/>
      <c r="E321" s="30"/>
      <c r="F321" s="28"/>
      <c r="G321" s="28"/>
      <c r="H321" s="28"/>
      <c r="I321" s="6"/>
      <c r="J321" s="29"/>
      <c r="K321" s="29"/>
    </row>
    <row r="322" spans="1:11" x14ac:dyDescent="0.25">
      <c r="A322" s="30"/>
      <c r="B322" s="28"/>
      <c r="C322" s="28"/>
      <c r="D322" s="47"/>
      <c r="E322" s="30"/>
      <c r="F322" s="28"/>
      <c r="G322" s="28"/>
      <c r="H322" s="28"/>
      <c r="I322" s="6"/>
      <c r="J322" s="29"/>
      <c r="K322" s="29"/>
    </row>
    <row r="323" spans="1:11" x14ac:dyDescent="0.25">
      <c r="A323" s="30"/>
      <c r="B323" s="28"/>
      <c r="C323" s="28"/>
      <c r="D323" s="47"/>
      <c r="E323" s="30"/>
      <c r="F323" s="28"/>
      <c r="G323" s="28"/>
      <c r="H323" s="28"/>
      <c r="I323" s="6"/>
      <c r="J323" s="29"/>
      <c r="K323" s="29"/>
    </row>
    <row r="324" spans="1:11" x14ac:dyDescent="0.25">
      <c r="A324" s="30"/>
      <c r="B324" s="28"/>
      <c r="C324" s="28"/>
      <c r="D324" s="47"/>
      <c r="E324" s="30"/>
      <c r="F324" s="28"/>
      <c r="G324" s="28"/>
      <c r="H324" s="28"/>
      <c r="I324" s="6"/>
      <c r="J324" s="29"/>
      <c r="K324" s="29"/>
    </row>
    <row r="325" spans="1:11" x14ac:dyDescent="0.25">
      <c r="A325" s="30"/>
      <c r="B325" s="28"/>
      <c r="C325" s="28"/>
      <c r="D325" s="47"/>
      <c r="E325" s="30"/>
      <c r="F325" s="28"/>
      <c r="G325" s="28"/>
      <c r="H325" s="28"/>
      <c r="I325" s="6"/>
      <c r="J325" s="29"/>
      <c r="K325" s="29"/>
    </row>
    <row r="326" spans="1:11" x14ac:dyDescent="0.25">
      <c r="A326" s="30"/>
      <c r="B326" s="28"/>
      <c r="C326" s="28"/>
      <c r="D326" s="47"/>
      <c r="E326" s="30"/>
      <c r="F326" s="28"/>
      <c r="G326" s="28"/>
      <c r="H326" s="28"/>
      <c r="I326" s="6"/>
      <c r="J326" s="29"/>
      <c r="K326" s="29"/>
    </row>
    <row r="327" spans="1:11" x14ac:dyDescent="0.25">
      <c r="A327" s="30"/>
      <c r="B327" s="28"/>
      <c r="C327" s="28"/>
      <c r="D327" s="47"/>
      <c r="E327" s="30"/>
      <c r="F327" s="28"/>
      <c r="G327" s="28"/>
      <c r="H327" s="28"/>
      <c r="I327" s="6"/>
      <c r="J327" s="29"/>
      <c r="K327" s="29"/>
    </row>
    <row r="328" spans="1:11" x14ac:dyDescent="0.25">
      <c r="A328" s="30"/>
      <c r="B328" s="28"/>
      <c r="C328" s="28"/>
      <c r="D328" s="47"/>
      <c r="E328" s="30"/>
      <c r="F328" s="28"/>
      <c r="G328" s="28"/>
      <c r="H328" s="28"/>
      <c r="I328" s="6"/>
      <c r="J328" s="29"/>
      <c r="K328" s="29"/>
    </row>
    <row r="329" spans="1:11" x14ac:dyDescent="0.25">
      <c r="A329" s="30"/>
      <c r="B329" s="28"/>
      <c r="C329" s="28"/>
      <c r="D329" s="47"/>
      <c r="E329" s="30"/>
      <c r="F329" s="28"/>
      <c r="G329" s="28"/>
      <c r="H329" s="28"/>
      <c r="I329" s="6"/>
      <c r="J329" s="29"/>
      <c r="K329" s="29"/>
    </row>
    <row r="330" spans="1:11" x14ac:dyDescent="0.25">
      <c r="A330" s="30"/>
      <c r="B330" s="28"/>
      <c r="C330" s="28"/>
      <c r="D330" s="47"/>
      <c r="E330" s="30"/>
      <c r="F330" s="28"/>
      <c r="G330" s="28"/>
      <c r="H330" s="28"/>
      <c r="I330" s="6"/>
      <c r="J330" s="29"/>
      <c r="K330" s="29"/>
    </row>
    <row r="331" spans="1:11" x14ac:dyDescent="0.25">
      <c r="A331" s="30"/>
      <c r="B331" s="28"/>
      <c r="C331" s="28"/>
      <c r="D331" s="47"/>
      <c r="E331" s="30"/>
      <c r="F331" s="28"/>
      <c r="G331" s="28"/>
      <c r="H331" s="28"/>
      <c r="I331" s="6"/>
      <c r="J331" s="29"/>
      <c r="K331" s="29"/>
    </row>
    <row r="332" spans="1:11" x14ac:dyDescent="0.25">
      <c r="A332" s="30"/>
      <c r="B332" s="28"/>
      <c r="C332" s="28"/>
      <c r="D332" s="47"/>
      <c r="E332" s="30"/>
      <c r="F332" s="28"/>
      <c r="G332" s="28"/>
      <c r="H332" s="28"/>
      <c r="I332" s="6"/>
      <c r="J332" s="29"/>
      <c r="K332" s="29"/>
    </row>
    <row r="333" spans="1:11" x14ac:dyDescent="0.25">
      <c r="A333" s="30"/>
      <c r="B333" s="28"/>
      <c r="C333" s="28"/>
      <c r="D333" s="47"/>
      <c r="E333" s="30"/>
      <c r="F333" s="28"/>
      <c r="G333" s="28"/>
      <c r="H333" s="28"/>
      <c r="I333" s="6"/>
      <c r="J333" s="29"/>
      <c r="K333" s="29"/>
    </row>
    <row r="334" spans="1:11" x14ac:dyDescent="0.25">
      <c r="A334" s="30"/>
      <c r="B334" s="28"/>
      <c r="C334" s="28"/>
      <c r="D334" s="47"/>
      <c r="E334" s="30"/>
      <c r="F334" s="28"/>
      <c r="G334" s="28"/>
      <c r="H334" s="28"/>
      <c r="I334" s="6"/>
      <c r="J334" s="29"/>
      <c r="K334" s="29"/>
    </row>
    <row r="335" spans="1:11" x14ac:dyDescent="0.25">
      <c r="A335" s="30"/>
      <c r="B335" s="28"/>
      <c r="C335" s="28"/>
      <c r="D335" s="47"/>
      <c r="E335" s="30"/>
      <c r="F335" s="28"/>
      <c r="G335" s="28"/>
      <c r="H335" s="28"/>
      <c r="I335" s="6"/>
      <c r="J335" s="29"/>
      <c r="K335" s="29"/>
    </row>
    <row r="336" spans="1:11" x14ac:dyDescent="0.25">
      <c r="A336" s="30"/>
      <c r="B336" s="28"/>
      <c r="C336" s="28"/>
      <c r="D336" s="47"/>
      <c r="E336" s="30"/>
      <c r="F336" s="28"/>
      <c r="G336" s="28"/>
      <c r="H336" s="28"/>
      <c r="I336" s="6"/>
      <c r="J336" s="29"/>
      <c r="K336" s="29"/>
    </row>
    <row r="337" spans="1:11" x14ac:dyDescent="0.25">
      <c r="A337" s="30"/>
      <c r="B337" s="28"/>
      <c r="C337" s="28"/>
      <c r="D337" s="47"/>
      <c r="E337" s="30"/>
      <c r="F337" s="28"/>
      <c r="G337" s="28"/>
      <c r="H337" s="28"/>
      <c r="I337" s="6"/>
      <c r="J337" s="29"/>
      <c r="K337" s="29"/>
    </row>
    <row r="338" spans="1:11" x14ac:dyDescent="0.25">
      <c r="A338" s="30"/>
      <c r="B338" s="28"/>
      <c r="C338" s="28"/>
      <c r="D338" s="47"/>
      <c r="E338" s="30"/>
      <c r="F338" s="28"/>
      <c r="G338" s="28"/>
      <c r="H338" s="28"/>
      <c r="I338" s="6"/>
      <c r="J338" s="29"/>
      <c r="K338" s="29"/>
    </row>
    <row r="339" spans="1:11" x14ac:dyDescent="0.25">
      <c r="A339" s="30"/>
      <c r="B339" s="28"/>
      <c r="C339" s="28"/>
      <c r="D339" s="47"/>
      <c r="E339" s="30"/>
      <c r="F339" s="28"/>
      <c r="G339" s="28"/>
      <c r="H339" s="28"/>
      <c r="I339" s="6"/>
      <c r="J339" s="29"/>
      <c r="K339" s="29"/>
    </row>
    <row r="340" spans="1:11" x14ac:dyDescent="0.25">
      <c r="A340" s="30"/>
      <c r="B340" s="28"/>
      <c r="C340" s="28"/>
      <c r="D340" s="47"/>
      <c r="E340" s="30"/>
      <c r="F340" s="28"/>
      <c r="G340" s="28"/>
      <c r="H340" s="28"/>
      <c r="I340" s="6"/>
      <c r="J340" s="29"/>
      <c r="K340" s="29"/>
    </row>
    <row r="341" spans="1:11" x14ac:dyDescent="0.25">
      <c r="A341" s="30"/>
      <c r="B341" s="28"/>
      <c r="C341" s="28"/>
      <c r="D341" s="47"/>
      <c r="E341" s="30"/>
      <c r="F341" s="28"/>
      <c r="G341" s="28"/>
      <c r="H341" s="28"/>
      <c r="I341" s="6"/>
      <c r="J341" s="29"/>
      <c r="K341" s="29"/>
    </row>
    <row r="342" spans="1:11" x14ac:dyDescent="0.25">
      <c r="A342" s="30"/>
      <c r="B342" s="28"/>
      <c r="C342" s="28"/>
      <c r="D342" s="47"/>
      <c r="E342" s="30"/>
      <c r="F342" s="28"/>
      <c r="G342" s="28"/>
      <c r="H342" s="28"/>
      <c r="I342" s="6"/>
      <c r="J342" s="29"/>
      <c r="K342" s="29"/>
    </row>
  </sheetData>
  <autoFilter ref="A1:K289">
    <filterColumn colId="3">
      <filters>
        <filter val="SIDUR-ED-17-003"/>
      </filters>
    </filterColumn>
    <sortState ref="A2:K289">
      <sortCondition ref="D1:D289"/>
    </sortState>
  </autoFilter>
  <customSheetViews>
    <customSheetView guid="{71CFCE49-89A9-4529-8C6D-F507FB0FF9D7}" showAutoFilter="1">
      <pane ySplit="1" topLeftCell="A27" activePane="bottomLeft" state="frozen"/>
      <selection pane="bottomLeft" activeCell="E31" sqref="E31"/>
      <pageMargins left="0.7" right="0.7" top="0.75" bottom="0.75" header="0.3" footer="0.3"/>
      <autoFilter ref="A1:L147">
        <sortState ref="A2:L147">
          <sortCondition ref="E1:E146"/>
        </sortState>
      </autoFilter>
    </customSheetView>
    <customSheetView guid="{7AFF87B6-B3E0-434A-A0B8-87EB09BABF96}" showAutoFilter="1">
      <pane ySplit="1" topLeftCell="A119" activePane="bottomLeft" state="frozen"/>
      <selection pane="bottomLeft" activeCell="H99" sqref="H99"/>
      <pageMargins left="0.7" right="0.7" top="0.75" bottom="0.75" header="0.3" footer="0.3"/>
      <autoFilter ref="A1:L136">
        <sortState ref="A2:L136">
          <sortCondition ref="E1:E134"/>
        </sortState>
      </autoFilter>
    </customSheetView>
  </customSheetView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1"/>
  <sheetViews>
    <sheetView view="pageBreakPreview" topLeftCell="A13" zoomScaleNormal="70" zoomScaleSheetLayoutView="100" workbookViewId="0">
      <selection activeCell="E9" sqref="E9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0.42578125" bestFit="1" customWidth="1"/>
    <col min="5" max="5" width="16.85546875" bestFit="1" customWidth="1"/>
    <col min="6" max="6" width="11" bestFit="1" customWidth="1"/>
    <col min="7" max="7" width="15.85546875" bestFit="1" customWidth="1"/>
    <col min="8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8" x14ac:dyDescent="0.25">
      <c r="A3" s="94" t="s">
        <v>3</v>
      </c>
      <c r="B3" s="94" t="s">
        <v>890</v>
      </c>
      <c r="C3" s="94" t="s">
        <v>911</v>
      </c>
      <c r="D3" s="94" t="s">
        <v>1325</v>
      </c>
      <c r="E3" s="94" t="s">
        <v>46</v>
      </c>
      <c r="F3" s="94" t="s">
        <v>47</v>
      </c>
      <c r="G3" s="110" t="s">
        <v>1435</v>
      </c>
      <c r="H3" s="102" t="s">
        <v>43</v>
      </c>
    </row>
    <row r="4" spans="1:8" x14ac:dyDescent="0.25">
      <c r="A4" s="104" t="s">
        <v>349</v>
      </c>
      <c r="H4" s="96"/>
    </row>
    <row r="5" spans="1:8" ht="45" x14ac:dyDescent="0.25">
      <c r="A5" s="107" t="s">
        <v>350</v>
      </c>
      <c r="B5" s="107"/>
      <c r="C5" s="107"/>
      <c r="D5" s="107"/>
      <c r="E5" s="107"/>
      <c r="F5" s="107"/>
      <c r="G5" s="107"/>
      <c r="H5" s="96"/>
    </row>
    <row r="6" spans="1:8" x14ac:dyDescent="0.25">
      <c r="A6" s="115" t="s">
        <v>351</v>
      </c>
      <c r="B6" s="104" t="s">
        <v>1064</v>
      </c>
      <c r="C6" s="120">
        <v>1</v>
      </c>
      <c r="D6" s="104" t="s">
        <v>1324</v>
      </c>
      <c r="H6" s="96"/>
    </row>
    <row r="7" spans="1:8" x14ac:dyDescent="0.25">
      <c r="A7" s="2"/>
      <c r="B7" s="104"/>
      <c r="C7" s="120"/>
      <c r="D7" s="114" t="s">
        <v>23</v>
      </c>
      <c r="E7" s="104" t="s">
        <v>863</v>
      </c>
      <c r="F7" s="105">
        <v>42529</v>
      </c>
      <c r="G7" s="106"/>
      <c r="H7" s="96">
        <v>6208325.5</v>
      </c>
    </row>
    <row r="8" spans="1:8" x14ac:dyDescent="0.25">
      <c r="A8" s="2"/>
      <c r="B8" s="104"/>
      <c r="C8" s="120"/>
      <c r="D8" s="114" t="s">
        <v>103</v>
      </c>
      <c r="E8" s="104" t="s">
        <v>863</v>
      </c>
      <c r="F8" s="105">
        <v>42712</v>
      </c>
      <c r="G8" s="106" t="s">
        <v>1065</v>
      </c>
      <c r="H8" s="96">
        <v>1967521.97</v>
      </c>
    </row>
    <row r="9" spans="1:8" x14ac:dyDescent="0.25">
      <c r="A9" s="2"/>
      <c r="B9" s="104"/>
      <c r="C9" s="120"/>
      <c r="D9" s="114" t="s">
        <v>221</v>
      </c>
      <c r="E9" s="104" t="s">
        <v>863</v>
      </c>
      <c r="F9" s="105">
        <v>42762</v>
      </c>
      <c r="G9" s="106" t="s">
        <v>1562</v>
      </c>
      <c r="H9" s="96">
        <v>2111565.7799999998</v>
      </c>
    </row>
    <row r="10" spans="1:8" x14ac:dyDescent="0.25">
      <c r="A10" s="2"/>
      <c r="B10" s="104"/>
      <c r="C10" s="120"/>
      <c r="D10" s="114" t="s">
        <v>55</v>
      </c>
      <c r="E10" s="104" t="s">
        <v>863</v>
      </c>
      <c r="F10" s="105">
        <v>42769</v>
      </c>
      <c r="G10" s="106" t="s">
        <v>1852</v>
      </c>
      <c r="H10" s="96">
        <v>1059524.3999999999</v>
      </c>
    </row>
    <row r="11" spans="1:8" x14ac:dyDescent="0.25">
      <c r="A11" s="2"/>
      <c r="B11" s="104"/>
      <c r="C11" s="120"/>
      <c r="D11" s="114" t="s">
        <v>215</v>
      </c>
      <c r="E11" s="104" t="s">
        <v>863</v>
      </c>
      <c r="F11" s="105">
        <v>42769</v>
      </c>
      <c r="G11" s="106" t="s">
        <v>2191</v>
      </c>
      <c r="H11" s="96">
        <v>2922402.39</v>
      </c>
    </row>
    <row r="12" spans="1:8" x14ac:dyDescent="0.25">
      <c r="A12" s="2"/>
      <c r="B12" s="104"/>
      <c r="C12" s="120"/>
      <c r="D12" s="114" t="s">
        <v>15</v>
      </c>
      <c r="E12" s="104" t="s">
        <v>863</v>
      </c>
      <c r="F12" s="105">
        <v>42762</v>
      </c>
      <c r="G12" s="106" t="s">
        <v>1978</v>
      </c>
      <c r="H12" s="96">
        <v>2737271.6</v>
      </c>
    </row>
    <row r="13" spans="1:8" x14ac:dyDescent="0.25">
      <c r="A13" s="2"/>
      <c r="B13" s="104"/>
      <c r="C13" s="120"/>
      <c r="D13" s="114" t="s">
        <v>214</v>
      </c>
      <c r="E13" s="104" t="s">
        <v>866</v>
      </c>
      <c r="F13" s="105">
        <v>42811</v>
      </c>
      <c r="G13" s="106" t="s">
        <v>2420</v>
      </c>
      <c r="H13" s="96">
        <v>2542781.12</v>
      </c>
    </row>
    <row r="14" spans="1:8" x14ac:dyDescent="0.25">
      <c r="A14" s="2"/>
      <c r="B14" s="104"/>
      <c r="C14" s="120"/>
      <c r="D14" s="114" t="s">
        <v>218</v>
      </c>
      <c r="E14" s="104" t="s">
        <v>868</v>
      </c>
      <c r="F14" s="105">
        <v>42811</v>
      </c>
      <c r="G14" s="106" t="s">
        <v>2535</v>
      </c>
      <c r="H14" s="96">
        <v>1057609.51</v>
      </c>
    </row>
    <row r="15" spans="1:8" x14ac:dyDescent="0.25">
      <c r="A15" s="104" t="s">
        <v>1066</v>
      </c>
      <c r="H15" s="96">
        <v>20607002.27</v>
      </c>
    </row>
    <row r="16" spans="1:8" x14ac:dyDescent="0.25">
      <c r="A16" s="104"/>
      <c r="H16" s="96"/>
    </row>
    <row r="17" spans="1:8" x14ac:dyDescent="0.25">
      <c r="A17" s="104" t="s">
        <v>300</v>
      </c>
      <c r="H17" s="96"/>
    </row>
    <row r="18" spans="1:8" ht="30" x14ac:dyDescent="0.25">
      <c r="A18" s="107" t="s">
        <v>338</v>
      </c>
      <c r="B18" s="107"/>
      <c r="C18" s="107"/>
      <c r="D18" s="107"/>
      <c r="E18" s="107"/>
      <c r="F18" s="107"/>
      <c r="G18" s="107"/>
      <c r="H18" s="96"/>
    </row>
    <row r="19" spans="1:8" x14ac:dyDescent="0.25">
      <c r="A19" s="115" t="s">
        <v>339</v>
      </c>
      <c r="B19" s="104" t="s">
        <v>2568</v>
      </c>
      <c r="C19" s="120">
        <v>1</v>
      </c>
      <c r="D19" s="104" t="s">
        <v>1324</v>
      </c>
      <c r="H19" s="96"/>
    </row>
    <row r="20" spans="1:8" x14ac:dyDescent="0.25">
      <c r="A20" s="2"/>
      <c r="B20" s="104"/>
      <c r="C20" s="120"/>
      <c r="D20" s="114" t="s">
        <v>23</v>
      </c>
      <c r="E20" s="104" t="s">
        <v>863</v>
      </c>
      <c r="F20" s="105">
        <v>42515</v>
      </c>
      <c r="G20" s="106"/>
      <c r="H20" s="96">
        <v>5249341.4000000004</v>
      </c>
    </row>
    <row r="21" spans="1:8" x14ac:dyDescent="0.25">
      <c r="A21" s="2"/>
      <c r="B21" s="104"/>
      <c r="C21" s="120"/>
      <c r="D21" s="114" t="s">
        <v>103</v>
      </c>
      <c r="E21" s="104" t="s">
        <v>863</v>
      </c>
      <c r="F21" s="105">
        <v>42643</v>
      </c>
      <c r="G21" s="106" t="s">
        <v>2569</v>
      </c>
      <c r="H21" s="96">
        <v>325769.21000000002</v>
      </c>
    </row>
    <row r="22" spans="1:8" x14ac:dyDescent="0.25">
      <c r="A22" s="2"/>
      <c r="B22" s="104"/>
      <c r="C22" s="120"/>
      <c r="D22" s="114" t="s">
        <v>221</v>
      </c>
      <c r="E22" s="104" t="s">
        <v>863</v>
      </c>
      <c r="F22" s="105">
        <v>42703</v>
      </c>
      <c r="G22" s="106" t="s">
        <v>2311</v>
      </c>
      <c r="H22" s="96">
        <v>906248.69</v>
      </c>
    </row>
    <row r="23" spans="1:8" x14ac:dyDescent="0.25">
      <c r="A23" s="2"/>
      <c r="B23" s="104"/>
      <c r="C23" s="120"/>
      <c r="D23" s="114" t="s">
        <v>55</v>
      </c>
      <c r="E23" s="104" t="s">
        <v>863</v>
      </c>
      <c r="F23" s="105">
        <v>42703</v>
      </c>
      <c r="G23" s="106" t="s">
        <v>2570</v>
      </c>
      <c r="H23" s="96">
        <v>3198216.29</v>
      </c>
    </row>
    <row r="24" spans="1:8" x14ac:dyDescent="0.25">
      <c r="A24" s="2"/>
      <c r="B24" s="104"/>
      <c r="C24" s="120"/>
      <c r="D24" s="114" t="s">
        <v>215</v>
      </c>
      <c r="E24" s="104" t="s">
        <v>863</v>
      </c>
      <c r="F24" s="105">
        <v>42703</v>
      </c>
      <c r="G24" s="106" t="s">
        <v>2571</v>
      </c>
      <c r="H24" s="96">
        <v>3560495.41</v>
      </c>
    </row>
    <row r="25" spans="1:8" x14ac:dyDescent="0.25">
      <c r="A25" s="2"/>
      <c r="B25" s="104"/>
      <c r="C25" s="120"/>
      <c r="D25" s="114" t="s">
        <v>15</v>
      </c>
      <c r="E25" s="104" t="s">
        <v>863</v>
      </c>
      <c r="F25" s="105">
        <v>42762</v>
      </c>
      <c r="G25" s="106" t="s">
        <v>2572</v>
      </c>
      <c r="H25" s="96">
        <v>4145679.32</v>
      </c>
    </row>
    <row r="26" spans="1:8" x14ac:dyDescent="0.25">
      <c r="A26" s="2"/>
      <c r="B26" s="104"/>
      <c r="C26" s="120"/>
      <c r="D26" s="114" t="s">
        <v>214</v>
      </c>
      <c r="E26" s="104" t="s">
        <v>866</v>
      </c>
      <c r="F26" s="105">
        <v>42801</v>
      </c>
      <c r="G26" s="106" t="s">
        <v>2573</v>
      </c>
      <c r="H26" s="96">
        <v>38141.22</v>
      </c>
    </row>
    <row r="27" spans="1:8" x14ac:dyDescent="0.25">
      <c r="A27" s="2"/>
      <c r="B27" s="104"/>
      <c r="C27" s="120"/>
      <c r="D27" s="114" t="s">
        <v>218</v>
      </c>
      <c r="E27" s="104" t="s">
        <v>866</v>
      </c>
      <c r="F27" s="105">
        <v>42810</v>
      </c>
      <c r="G27" s="106" t="s">
        <v>2574</v>
      </c>
      <c r="H27" s="96">
        <v>788591.47</v>
      </c>
    </row>
    <row r="28" spans="1:8" x14ac:dyDescent="0.25">
      <c r="A28" s="104" t="s">
        <v>1068</v>
      </c>
      <c r="H28" s="96">
        <v>18212483.010000002</v>
      </c>
    </row>
    <row r="29" spans="1:8" x14ac:dyDescent="0.25">
      <c r="A29" s="104"/>
      <c r="H29" s="96"/>
    </row>
    <row r="30" spans="1:8" x14ac:dyDescent="0.25">
      <c r="A30" s="104" t="s">
        <v>386</v>
      </c>
      <c r="H30" s="96"/>
    </row>
    <row r="31" spans="1:8" ht="45" x14ac:dyDescent="0.25">
      <c r="A31" s="107" t="s">
        <v>385</v>
      </c>
      <c r="B31" s="107"/>
      <c r="C31" s="107"/>
      <c r="D31" s="107"/>
      <c r="E31" s="107"/>
      <c r="F31" s="107"/>
      <c r="G31" s="107"/>
      <c r="H31" s="96"/>
    </row>
    <row r="32" spans="1:8" ht="30" x14ac:dyDescent="0.25">
      <c r="A32" s="115" t="s">
        <v>384</v>
      </c>
      <c r="B32" s="104" t="s">
        <v>1069</v>
      </c>
      <c r="C32" s="120">
        <v>0.5</v>
      </c>
      <c r="D32" s="104" t="s">
        <v>2491</v>
      </c>
      <c r="H32" s="96"/>
    </row>
    <row r="33" spans="1:8" x14ac:dyDescent="0.25">
      <c r="A33" s="2"/>
      <c r="B33" s="104"/>
      <c r="C33" s="120"/>
      <c r="D33" s="114" t="s">
        <v>23</v>
      </c>
      <c r="E33" s="104" t="s">
        <v>863</v>
      </c>
      <c r="F33" s="105">
        <v>42535</v>
      </c>
      <c r="G33" s="106"/>
      <c r="H33" s="96">
        <v>13748368.310000001</v>
      </c>
    </row>
    <row r="34" spans="1:8" x14ac:dyDescent="0.25">
      <c r="A34" s="2"/>
      <c r="B34" s="104"/>
      <c r="C34" s="120"/>
      <c r="D34" s="114" t="s">
        <v>103</v>
      </c>
      <c r="E34" s="104" t="s">
        <v>863</v>
      </c>
      <c r="F34" s="105">
        <v>42643</v>
      </c>
      <c r="G34" s="106" t="s">
        <v>1519</v>
      </c>
      <c r="H34" s="96">
        <v>1094598.57</v>
      </c>
    </row>
    <row r="35" spans="1:8" x14ac:dyDescent="0.25">
      <c r="A35" s="2"/>
      <c r="B35" s="104"/>
      <c r="C35" s="120"/>
      <c r="D35" s="114" t="s">
        <v>221</v>
      </c>
      <c r="E35" s="104" t="s">
        <v>863</v>
      </c>
      <c r="F35" s="105">
        <v>42653</v>
      </c>
      <c r="G35" s="106" t="s">
        <v>1520</v>
      </c>
      <c r="H35" s="96">
        <v>2855804.3</v>
      </c>
    </row>
    <row r="36" spans="1:8" x14ac:dyDescent="0.25">
      <c r="A36" s="2"/>
      <c r="B36" s="104"/>
      <c r="C36" s="120"/>
      <c r="D36" s="114" t="s">
        <v>55</v>
      </c>
      <c r="E36" s="104" t="s">
        <v>863</v>
      </c>
      <c r="F36" s="105">
        <v>42674</v>
      </c>
      <c r="G36" s="106" t="s">
        <v>1433</v>
      </c>
      <c r="H36" s="96">
        <v>4334090.59</v>
      </c>
    </row>
    <row r="37" spans="1:8" x14ac:dyDescent="0.25">
      <c r="A37" s="2"/>
      <c r="B37" s="104"/>
      <c r="C37" s="120"/>
      <c r="D37" s="114" t="s">
        <v>215</v>
      </c>
      <c r="E37" s="104" t="s">
        <v>863</v>
      </c>
      <c r="F37" s="105">
        <v>42755</v>
      </c>
      <c r="G37" s="106" t="s">
        <v>1853</v>
      </c>
      <c r="H37" s="96">
        <v>1887269.08</v>
      </c>
    </row>
    <row r="38" spans="1:8" x14ac:dyDescent="0.25">
      <c r="A38" s="2"/>
      <c r="B38" s="104"/>
      <c r="C38" s="120"/>
      <c r="D38" s="114" t="s">
        <v>15</v>
      </c>
      <c r="E38" s="104" t="s">
        <v>863</v>
      </c>
      <c r="F38" s="105">
        <v>42755</v>
      </c>
      <c r="G38" s="106" t="s">
        <v>1854</v>
      </c>
      <c r="H38" s="96">
        <v>1497627.16</v>
      </c>
    </row>
    <row r="39" spans="1:8" x14ac:dyDescent="0.25">
      <c r="A39" s="2"/>
      <c r="B39" s="104"/>
      <c r="C39" s="120"/>
      <c r="D39" s="114" t="s">
        <v>214</v>
      </c>
      <c r="E39" s="104" t="s">
        <v>863</v>
      </c>
      <c r="F39" s="105">
        <v>42809</v>
      </c>
      <c r="G39" s="106" t="s">
        <v>1169</v>
      </c>
      <c r="H39" s="96">
        <v>1454181.31</v>
      </c>
    </row>
    <row r="40" spans="1:8" x14ac:dyDescent="0.25">
      <c r="A40" s="2"/>
      <c r="B40" s="104"/>
      <c r="C40" s="120"/>
      <c r="D40" s="114" t="s">
        <v>218</v>
      </c>
      <c r="E40" s="104" t="s">
        <v>863</v>
      </c>
      <c r="F40" s="105">
        <v>42808</v>
      </c>
      <c r="G40" s="106" t="s">
        <v>2133</v>
      </c>
      <c r="H40" s="96">
        <v>822974.72</v>
      </c>
    </row>
    <row r="41" spans="1:8" x14ac:dyDescent="0.25">
      <c r="A41" s="2"/>
      <c r="B41" s="104"/>
      <c r="C41" s="120"/>
      <c r="D41" s="114" t="s">
        <v>220</v>
      </c>
      <c r="E41" s="104" t="s">
        <v>863</v>
      </c>
      <c r="F41" s="105">
        <v>42811</v>
      </c>
      <c r="G41" s="106" t="s">
        <v>2492</v>
      </c>
      <c r="H41" s="96">
        <v>2001778.94</v>
      </c>
    </row>
    <row r="42" spans="1:8" x14ac:dyDescent="0.25">
      <c r="A42" s="104" t="s">
        <v>1070</v>
      </c>
      <c r="H42" s="96">
        <v>29696692.98</v>
      </c>
    </row>
    <row r="43" spans="1:8" x14ac:dyDescent="0.25">
      <c r="A43" s="104"/>
      <c r="H43" s="96"/>
    </row>
    <row r="44" spans="1:8" x14ac:dyDescent="0.25">
      <c r="A44" s="104" t="s">
        <v>326</v>
      </c>
      <c r="H44" s="96"/>
    </row>
    <row r="45" spans="1:8" ht="45" x14ac:dyDescent="0.25">
      <c r="A45" s="107" t="s">
        <v>324</v>
      </c>
      <c r="B45" s="107"/>
      <c r="C45" s="107"/>
      <c r="D45" s="107"/>
      <c r="E45" s="107"/>
      <c r="F45" s="107"/>
      <c r="G45" s="107"/>
      <c r="H45" s="96"/>
    </row>
    <row r="46" spans="1:8" x14ac:dyDescent="0.25">
      <c r="A46" s="115" t="s">
        <v>325</v>
      </c>
      <c r="B46" s="104" t="s">
        <v>1071</v>
      </c>
      <c r="C46" s="120">
        <v>0.83</v>
      </c>
      <c r="D46" s="104" t="s">
        <v>1999</v>
      </c>
      <c r="H46" s="96"/>
    </row>
    <row r="47" spans="1:8" x14ac:dyDescent="0.25">
      <c r="A47" s="2"/>
      <c r="B47" s="104"/>
      <c r="C47" s="120"/>
      <c r="D47" s="114" t="s">
        <v>23</v>
      </c>
      <c r="E47" s="104" t="s">
        <v>863</v>
      </c>
      <c r="F47" s="105">
        <v>42529</v>
      </c>
      <c r="G47" s="106"/>
      <c r="H47" s="96">
        <v>5704777.6799999997</v>
      </c>
    </row>
    <row r="48" spans="1:8" x14ac:dyDescent="0.25">
      <c r="A48" s="2"/>
      <c r="B48" s="104"/>
      <c r="C48" s="120"/>
      <c r="D48" s="114" t="s">
        <v>103</v>
      </c>
      <c r="E48" s="104" t="s">
        <v>863</v>
      </c>
      <c r="F48" s="105">
        <v>42653</v>
      </c>
      <c r="G48" s="106" t="s">
        <v>1072</v>
      </c>
      <c r="H48" s="96">
        <v>700971.48</v>
      </c>
    </row>
    <row r="49" spans="1:8" x14ac:dyDescent="0.25">
      <c r="A49" s="2"/>
      <c r="B49" s="104"/>
      <c r="C49" s="120"/>
      <c r="D49" s="114" t="s">
        <v>221</v>
      </c>
      <c r="E49" s="104" t="s">
        <v>863</v>
      </c>
      <c r="F49" s="105">
        <v>42653</v>
      </c>
      <c r="G49" s="106" t="s">
        <v>1073</v>
      </c>
      <c r="H49" s="96">
        <v>2774334.66</v>
      </c>
    </row>
    <row r="50" spans="1:8" x14ac:dyDescent="0.25">
      <c r="A50" s="2"/>
      <c r="B50" s="104"/>
      <c r="C50" s="120"/>
      <c r="D50" s="114" t="s">
        <v>55</v>
      </c>
      <c r="E50" s="104" t="s">
        <v>863</v>
      </c>
      <c r="F50" s="105">
        <v>42726</v>
      </c>
      <c r="G50" s="106" t="s">
        <v>1680</v>
      </c>
      <c r="H50" s="96">
        <v>4768098.2699999996</v>
      </c>
    </row>
    <row r="51" spans="1:8" x14ac:dyDescent="0.25">
      <c r="A51" s="2"/>
      <c r="B51" s="104"/>
      <c r="C51" s="120"/>
      <c r="D51" s="114" t="s">
        <v>215</v>
      </c>
      <c r="E51" s="104" t="s">
        <v>863</v>
      </c>
      <c r="F51" s="105">
        <v>42774</v>
      </c>
      <c r="G51" s="106" t="s">
        <v>1979</v>
      </c>
      <c r="H51" s="96">
        <v>2674891.6800000002</v>
      </c>
    </row>
    <row r="52" spans="1:8" x14ac:dyDescent="0.25">
      <c r="A52" s="104" t="s">
        <v>1074</v>
      </c>
      <c r="H52" s="96">
        <v>16623073.77</v>
      </c>
    </row>
    <row r="53" spans="1:8" x14ac:dyDescent="0.25">
      <c r="A53" s="104"/>
      <c r="H53" s="96"/>
    </row>
    <row r="54" spans="1:8" x14ac:dyDescent="0.25">
      <c r="A54" s="104" t="s">
        <v>375</v>
      </c>
      <c r="H54" s="96"/>
    </row>
    <row r="55" spans="1:8" ht="45" x14ac:dyDescent="0.25">
      <c r="A55" s="107" t="s">
        <v>377</v>
      </c>
      <c r="B55" s="107"/>
      <c r="C55" s="107"/>
      <c r="D55" s="107"/>
      <c r="E55" s="107"/>
      <c r="F55" s="107"/>
      <c r="G55" s="107"/>
      <c r="H55" s="96"/>
    </row>
    <row r="56" spans="1:8" ht="30" x14ac:dyDescent="0.25">
      <c r="A56" s="115" t="s">
        <v>378</v>
      </c>
      <c r="B56" s="104" t="s">
        <v>1075</v>
      </c>
      <c r="C56" s="120">
        <v>0.67</v>
      </c>
      <c r="D56" s="104" t="s">
        <v>2522</v>
      </c>
      <c r="H56" s="96"/>
    </row>
    <row r="57" spans="1:8" x14ac:dyDescent="0.25">
      <c r="A57" s="2"/>
      <c r="B57" s="104"/>
      <c r="C57" s="120"/>
      <c r="D57" s="114" t="s">
        <v>23</v>
      </c>
      <c r="E57" s="104" t="s">
        <v>863</v>
      </c>
      <c r="F57" s="105">
        <v>42531</v>
      </c>
      <c r="G57" s="106"/>
      <c r="H57" s="96">
        <v>6779955.6600000001</v>
      </c>
    </row>
    <row r="58" spans="1:8" x14ac:dyDescent="0.25">
      <c r="A58" s="2"/>
      <c r="B58" s="104"/>
      <c r="C58" s="120"/>
      <c r="D58" s="114" t="s">
        <v>103</v>
      </c>
      <c r="E58" s="104" t="s">
        <v>863</v>
      </c>
      <c r="F58" s="105">
        <v>42685</v>
      </c>
      <c r="G58" s="106" t="s">
        <v>1434</v>
      </c>
      <c r="H58" s="96">
        <v>998404.29</v>
      </c>
    </row>
    <row r="59" spans="1:8" x14ac:dyDescent="0.25">
      <c r="A59" s="2"/>
      <c r="B59" s="104"/>
      <c r="C59" s="120"/>
      <c r="D59" s="114" t="s">
        <v>221</v>
      </c>
      <c r="E59" s="104" t="s">
        <v>863</v>
      </c>
      <c r="F59" s="105">
        <v>42712</v>
      </c>
      <c r="G59" s="106" t="s">
        <v>1076</v>
      </c>
      <c r="H59" s="96">
        <v>704895.24</v>
      </c>
    </row>
    <row r="60" spans="1:8" x14ac:dyDescent="0.25">
      <c r="A60" s="2"/>
      <c r="B60" s="104"/>
      <c r="C60" s="120"/>
      <c r="D60" s="114" t="s">
        <v>55</v>
      </c>
      <c r="E60" s="104" t="s">
        <v>863</v>
      </c>
      <c r="F60" s="105">
        <v>42712</v>
      </c>
      <c r="G60" s="106" t="s">
        <v>1823</v>
      </c>
      <c r="H60" s="96">
        <v>272350.99</v>
      </c>
    </row>
    <row r="61" spans="1:8" x14ac:dyDescent="0.25">
      <c r="A61" s="2"/>
      <c r="B61" s="104"/>
      <c r="C61" s="120"/>
      <c r="D61" s="114" t="s">
        <v>215</v>
      </c>
      <c r="E61" s="104" t="s">
        <v>863</v>
      </c>
      <c r="F61" s="105">
        <v>42712</v>
      </c>
      <c r="G61" s="106" t="s">
        <v>1543</v>
      </c>
      <c r="H61" s="96">
        <v>602283.13</v>
      </c>
    </row>
    <row r="62" spans="1:8" x14ac:dyDescent="0.25">
      <c r="A62" s="2"/>
      <c r="B62" s="104"/>
      <c r="C62" s="120"/>
      <c r="D62" s="114" t="s">
        <v>15</v>
      </c>
      <c r="E62" s="104" t="s">
        <v>863</v>
      </c>
      <c r="F62" s="105">
        <v>42712</v>
      </c>
      <c r="G62" s="106" t="s">
        <v>1824</v>
      </c>
      <c r="H62" s="96">
        <v>454459.7</v>
      </c>
    </row>
    <row r="63" spans="1:8" x14ac:dyDescent="0.25">
      <c r="A63" s="2"/>
      <c r="B63" s="104"/>
      <c r="C63" s="120"/>
      <c r="D63" s="114" t="s">
        <v>214</v>
      </c>
      <c r="E63" s="104" t="s">
        <v>863</v>
      </c>
      <c r="F63" s="105">
        <v>42712</v>
      </c>
      <c r="G63" s="106" t="s">
        <v>1419</v>
      </c>
      <c r="H63" s="96">
        <v>463442.07</v>
      </c>
    </row>
    <row r="64" spans="1:8" x14ac:dyDescent="0.25">
      <c r="A64" s="2"/>
      <c r="B64" s="104"/>
      <c r="C64" s="120"/>
      <c r="D64" s="114" t="s">
        <v>218</v>
      </c>
      <c r="E64" s="104" t="s">
        <v>863</v>
      </c>
      <c r="F64" s="105">
        <v>42755</v>
      </c>
      <c r="G64" s="106" t="s">
        <v>1894</v>
      </c>
      <c r="H64" s="96">
        <v>935585.42</v>
      </c>
    </row>
    <row r="65" spans="1:8" x14ac:dyDescent="0.25">
      <c r="A65" s="2"/>
      <c r="B65" s="104"/>
      <c r="C65" s="120"/>
      <c r="D65" s="114" t="s">
        <v>220</v>
      </c>
      <c r="E65" s="104" t="s">
        <v>865</v>
      </c>
      <c r="F65" s="105">
        <v>42807</v>
      </c>
      <c r="G65" s="106" t="s">
        <v>2422</v>
      </c>
      <c r="H65" s="96">
        <v>754375.56</v>
      </c>
    </row>
    <row r="66" spans="1:8" x14ac:dyDescent="0.25">
      <c r="A66" s="2"/>
      <c r="B66" s="104"/>
      <c r="C66" s="120"/>
      <c r="D66" s="114" t="s">
        <v>748</v>
      </c>
      <c r="E66" s="104" t="s">
        <v>865</v>
      </c>
      <c r="F66" s="105">
        <v>42807</v>
      </c>
      <c r="G66" s="106" t="s">
        <v>2446</v>
      </c>
      <c r="H66" s="96">
        <v>860936.14</v>
      </c>
    </row>
    <row r="67" spans="1:8" x14ac:dyDescent="0.25">
      <c r="A67" s="2"/>
      <c r="B67" s="104"/>
      <c r="C67" s="120"/>
      <c r="D67" s="114" t="s">
        <v>249</v>
      </c>
      <c r="E67" s="104" t="s">
        <v>865</v>
      </c>
      <c r="F67" s="105">
        <v>42807</v>
      </c>
      <c r="G67" s="106" t="s">
        <v>2493</v>
      </c>
      <c r="H67" s="96">
        <v>1354409.35</v>
      </c>
    </row>
    <row r="68" spans="1:8" x14ac:dyDescent="0.25">
      <c r="A68" s="2"/>
      <c r="B68" s="104"/>
      <c r="C68" s="120"/>
      <c r="D68" s="114" t="s">
        <v>264</v>
      </c>
      <c r="E68" s="104" t="s">
        <v>866</v>
      </c>
      <c r="F68" s="105">
        <v>42811</v>
      </c>
      <c r="G68" s="106" t="s">
        <v>1152</v>
      </c>
      <c r="H68" s="96">
        <v>3132618.17</v>
      </c>
    </row>
    <row r="69" spans="1:8" x14ac:dyDescent="0.25">
      <c r="A69" s="104" t="s">
        <v>1077</v>
      </c>
      <c r="H69" s="96">
        <v>17313715.719999999</v>
      </c>
    </row>
    <row r="70" spans="1:8" x14ac:dyDescent="0.25">
      <c r="A70" s="104"/>
      <c r="H70" s="96"/>
    </row>
    <row r="71" spans="1:8" x14ac:dyDescent="0.25">
      <c r="A71" s="104" t="s">
        <v>800</v>
      </c>
      <c r="H71" s="96">
        <v>102452967.75</v>
      </c>
    </row>
  </sheetData>
  <printOptions horizontalCentered="1"/>
  <pageMargins left="0.39370078740157483" right="0.39370078740157483" top="1.1023622047244095" bottom="0.62992125984251968" header="0.51181102362204722" footer="0.35433070866141736"/>
  <pageSetup scale="65" fitToHeight="0" orientation="portrait" r:id="rId2"/>
  <headerFooter>
    <oddHeader>&amp;L&amp;G&amp;R&amp;12
&amp;"Calibri,Negrita"&amp;16DGEO&amp;"Calibri,Normal"&amp;12
CARRETERAS FONDEN 2016
&amp;D</oddHeader>
    <oddFooter>&amp;RHOJA &amp;P DE &amp;N</oddFooter>
  </headerFooter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47"/>
  <sheetViews>
    <sheetView view="pageBreakPreview" topLeftCell="A4" zoomScaleNormal="70" zoomScaleSheetLayoutView="100" workbookViewId="0">
      <selection activeCell="D435" sqref="D435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0.85546875" bestFit="1" customWidth="1"/>
    <col min="5" max="5" width="16.85546875" bestFit="1" customWidth="1"/>
    <col min="6" max="6" width="10.7109375" bestFit="1" customWidth="1"/>
    <col min="7" max="7" width="15.85546875" bestFit="1" customWidth="1"/>
    <col min="8" max="8" width="14.710937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8" x14ac:dyDescent="0.25">
      <c r="A3" s="94" t="s">
        <v>3</v>
      </c>
      <c r="B3" s="94" t="s">
        <v>890</v>
      </c>
      <c r="C3" s="94" t="s">
        <v>911</v>
      </c>
      <c r="D3" s="94" t="s">
        <v>1325</v>
      </c>
      <c r="E3" s="94" t="s">
        <v>46</v>
      </c>
      <c r="F3" s="94" t="s">
        <v>47</v>
      </c>
      <c r="G3" s="110" t="s">
        <v>1435</v>
      </c>
      <c r="H3" s="102" t="s">
        <v>43</v>
      </c>
    </row>
    <row r="4" spans="1:8" x14ac:dyDescent="0.25">
      <c r="A4" s="104" t="s">
        <v>777</v>
      </c>
      <c r="H4" s="96"/>
    </row>
    <row r="5" spans="1:8" ht="60" x14ac:dyDescent="0.25">
      <c r="A5" s="107" t="s">
        <v>778</v>
      </c>
      <c r="B5" s="107"/>
      <c r="C5" s="107"/>
      <c r="D5" s="107"/>
      <c r="E5" s="107"/>
      <c r="F5" s="107"/>
      <c r="G5" s="107"/>
      <c r="H5" s="96"/>
    </row>
    <row r="6" spans="1:8" ht="30" x14ac:dyDescent="0.25">
      <c r="A6" s="115" t="s">
        <v>779</v>
      </c>
      <c r="B6" s="104" t="s">
        <v>1546</v>
      </c>
      <c r="C6" s="120">
        <v>0.97</v>
      </c>
      <c r="D6" s="104" t="s">
        <v>2100</v>
      </c>
      <c r="H6" s="96"/>
    </row>
    <row r="7" spans="1:8" x14ac:dyDescent="0.25">
      <c r="A7" s="2"/>
      <c r="B7" s="104"/>
      <c r="C7" s="120"/>
      <c r="D7" s="114" t="s">
        <v>23</v>
      </c>
      <c r="E7" s="104" t="s">
        <v>863</v>
      </c>
      <c r="F7" s="105">
        <v>42614</v>
      </c>
      <c r="G7" s="106"/>
      <c r="H7" s="96">
        <v>5861825.5800000001</v>
      </c>
    </row>
    <row r="8" spans="1:8" x14ac:dyDescent="0.25">
      <c r="A8" s="2"/>
      <c r="B8" s="104"/>
      <c r="C8" s="120"/>
      <c r="D8" s="114" t="s">
        <v>103</v>
      </c>
      <c r="E8" s="104" t="s">
        <v>863</v>
      </c>
      <c r="F8" s="105">
        <v>42702</v>
      </c>
      <c r="G8" s="106" t="s">
        <v>1334</v>
      </c>
      <c r="H8" s="96">
        <v>1658085.05</v>
      </c>
    </row>
    <row r="9" spans="1:8" x14ac:dyDescent="0.25">
      <c r="A9" s="2"/>
      <c r="B9" s="104"/>
      <c r="C9" s="120"/>
      <c r="D9" s="114" t="s">
        <v>221</v>
      </c>
      <c r="E9" s="104" t="s">
        <v>863</v>
      </c>
      <c r="F9" s="105">
        <v>42710</v>
      </c>
      <c r="G9" s="106" t="s">
        <v>1676</v>
      </c>
      <c r="H9" s="96">
        <v>5099524.07</v>
      </c>
    </row>
    <row r="10" spans="1:8" x14ac:dyDescent="0.25">
      <c r="A10" s="2"/>
      <c r="B10" s="104"/>
      <c r="C10" s="120"/>
      <c r="D10" s="114" t="s">
        <v>55</v>
      </c>
      <c r="E10" s="104" t="s">
        <v>864</v>
      </c>
      <c r="F10" s="105">
        <v>42811</v>
      </c>
      <c r="G10" s="106" t="s">
        <v>1892</v>
      </c>
      <c r="H10" s="96">
        <v>5177621.22</v>
      </c>
    </row>
    <row r="11" spans="1:8" x14ac:dyDescent="0.25">
      <c r="A11" s="2"/>
      <c r="B11" s="104"/>
      <c r="C11" s="120"/>
      <c r="D11" s="114" t="s">
        <v>215</v>
      </c>
      <c r="E11" s="104" t="s">
        <v>864</v>
      </c>
      <c r="F11" s="105">
        <v>42811</v>
      </c>
      <c r="G11" s="106" t="s">
        <v>2101</v>
      </c>
      <c r="H11" s="96">
        <v>1283573.51</v>
      </c>
    </row>
    <row r="12" spans="1:8" x14ac:dyDescent="0.25">
      <c r="A12" s="104" t="s">
        <v>1547</v>
      </c>
      <c r="H12" s="96">
        <v>19080629.43</v>
      </c>
    </row>
    <row r="13" spans="1:8" x14ac:dyDescent="0.25">
      <c r="A13" s="104"/>
      <c r="H13" s="96"/>
    </row>
    <row r="14" spans="1:8" x14ac:dyDescent="0.25">
      <c r="A14" s="104" t="s">
        <v>824</v>
      </c>
      <c r="H14" s="96"/>
    </row>
    <row r="15" spans="1:8" ht="75" x14ac:dyDescent="0.25">
      <c r="A15" s="107" t="s">
        <v>826</v>
      </c>
      <c r="B15" s="107"/>
      <c r="C15" s="107"/>
      <c r="D15" s="107"/>
      <c r="E15" s="107"/>
      <c r="F15" s="107"/>
      <c r="G15" s="107"/>
      <c r="H15" s="96"/>
    </row>
    <row r="16" spans="1:8" x14ac:dyDescent="0.25">
      <c r="A16" s="115" t="s">
        <v>823</v>
      </c>
      <c r="B16" s="104" t="s">
        <v>1548</v>
      </c>
      <c r="C16" s="120">
        <v>0.51</v>
      </c>
      <c r="D16" s="104" t="s">
        <v>2314</v>
      </c>
      <c r="H16" s="96"/>
    </row>
    <row r="17" spans="1:8" x14ac:dyDescent="0.25">
      <c r="A17" s="2"/>
      <c r="B17" s="104"/>
      <c r="C17" s="120"/>
      <c r="D17" s="114" t="s">
        <v>23</v>
      </c>
      <c r="E17" s="104" t="s">
        <v>863</v>
      </c>
      <c r="F17" s="105">
        <v>42619</v>
      </c>
      <c r="G17" s="106"/>
      <c r="H17" s="96">
        <v>6861945.5199999996</v>
      </c>
    </row>
    <row r="18" spans="1:8" x14ac:dyDescent="0.25">
      <c r="A18" s="2"/>
      <c r="B18" s="104"/>
      <c r="C18" s="120"/>
      <c r="D18" s="114" t="s">
        <v>103</v>
      </c>
      <c r="E18" s="104" t="s">
        <v>863</v>
      </c>
      <c r="F18" s="105">
        <v>42727</v>
      </c>
      <c r="G18" s="106" t="s">
        <v>1893</v>
      </c>
      <c r="H18" s="96">
        <v>1412254.15</v>
      </c>
    </row>
    <row r="19" spans="1:8" x14ac:dyDescent="0.25">
      <c r="A19" s="2"/>
      <c r="B19" s="104"/>
      <c r="C19" s="120"/>
      <c r="D19" s="114" t="s">
        <v>221</v>
      </c>
      <c r="E19" s="104" t="s">
        <v>863</v>
      </c>
      <c r="F19" s="105">
        <v>42733</v>
      </c>
      <c r="G19" s="106" t="s">
        <v>1968</v>
      </c>
      <c r="H19" s="96">
        <v>2868756.65</v>
      </c>
    </row>
    <row r="20" spans="1:8" x14ac:dyDescent="0.25">
      <c r="A20" s="2"/>
      <c r="B20" s="104"/>
      <c r="C20" s="120"/>
      <c r="D20" s="114" t="s">
        <v>55</v>
      </c>
      <c r="E20" s="104" t="s">
        <v>863</v>
      </c>
      <c r="F20" s="105">
        <v>42804</v>
      </c>
      <c r="G20" s="106" t="s">
        <v>2315</v>
      </c>
      <c r="H20" s="96">
        <v>3855340.56</v>
      </c>
    </row>
    <row r="21" spans="1:8" x14ac:dyDescent="0.25">
      <c r="A21" s="104" t="s">
        <v>1549</v>
      </c>
      <c r="H21" s="96">
        <v>14998296.880000001</v>
      </c>
    </row>
    <row r="22" spans="1:8" x14ac:dyDescent="0.25">
      <c r="A22" s="104"/>
      <c r="H22" s="96"/>
    </row>
    <row r="23" spans="1:8" x14ac:dyDescent="0.25">
      <c r="A23" s="104" t="s">
        <v>872</v>
      </c>
      <c r="H23" s="96"/>
    </row>
    <row r="24" spans="1:8" ht="45" x14ac:dyDescent="0.25">
      <c r="A24" s="107" t="s">
        <v>874</v>
      </c>
      <c r="B24" s="107"/>
      <c r="C24" s="107"/>
      <c r="D24" s="107"/>
      <c r="E24" s="107"/>
      <c r="F24" s="107"/>
      <c r="G24" s="107"/>
      <c r="H24" s="96"/>
    </row>
    <row r="25" spans="1:8" ht="30" x14ac:dyDescent="0.25">
      <c r="A25" s="115" t="s">
        <v>873</v>
      </c>
      <c r="B25" s="104" t="s">
        <v>1550</v>
      </c>
      <c r="C25" s="120">
        <v>0.94</v>
      </c>
      <c r="D25" s="104" t="s">
        <v>2482</v>
      </c>
      <c r="H25" s="96"/>
    </row>
    <row r="26" spans="1:8" x14ac:dyDescent="0.25">
      <c r="A26" s="2"/>
      <c r="B26" s="104"/>
      <c r="C26" s="120"/>
      <c r="D26" s="114" t="s">
        <v>23</v>
      </c>
      <c r="E26" s="104" t="s">
        <v>863</v>
      </c>
      <c r="F26" s="105">
        <v>42626</v>
      </c>
      <c r="G26" s="106"/>
      <c r="H26" s="96">
        <v>7846191.1100000003</v>
      </c>
    </row>
    <row r="27" spans="1:8" x14ac:dyDescent="0.25">
      <c r="A27" s="2"/>
      <c r="B27" s="104"/>
      <c r="C27" s="120"/>
      <c r="D27" s="114" t="s">
        <v>103</v>
      </c>
      <c r="E27" s="104" t="s">
        <v>863</v>
      </c>
      <c r="F27" s="105">
        <v>42733</v>
      </c>
      <c r="G27" s="106" t="s">
        <v>1969</v>
      </c>
      <c r="H27" s="96">
        <v>2128192.44</v>
      </c>
    </row>
    <row r="28" spans="1:8" x14ac:dyDescent="0.25">
      <c r="A28" s="2"/>
      <c r="B28" s="104"/>
      <c r="C28" s="120"/>
      <c r="D28" s="114" t="s">
        <v>221</v>
      </c>
      <c r="E28" s="104" t="s">
        <v>863</v>
      </c>
      <c r="F28" s="105">
        <v>42733</v>
      </c>
      <c r="G28" s="106" t="s">
        <v>1970</v>
      </c>
      <c r="H28" s="96">
        <v>3569902.12</v>
      </c>
    </row>
    <row r="29" spans="1:8" x14ac:dyDescent="0.25">
      <c r="A29" s="2"/>
      <c r="B29" s="104"/>
      <c r="C29" s="120"/>
      <c r="D29" s="114" t="s">
        <v>55</v>
      </c>
      <c r="E29" s="104" t="s">
        <v>863</v>
      </c>
      <c r="F29" s="105">
        <v>42759</v>
      </c>
      <c r="G29" s="106" t="s">
        <v>2102</v>
      </c>
      <c r="H29" s="96">
        <v>7403625.0700000003</v>
      </c>
    </row>
    <row r="30" spans="1:8" x14ac:dyDescent="0.25">
      <c r="A30" s="2"/>
      <c r="B30" s="104"/>
      <c r="C30" s="120"/>
      <c r="D30" s="114" t="s">
        <v>215</v>
      </c>
      <c r="E30" s="104" t="s">
        <v>866</v>
      </c>
      <c r="F30" s="105">
        <v>42807</v>
      </c>
      <c r="G30" s="106" t="s">
        <v>2483</v>
      </c>
      <c r="H30" s="96">
        <v>4088907.55</v>
      </c>
    </row>
    <row r="31" spans="1:8" x14ac:dyDescent="0.25">
      <c r="A31" s="104" t="s">
        <v>1551</v>
      </c>
      <c r="H31" s="96">
        <v>25036818.289999999</v>
      </c>
    </row>
    <row r="32" spans="1:8" x14ac:dyDescent="0.25">
      <c r="A32" s="104"/>
      <c r="H32" s="96"/>
    </row>
    <row r="33" spans="1:8" x14ac:dyDescent="0.25">
      <c r="A33" s="104" t="s">
        <v>835</v>
      </c>
      <c r="H33" s="96"/>
    </row>
    <row r="34" spans="1:8" ht="75" x14ac:dyDescent="0.25">
      <c r="A34" s="107" t="s">
        <v>836</v>
      </c>
      <c r="B34" s="107"/>
      <c r="C34" s="107"/>
      <c r="D34" s="107"/>
      <c r="E34" s="107"/>
      <c r="F34" s="107"/>
      <c r="G34" s="107"/>
      <c r="H34" s="96"/>
    </row>
    <row r="35" spans="1:8" x14ac:dyDescent="0.25">
      <c r="A35" s="115" t="s">
        <v>834</v>
      </c>
      <c r="B35" s="104" t="s">
        <v>1182</v>
      </c>
      <c r="C35" s="120">
        <v>0.98</v>
      </c>
      <c r="D35" s="104" t="s">
        <v>2103</v>
      </c>
      <c r="H35" s="96"/>
    </row>
    <row r="36" spans="1:8" x14ac:dyDescent="0.25">
      <c r="A36" s="2"/>
      <c r="B36" s="104"/>
      <c r="C36" s="120"/>
      <c r="D36" s="114" t="s">
        <v>23</v>
      </c>
      <c r="E36" s="104" t="s">
        <v>863</v>
      </c>
      <c r="F36" s="105">
        <v>42646</v>
      </c>
      <c r="G36" s="106"/>
      <c r="H36" s="96">
        <v>5720997.1399999997</v>
      </c>
    </row>
    <row r="37" spans="1:8" x14ac:dyDescent="0.25">
      <c r="A37" s="2"/>
      <c r="B37" s="104"/>
      <c r="C37" s="120"/>
      <c r="D37" s="114" t="s">
        <v>103</v>
      </c>
      <c r="E37" s="104" t="s">
        <v>863</v>
      </c>
      <c r="F37" s="105">
        <v>42734</v>
      </c>
      <c r="G37" s="106" t="s">
        <v>1849</v>
      </c>
      <c r="H37" s="96">
        <v>2995461.01</v>
      </c>
    </row>
    <row r="38" spans="1:8" x14ac:dyDescent="0.25">
      <c r="A38" s="2"/>
      <c r="B38" s="104"/>
      <c r="C38" s="120"/>
      <c r="D38" s="114" t="s">
        <v>221</v>
      </c>
      <c r="E38" s="104" t="s">
        <v>863</v>
      </c>
      <c r="F38" s="105">
        <v>42734</v>
      </c>
      <c r="G38" s="106" t="s">
        <v>1971</v>
      </c>
      <c r="H38" s="96">
        <v>2382064.54</v>
      </c>
    </row>
    <row r="39" spans="1:8" x14ac:dyDescent="0.25">
      <c r="A39" s="2"/>
      <c r="B39" s="104"/>
      <c r="C39" s="120"/>
      <c r="D39" s="114" t="s">
        <v>55</v>
      </c>
      <c r="E39" s="104" t="s">
        <v>863</v>
      </c>
      <c r="F39" s="105">
        <v>42732</v>
      </c>
      <c r="G39" s="106" t="s">
        <v>2104</v>
      </c>
      <c r="H39" s="96">
        <v>2054975.73</v>
      </c>
    </row>
    <row r="40" spans="1:8" x14ac:dyDescent="0.25">
      <c r="A40" s="2"/>
      <c r="B40" s="104"/>
      <c r="C40" s="120"/>
      <c r="D40" s="114" t="s">
        <v>215</v>
      </c>
      <c r="E40" s="104" t="s">
        <v>863</v>
      </c>
      <c r="F40" s="105">
        <v>42759</v>
      </c>
      <c r="G40" s="106" t="s">
        <v>2105</v>
      </c>
      <c r="H40" s="96">
        <v>829891.59</v>
      </c>
    </row>
    <row r="41" spans="1:8" x14ac:dyDescent="0.25">
      <c r="A41" s="2"/>
      <c r="B41" s="104"/>
      <c r="C41" s="120"/>
      <c r="D41" s="114" t="s">
        <v>15</v>
      </c>
      <c r="E41" s="104" t="s">
        <v>863</v>
      </c>
      <c r="F41" s="105">
        <v>42810</v>
      </c>
      <c r="G41" s="106" t="s">
        <v>1342</v>
      </c>
      <c r="H41" s="96">
        <v>2450173.0299999998</v>
      </c>
    </row>
    <row r="42" spans="1:8" x14ac:dyDescent="0.25">
      <c r="A42" s="2"/>
      <c r="B42" s="104"/>
      <c r="C42" s="120"/>
      <c r="D42" s="114" t="s">
        <v>214</v>
      </c>
      <c r="E42" s="104" t="s">
        <v>863</v>
      </c>
      <c r="F42" s="105">
        <v>42810</v>
      </c>
      <c r="G42" s="106" t="s">
        <v>2106</v>
      </c>
      <c r="H42" s="96">
        <v>2228773.56</v>
      </c>
    </row>
    <row r="43" spans="1:8" x14ac:dyDescent="0.25">
      <c r="A43" s="104" t="s">
        <v>1183</v>
      </c>
      <c r="H43" s="96">
        <v>18662336.600000001</v>
      </c>
    </row>
    <row r="44" spans="1:8" x14ac:dyDescent="0.25">
      <c r="A44" s="104"/>
      <c r="H44" s="96"/>
    </row>
    <row r="45" spans="1:8" x14ac:dyDescent="0.25">
      <c r="A45" s="104" t="s">
        <v>914</v>
      </c>
      <c r="H45" s="96"/>
    </row>
    <row r="46" spans="1:8" ht="60" x14ac:dyDescent="0.25">
      <c r="A46" s="107" t="s">
        <v>912</v>
      </c>
      <c r="B46" s="107"/>
      <c r="C46" s="107"/>
      <c r="D46" s="107"/>
      <c r="E46" s="107"/>
      <c r="F46" s="107"/>
      <c r="G46" s="107"/>
      <c r="H46" s="96"/>
    </row>
    <row r="47" spans="1:8" ht="30" x14ac:dyDescent="0.25">
      <c r="A47" s="115" t="s">
        <v>913</v>
      </c>
      <c r="B47" s="104" t="s">
        <v>1248</v>
      </c>
      <c r="C47" s="120">
        <v>0.02</v>
      </c>
      <c r="D47" s="104" t="s">
        <v>2239</v>
      </c>
      <c r="H47" s="96"/>
    </row>
    <row r="48" spans="1:8" x14ac:dyDescent="0.25">
      <c r="A48" s="2"/>
      <c r="B48" s="104"/>
      <c r="C48" s="120"/>
      <c r="D48" s="114" t="s">
        <v>23</v>
      </c>
      <c r="E48" s="104" t="s">
        <v>863</v>
      </c>
      <c r="F48" s="105">
        <v>42660</v>
      </c>
      <c r="G48" s="106"/>
      <c r="H48" s="96">
        <v>3071355.59</v>
      </c>
    </row>
    <row r="49" spans="1:8" x14ac:dyDescent="0.25">
      <c r="A49" s="2"/>
      <c r="B49" s="104"/>
      <c r="C49" s="120"/>
      <c r="D49" s="114" t="s">
        <v>103</v>
      </c>
      <c r="E49" s="104" t="s">
        <v>863</v>
      </c>
      <c r="F49" s="105">
        <v>42789</v>
      </c>
      <c r="G49" s="106" t="s">
        <v>2240</v>
      </c>
      <c r="H49" s="96">
        <v>115825.05</v>
      </c>
    </row>
    <row r="50" spans="1:8" x14ac:dyDescent="0.25">
      <c r="A50" s="2"/>
      <c r="B50" s="104"/>
      <c r="C50" s="120"/>
      <c r="D50" s="114" t="s">
        <v>221</v>
      </c>
      <c r="E50" s="104" t="s">
        <v>863</v>
      </c>
      <c r="F50" s="105">
        <v>42789</v>
      </c>
      <c r="G50" s="106" t="s">
        <v>2241</v>
      </c>
      <c r="H50" s="96">
        <v>1</v>
      </c>
    </row>
    <row r="51" spans="1:8" x14ac:dyDescent="0.25">
      <c r="A51" s="2"/>
      <c r="B51" s="104"/>
      <c r="C51" s="120"/>
      <c r="D51" s="114" t="s">
        <v>55</v>
      </c>
      <c r="E51" s="104" t="s">
        <v>866</v>
      </c>
      <c r="F51" s="105">
        <v>42800</v>
      </c>
      <c r="G51" s="106" t="s">
        <v>2241</v>
      </c>
      <c r="H51" s="96">
        <v>1</v>
      </c>
    </row>
    <row r="52" spans="1:8" x14ac:dyDescent="0.25">
      <c r="A52" s="104" t="s">
        <v>1552</v>
      </c>
      <c r="H52" s="96">
        <v>3187182.64</v>
      </c>
    </row>
    <row r="53" spans="1:8" x14ac:dyDescent="0.25">
      <c r="A53" s="104"/>
      <c r="H53" s="96"/>
    </row>
    <row r="54" spans="1:8" x14ac:dyDescent="0.25">
      <c r="A54" s="104" t="s">
        <v>1725</v>
      </c>
      <c r="H54" s="96"/>
    </row>
    <row r="55" spans="1:8" ht="45" x14ac:dyDescent="0.25">
      <c r="A55" s="107" t="s">
        <v>1726</v>
      </c>
      <c r="B55" s="107"/>
      <c r="C55" s="107"/>
      <c r="D55" s="107"/>
      <c r="E55" s="107"/>
      <c r="F55" s="107"/>
      <c r="G55" s="107"/>
      <c r="H55" s="96"/>
    </row>
    <row r="56" spans="1:8" ht="30" x14ac:dyDescent="0.25">
      <c r="A56" s="115" t="s">
        <v>66</v>
      </c>
      <c r="B56" s="104" t="s">
        <v>1761</v>
      </c>
      <c r="C56" s="120">
        <v>0.79</v>
      </c>
      <c r="D56" s="104" t="s">
        <v>2451</v>
      </c>
      <c r="H56" s="96"/>
    </row>
    <row r="57" spans="1:8" x14ac:dyDescent="0.25">
      <c r="A57" s="2"/>
      <c r="B57" s="104"/>
      <c r="C57" s="120"/>
      <c r="D57" s="114" t="s">
        <v>23</v>
      </c>
      <c r="E57" s="104" t="s">
        <v>863</v>
      </c>
      <c r="F57" s="105">
        <v>42699</v>
      </c>
      <c r="G57" s="106"/>
      <c r="H57" s="96">
        <v>4349390.51</v>
      </c>
    </row>
    <row r="58" spans="1:8" x14ac:dyDescent="0.25">
      <c r="A58" s="2"/>
      <c r="B58" s="104"/>
      <c r="C58" s="120"/>
      <c r="D58" s="114" t="s">
        <v>103</v>
      </c>
      <c r="E58" s="104" t="s">
        <v>863</v>
      </c>
      <c r="F58" s="105">
        <v>42804</v>
      </c>
      <c r="G58" s="106" t="s">
        <v>1172</v>
      </c>
      <c r="H58" s="96">
        <v>1737214.3</v>
      </c>
    </row>
    <row r="59" spans="1:8" x14ac:dyDescent="0.25">
      <c r="A59" s="2"/>
      <c r="B59" s="104"/>
      <c r="C59" s="120"/>
      <c r="D59" s="114" t="s">
        <v>221</v>
      </c>
      <c r="E59" s="104" t="s">
        <v>863</v>
      </c>
      <c r="F59" s="105">
        <v>42803</v>
      </c>
      <c r="G59" s="106" t="s">
        <v>2423</v>
      </c>
      <c r="H59" s="96">
        <v>3047126.61</v>
      </c>
    </row>
    <row r="60" spans="1:8" x14ac:dyDescent="0.25">
      <c r="A60" s="2"/>
      <c r="B60" s="104"/>
      <c r="C60" s="120"/>
      <c r="D60" s="114" t="s">
        <v>55</v>
      </c>
      <c r="E60" s="104" t="s">
        <v>864</v>
      </c>
      <c r="F60" s="105">
        <v>42811</v>
      </c>
      <c r="G60" s="106" t="s">
        <v>2452</v>
      </c>
      <c r="H60" s="96">
        <v>3220833.35</v>
      </c>
    </row>
    <row r="61" spans="1:8" x14ac:dyDescent="0.25">
      <c r="A61" s="104" t="s">
        <v>1762</v>
      </c>
      <c r="H61" s="96">
        <v>12354564.77</v>
      </c>
    </row>
    <row r="62" spans="1:8" x14ac:dyDescent="0.25">
      <c r="A62" s="104"/>
      <c r="H62" s="96"/>
    </row>
    <row r="63" spans="1:8" x14ac:dyDescent="0.25">
      <c r="A63" s="104" t="s">
        <v>1230</v>
      </c>
      <c r="H63" s="96"/>
    </row>
    <row r="64" spans="1:8" ht="60" x14ac:dyDescent="0.25">
      <c r="A64" s="107" t="s">
        <v>1229</v>
      </c>
      <c r="B64" s="107"/>
      <c r="C64" s="107"/>
      <c r="D64" s="107"/>
      <c r="E64" s="107"/>
      <c r="F64" s="107"/>
      <c r="G64" s="107"/>
      <c r="H64" s="96"/>
    </row>
    <row r="65" spans="1:8" x14ac:dyDescent="0.25">
      <c r="A65" s="115" t="s">
        <v>1228</v>
      </c>
      <c r="B65" s="104" t="s">
        <v>1570</v>
      </c>
      <c r="C65" s="120">
        <v>0.1</v>
      </c>
      <c r="D65" s="104" t="s">
        <v>2424</v>
      </c>
      <c r="H65" s="96"/>
    </row>
    <row r="66" spans="1:8" x14ac:dyDescent="0.25">
      <c r="A66" s="2"/>
      <c r="B66" s="104"/>
      <c r="C66" s="120"/>
      <c r="D66" s="114" t="s">
        <v>23</v>
      </c>
      <c r="E66" s="104" t="s">
        <v>863</v>
      </c>
      <c r="F66" s="105">
        <v>42683</v>
      </c>
      <c r="G66" s="106"/>
      <c r="H66" s="96">
        <v>3453858.96</v>
      </c>
    </row>
    <row r="67" spans="1:8" x14ac:dyDescent="0.25">
      <c r="A67" s="2"/>
      <c r="B67" s="104"/>
      <c r="C67" s="120"/>
      <c r="D67" s="114" t="s">
        <v>103</v>
      </c>
      <c r="E67" s="104" t="s">
        <v>863</v>
      </c>
      <c r="F67" s="105">
        <v>42810</v>
      </c>
      <c r="G67" s="106" t="s">
        <v>1974</v>
      </c>
      <c r="H67" s="96">
        <v>402515.8</v>
      </c>
    </row>
    <row r="68" spans="1:8" x14ac:dyDescent="0.25">
      <c r="A68" s="2"/>
      <c r="B68" s="104"/>
      <c r="C68" s="120"/>
      <c r="D68" s="114" t="s">
        <v>221</v>
      </c>
      <c r="E68" s="104" t="s">
        <v>863</v>
      </c>
      <c r="F68" s="105">
        <v>42810</v>
      </c>
      <c r="G68" s="106" t="s">
        <v>1492</v>
      </c>
      <c r="H68" s="96">
        <v>414418.88</v>
      </c>
    </row>
    <row r="69" spans="1:8" x14ac:dyDescent="0.25">
      <c r="A69" s="104" t="s">
        <v>1571</v>
      </c>
      <c r="H69" s="96">
        <v>4270793.6399999997</v>
      </c>
    </row>
    <row r="70" spans="1:8" x14ac:dyDescent="0.25">
      <c r="A70" s="104"/>
      <c r="H70" s="96"/>
    </row>
    <row r="71" spans="1:8" x14ac:dyDescent="0.25">
      <c r="A71" s="104" t="s">
        <v>975</v>
      </c>
      <c r="H71" s="96"/>
    </row>
    <row r="72" spans="1:8" ht="45" x14ac:dyDescent="0.25">
      <c r="A72" s="107" t="s">
        <v>974</v>
      </c>
      <c r="B72" s="107"/>
      <c r="C72" s="107"/>
      <c r="D72" s="107"/>
      <c r="E72" s="107"/>
      <c r="F72" s="107"/>
      <c r="G72" s="107"/>
      <c r="H72" s="96"/>
    </row>
    <row r="73" spans="1:8" x14ac:dyDescent="0.25">
      <c r="A73" s="115" t="s">
        <v>96</v>
      </c>
      <c r="B73" s="104" t="s">
        <v>1184</v>
      </c>
      <c r="C73" s="120">
        <v>0.62</v>
      </c>
      <c r="D73" s="104" t="s">
        <v>2425</v>
      </c>
      <c r="H73" s="96"/>
    </row>
    <row r="74" spans="1:8" x14ac:dyDescent="0.25">
      <c r="A74" s="2"/>
      <c r="B74" s="104"/>
      <c r="C74" s="120"/>
      <c r="D74" s="114" t="s">
        <v>23</v>
      </c>
      <c r="E74" s="104" t="s">
        <v>863</v>
      </c>
      <c r="F74" s="105">
        <v>42677</v>
      </c>
      <c r="G74" s="106"/>
      <c r="H74" s="96">
        <v>4346135.2</v>
      </c>
    </row>
    <row r="75" spans="1:8" x14ac:dyDescent="0.25">
      <c r="A75" s="2"/>
      <c r="B75" s="104"/>
      <c r="C75" s="120"/>
      <c r="D75" s="114" t="s">
        <v>103</v>
      </c>
      <c r="E75" s="104" t="s">
        <v>863</v>
      </c>
      <c r="F75" s="105">
        <v>42734</v>
      </c>
      <c r="G75" s="106" t="s">
        <v>2107</v>
      </c>
      <c r="H75" s="96">
        <v>999545.42</v>
      </c>
    </row>
    <row r="76" spans="1:8" x14ac:dyDescent="0.25">
      <c r="A76" s="2"/>
      <c r="B76" s="104"/>
      <c r="C76" s="120"/>
      <c r="D76" s="114" t="s">
        <v>221</v>
      </c>
      <c r="E76" s="104" t="s">
        <v>863</v>
      </c>
      <c r="F76" s="105">
        <v>42734</v>
      </c>
      <c r="G76" s="106" t="s">
        <v>2108</v>
      </c>
      <c r="H76" s="96">
        <v>1718983.09</v>
      </c>
    </row>
    <row r="77" spans="1:8" x14ac:dyDescent="0.25">
      <c r="A77" s="2"/>
      <c r="B77" s="104"/>
      <c r="C77" s="120"/>
      <c r="D77" s="114" t="s">
        <v>55</v>
      </c>
      <c r="E77" s="104" t="s">
        <v>863</v>
      </c>
      <c r="F77" s="105">
        <v>42810</v>
      </c>
      <c r="G77" s="106" t="s">
        <v>2426</v>
      </c>
      <c r="H77" s="96">
        <v>3534600.06</v>
      </c>
    </row>
    <row r="78" spans="1:8" x14ac:dyDescent="0.25">
      <c r="A78" s="104" t="s">
        <v>1185</v>
      </c>
      <c r="H78" s="96">
        <v>10599263.77</v>
      </c>
    </row>
    <row r="79" spans="1:8" x14ac:dyDescent="0.25">
      <c r="A79" s="104"/>
      <c r="H79" s="96"/>
    </row>
    <row r="80" spans="1:8" x14ac:dyDescent="0.25">
      <c r="A80" s="104" t="s">
        <v>930</v>
      </c>
      <c r="H80" s="96"/>
    </row>
    <row r="81" spans="1:8" ht="45" x14ac:dyDescent="0.25">
      <c r="A81" s="107" t="s">
        <v>929</v>
      </c>
      <c r="B81" s="107"/>
      <c r="C81" s="107"/>
      <c r="D81" s="107"/>
      <c r="E81" s="107"/>
      <c r="F81" s="107"/>
      <c r="G81" s="107"/>
      <c r="H81" s="96"/>
    </row>
    <row r="82" spans="1:8" ht="30" x14ac:dyDescent="0.25">
      <c r="A82" s="115" t="s">
        <v>928</v>
      </c>
      <c r="B82" s="104" t="s">
        <v>1249</v>
      </c>
      <c r="C82" s="120">
        <v>0.66</v>
      </c>
      <c r="D82" s="104" t="s">
        <v>2316</v>
      </c>
      <c r="H82" s="96"/>
    </row>
    <row r="83" spans="1:8" x14ac:dyDescent="0.25">
      <c r="A83" s="2"/>
      <c r="B83" s="104"/>
      <c r="C83" s="120"/>
      <c r="D83" s="114" t="s">
        <v>23</v>
      </c>
      <c r="E83" s="104" t="s">
        <v>863</v>
      </c>
      <c r="F83" s="105">
        <v>42669</v>
      </c>
      <c r="G83" s="106"/>
      <c r="H83" s="96">
        <v>4692839.71</v>
      </c>
    </row>
    <row r="84" spans="1:8" x14ac:dyDescent="0.25">
      <c r="A84" s="2"/>
      <c r="B84" s="104"/>
      <c r="C84" s="120"/>
      <c r="D84" s="114" t="s">
        <v>103</v>
      </c>
      <c r="E84" s="104" t="s">
        <v>863</v>
      </c>
      <c r="F84" s="105">
        <v>42758</v>
      </c>
      <c r="G84" s="106" t="s">
        <v>1562</v>
      </c>
      <c r="H84" s="96">
        <v>1595893.16</v>
      </c>
    </row>
    <row r="85" spans="1:8" x14ac:dyDescent="0.25">
      <c r="A85" s="2"/>
      <c r="B85" s="104"/>
      <c r="C85" s="120"/>
      <c r="D85" s="114" t="s">
        <v>221</v>
      </c>
      <c r="E85" s="104" t="s">
        <v>863</v>
      </c>
      <c r="F85" s="105">
        <v>42758</v>
      </c>
      <c r="G85" s="106" t="s">
        <v>1972</v>
      </c>
      <c r="H85" s="96">
        <v>2249942.2200000002</v>
      </c>
    </row>
    <row r="86" spans="1:8" x14ac:dyDescent="0.25">
      <c r="A86" s="2"/>
      <c r="B86" s="104"/>
      <c r="C86" s="120"/>
      <c r="D86" s="114" t="s">
        <v>55</v>
      </c>
      <c r="E86" s="104" t="s">
        <v>863</v>
      </c>
      <c r="F86" s="105">
        <v>42804</v>
      </c>
      <c r="G86" s="106" t="s">
        <v>2242</v>
      </c>
      <c r="H86" s="96">
        <v>1849713.91</v>
      </c>
    </row>
    <row r="87" spans="1:8" x14ac:dyDescent="0.25">
      <c r="A87" s="2"/>
      <c r="B87" s="104"/>
      <c r="C87" s="120"/>
      <c r="D87" s="114" t="s">
        <v>215</v>
      </c>
      <c r="E87" s="104" t="s">
        <v>863</v>
      </c>
      <c r="F87" s="105">
        <v>42804</v>
      </c>
      <c r="G87" s="106" t="s">
        <v>2317</v>
      </c>
      <c r="H87" s="96">
        <v>1512727.82</v>
      </c>
    </row>
    <row r="88" spans="1:8" x14ac:dyDescent="0.25">
      <c r="A88" s="104" t="s">
        <v>1250</v>
      </c>
      <c r="H88" s="96">
        <v>11901116.82</v>
      </c>
    </row>
    <row r="89" spans="1:8" x14ac:dyDescent="0.25">
      <c r="A89" s="104"/>
      <c r="H89" s="96"/>
    </row>
    <row r="90" spans="1:8" x14ac:dyDescent="0.25">
      <c r="A90" s="104" t="s">
        <v>1625</v>
      </c>
      <c r="H90" s="96"/>
    </row>
    <row r="91" spans="1:8" ht="30" x14ac:dyDescent="0.25">
      <c r="A91" s="107" t="s">
        <v>1626</v>
      </c>
      <c r="B91" s="107"/>
      <c r="C91" s="107"/>
      <c r="D91" s="107"/>
      <c r="E91" s="107"/>
      <c r="F91" s="107"/>
      <c r="G91" s="107"/>
      <c r="H91" s="96"/>
    </row>
    <row r="92" spans="1:8" ht="30" x14ac:dyDescent="0.25">
      <c r="A92" s="115" t="s">
        <v>2196</v>
      </c>
      <c r="B92" s="104" t="s">
        <v>1696</v>
      </c>
      <c r="C92" s="120">
        <v>0</v>
      </c>
      <c r="D92" s="104" t="s">
        <v>1278</v>
      </c>
      <c r="H92" s="96"/>
    </row>
    <row r="93" spans="1:8" x14ac:dyDescent="0.25">
      <c r="A93" s="2"/>
      <c r="B93" s="104"/>
      <c r="C93" s="120"/>
      <c r="D93" s="114" t="s">
        <v>23</v>
      </c>
      <c r="E93" s="104" t="s">
        <v>863</v>
      </c>
      <c r="F93" s="105">
        <v>42691</v>
      </c>
      <c r="G93" s="106"/>
      <c r="H93" s="96">
        <v>6842339.3899999997</v>
      </c>
    </row>
    <row r="94" spans="1:8" x14ac:dyDescent="0.25">
      <c r="A94" s="104" t="s">
        <v>1697</v>
      </c>
      <c r="H94" s="96">
        <v>6842339.3899999997</v>
      </c>
    </row>
    <row r="95" spans="1:8" x14ac:dyDescent="0.25">
      <c r="A95" s="104"/>
      <c r="H95" s="96"/>
    </row>
    <row r="96" spans="1:8" x14ac:dyDescent="0.25">
      <c r="A96" s="104" t="s">
        <v>1244</v>
      </c>
      <c r="H96" s="96"/>
    </row>
    <row r="97" spans="1:8" ht="90" x14ac:dyDescent="0.25">
      <c r="A97" s="107" t="s">
        <v>1245</v>
      </c>
      <c r="B97" s="107"/>
      <c r="C97" s="107"/>
      <c r="D97" s="107"/>
      <c r="E97" s="107"/>
      <c r="F97" s="107"/>
      <c r="G97" s="107"/>
      <c r="H97" s="96"/>
    </row>
    <row r="98" spans="1:8" x14ac:dyDescent="0.25">
      <c r="A98" s="115" t="s">
        <v>1243</v>
      </c>
      <c r="B98" s="104" t="s">
        <v>1251</v>
      </c>
      <c r="C98" s="120">
        <v>0.18</v>
      </c>
      <c r="D98" s="104" t="s">
        <v>2539</v>
      </c>
      <c r="H98" s="96"/>
    </row>
    <row r="99" spans="1:8" x14ac:dyDescent="0.25">
      <c r="A99" s="2"/>
      <c r="B99" s="104"/>
      <c r="C99" s="120"/>
      <c r="D99" s="114" t="s">
        <v>23</v>
      </c>
      <c r="E99" s="104" t="s">
        <v>863</v>
      </c>
      <c r="F99" s="105">
        <v>42682</v>
      </c>
      <c r="G99" s="106"/>
      <c r="H99" s="96">
        <v>2017684.58</v>
      </c>
    </row>
    <row r="100" spans="1:8" x14ac:dyDescent="0.25">
      <c r="A100" s="2"/>
      <c r="B100" s="104"/>
      <c r="C100" s="120"/>
      <c r="D100" s="114" t="s">
        <v>103</v>
      </c>
      <c r="E100" s="104" t="s">
        <v>774</v>
      </c>
      <c r="F100" s="105">
        <v>42811</v>
      </c>
      <c r="G100" s="106" t="s">
        <v>2540</v>
      </c>
      <c r="H100" s="96">
        <v>701511.41</v>
      </c>
    </row>
    <row r="101" spans="1:8" x14ac:dyDescent="0.25">
      <c r="A101" s="2"/>
      <c r="B101" s="104"/>
      <c r="C101" s="120"/>
      <c r="D101" s="114" t="s">
        <v>221</v>
      </c>
      <c r="E101" s="104" t="s">
        <v>774</v>
      </c>
      <c r="F101" s="105">
        <v>42811</v>
      </c>
      <c r="G101" s="106" t="s">
        <v>2541</v>
      </c>
      <c r="H101" s="96">
        <v>152605.96</v>
      </c>
    </row>
    <row r="102" spans="1:8" x14ac:dyDescent="0.25">
      <c r="A102" s="104" t="s">
        <v>1252</v>
      </c>
      <c r="H102" s="96">
        <v>2871801.95</v>
      </c>
    </row>
    <row r="103" spans="1:8" x14ac:dyDescent="0.25">
      <c r="A103" s="104"/>
      <c r="H103" s="96"/>
    </row>
    <row r="104" spans="1:8" x14ac:dyDescent="0.25">
      <c r="A104" s="104" t="s">
        <v>937</v>
      </c>
      <c r="H104" s="96"/>
    </row>
    <row r="105" spans="1:8" ht="45" x14ac:dyDescent="0.25">
      <c r="A105" s="107" t="s">
        <v>938</v>
      </c>
      <c r="B105" s="107"/>
      <c r="C105" s="107"/>
      <c r="D105" s="107"/>
      <c r="E105" s="107"/>
      <c r="F105" s="107"/>
      <c r="G105" s="107"/>
      <c r="H105" s="96"/>
    </row>
    <row r="106" spans="1:8" ht="30" x14ac:dyDescent="0.25">
      <c r="A106" s="115" t="s">
        <v>932</v>
      </c>
      <c r="B106" s="104" t="s">
        <v>1186</v>
      </c>
      <c r="C106" s="120">
        <v>0.13</v>
      </c>
      <c r="D106" s="104" t="s">
        <v>2109</v>
      </c>
      <c r="H106" s="96"/>
    </row>
    <row r="107" spans="1:8" x14ac:dyDescent="0.25">
      <c r="A107" s="2"/>
      <c r="B107" s="104"/>
      <c r="C107" s="120"/>
      <c r="D107" s="114" t="s">
        <v>23</v>
      </c>
      <c r="E107" s="104" t="s">
        <v>863</v>
      </c>
      <c r="F107" s="105">
        <v>42677</v>
      </c>
      <c r="G107" s="106"/>
      <c r="H107" s="96">
        <v>966976.81</v>
      </c>
    </row>
    <row r="108" spans="1:8" x14ac:dyDescent="0.25">
      <c r="A108" s="2"/>
      <c r="B108" s="104"/>
      <c r="C108" s="120"/>
      <c r="D108" s="114" t="s">
        <v>103</v>
      </c>
      <c r="E108" s="104" t="s">
        <v>863</v>
      </c>
      <c r="F108" s="105">
        <v>42794</v>
      </c>
      <c r="G108" s="106" t="s">
        <v>2110</v>
      </c>
      <c r="H108" s="96">
        <v>296721.51</v>
      </c>
    </row>
    <row r="109" spans="1:8" x14ac:dyDescent="0.25">
      <c r="A109" s="104" t="s">
        <v>1187</v>
      </c>
      <c r="H109" s="96">
        <v>1263698.32</v>
      </c>
    </row>
    <row r="110" spans="1:8" x14ac:dyDescent="0.25">
      <c r="A110" s="104"/>
      <c r="H110" s="96"/>
    </row>
    <row r="111" spans="1:8" x14ac:dyDescent="0.25">
      <c r="A111" s="104" t="s">
        <v>963</v>
      </c>
      <c r="H111" s="96"/>
    </row>
    <row r="112" spans="1:8" ht="45" x14ac:dyDescent="0.25">
      <c r="A112" s="107" t="s">
        <v>964</v>
      </c>
      <c r="B112" s="107"/>
      <c r="C112" s="107"/>
      <c r="D112" s="107"/>
      <c r="E112" s="107"/>
      <c r="F112" s="107"/>
      <c r="G112" s="107"/>
      <c r="H112" s="96"/>
    </row>
    <row r="113" spans="1:8" x14ac:dyDescent="0.25">
      <c r="A113" s="115" t="s">
        <v>898</v>
      </c>
      <c r="B113" s="104" t="s">
        <v>1188</v>
      </c>
      <c r="C113" s="120">
        <v>0.25</v>
      </c>
      <c r="D113" s="104" t="s">
        <v>2494</v>
      </c>
      <c r="H113" s="96"/>
    </row>
    <row r="114" spans="1:8" x14ac:dyDescent="0.25">
      <c r="A114" s="2"/>
      <c r="B114" s="104"/>
      <c r="C114" s="120"/>
      <c r="D114" s="114" t="s">
        <v>23</v>
      </c>
      <c r="E114" s="104" t="s">
        <v>863</v>
      </c>
      <c r="F114" s="105">
        <v>42677</v>
      </c>
      <c r="G114" s="106"/>
      <c r="H114" s="96">
        <v>2427481.33</v>
      </c>
    </row>
    <row r="115" spans="1:8" x14ac:dyDescent="0.25">
      <c r="A115" s="2"/>
      <c r="B115" s="104"/>
      <c r="C115" s="120"/>
      <c r="D115" s="114" t="s">
        <v>103</v>
      </c>
      <c r="E115" s="104" t="s">
        <v>864</v>
      </c>
      <c r="F115" s="105">
        <v>42804</v>
      </c>
      <c r="G115" s="106" t="s">
        <v>2318</v>
      </c>
      <c r="H115" s="96">
        <v>628467.32999999996</v>
      </c>
    </row>
    <row r="116" spans="1:8" x14ac:dyDescent="0.25">
      <c r="A116" s="2"/>
      <c r="B116" s="104"/>
      <c r="C116" s="120"/>
      <c r="D116" s="114" t="s">
        <v>221</v>
      </c>
      <c r="E116" s="104" t="s">
        <v>864</v>
      </c>
      <c r="F116" s="105">
        <v>42804</v>
      </c>
      <c r="G116" s="106" t="s">
        <v>1537</v>
      </c>
      <c r="H116" s="96">
        <v>586860.05000000005</v>
      </c>
    </row>
    <row r="117" spans="1:8" x14ac:dyDescent="0.25">
      <c r="A117" s="2"/>
      <c r="B117" s="104"/>
      <c r="C117" s="120"/>
      <c r="D117" s="114" t="s">
        <v>55</v>
      </c>
      <c r="E117" s="104" t="s">
        <v>866</v>
      </c>
      <c r="F117" s="105">
        <v>42810</v>
      </c>
      <c r="G117" s="106" t="s">
        <v>2495</v>
      </c>
      <c r="H117" s="96">
        <v>201953.76</v>
      </c>
    </row>
    <row r="118" spans="1:8" x14ac:dyDescent="0.25">
      <c r="A118" s="104" t="s">
        <v>1189</v>
      </c>
      <c r="H118" s="96">
        <v>3844762.47</v>
      </c>
    </row>
    <row r="119" spans="1:8" x14ac:dyDescent="0.25">
      <c r="A119" s="104"/>
      <c r="H119" s="96"/>
    </row>
    <row r="120" spans="1:8" x14ac:dyDescent="0.25">
      <c r="A120" s="104" t="s">
        <v>1814</v>
      </c>
      <c r="H120" s="96"/>
    </row>
    <row r="121" spans="1:8" ht="60" x14ac:dyDescent="0.25">
      <c r="A121" s="107" t="s">
        <v>1815</v>
      </c>
      <c r="B121" s="107"/>
      <c r="C121" s="107"/>
      <c r="D121" s="107"/>
      <c r="E121" s="107"/>
      <c r="F121" s="107"/>
      <c r="G121" s="107"/>
      <c r="H121" s="96"/>
    </row>
    <row r="122" spans="1:8" x14ac:dyDescent="0.25">
      <c r="A122" s="115" t="s">
        <v>75</v>
      </c>
      <c r="B122" s="104" t="s">
        <v>1835</v>
      </c>
      <c r="C122" s="120">
        <v>0</v>
      </c>
      <c r="D122" s="104" t="s">
        <v>1278</v>
      </c>
      <c r="H122" s="96"/>
    </row>
    <row r="123" spans="1:8" x14ac:dyDescent="0.25">
      <c r="A123" s="2"/>
      <c r="B123" s="104"/>
      <c r="C123" s="120"/>
      <c r="D123" s="114" t="s">
        <v>23</v>
      </c>
      <c r="E123" s="104" t="s">
        <v>863</v>
      </c>
      <c r="F123" s="105">
        <v>42702</v>
      </c>
      <c r="G123" s="106"/>
      <c r="H123" s="96">
        <v>1856865.77</v>
      </c>
    </row>
    <row r="124" spans="1:8" x14ac:dyDescent="0.25">
      <c r="A124" s="104" t="s">
        <v>1836</v>
      </c>
      <c r="H124" s="96">
        <v>1856865.77</v>
      </c>
    </row>
    <row r="125" spans="1:8" x14ac:dyDescent="0.25">
      <c r="A125" s="104"/>
      <c r="H125" s="96"/>
    </row>
    <row r="126" spans="1:8" x14ac:dyDescent="0.25">
      <c r="A126" s="104" t="s">
        <v>1731</v>
      </c>
      <c r="H126" s="96"/>
    </row>
    <row r="127" spans="1:8" ht="45" x14ac:dyDescent="0.25">
      <c r="A127" s="107" t="s">
        <v>1730</v>
      </c>
      <c r="B127" s="107"/>
      <c r="C127" s="107"/>
      <c r="D127" s="107"/>
      <c r="E127" s="107"/>
      <c r="F127" s="107"/>
      <c r="G127" s="107"/>
      <c r="H127" s="96"/>
    </row>
    <row r="128" spans="1:8" ht="30" x14ac:dyDescent="0.25">
      <c r="A128" s="115" t="s">
        <v>66</v>
      </c>
      <c r="B128" s="104" t="s">
        <v>1763</v>
      </c>
      <c r="C128" s="120">
        <v>0.1</v>
      </c>
      <c r="D128" s="104" t="s">
        <v>2243</v>
      </c>
      <c r="H128" s="96"/>
    </row>
    <row r="129" spans="1:8" x14ac:dyDescent="0.25">
      <c r="A129" s="2"/>
      <c r="B129" s="104"/>
      <c r="C129" s="120"/>
      <c r="D129" s="114" t="s">
        <v>23</v>
      </c>
      <c r="E129" s="104" t="s">
        <v>863</v>
      </c>
      <c r="F129" s="105">
        <v>42699</v>
      </c>
      <c r="G129" s="106"/>
      <c r="H129" s="96">
        <v>1933992.4</v>
      </c>
    </row>
    <row r="130" spans="1:8" x14ac:dyDescent="0.25">
      <c r="A130" s="2"/>
      <c r="B130" s="104"/>
      <c r="C130" s="120"/>
      <c r="D130" s="114" t="s">
        <v>103</v>
      </c>
      <c r="E130" s="104" t="s">
        <v>863</v>
      </c>
      <c r="F130" s="105">
        <v>42804</v>
      </c>
      <c r="G130" s="106" t="s">
        <v>1542</v>
      </c>
      <c r="H130" s="96">
        <v>426500.39</v>
      </c>
    </row>
    <row r="131" spans="1:8" x14ac:dyDescent="0.25">
      <c r="A131" s="104" t="s">
        <v>1764</v>
      </c>
      <c r="H131" s="96">
        <v>2360492.79</v>
      </c>
    </row>
    <row r="132" spans="1:8" x14ac:dyDescent="0.25">
      <c r="A132" s="104"/>
      <c r="H132" s="96"/>
    </row>
    <row r="133" spans="1:8" x14ac:dyDescent="0.25">
      <c r="A133" s="104" t="s">
        <v>907</v>
      </c>
      <c r="H133" s="96"/>
    </row>
    <row r="134" spans="1:8" ht="60" x14ac:dyDescent="0.25">
      <c r="A134" s="107" t="s">
        <v>904</v>
      </c>
      <c r="B134" s="107"/>
      <c r="C134" s="107"/>
      <c r="D134" s="107"/>
      <c r="E134" s="107"/>
      <c r="F134" s="107"/>
      <c r="G134" s="107"/>
      <c r="H134" s="96"/>
    </row>
    <row r="135" spans="1:8" ht="30" x14ac:dyDescent="0.25">
      <c r="A135" s="115" t="s">
        <v>906</v>
      </c>
      <c r="B135" s="104" t="s">
        <v>1553</v>
      </c>
      <c r="C135" s="120">
        <v>0.57999999999999996</v>
      </c>
      <c r="D135" s="104" t="s">
        <v>2244</v>
      </c>
      <c r="H135" s="96"/>
    </row>
    <row r="136" spans="1:8" x14ac:dyDescent="0.25">
      <c r="A136" s="2"/>
      <c r="B136" s="104"/>
      <c r="C136" s="120"/>
      <c r="D136" s="114" t="s">
        <v>23</v>
      </c>
      <c r="E136" s="104" t="s">
        <v>863</v>
      </c>
      <c r="F136" s="105">
        <v>42656</v>
      </c>
      <c r="G136" s="106"/>
      <c r="H136" s="96">
        <v>1193700.27</v>
      </c>
    </row>
    <row r="137" spans="1:8" x14ac:dyDescent="0.25">
      <c r="A137" s="2"/>
      <c r="B137" s="104"/>
      <c r="C137" s="120"/>
      <c r="D137" s="114" t="s">
        <v>103</v>
      </c>
      <c r="E137" s="104" t="s">
        <v>863</v>
      </c>
      <c r="F137" s="105">
        <v>42761</v>
      </c>
      <c r="G137" s="106" t="s">
        <v>1973</v>
      </c>
      <c r="H137" s="96">
        <v>624106.11</v>
      </c>
    </row>
    <row r="138" spans="1:8" x14ac:dyDescent="0.25">
      <c r="A138" s="2"/>
      <c r="B138" s="104"/>
      <c r="C138" s="120"/>
      <c r="D138" s="114" t="s">
        <v>221</v>
      </c>
      <c r="E138" s="104" t="s">
        <v>863</v>
      </c>
      <c r="F138" s="105">
        <v>42804</v>
      </c>
      <c r="G138" s="106" t="s">
        <v>2245</v>
      </c>
      <c r="H138" s="96">
        <v>990786.64</v>
      </c>
    </row>
    <row r="139" spans="1:8" x14ac:dyDescent="0.25">
      <c r="A139" s="104" t="s">
        <v>1554</v>
      </c>
      <c r="H139" s="96">
        <v>2808593.02</v>
      </c>
    </row>
    <row r="140" spans="1:8" x14ac:dyDescent="0.25">
      <c r="A140" s="104"/>
      <c r="H140" s="96"/>
    </row>
    <row r="141" spans="1:8" x14ac:dyDescent="0.25">
      <c r="A141" s="104" t="s">
        <v>919</v>
      </c>
      <c r="H141" s="96"/>
    </row>
    <row r="142" spans="1:8" ht="45" x14ac:dyDescent="0.25">
      <c r="A142" s="107" t="s">
        <v>918</v>
      </c>
      <c r="B142" s="107"/>
      <c r="C142" s="107"/>
      <c r="D142" s="107"/>
      <c r="E142" s="107"/>
      <c r="F142" s="107"/>
      <c r="G142" s="107"/>
      <c r="H142" s="96"/>
    </row>
    <row r="143" spans="1:8" x14ac:dyDescent="0.25">
      <c r="A143" s="115" t="s">
        <v>917</v>
      </c>
      <c r="B143" s="104" t="s">
        <v>1555</v>
      </c>
      <c r="C143" s="120">
        <v>0.94</v>
      </c>
      <c r="D143" s="104" t="s">
        <v>2319</v>
      </c>
      <c r="H143" s="96"/>
    </row>
    <row r="144" spans="1:8" x14ac:dyDescent="0.25">
      <c r="A144" s="2"/>
      <c r="B144" s="104"/>
      <c r="C144" s="120"/>
      <c r="D144" s="114" t="s">
        <v>23</v>
      </c>
      <c r="E144" s="104" t="s">
        <v>863</v>
      </c>
      <c r="F144" s="105">
        <v>42657</v>
      </c>
      <c r="G144" s="106"/>
      <c r="H144" s="96">
        <v>567253.29</v>
      </c>
    </row>
    <row r="145" spans="1:8" x14ac:dyDescent="0.25">
      <c r="A145" s="2"/>
      <c r="B145" s="104"/>
      <c r="C145" s="120"/>
      <c r="D145" s="114" t="s">
        <v>103</v>
      </c>
      <c r="E145" s="104" t="s">
        <v>863</v>
      </c>
      <c r="F145" s="105">
        <v>42733</v>
      </c>
      <c r="G145" s="106" t="s">
        <v>1850</v>
      </c>
      <c r="H145" s="96">
        <v>716524.72</v>
      </c>
    </row>
    <row r="146" spans="1:8" x14ac:dyDescent="0.25">
      <c r="A146" s="2"/>
      <c r="B146" s="104"/>
      <c r="C146" s="120"/>
      <c r="D146" s="114" t="s">
        <v>221</v>
      </c>
      <c r="E146" s="104" t="s">
        <v>863</v>
      </c>
      <c r="F146" s="105">
        <v>42804</v>
      </c>
      <c r="G146" s="106" t="s">
        <v>1974</v>
      </c>
      <c r="H146" s="96">
        <v>66195.56</v>
      </c>
    </row>
    <row r="147" spans="1:8" x14ac:dyDescent="0.25">
      <c r="A147" s="2"/>
      <c r="B147" s="104"/>
      <c r="C147" s="120"/>
      <c r="D147" s="114" t="s">
        <v>55</v>
      </c>
      <c r="E147" s="104" t="s">
        <v>863</v>
      </c>
      <c r="F147" s="105">
        <v>42804</v>
      </c>
      <c r="G147" s="106" t="s">
        <v>2320</v>
      </c>
      <c r="H147" s="96">
        <v>449494.31</v>
      </c>
    </row>
    <row r="148" spans="1:8" x14ac:dyDescent="0.25">
      <c r="A148" s="104" t="s">
        <v>1556</v>
      </c>
      <c r="H148" s="96">
        <v>1799467.88</v>
      </c>
    </row>
    <row r="149" spans="1:8" x14ac:dyDescent="0.25">
      <c r="A149" s="104"/>
      <c r="H149" s="96"/>
    </row>
    <row r="150" spans="1:8" x14ac:dyDescent="0.25">
      <c r="A150" s="104" t="s">
        <v>924</v>
      </c>
      <c r="H150" s="96"/>
    </row>
    <row r="151" spans="1:8" ht="60" x14ac:dyDescent="0.25">
      <c r="A151" s="107" t="s">
        <v>923</v>
      </c>
      <c r="B151" s="107"/>
      <c r="C151" s="107"/>
      <c r="D151" s="107"/>
      <c r="E151" s="107"/>
      <c r="F151" s="107"/>
      <c r="G151" s="107"/>
      <c r="H151" s="96"/>
    </row>
    <row r="152" spans="1:8" x14ac:dyDescent="0.25">
      <c r="A152" s="115" t="s">
        <v>917</v>
      </c>
      <c r="B152" s="104" t="s">
        <v>1557</v>
      </c>
      <c r="C152" s="120">
        <v>0.81</v>
      </c>
      <c r="D152" s="104" t="s">
        <v>2321</v>
      </c>
      <c r="H152" s="96"/>
    </row>
    <row r="153" spans="1:8" x14ac:dyDescent="0.25">
      <c r="A153" s="2"/>
      <c r="B153" s="104"/>
      <c r="C153" s="120"/>
      <c r="D153" s="114" t="s">
        <v>23</v>
      </c>
      <c r="E153" s="104" t="s">
        <v>863</v>
      </c>
      <c r="F153" s="105">
        <v>42657</v>
      </c>
      <c r="G153" s="106"/>
      <c r="H153" s="96">
        <v>778777.36</v>
      </c>
    </row>
    <row r="154" spans="1:8" x14ac:dyDescent="0.25">
      <c r="A154" s="2"/>
      <c r="B154" s="104"/>
      <c r="C154" s="120"/>
      <c r="D154" s="114" t="s">
        <v>103</v>
      </c>
      <c r="E154" s="104" t="s">
        <v>863</v>
      </c>
      <c r="F154" s="105">
        <v>42734</v>
      </c>
      <c r="G154" s="106" t="s">
        <v>1851</v>
      </c>
      <c r="H154" s="96">
        <v>58744.14</v>
      </c>
    </row>
    <row r="155" spans="1:8" x14ac:dyDescent="0.25">
      <c r="A155" s="2"/>
      <c r="B155" s="104"/>
      <c r="C155" s="120"/>
      <c r="D155" s="114" t="s">
        <v>221</v>
      </c>
      <c r="E155" s="104" t="s">
        <v>863</v>
      </c>
      <c r="F155" s="105">
        <v>42733</v>
      </c>
      <c r="G155" s="106" t="s">
        <v>1975</v>
      </c>
      <c r="H155" s="96">
        <v>780334.55</v>
      </c>
    </row>
    <row r="156" spans="1:8" x14ac:dyDescent="0.25">
      <c r="A156" s="2"/>
      <c r="B156" s="104"/>
      <c r="C156" s="120"/>
      <c r="D156" s="114" t="s">
        <v>55</v>
      </c>
      <c r="E156" s="104" t="s">
        <v>863</v>
      </c>
      <c r="F156" s="105">
        <v>42804</v>
      </c>
      <c r="G156" s="106" t="s">
        <v>2322</v>
      </c>
      <c r="H156" s="96">
        <v>628818.52</v>
      </c>
    </row>
    <row r="157" spans="1:8" x14ac:dyDescent="0.25">
      <c r="A157" s="104" t="s">
        <v>1558</v>
      </c>
      <c r="H157" s="96">
        <v>2246674.5699999998</v>
      </c>
    </row>
    <row r="158" spans="1:8" x14ac:dyDescent="0.25">
      <c r="A158" s="104"/>
      <c r="H158" s="96"/>
    </row>
    <row r="159" spans="1:8" x14ac:dyDescent="0.25">
      <c r="A159" s="104" t="s">
        <v>900</v>
      </c>
      <c r="H159" s="96"/>
    </row>
    <row r="160" spans="1:8" ht="45" x14ac:dyDescent="0.25">
      <c r="A160" s="107" t="s">
        <v>899</v>
      </c>
      <c r="B160" s="107"/>
      <c r="C160" s="107"/>
      <c r="D160" s="107"/>
      <c r="E160" s="107"/>
      <c r="F160" s="107"/>
      <c r="G160" s="107"/>
      <c r="H160" s="96"/>
    </row>
    <row r="161" spans="1:8" x14ac:dyDescent="0.25">
      <c r="A161" s="115" t="s">
        <v>898</v>
      </c>
      <c r="B161" s="104" t="s">
        <v>1190</v>
      </c>
      <c r="C161" s="120">
        <v>0.97</v>
      </c>
      <c r="D161" s="104" t="s">
        <v>2393</v>
      </c>
      <c r="H161" s="96"/>
    </row>
    <row r="162" spans="1:8" x14ac:dyDescent="0.25">
      <c r="A162" s="2"/>
      <c r="B162" s="104"/>
      <c r="C162" s="120"/>
      <c r="D162" s="114" t="s">
        <v>23</v>
      </c>
      <c r="E162" s="104" t="s">
        <v>863</v>
      </c>
      <c r="F162" s="105">
        <v>42677</v>
      </c>
      <c r="G162" s="106"/>
      <c r="H162" s="96">
        <v>255474.41</v>
      </c>
    </row>
    <row r="163" spans="1:8" x14ac:dyDescent="0.25">
      <c r="A163" s="2"/>
      <c r="B163" s="104"/>
      <c r="C163" s="120"/>
      <c r="D163" s="114" t="s">
        <v>103</v>
      </c>
      <c r="E163" s="104" t="s">
        <v>863</v>
      </c>
      <c r="F163" s="105">
        <v>42794</v>
      </c>
      <c r="G163" s="106" t="s">
        <v>2246</v>
      </c>
      <c r="H163" s="96">
        <v>206712.41</v>
      </c>
    </row>
    <row r="164" spans="1:8" x14ac:dyDescent="0.25">
      <c r="A164" s="2"/>
      <c r="B164" s="104"/>
      <c r="C164" s="120"/>
      <c r="D164" s="114" t="s">
        <v>221</v>
      </c>
      <c r="E164" s="104" t="s">
        <v>863</v>
      </c>
      <c r="F164" s="105">
        <v>42794</v>
      </c>
      <c r="G164" s="106" t="s">
        <v>2247</v>
      </c>
      <c r="H164" s="96">
        <v>355610.21</v>
      </c>
    </row>
    <row r="165" spans="1:8" x14ac:dyDescent="0.25">
      <c r="A165" s="2"/>
      <c r="B165" s="104"/>
      <c r="C165" s="120"/>
      <c r="D165" s="114" t="s">
        <v>55</v>
      </c>
      <c r="E165" s="104" t="s">
        <v>863</v>
      </c>
      <c r="F165" s="105">
        <v>42794</v>
      </c>
      <c r="G165" s="106" t="s">
        <v>2349</v>
      </c>
      <c r="H165" s="96">
        <v>6573.89</v>
      </c>
    </row>
    <row r="166" spans="1:8" x14ac:dyDescent="0.25">
      <c r="A166" s="104" t="s">
        <v>1191</v>
      </c>
      <c r="H166" s="96">
        <v>824370.92</v>
      </c>
    </row>
    <row r="167" spans="1:8" x14ac:dyDescent="0.25">
      <c r="A167" s="104"/>
      <c r="H167" s="96"/>
    </row>
    <row r="168" spans="1:8" x14ac:dyDescent="0.25">
      <c r="A168" s="104" t="s">
        <v>1209</v>
      </c>
      <c r="H168" s="96"/>
    </row>
    <row r="169" spans="1:8" ht="45" x14ac:dyDescent="0.25">
      <c r="A169" s="107" t="s">
        <v>1208</v>
      </c>
      <c r="B169" s="107"/>
      <c r="C169" s="107"/>
      <c r="D169" s="107"/>
      <c r="E169" s="107"/>
      <c r="F169" s="107"/>
      <c r="G169" s="107"/>
      <c r="H169" s="96"/>
    </row>
    <row r="170" spans="1:8" x14ac:dyDescent="0.25">
      <c r="A170" s="115" t="s">
        <v>1207</v>
      </c>
      <c r="B170" s="104" t="s">
        <v>1572</v>
      </c>
      <c r="C170" s="120">
        <v>0.52</v>
      </c>
      <c r="D170" s="104" t="s">
        <v>2111</v>
      </c>
      <c r="H170" s="96"/>
    </row>
    <row r="171" spans="1:8" x14ac:dyDescent="0.25">
      <c r="A171" s="2"/>
      <c r="B171" s="104"/>
      <c r="C171" s="120"/>
      <c r="D171" s="114" t="s">
        <v>23</v>
      </c>
      <c r="E171" s="104" t="s">
        <v>863</v>
      </c>
      <c r="F171" s="105">
        <v>42682</v>
      </c>
      <c r="G171" s="106"/>
      <c r="H171" s="96">
        <v>539992.07999999996</v>
      </c>
    </row>
    <row r="172" spans="1:8" x14ac:dyDescent="0.25">
      <c r="A172" s="2"/>
      <c r="B172" s="104"/>
      <c r="C172" s="120"/>
      <c r="D172" s="114" t="s">
        <v>103</v>
      </c>
      <c r="E172" s="104" t="s">
        <v>863</v>
      </c>
      <c r="F172" s="105">
        <v>42789</v>
      </c>
      <c r="G172" s="106" t="s">
        <v>2112</v>
      </c>
      <c r="H172" s="96">
        <v>227055.94</v>
      </c>
    </row>
    <row r="173" spans="1:8" x14ac:dyDescent="0.25">
      <c r="A173" s="2"/>
      <c r="B173" s="104"/>
      <c r="C173" s="120"/>
      <c r="D173" s="114" t="s">
        <v>221</v>
      </c>
      <c r="E173" s="104" t="s">
        <v>863</v>
      </c>
      <c r="F173" s="105">
        <v>42804</v>
      </c>
      <c r="G173" s="106" t="s">
        <v>2113</v>
      </c>
      <c r="H173" s="96">
        <v>419420.21</v>
      </c>
    </row>
    <row r="174" spans="1:8" x14ac:dyDescent="0.25">
      <c r="A174" s="104" t="s">
        <v>1573</v>
      </c>
      <c r="H174" s="96">
        <v>1186468.23</v>
      </c>
    </row>
    <row r="175" spans="1:8" x14ac:dyDescent="0.25">
      <c r="A175" s="104"/>
      <c r="H175" s="96"/>
    </row>
    <row r="176" spans="1:8" x14ac:dyDescent="0.25">
      <c r="A176" s="104" t="s">
        <v>972</v>
      </c>
      <c r="H176" s="96"/>
    </row>
    <row r="177" spans="1:8" ht="45" x14ac:dyDescent="0.25">
      <c r="A177" s="107" t="s">
        <v>971</v>
      </c>
      <c r="B177" s="107"/>
      <c r="C177" s="107"/>
      <c r="D177" s="107"/>
      <c r="E177" s="107"/>
      <c r="F177" s="107"/>
      <c r="G177" s="107"/>
      <c r="H177" s="96"/>
    </row>
    <row r="178" spans="1:8" x14ac:dyDescent="0.25">
      <c r="A178" s="115" t="s">
        <v>968</v>
      </c>
      <c r="B178" s="104" t="s">
        <v>1192</v>
      </c>
      <c r="C178" s="120">
        <v>0.08</v>
      </c>
      <c r="D178" s="104" t="s">
        <v>2496</v>
      </c>
      <c r="H178" s="96"/>
    </row>
    <row r="179" spans="1:8" x14ac:dyDescent="0.25">
      <c r="A179" s="2"/>
      <c r="B179" s="104"/>
      <c r="C179" s="120"/>
      <c r="D179" s="114" t="s">
        <v>23</v>
      </c>
      <c r="E179" s="104" t="s">
        <v>863</v>
      </c>
      <c r="F179" s="105">
        <v>42689</v>
      </c>
      <c r="G179" s="106"/>
      <c r="H179" s="96">
        <v>944937.76</v>
      </c>
    </row>
    <row r="180" spans="1:8" x14ac:dyDescent="0.25">
      <c r="A180" s="2"/>
      <c r="B180" s="104"/>
      <c r="C180" s="120"/>
      <c r="D180" s="114" t="s">
        <v>103</v>
      </c>
      <c r="E180" s="104" t="s">
        <v>866</v>
      </c>
      <c r="F180" s="105">
        <v>42803</v>
      </c>
      <c r="G180" s="106" t="s">
        <v>2453</v>
      </c>
      <c r="H180" s="96">
        <v>101407.23</v>
      </c>
    </row>
    <row r="181" spans="1:8" x14ac:dyDescent="0.25">
      <c r="A181" s="2"/>
      <c r="B181" s="104"/>
      <c r="C181" s="120"/>
      <c r="D181" s="114" t="s">
        <v>221</v>
      </c>
      <c r="E181" s="104" t="s">
        <v>866</v>
      </c>
      <c r="F181" s="105">
        <v>42810</v>
      </c>
      <c r="G181" s="106" t="s">
        <v>1794</v>
      </c>
      <c r="H181" s="96">
        <v>82171.039999999994</v>
      </c>
    </row>
    <row r="182" spans="1:8" x14ac:dyDescent="0.25">
      <c r="A182" s="104" t="s">
        <v>1193</v>
      </c>
      <c r="H182" s="96">
        <v>1128516.03</v>
      </c>
    </row>
    <row r="183" spans="1:8" x14ac:dyDescent="0.25">
      <c r="A183" s="104"/>
      <c r="H183" s="96"/>
    </row>
    <row r="184" spans="1:8" x14ac:dyDescent="0.25">
      <c r="A184" s="104" t="s">
        <v>986</v>
      </c>
      <c r="H184" s="96"/>
    </row>
    <row r="185" spans="1:8" ht="45" x14ac:dyDescent="0.25">
      <c r="A185" s="107" t="s">
        <v>985</v>
      </c>
      <c r="B185" s="107"/>
      <c r="C185" s="107"/>
      <c r="D185" s="107"/>
      <c r="E185" s="107"/>
      <c r="F185" s="107"/>
      <c r="G185" s="107"/>
      <c r="H185" s="96"/>
    </row>
    <row r="186" spans="1:8" x14ac:dyDescent="0.25">
      <c r="A186" s="115" t="s">
        <v>984</v>
      </c>
      <c r="B186" s="104" t="s">
        <v>1194</v>
      </c>
      <c r="C186" s="120">
        <v>0.32</v>
      </c>
      <c r="D186" s="104" t="s">
        <v>2542</v>
      </c>
      <c r="H186" s="96"/>
    </row>
    <row r="187" spans="1:8" x14ac:dyDescent="0.25">
      <c r="A187" s="2"/>
      <c r="B187" s="104"/>
      <c r="C187" s="120"/>
      <c r="D187" s="114" t="s">
        <v>103</v>
      </c>
      <c r="E187" s="104" t="s">
        <v>863</v>
      </c>
      <c r="F187" s="105">
        <v>42804</v>
      </c>
      <c r="G187" s="106" t="s">
        <v>2323</v>
      </c>
      <c r="H187" s="96">
        <v>1809497.2</v>
      </c>
    </row>
    <row r="188" spans="1:8" x14ac:dyDescent="0.25">
      <c r="A188" s="2"/>
      <c r="B188" s="104"/>
      <c r="C188" s="120"/>
      <c r="D188" s="114" t="s">
        <v>55</v>
      </c>
      <c r="E188" s="104" t="s">
        <v>774</v>
      </c>
      <c r="F188" s="105">
        <v>42811</v>
      </c>
      <c r="G188" s="106" t="s">
        <v>1516</v>
      </c>
      <c r="H188" s="96">
        <v>311312.87</v>
      </c>
    </row>
    <row r="189" spans="1:8" ht="45" x14ac:dyDescent="0.25">
      <c r="A189" s="107" t="s">
        <v>990</v>
      </c>
      <c r="B189" s="107"/>
      <c r="C189" s="107"/>
      <c r="D189" s="107"/>
      <c r="E189" s="107"/>
      <c r="F189" s="107"/>
      <c r="G189" s="107"/>
      <c r="H189" s="96"/>
    </row>
    <row r="190" spans="1:8" x14ac:dyDescent="0.25">
      <c r="A190" s="115" t="s">
        <v>984</v>
      </c>
      <c r="B190" s="104" t="s">
        <v>1194</v>
      </c>
      <c r="C190" s="120">
        <v>0.32</v>
      </c>
      <c r="D190" s="104" t="s">
        <v>2542</v>
      </c>
      <c r="H190" s="96"/>
    </row>
    <row r="191" spans="1:8" x14ac:dyDescent="0.25">
      <c r="A191" s="2"/>
      <c r="B191" s="104"/>
      <c r="C191" s="120"/>
      <c r="D191" s="114" t="s">
        <v>23</v>
      </c>
      <c r="E191" s="104" t="s">
        <v>863</v>
      </c>
      <c r="F191" s="105">
        <v>42690</v>
      </c>
      <c r="G191" s="106"/>
      <c r="H191" s="96">
        <v>2850353.68</v>
      </c>
    </row>
    <row r="192" spans="1:8" x14ac:dyDescent="0.25">
      <c r="A192" s="104" t="s">
        <v>1195</v>
      </c>
      <c r="H192" s="96">
        <v>4971163.75</v>
      </c>
    </row>
    <row r="193" spans="1:8" x14ac:dyDescent="0.25">
      <c r="A193" s="104"/>
      <c r="H193" s="96"/>
    </row>
    <row r="194" spans="1:8" x14ac:dyDescent="0.25">
      <c r="A194" s="104" t="s">
        <v>1480</v>
      </c>
      <c r="H194" s="96"/>
    </row>
    <row r="195" spans="1:8" ht="30" x14ac:dyDescent="0.25">
      <c r="A195" s="107" t="s">
        <v>1479</v>
      </c>
      <c r="B195" s="107"/>
      <c r="C195" s="107"/>
      <c r="D195" s="107"/>
      <c r="E195" s="107"/>
      <c r="F195" s="107"/>
      <c r="G195" s="107"/>
      <c r="H195" s="96"/>
    </row>
    <row r="196" spans="1:8" ht="30" x14ac:dyDescent="0.25">
      <c r="A196" s="115" t="s">
        <v>1478</v>
      </c>
      <c r="B196" s="104" t="s">
        <v>1574</v>
      </c>
      <c r="C196" s="120">
        <v>0.43</v>
      </c>
      <c r="D196" s="104" t="s">
        <v>2394</v>
      </c>
      <c r="H196" s="96"/>
    </row>
    <row r="197" spans="1:8" x14ac:dyDescent="0.25">
      <c r="A197" s="2"/>
      <c r="B197" s="104"/>
      <c r="C197" s="120"/>
      <c r="D197" s="114" t="s">
        <v>23</v>
      </c>
      <c r="E197" s="104" t="s">
        <v>863</v>
      </c>
      <c r="F197" s="105">
        <v>42689</v>
      </c>
      <c r="G197" s="106"/>
      <c r="H197" s="96">
        <v>5489984.54</v>
      </c>
    </row>
    <row r="198" spans="1:8" x14ac:dyDescent="0.25">
      <c r="A198" s="2"/>
      <c r="B198" s="104"/>
      <c r="C198" s="120"/>
      <c r="D198" s="114" t="s">
        <v>103</v>
      </c>
      <c r="E198" s="104" t="s">
        <v>863</v>
      </c>
      <c r="F198" s="105">
        <v>42789</v>
      </c>
      <c r="G198" s="106" t="s">
        <v>1973</v>
      </c>
      <c r="H198" s="96">
        <v>2871156.71</v>
      </c>
    </row>
    <row r="199" spans="1:8" x14ac:dyDescent="0.25">
      <c r="A199" s="2"/>
      <c r="B199" s="104"/>
      <c r="C199" s="120"/>
      <c r="D199" s="114" t="s">
        <v>221</v>
      </c>
      <c r="E199" s="104" t="s">
        <v>863</v>
      </c>
      <c r="F199" s="105">
        <v>42789</v>
      </c>
      <c r="G199" s="106" t="s">
        <v>2248</v>
      </c>
      <c r="H199" s="96">
        <v>1259909.6100000001</v>
      </c>
    </row>
    <row r="200" spans="1:8" x14ac:dyDescent="0.25">
      <c r="A200" s="2"/>
      <c r="B200" s="104"/>
      <c r="C200" s="120"/>
      <c r="D200" s="114" t="s">
        <v>55</v>
      </c>
      <c r="E200" s="104" t="s">
        <v>866</v>
      </c>
      <c r="F200" s="105">
        <v>42810</v>
      </c>
      <c r="G200" s="106" t="s">
        <v>2395</v>
      </c>
      <c r="H200" s="96">
        <v>1313248.6200000001</v>
      </c>
    </row>
    <row r="201" spans="1:8" x14ac:dyDescent="0.25">
      <c r="A201" s="104" t="s">
        <v>1575</v>
      </c>
      <c r="H201" s="96">
        <v>10934299.48</v>
      </c>
    </row>
    <row r="202" spans="1:8" x14ac:dyDescent="0.25">
      <c r="A202" s="104"/>
      <c r="H202" s="96"/>
    </row>
    <row r="203" spans="1:8" x14ac:dyDescent="0.25">
      <c r="A203" s="104" t="s">
        <v>934</v>
      </c>
      <c r="H203" s="96"/>
    </row>
    <row r="204" spans="1:8" ht="45" x14ac:dyDescent="0.25">
      <c r="A204" s="107" t="s">
        <v>933</v>
      </c>
      <c r="B204" s="107"/>
      <c r="C204" s="107"/>
      <c r="D204" s="107"/>
      <c r="E204" s="107"/>
      <c r="F204" s="107"/>
      <c r="G204" s="107"/>
      <c r="H204" s="96"/>
    </row>
    <row r="205" spans="1:8" ht="30" x14ac:dyDescent="0.25">
      <c r="A205" s="115" t="s">
        <v>932</v>
      </c>
      <c r="B205" s="104" t="s">
        <v>1196</v>
      </c>
      <c r="C205" s="120">
        <v>1</v>
      </c>
      <c r="D205" s="104" t="s">
        <v>1324</v>
      </c>
      <c r="H205" s="96"/>
    </row>
    <row r="206" spans="1:8" x14ac:dyDescent="0.25">
      <c r="A206" s="2"/>
      <c r="B206" s="104"/>
      <c r="C206" s="120"/>
      <c r="D206" s="114" t="s">
        <v>23</v>
      </c>
      <c r="E206" s="104" t="s">
        <v>863</v>
      </c>
      <c r="F206" s="105">
        <v>42678</v>
      </c>
      <c r="G206" s="106"/>
      <c r="H206" s="96">
        <v>593014.32999999996</v>
      </c>
    </row>
    <row r="207" spans="1:8" x14ac:dyDescent="0.25">
      <c r="A207" s="2"/>
      <c r="B207" s="104"/>
      <c r="C207" s="120"/>
      <c r="D207" s="114" t="s">
        <v>103</v>
      </c>
      <c r="E207" s="104" t="s">
        <v>863</v>
      </c>
      <c r="F207" s="105">
        <v>42804</v>
      </c>
      <c r="G207" s="106" t="s">
        <v>2114</v>
      </c>
      <c r="H207" s="96">
        <v>371310.93</v>
      </c>
    </row>
    <row r="208" spans="1:8" x14ac:dyDescent="0.25">
      <c r="A208" s="2"/>
      <c r="B208" s="104"/>
      <c r="C208" s="120"/>
      <c r="D208" s="114" t="s">
        <v>221</v>
      </c>
      <c r="E208" s="104" t="s">
        <v>774</v>
      </c>
      <c r="F208" s="105">
        <v>42811</v>
      </c>
      <c r="G208" s="106" t="s">
        <v>2543</v>
      </c>
      <c r="H208" s="96">
        <v>1003868.85</v>
      </c>
    </row>
    <row r="209" spans="1:8" x14ac:dyDescent="0.25">
      <c r="A209" s="104" t="s">
        <v>1197</v>
      </c>
      <c r="H209" s="96">
        <v>1968194.11</v>
      </c>
    </row>
    <row r="210" spans="1:8" x14ac:dyDescent="0.25">
      <c r="A210" s="104"/>
      <c r="H210" s="96"/>
    </row>
    <row r="211" spans="1:8" x14ac:dyDescent="0.25">
      <c r="A211" s="104" t="s">
        <v>1235</v>
      </c>
      <c r="H211" s="96"/>
    </row>
    <row r="212" spans="1:8" ht="60" x14ac:dyDescent="0.25">
      <c r="A212" s="107" t="s">
        <v>1234</v>
      </c>
      <c r="B212" s="107"/>
      <c r="C212" s="107"/>
      <c r="D212" s="107"/>
      <c r="E212" s="107"/>
      <c r="F212" s="107"/>
      <c r="G212" s="107"/>
      <c r="H212" s="96"/>
    </row>
    <row r="213" spans="1:8" ht="30" x14ac:dyDescent="0.25">
      <c r="A213" s="115" t="s">
        <v>1233</v>
      </c>
      <c r="B213" s="104" t="s">
        <v>1576</v>
      </c>
      <c r="C213" s="120">
        <v>0.49</v>
      </c>
      <c r="D213" s="104" t="s">
        <v>2454</v>
      </c>
      <c r="H213" s="96"/>
    </row>
    <row r="214" spans="1:8" x14ac:dyDescent="0.25">
      <c r="A214" s="2"/>
      <c r="B214" s="104"/>
      <c r="C214" s="120"/>
      <c r="D214" s="114" t="s">
        <v>23</v>
      </c>
      <c r="E214" s="104" t="s">
        <v>863</v>
      </c>
      <c r="F214" s="105">
        <v>42682</v>
      </c>
      <c r="G214" s="106"/>
      <c r="H214" s="96">
        <v>2638656.67</v>
      </c>
    </row>
    <row r="215" spans="1:8" x14ac:dyDescent="0.25">
      <c r="A215" s="2"/>
      <c r="B215" s="104"/>
      <c r="C215" s="120"/>
      <c r="D215" s="114" t="s">
        <v>103</v>
      </c>
      <c r="E215" s="104" t="s">
        <v>863</v>
      </c>
      <c r="F215" s="105">
        <v>42759</v>
      </c>
      <c r="G215" s="106" t="s">
        <v>1019</v>
      </c>
      <c r="H215" s="96">
        <v>382566.85</v>
      </c>
    </row>
    <row r="216" spans="1:8" x14ac:dyDescent="0.25">
      <c r="A216" s="2"/>
      <c r="B216" s="104"/>
      <c r="C216" s="120"/>
      <c r="D216" s="114" t="s">
        <v>221</v>
      </c>
      <c r="E216" s="104" t="s">
        <v>864</v>
      </c>
      <c r="F216" s="105">
        <v>42802</v>
      </c>
      <c r="G216" s="106" t="s">
        <v>1941</v>
      </c>
      <c r="H216" s="96">
        <v>347949.06</v>
      </c>
    </row>
    <row r="217" spans="1:8" x14ac:dyDescent="0.25">
      <c r="A217" s="2"/>
      <c r="B217" s="104"/>
      <c r="C217" s="120"/>
      <c r="D217" s="114" t="s">
        <v>55</v>
      </c>
      <c r="E217" s="104" t="s">
        <v>863</v>
      </c>
      <c r="F217" s="105">
        <v>42803</v>
      </c>
      <c r="G217" s="106" t="s">
        <v>2455</v>
      </c>
      <c r="H217" s="96">
        <v>2254226.27</v>
      </c>
    </row>
    <row r="218" spans="1:8" x14ac:dyDescent="0.25">
      <c r="A218" s="104" t="s">
        <v>1577</v>
      </c>
      <c r="H218" s="96">
        <v>5623398.8499999996</v>
      </c>
    </row>
    <row r="219" spans="1:8" x14ac:dyDescent="0.25">
      <c r="A219" s="104"/>
      <c r="H219" s="96"/>
    </row>
    <row r="220" spans="1:8" x14ac:dyDescent="0.25">
      <c r="A220" s="104" t="s">
        <v>1476</v>
      </c>
      <c r="H220" s="96"/>
    </row>
    <row r="221" spans="1:8" ht="45" x14ac:dyDescent="0.25">
      <c r="A221" s="107" t="s">
        <v>1473</v>
      </c>
      <c r="B221" s="107"/>
      <c r="C221" s="107"/>
      <c r="D221" s="107"/>
      <c r="E221" s="107"/>
      <c r="F221" s="107"/>
      <c r="G221" s="107"/>
      <c r="H221" s="96"/>
    </row>
    <row r="222" spans="1:8" x14ac:dyDescent="0.25">
      <c r="A222" s="115" t="s">
        <v>58</v>
      </c>
      <c r="B222" s="104" t="s">
        <v>1578</v>
      </c>
      <c r="C222" s="120">
        <v>0.05</v>
      </c>
      <c r="D222" s="104" t="s">
        <v>2544</v>
      </c>
      <c r="H222" s="96"/>
    </row>
    <row r="223" spans="1:8" x14ac:dyDescent="0.25">
      <c r="A223" s="2"/>
      <c r="B223" s="104"/>
      <c r="C223" s="120"/>
      <c r="D223" s="114" t="s">
        <v>23</v>
      </c>
      <c r="E223" s="104" t="s">
        <v>863</v>
      </c>
      <c r="F223" s="105">
        <v>42682</v>
      </c>
      <c r="G223" s="106"/>
      <c r="H223" s="96">
        <v>9688238.9499999993</v>
      </c>
    </row>
    <row r="224" spans="1:8" x14ac:dyDescent="0.25">
      <c r="A224" s="2"/>
      <c r="B224" s="104"/>
      <c r="C224" s="120"/>
      <c r="D224" s="114" t="s">
        <v>103</v>
      </c>
      <c r="E224" s="104" t="s">
        <v>774</v>
      </c>
      <c r="F224" s="105">
        <v>42811</v>
      </c>
      <c r="G224" s="106" t="s">
        <v>2545</v>
      </c>
      <c r="H224" s="96">
        <v>1212218.3999999999</v>
      </c>
    </row>
    <row r="225" spans="1:8" x14ac:dyDescent="0.25">
      <c r="A225" s="104" t="s">
        <v>1579</v>
      </c>
      <c r="H225" s="96">
        <v>10900457.35</v>
      </c>
    </row>
    <row r="226" spans="1:8" x14ac:dyDescent="0.25">
      <c r="A226" s="104"/>
      <c r="H226" s="96"/>
    </row>
    <row r="227" spans="1:8" x14ac:dyDescent="0.25">
      <c r="A227" s="104" t="s">
        <v>959</v>
      </c>
      <c r="H227" s="96"/>
    </row>
    <row r="228" spans="1:8" ht="30" x14ac:dyDescent="0.25">
      <c r="A228" s="107" t="s">
        <v>958</v>
      </c>
      <c r="B228" s="107"/>
      <c r="C228" s="107"/>
      <c r="D228" s="107"/>
      <c r="E228" s="107"/>
      <c r="F228" s="107"/>
      <c r="G228" s="107"/>
      <c r="H228" s="96"/>
    </row>
    <row r="229" spans="1:8" x14ac:dyDescent="0.25">
      <c r="A229" s="115" t="s">
        <v>961</v>
      </c>
      <c r="B229" s="104" t="s">
        <v>1198</v>
      </c>
      <c r="C229" s="120">
        <v>1</v>
      </c>
      <c r="D229" s="104" t="s">
        <v>1324</v>
      </c>
      <c r="H229" s="96"/>
    </row>
    <row r="230" spans="1:8" x14ac:dyDescent="0.25">
      <c r="A230" s="2"/>
      <c r="B230" s="104"/>
      <c r="C230" s="120"/>
      <c r="D230" s="114" t="s">
        <v>23</v>
      </c>
      <c r="E230" s="104" t="s">
        <v>863</v>
      </c>
      <c r="F230" s="105">
        <v>42678</v>
      </c>
      <c r="G230" s="106"/>
      <c r="H230" s="96">
        <v>258335.67</v>
      </c>
    </row>
    <row r="231" spans="1:8" x14ac:dyDescent="0.25">
      <c r="A231" s="2"/>
      <c r="B231" s="104"/>
      <c r="C231" s="120"/>
      <c r="D231" s="114" t="s">
        <v>103</v>
      </c>
      <c r="E231" s="104" t="s">
        <v>863</v>
      </c>
      <c r="F231" s="105">
        <v>42794</v>
      </c>
      <c r="G231" s="106" t="s">
        <v>2249</v>
      </c>
      <c r="H231" s="96">
        <v>24419.24</v>
      </c>
    </row>
    <row r="232" spans="1:8" x14ac:dyDescent="0.25">
      <c r="A232" s="2"/>
      <c r="B232" s="104"/>
      <c r="C232" s="120"/>
      <c r="D232" s="114" t="s">
        <v>221</v>
      </c>
      <c r="E232" s="104" t="s">
        <v>863</v>
      </c>
      <c r="F232" s="105">
        <v>42794</v>
      </c>
      <c r="G232" s="106" t="s">
        <v>2250</v>
      </c>
      <c r="H232" s="96">
        <v>574652.28</v>
      </c>
    </row>
    <row r="233" spans="1:8" x14ac:dyDescent="0.25">
      <c r="A233" s="104" t="s">
        <v>1199</v>
      </c>
      <c r="H233" s="96">
        <v>857407.19</v>
      </c>
    </row>
    <row r="234" spans="1:8" x14ac:dyDescent="0.25">
      <c r="A234" s="104"/>
      <c r="H234" s="96"/>
    </row>
    <row r="235" spans="1:8" x14ac:dyDescent="0.25">
      <c r="A235" s="104" t="s">
        <v>1219</v>
      </c>
      <c r="H235" s="96"/>
    </row>
    <row r="236" spans="1:8" ht="60" x14ac:dyDescent="0.25">
      <c r="A236" s="107" t="s">
        <v>1218</v>
      </c>
      <c r="B236" s="107"/>
      <c r="C236" s="107"/>
      <c r="D236" s="107"/>
      <c r="E236" s="107"/>
      <c r="F236" s="107"/>
      <c r="G236" s="107"/>
      <c r="H236" s="96"/>
    </row>
    <row r="237" spans="1:8" x14ac:dyDescent="0.25">
      <c r="A237" s="115" t="s">
        <v>1217</v>
      </c>
      <c r="B237" s="104" t="s">
        <v>1580</v>
      </c>
      <c r="C237" s="120">
        <v>1</v>
      </c>
      <c r="D237" s="104" t="s">
        <v>2369</v>
      </c>
      <c r="H237" s="96"/>
    </row>
    <row r="238" spans="1:8" x14ac:dyDescent="0.25">
      <c r="A238" s="2"/>
      <c r="B238" s="104"/>
      <c r="C238" s="120"/>
      <c r="D238" s="114" t="s">
        <v>23</v>
      </c>
      <c r="E238" s="104" t="s">
        <v>863</v>
      </c>
      <c r="F238" s="105">
        <v>42682</v>
      </c>
      <c r="G238" s="106"/>
      <c r="H238" s="96">
        <v>187996.91</v>
      </c>
    </row>
    <row r="239" spans="1:8" x14ac:dyDescent="0.25">
      <c r="A239" s="2"/>
      <c r="B239" s="104"/>
      <c r="C239" s="120"/>
      <c r="D239" s="114" t="s">
        <v>103</v>
      </c>
      <c r="E239" s="104" t="s">
        <v>863</v>
      </c>
      <c r="F239" s="105">
        <v>42794</v>
      </c>
      <c r="G239" s="106" t="s">
        <v>2370</v>
      </c>
      <c r="H239" s="96">
        <v>270199.24</v>
      </c>
    </row>
    <row r="240" spans="1:8" x14ac:dyDescent="0.25">
      <c r="A240" s="2"/>
      <c r="B240" s="104"/>
      <c r="C240" s="120"/>
      <c r="D240" s="114" t="s">
        <v>221</v>
      </c>
      <c r="E240" s="104" t="s">
        <v>863</v>
      </c>
      <c r="F240" s="105">
        <v>42794</v>
      </c>
      <c r="G240" s="106" t="s">
        <v>2371</v>
      </c>
      <c r="H240" s="96">
        <v>165259.37</v>
      </c>
    </row>
    <row r="241" spans="1:8" x14ac:dyDescent="0.25">
      <c r="A241" s="104" t="s">
        <v>1581</v>
      </c>
      <c r="H241" s="96">
        <v>623455.52</v>
      </c>
    </row>
    <row r="242" spans="1:8" x14ac:dyDescent="0.25">
      <c r="A242" s="104"/>
      <c r="H242" s="96"/>
    </row>
    <row r="243" spans="1:8" x14ac:dyDescent="0.25">
      <c r="A243" s="104" t="s">
        <v>1222</v>
      </c>
      <c r="H243" s="96"/>
    </row>
    <row r="244" spans="1:8" ht="45" x14ac:dyDescent="0.25">
      <c r="A244" s="107" t="s">
        <v>1225</v>
      </c>
      <c r="B244" s="107"/>
      <c r="C244" s="107"/>
      <c r="D244" s="107"/>
      <c r="E244" s="107"/>
      <c r="F244" s="107"/>
      <c r="G244" s="107"/>
      <c r="H244" s="96"/>
    </row>
    <row r="245" spans="1:8" x14ac:dyDescent="0.25">
      <c r="A245" s="115" t="s">
        <v>1224</v>
      </c>
      <c r="B245" s="104" t="s">
        <v>1674</v>
      </c>
      <c r="C245" s="120">
        <v>0.12</v>
      </c>
      <c r="D245" s="104" t="s">
        <v>2427</v>
      </c>
      <c r="H245" s="96"/>
    </row>
    <row r="246" spans="1:8" x14ac:dyDescent="0.25">
      <c r="A246" s="2"/>
      <c r="B246" s="104"/>
      <c r="C246" s="120"/>
      <c r="D246" s="114" t="s">
        <v>23</v>
      </c>
      <c r="E246" s="104" t="s">
        <v>863</v>
      </c>
      <c r="F246" s="105">
        <v>42702</v>
      </c>
      <c r="G246" s="106"/>
      <c r="H246" s="96">
        <v>689987.19</v>
      </c>
    </row>
    <row r="247" spans="1:8" x14ac:dyDescent="0.25">
      <c r="A247" s="2"/>
      <c r="B247" s="104"/>
      <c r="C247" s="120"/>
      <c r="D247" s="114" t="s">
        <v>103</v>
      </c>
      <c r="E247" s="104" t="s">
        <v>863</v>
      </c>
      <c r="F247" s="105">
        <v>42810</v>
      </c>
      <c r="G247" s="106" t="s">
        <v>2428</v>
      </c>
      <c r="H247" s="96">
        <v>199839.71</v>
      </c>
    </row>
    <row r="248" spans="1:8" x14ac:dyDescent="0.25">
      <c r="A248" s="104" t="s">
        <v>1675</v>
      </c>
      <c r="H248" s="96">
        <v>889826.9</v>
      </c>
    </row>
    <row r="249" spans="1:8" x14ac:dyDescent="0.25">
      <c r="A249" s="104"/>
      <c r="H249" s="96"/>
    </row>
    <row r="250" spans="1:8" x14ac:dyDescent="0.25">
      <c r="A250" s="104" t="s">
        <v>981</v>
      </c>
      <c r="H250" s="96"/>
    </row>
    <row r="251" spans="1:8" ht="45" x14ac:dyDescent="0.25">
      <c r="A251" s="107" t="s">
        <v>979</v>
      </c>
      <c r="B251" s="107"/>
      <c r="C251" s="107"/>
      <c r="D251" s="107"/>
      <c r="E251" s="107"/>
      <c r="F251" s="107"/>
      <c r="G251" s="107"/>
      <c r="H251" s="96"/>
    </row>
    <row r="252" spans="1:8" x14ac:dyDescent="0.25">
      <c r="A252" s="115" t="s">
        <v>980</v>
      </c>
      <c r="B252" s="104" t="s">
        <v>1200</v>
      </c>
      <c r="C252" s="120">
        <v>0.6</v>
      </c>
      <c r="D252" s="104" t="s">
        <v>2377</v>
      </c>
      <c r="H252" s="96"/>
    </row>
    <row r="253" spans="1:8" x14ac:dyDescent="0.25">
      <c r="A253" s="2"/>
      <c r="B253" s="104"/>
      <c r="C253" s="120"/>
      <c r="D253" s="114" t="s">
        <v>23</v>
      </c>
      <c r="E253" s="104" t="s">
        <v>863</v>
      </c>
      <c r="F253" s="105">
        <v>42678</v>
      </c>
      <c r="G253" s="106"/>
      <c r="H253" s="96">
        <v>591569.84</v>
      </c>
    </row>
    <row r="254" spans="1:8" x14ac:dyDescent="0.25">
      <c r="A254" s="2"/>
      <c r="B254" s="104"/>
      <c r="C254" s="120"/>
      <c r="D254" s="114" t="s">
        <v>103</v>
      </c>
      <c r="E254" s="104" t="s">
        <v>863</v>
      </c>
      <c r="F254" s="105">
        <v>42734</v>
      </c>
      <c r="G254" s="106" t="s">
        <v>2115</v>
      </c>
      <c r="H254" s="96">
        <v>321134.87</v>
      </c>
    </row>
    <row r="255" spans="1:8" x14ac:dyDescent="0.25">
      <c r="A255" s="2"/>
      <c r="B255" s="104"/>
      <c r="C255" s="120"/>
      <c r="D255" s="114" t="s">
        <v>221</v>
      </c>
      <c r="E255" s="104" t="s">
        <v>863</v>
      </c>
      <c r="F255" s="105">
        <v>42734</v>
      </c>
      <c r="G255" s="106" t="s">
        <v>2116</v>
      </c>
      <c r="H255" s="96">
        <v>136979.54</v>
      </c>
    </row>
    <row r="256" spans="1:8" x14ac:dyDescent="0.25">
      <c r="A256" s="2"/>
      <c r="B256" s="104"/>
      <c r="C256" s="120"/>
      <c r="D256" s="114" t="s">
        <v>55</v>
      </c>
      <c r="E256" s="104" t="s">
        <v>865</v>
      </c>
      <c r="F256" s="105">
        <v>42810</v>
      </c>
      <c r="G256" s="106" t="s">
        <v>2378</v>
      </c>
      <c r="H256" s="96">
        <v>366297.47</v>
      </c>
    </row>
    <row r="257" spans="1:8" x14ac:dyDescent="0.25">
      <c r="A257" s="104" t="s">
        <v>1201</v>
      </c>
      <c r="H257" s="96">
        <v>1415981.72</v>
      </c>
    </row>
    <row r="258" spans="1:8" x14ac:dyDescent="0.25">
      <c r="A258" s="104"/>
      <c r="H258" s="96"/>
    </row>
    <row r="259" spans="1:8" x14ac:dyDescent="0.25">
      <c r="A259" s="104" t="s">
        <v>1652</v>
      </c>
      <c r="H259" s="96"/>
    </row>
    <row r="260" spans="1:8" ht="45" x14ac:dyDescent="0.25">
      <c r="A260" s="107" t="s">
        <v>1653</v>
      </c>
      <c r="B260" s="107"/>
      <c r="C260" s="107"/>
      <c r="D260" s="107"/>
      <c r="E260" s="107"/>
      <c r="F260" s="107"/>
      <c r="G260" s="107"/>
      <c r="H260" s="96"/>
    </row>
    <row r="261" spans="1:8" ht="30" x14ac:dyDescent="0.25">
      <c r="A261" s="115" t="s">
        <v>632</v>
      </c>
      <c r="B261" s="104" t="s">
        <v>1698</v>
      </c>
      <c r="C261" s="120">
        <v>0.14000000000000001</v>
      </c>
      <c r="D261" s="104" t="s">
        <v>2379</v>
      </c>
      <c r="H261" s="96"/>
    </row>
    <row r="262" spans="1:8" x14ac:dyDescent="0.25">
      <c r="A262" s="2"/>
      <c r="B262" s="104"/>
      <c r="C262" s="120"/>
      <c r="D262" s="114" t="s">
        <v>23</v>
      </c>
      <c r="E262" s="104" t="s">
        <v>863</v>
      </c>
      <c r="F262" s="105">
        <v>42691</v>
      </c>
      <c r="G262" s="106"/>
      <c r="H262" s="96">
        <v>2848304.38</v>
      </c>
    </row>
    <row r="263" spans="1:8" x14ac:dyDescent="0.25">
      <c r="A263" s="2"/>
      <c r="B263" s="104"/>
      <c r="C263" s="120"/>
      <c r="D263" s="114" t="s">
        <v>103</v>
      </c>
      <c r="E263" s="104" t="s">
        <v>863</v>
      </c>
      <c r="F263" s="105">
        <v>42794</v>
      </c>
      <c r="G263" s="106" t="s">
        <v>2251</v>
      </c>
      <c r="H263" s="96">
        <v>59345.24</v>
      </c>
    </row>
    <row r="264" spans="1:8" x14ac:dyDescent="0.25">
      <c r="A264" s="2"/>
      <c r="B264" s="104"/>
      <c r="C264" s="120"/>
      <c r="D264" s="114" t="s">
        <v>221</v>
      </c>
      <c r="E264" s="104" t="s">
        <v>865</v>
      </c>
      <c r="F264" s="105">
        <v>42808</v>
      </c>
      <c r="G264" s="106" t="s">
        <v>2380</v>
      </c>
      <c r="H264" s="96">
        <v>844774.45</v>
      </c>
    </row>
    <row r="265" spans="1:8" x14ac:dyDescent="0.25">
      <c r="A265" s="104" t="s">
        <v>1699</v>
      </c>
      <c r="H265" s="96">
        <v>3752424.07</v>
      </c>
    </row>
    <row r="266" spans="1:8" x14ac:dyDescent="0.25">
      <c r="A266" s="104"/>
      <c r="H266" s="96"/>
    </row>
    <row r="267" spans="1:8" x14ac:dyDescent="0.25">
      <c r="A267" s="104" t="s">
        <v>997</v>
      </c>
      <c r="H267" s="96"/>
    </row>
    <row r="268" spans="1:8" ht="30" x14ac:dyDescent="0.25">
      <c r="A268" s="107" t="s">
        <v>996</v>
      </c>
      <c r="B268" s="107"/>
      <c r="C268" s="107"/>
      <c r="D268" s="107"/>
      <c r="E268" s="107"/>
      <c r="F268" s="107"/>
      <c r="G268" s="107"/>
      <c r="H268" s="96"/>
    </row>
    <row r="269" spans="1:8" x14ac:dyDescent="0.25">
      <c r="A269" s="115" t="s">
        <v>1000</v>
      </c>
      <c r="B269" s="104" t="s">
        <v>1202</v>
      </c>
      <c r="C269" s="120">
        <v>1</v>
      </c>
      <c r="D269" s="104" t="s">
        <v>1324</v>
      </c>
      <c r="H269" s="96"/>
    </row>
    <row r="270" spans="1:8" x14ac:dyDescent="0.25">
      <c r="A270" s="2"/>
      <c r="B270" s="104"/>
      <c r="C270" s="120"/>
      <c r="D270" s="114" t="s">
        <v>23</v>
      </c>
      <c r="E270" s="104" t="s">
        <v>863</v>
      </c>
      <c r="F270" s="105">
        <v>42682</v>
      </c>
      <c r="G270" s="106"/>
      <c r="H270" s="96">
        <v>359981.96</v>
      </c>
    </row>
    <row r="271" spans="1:8" x14ac:dyDescent="0.25">
      <c r="A271" s="2"/>
      <c r="B271" s="104"/>
      <c r="C271" s="120"/>
      <c r="D271" s="114" t="s">
        <v>103</v>
      </c>
      <c r="E271" s="104" t="s">
        <v>863</v>
      </c>
      <c r="F271" s="105">
        <v>42759</v>
      </c>
      <c r="G271" s="106" t="s">
        <v>2117</v>
      </c>
      <c r="H271" s="96">
        <v>334391.43</v>
      </c>
    </row>
    <row r="272" spans="1:8" x14ac:dyDescent="0.25">
      <c r="A272" s="2"/>
      <c r="B272" s="104"/>
      <c r="C272" s="120"/>
      <c r="D272" s="114" t="s">
        <v>221</v>
      </c>
      <c r="E272" s="104" t="s">
        <v>863</v>
      </c>
      <c r="F272" s="105">
        <v>42804</v>
      </c>
      <c r="G272" s="106" t="s">
        <v>2118</v>
      </c>
      <c r="H272" s="96">
        <v>339156.71</v>
      </c>
    </row>
    <row r="273" spans="1:8" x14ac:dyDescent="0.25">
      <c r="A273" s="2"/>
      <c r="B273" s="104"/>
      <c r="C273" s="120"/>
      <c r="D273" s="114" t="s">
        <v>55</v>
      </c>
      <c r="E273" s="104" t="s">
        <v>866</v>
      </c>
      <c r="F273" s="105">
        <v>42810</v>
      </c>
      <c r="G273" s="106" t="s">
        <v>2497</v>
      </c>
      <c r="H273" s="96">
        <v>161237.64000000001</v>
      </c>
    </row>
    <row r="274" spans="1:8" x14ac:dyDescent="0.25">
      <c r="A274" s="104" t="s">
        <v>1203</v>
      </c>
      <c r="H274" s="96">
        <v>1194767.74</v>
      </c>
    </row>
    <row r="275" spans="1:8" x14ac:dyDescent="0.25">
      <c r="A275" s="104"/>
      <c r="H275" s="96"/>
    </row>
    <row r="276" spans="1:8" x14ac:dyDescent="0.25">
      <c r="A276" s="104" t="s">
        <v>1457</v>
      </c>
      <c r="H276" s="96"/>
    </row>
    <row r="277" spans="1:8" ht="30" x14ac:dyDescent="0.25">
      <c r="A277" s="107" t="s">
        <v>1459</v>
      </c>
      <c r="B277" s="107"/>
      <c r="C277" s="107"/>
      <c r="D277" s="107"/>
      <c r="E277" s="107"/>
      <c r="F277" s="107"/>
      <c r="G277" s="107"/>
      <c r="H277" s="96"/>
    </row>
    <row r="278" spans="1:8" x14ac:dyDescent="0.25">
      <c r="A278" s="115" t="s">
        <v>1461</v>
      </c>
      <c r="B278" s="104" t="s">
        <v>1582</v>
      </c>
      <c r="C278" s="120">
        <v>0.5</v>
      </c>
      <c r="D278" s="104" t="s">
        <v>2546</v>
      </c>
      <c r="H278" s="96"/>
    </row>
    <row r="279" spans="1:8" x14ac:dyDescent="0.25">
      <c r="A279" s="2"/>
      <c r="B279" s="104"/>
      <c r="C279" s="120"/>
      <c r="D279" s="114" t="s">
        <v>23</v>
      </c>
      <c r="E279" s="104" t="s">
        <v>863</v>
      </c>
      <c r="F279" s="105">
        <v>42692</v>
      </c>
      <c r="G279" s="106"/>
      <c r="H279" s="96">
        <v>486489.02</v>
      </c>
    </row>
    <row r="280" spans="1:8" x14ac:dyDescent="0.25">
      <c r="A280" s="2"/>
      <c r="B280" s="104"/>
      <c r="C280" s="120"/>
      <c r="D280" s="114" t="s">
        <v>103</v>
      </c>
      <c r="E280" s="104" t="s">
        <v>863</v>
      </c>
      <c r="F280" s="105">
        <v>42804</v>
      </c>
      <c r="G280" s="106" t="s">
        <v>2347</v>
      </c>
      <c r="H280" s="96">
        <v>103562.74</v>
      </c>
    </row>
    <row r="281" spans="1:8" x14ac:dyDescent="0.25">
      <c r="A281" s="2"/>
      <c r="B281" s="104"/>
      <c r="C281" s="120"/>
      <c r="D281" s="114" t="s">
        <v>221</v>
      </c>
      <c r="E281" s="104" t="s">
        <v>863</v>
      </c>
      <c r="F281" s="105">
        <v>42810</v>
      </c>
      <c r="G281" s="106" t="s">
        <v>2396</v>
      </c>
      <c r="H281" s="96">
        <v>239253.18</v>
      </c>
    </row>
    <row r="282" spans="1:8" x14ac:dyDescent="0.25">
      <c r="A282" s="2"/>
      <c r="B282" s="104"/>
      <c r="C282" s="120"/>
      <c r="D282" s="114" t="s">
        <v>55</v>
      </c>
      <c r="E282" s="104" t="s">
        <v>774</v>
      </c>
      <c r="F282" s="105">
        <v>42811</v>
      </c>
      <c r="G282" s="106" t="s">
        <v>2547</v>
      </c>
      <c r="H282" s="96">
        <v>224386.74</v>
      </c>
    </row>
    <row r="283" spans="1:8" x14ac:dyDescent="0.25">
      <c r="A283" s="104" t="s">
        <v>1583</v>
      </c>
      <c r="H283" s="96">
        <v>1053691.68</v>
      </c>
    </row>
    <row r="284" spans="1:8" x14ac:dyDescent="0.25">
      <c r="A284" s="104"/>
      <c r="H284" s="96"/>
    </row>
    <row r="285" spans="1:8" x14ac:dyDescent="0.25">
      <c r="A285" s="104" t="s">
        <v>1467</v>
      </c>
      <c r="H285" s="96"/>
    </row>
    <row r="286" spans="1:8" ht="45" x14ac:dyDescent="0.25">
      <c r="A286" s="107" t="s">
        <v>1468</v>
      </c>
      <c r="B286" s="107"/>
      <c r="C286" s="107"/>
      <c r="D286" s="107"/>
      <c r="E286" s="107"/>
      <c r="F286" s="107"/>
      <c r="G286" s="107"/>
      <c r="H286" s="96"/>
    </row>
    <row r="287" spans="1:8" ht="30" x14ac:dyDescent="0.25">
      <c r="A287" s="115" t="s">
        <v>1469</v>
      </c>
      <c r="B287" s="104" t="s">
        <v>1584</v>
      </c>
      <c r="C287" s="120">
        <v>0.06</v>
      </c>
      <c r="D287" s="104" t="s">
        <v>2119</v>
      </c>
      <c r="H287" s="96"/>
    </row>
    <row r="288" spans="1:8" x14ac:dyDescent="0.25">
      <c r="A288" s="2"/>
      <c r="B288" s="104"/>
      <c r="C288" s="120"/>
      <c r="D288" s="114" t="s">
        <v>23</v>
      </c>
      <c r="E288" s="104" t="s">
        <v>863</v>
      </c>
      <c r="F288" s="105">
        <v>42691</v>
      </c>
      <c r="G288" s="106"/>
      <c r="H288" s="96">
        <v>1172900.8</v>
      </c>
    </row>
    <row r="289" spans="1:8" x14ac:dyDescent="0.25">
      <c r="A289" s="2"/>
      <c r="B289" s="104"/>
      <c r="C289" s="120"/>
      <c r="D289" s="114" t="s">
        <v>103</v>
      </c>
      <c r="E289" s="104" t="s">
        <v>865</v>
      </c>
      <c r="F289" s="105">
        <v>42810</v>
      </c>
      <c r="G289" s="106" t="s">
        <v>2120</v>
      </c>
      <c r="H289" s="96">
        <v>167947.77</v>
      </c>
    </row>
    <row r="290" spans="1:8" x14ac:dyDescent="0.25">
      <c r="A290" s="104" t="s">
        <v>1585</v>
      </c>
      <c r="H290" s="96">
        <v>1340848.57</v>
      </c>
    </row>
    <row r="291" spans="1:8" x14ac:dyDescent="0.25">
      <c r="A291" s="104"/>
      <c r="H291" s="96"/>
    </row>
    <row r="292" spans="1:8" x14ac:dyDescent="0.25">
      <c r="A292" s="104" t="s">
        <v>1214</v>
      </c>
      <c r="H292" s="96"/>
    </row>
    <row r="293" spans="1:8" ht="60" x14ac:dyDescent="0.25">
      <c r="A293" s="107" t="s">
        <v>1213</v>
      </c>
      <c r="B293" s="107"/>
      <c r="C293" s="107"/>
      <c r="D293" s="107"/>
      <c r="E293" s="107"/>
      <c r="F293" s="107"/>
      <c r="G293" s="107"/>
      <c r="H293" s="96"/>
    </row>
    <row r="294" spans="1:8" x14ac:dyDescent="0.25">
      <c r="A294" s="115" t="s">
        <v>961</v>
      </c>
      <c r="B294" s="104" t="s">
        <v>1253</v>
      </c>
      <c r="C294" s="120">
        <v>0.89</v>
      </c>
      <c r="D294" s="104" t="s">
        <v>2350</v>
      </c>
      <c r="H294" s="96"/>
    </row>
    <row r="295" spans="1:8" x14ac:dyDescent="0.25">
      <c r="A295" s="2"/>
      <c r="B295" s="104"/>
      <c r="C295" s="120"/>
      <c r="D295" s="114" t="s">
        <v>23</v>
      </c>
      <c r="E295" s="104" t="s">
        <v>863</v>
      </c>
      <c r="F295" s="105">
        <v>42682</v>
      </c>
      <c r="G295" s="106"/>
      <c r="H295" s="96">
        <v>376838.32</v>
      </c>
    </row>
    <row r="296" spans="1:8" x14ac:dyDescent="0.25">
      <c r="A296" s="2"/>
      <c r="B296" s="104"/>
      <c r="C296" s="120"/>
      <c r="D296" s="114" t="s">
        <v>103</v>
      </c>
      <c r="E296" s="104" t="s">
        <v>863</v>
      </c>
      <c r="F296" s="105">
        <v>42734</v>
      </c>
      <c r="G296" s="106" t="s">
        <v>1535</v>
      </c>
      <c r="H296" s="96">
        <v>104536.47</v>
      </c>
    </row>
    <row r="297" spans="1:8" x14ac:dyDescent="0.25">
      <c r="A297" s="2"/>
      <c r="B297" s="104"/>
      <c r="C297" s="120"/>
      <c r="D297" s="114" t="s">
        <v>221</v>
      </c>
      <c r="E297" s="104" t="s">
        <v>863</v>
      </c>
      <c r="F297" s="105">
        <v>42734</v>
      </c>
      <c r="G297" s="106" t="s">
        <v>2121</v>
      </c>
      <c r="H297" s="96">
        <v>381574.22</v>
      </c>
    </row>
    <row r="298" spans="1:8" x14ac:dyDescent="0.25">
      <c r="A298" s="2"/>
      <c r="B298" s="104"/>
      <c r="C298" s="120"/>
      <c r="D298" s="114" t="s">
        <v>55</v>
      </c>
      <c r="E298" s="104" t="s">
        <v>863</v>
      </c>
      <c r="F298" s="105">
        <v>42794</v>
      </c>
      <c r="G298" s="106" t="s">
        <v>1122</v>
      </c>
      <c r="H298" s="96">
        <v>249611.3</v>
      </c>
    </row>
    <row r="299" spans="1:8" x14ac:dyDescent="0.25">
      <c r="A299" s="104" t="s">
        <v>1254</v>
      </c>
      <c r="H299" s="96">
        <v>1112560.31</v>
      </c>
    </row>
    <row r="300" spans="1:8" x14ac:dyDescent="0.25">
      <c r="A300" s="104"/>
      <c r="H300" s="96"/>
    </row>
    <row r="301" spans="1:8" x14ac:dyDescent="0.25">
      <c r="A301" s="104" t="s">
        <v>1483</v>
      </c>
      <c r="H301" s="96"/>
    </row>
    <row r="302" spans="1:8" ht="30" x14ac:dyDescent="0.25">
      <c r="A302" s="107" t="s">
        <v>1484</v>
      </c>
      <c r="B302" s="107"/>
      <c r="C302" s="107"/>
      <c r="D302" s="107"/>
      <c r="E302" s="107"/>
      <c r="F302" s="107"/>
      <c r="G302" s="107"/>
      <c r="H302" s="96"/>
    </row>
    <row r="303" spans="1:8" x14ac:dyDescent="0.25">
      <c r="A303" s="115" t="s">
        <v>1463</v>
      </c>
      <c r="B303" s="104" t="s">
        <v>1586</v>
      </c>
      <c r="C303" s="120">
        <v>0.48</v>
      </c>
      <c r="D303" s="104" t="s">
        <v>2252</v>
      </c>
      <c r="H303" s="96"/>
    </row>
    <row r="304" spans="1:8" x14ac:dyDescent="0.25">
      <c r="A304" s="2"/>
      <c r="B304" s="104"/>
      <c r="C304" s="120"/>
      <c r="D304" s="114" t="s">
        <v>23</v>
      </c>
      <c r="E304" s="104" t="s">
        <v>863</v>
      </c>
      <c r="F304" s="105">
        <v>42685</v>
      </c>
      <c r="G304" s="106"/>
      <c r="H304" s="96">
        <v>817797.34</v>
      </c>
    </row>
    <row r="305" spans="1:8" x14ac:dyDescent="0.25">
      <c r="A305" s="2"/>
      <c r="B305" s="104"/>
      <c r="C305" s="120"/>
      <c r="D305" s="114" t="s">
        <v>103</v>
      </c>
      <c r="E305" s="104" t="s">
        <v>863</v>
      </c>
      <c r="F305" s="105">
        <v>42804</v>
      </c>
      <c r="G305" s="106" t="s">
        <v>2253</v>
      </c>
      <c r="H305" s="96">
        <v>901189.51</v>
      </c>
    </row>
    <row r="306" spans="1:8" x14ac:dyDescent="0.25">
      <c r="A306" s="104" t="s">
        <v>1587</v>
      </c>
      <c r="H306" s="96">
        <v>1718986.85</v>
      </c>
    </row>
    <row r="307" spans="1:8" x14ac:dyDescent="0.25">
      <c r="A307" s="104"/>
      <c r="H307" s="96"/>
    </row>
    <row r="308" spans="1:8" x14ac:dyDescent="0.25">
      <c r="A308" s="104" t="s">
        <v>1004</v>
      </c>
      <c r="H308" s="96"/>
    </row>
    <row r="309" spans="1:8" ht="45" x14ac:dyDescent="0.25">
      <c r="A309" s="107" t="s">
        <v>1002</v>
      </c>
      <c r="B309" s="107"/>
      <c r="C309" s="107"/>
      <c r="D309" s="107"/>
      <c r="E309" s="107"/>
      <c r="F309" s="107"/>
      <c r="G309" s="107"/>
      <c r="H309" s="96"/>
    </row>
    <row r="310" spans="1:8" ht="30" x14ac:dyDescent="0.25">
      <c r="A310" s="115" t="s">
        <v>1003</v>
      </c>
      <c r="B310" s="104" t="s">
        <v>1204</v>
      </c>
      <c r="C310" s="120">
        <v>0.65</v>
      </c>
      <c r="D310" s="104" t="s">
        <v>2381</v>
      </c>
      <c r="H310" s="96"/>
    </row>
    <row r="311" spans="1:8" x14ac:dyDescent="0.25">
      <c r="A311" s="2"/>
      <c r="B311" s="104"/>
      <c r="C311" s="120"/>
      <c r="D311" s="114" t="s">
        <v>23</v>
      </c>
      <c r="E311" s="104" t="s">
        <v>863</v>
      </c>
      <c r="F311" s="105">
        <v>42683</v>
      </c>
      <c r="G311" s="106"/>
      <c r="H311" s="96">
        <v>569861.04</v>
      </c>
    </row>
    <row r="312" spans="1:8" x14ac:dyDescent="0.25">
      <c r="A312" s="2"/>
      <c r="B312" s="104"/>
      <c r="C312" s="120"/>
      <c r="D312" s="114" t="s">
        <v>103</v>
      </c>
      <c r="E312" s="104" t="s">
        <v>863</v>
      </c>
      <c r="F312" s="105">
        <v>42810</v>
      </c>
      <c r="G312" s="106" t="s">
        <v>2122</v>
      </c>
      <c r="H312" s="96">
        <v>342680.9</v>
      </c>
    </row>
    <row r="313" spans="1:8" x14ac:dyDescent="0.25">
      <c r="A313" s="2"/>
      <c r="B313" s="104"/>
      <c r="C313" s="120"/>
      <c r="D313" s="114" t="s">
        <v>221</v>
      </c>
      <c r="E313" s="104" t="s">
        <v>866</v>
      </c>
      <c r="F313" s="105">
        <v>42801</v>
      </c>
      <c r="G313" s="106" t="s">
        <v>2382</v>
      </c>
      <c r="H313" s="96">
        <v>520548.2</v>
      </c>
    </row>
    <row r="314" spans="1:8" x14ac:dyDescent="0.25">
      <c r="A314" s="104" t="s">
        <v>1205</v>
      </c>
      <c r="H314" s="96">
        <v>1433090.14</v>
      </c>
    </row>
    <row r="315" spans="1:8" x14ac:dyDescent="0.25">
      <c r="A315" s="104"/>
      <c r="H315" s="96"/>
    </row>
    <row r="316" spans="1:8" x14ac:dyDescent="0.25">
      <c r="A316" s="104" t="s">
        <v>1614</v>
      </c>
      <c r="H316" s="96"/>
    </row>
    <row r="317" spans="1:8" ht="45" x14ac:dyDescent="0.25">
      <c r="A317" s="107" t="s">
        <v>1613</v>
      </c>
      <c r="B317" s="107"/>
      <c r="C317" s="107"/>
      <c r="D317" s="107"/>
      <c r="E317" s="107"/>
      <c r="F317" s="107"/>
      <c r="G317" s="107"/>
      <c r="H317" s="96"/>
    </row>
    <row r="318" spans="1:8" x14ac:dyDescent="0.25">
      <c r="A318" s="115" t="s">
        <v>1615</v>
      </c>
      <c r="B318" s="104" t="s">
        <v>1700</v>
      </c>
      <c r="C318" s="120">
        <v>0.28000000000000003</v>
      </c>
      <c r="D318" s="104" t="s">
        <v>2123</v>
      </c>
      <c r="H318" s="96"/>
    </row>
    <row r="319" spans="1:8" x14ac:dyDescent="0.25">
      <c r="A319" s="2"/>
      <c r="B319" s="104"/>
      <c r="C319" s="120"/>
      <c r="D319" s="114" t="s">
        <v>23</v>
      </c>
      <c r="E319" s="104" t="s">
        <v>863</v>
      </c>
      <c r="F319" s="105">
        <v>42696</v>
      </c>
      <c r="G319" s="106"/>
      <c r="H319" s="96">
        <v>535840.96</v>
      </c>
    </row>
    <row r="320" spans="1:8" x14ac:dyDescent="0.25">
      <c r="A320" s="2"/>
      <c r="B320" s="104"/>
      <c r="C320" s="120"/>
      <c r="D320" s="114" t="s">
        <v>103</v>
      </c>
      <c r="E320" s="104" t="s">
        <v>863</v>
      </c>
      <c r="F320" s="105">
        <v>42804</v>
      </c>
      <c r="G320" s="106" t="s">
        <v>2124</v>
      </c>
      <c r="H320" s="96">
        <v>355982.38</v>
      </c>
    </row>
    <row r="321" spans="1:8" x14ac:dyDescent="0.25">
      <c r="A321" s="104" t="s">
        <v>1701</v>
      </c>
      <c r="H321" s="96">
        <v>891823.34</v>
      </c>
    </row>
    <row r="322" spans="1:8" x14ac:dyDescent="0.25">
      <c r="A322" s="104"/>
      <c r="H322" s="96"/>
    </row>
    <row r="323" spans="1:8" x14ac:dyDescent="0.25">
      <c r="A323" s="104" t="s">
        <v>1462</v>
      </c>
      <c r="H323" s="96"/>
    </row>
    <row r="324" spans="1:8" ht="30" x14ac:dyDescent="0.25">
      <c r="A324" s="107" t="s">
        <v>2195</v>
      </c>
      <c r="B324" s="107"/>
      <c r="C324" s="107"/>
      <c r="D324" s="107"/>
      <c r="E324" s="107"/>
      <c r="F324" s="107"/>
      <c r="G324" s="107"/>
      <c r="H324" s="96"/>
    </row>
    <row r="325" spans="1:8" x14ac:dyDescent="0.25">
      <c r="A325" s="115" t="s">
        <v>1463</v>
      </c>
      <c r="B325" s="104" t="s">
        <v>1588</v>
      </c>
      <c r="C325" s="120">
        <v>0.65</v>
      </c>
      <c r="D325" s="104" t="s">
        <v>2254</v>
      </c>
      <c r="H325" s="96"/>
    </row>
    <row r="326" spans="1:8" x14ac:dyDescent="0.25">
      <c r="A326" s="2"/>
      <c r="B326" s="104"/>
      <c r="C326" s="120"/>
      <c r="D326" s="114" t="s">
        <v>23</v>
      </c>
      <c r="E326" s="104" t="s">
        <v>863</v>
      </c>
      <c r="F326" s="105">
        <v>42685</v>
      </c>
      <c r="G326" s="106"/>
      <c r="H326" s="96">
        <v>869995.25</v>
      </c>
    </row>
    <row r="327" spans="1:8" x14ac:dyDescent="0.25">
      <c r="A327" s="2"/>
      <c r="B327" s="104"/>
      <c r="C327" s="120"/>
      <c r="D327" s="114" t="s">
        <v>103</v>
      </c>
      <c r="E327" s="104" t="s">
        <v>863</v>
      </c>
      <c r="F327" s="105">
        <v>42804</v>
      </c>
      <c r="G327" s="106" t="s">
        <v>2255</v>
      </c>
      <c r="H327" s="96">
        <v>1304234.9099999999</v>
      </c>
    </row>
    <row r="328" spans="1:8" x14ac:dyDescent="0.25">
      <c r="A328" s="104" t="s">
        <v>1589</v>
      </c>
      <c r="H328" s="96">
        <v>2174230.16</v>
      </c>
    </row>
    <row r="329" spans="1:8" x14ac:dyDescent="0.25">
      <c r="A329" s="104"/>
      <c r="H329" s="96"/>
    </row>
    <row r="330" spans="1:8" x14ac:dyDescent="0.25">
      <c r="A330" s="104" t="s">
        <v>1016</v>
      </c>
      <c r="H330" s="96"/>
    </row>
    <row r="331" spans="1:8" ht="30" x14ac:dyDescent="0.25">
      <c r="A331" s="107" t="s">
        <v>1015</v>
      </c>
      <c r="B331" s="107"/>
      <c r="C331" s="107"/>
      <c r="D331" s="107"/>
      <c r="E331" s="107"/>
      <c r="F331" s="107"/>
      <c r="G331" s="107"/>
      <c r="H331" s="96"/>
    </row>
    <row r="332" spans="1:8" x14ac:dyDescent="0.25">
      <c r="A332" s="115" t="s">
        <v>1000</v>
      </c>
      <c r="B332" s="104" t="s">
        <v>1255</v>
      </c>
      <c r="C332" s="120">
        <v>0.8</v>
      </c>
      <c r="D332" s="104" t="s">
        <v>2125</v>
      </c>
      <c r="H332" s="96"/>
    </row>
    <row r="333" spans="1:8" x14ac:dyDescent="0.25">
      <c r="A333" s="2"/>
      <c r="B333" s="104"/>
      <c r="C333" s="120"/>
      <c r="D333" s="114" t="s">
        <v>23</v>
      </c>
      <c r="E333" s="104" t="s">
        <v>863</v>
      </c>
      <c r="F333" s="105">
        <v>42677</v>
      </c>
      <c r="G333" s="106"/>
      <c r="H333" s="96">
        <v>160216.46</v>
      </c>
    </row>
    <row r="334" spans="1:8" x14ac:dyDescent="0.25">
      <c r="A334" s="2"/>
      <c r="B334" s="104"/>
      <c r="C334" s="120"/>
      <c r="D334" s="114" t="s">
        <v>103</v>
      </c>
      <c r="E334" s="104" t="s">
        <v>863</v>
      </c>
      <c r="F334" s="105">
        <v>42759</v>
      </c>
      <c r="G334" s="106" t="s">
        <v>2126</v>
      </c>
      <c r="H334" s="96">
        <v>149307.79999999999</v>
      </c>
    </row>
    <row r="335" spans="1:8" x14ac:dyDescent="0.25">
      <c r="A335" s="2"/>
      <c r="B335" s="104"/>
      <c r="C335" s="120"/>
      <c r="D335" s="114" t="s">
        <v>221</v>
      </c>
      <c r="E335" s="104" t="s">
        <v>863</v>
      </c>
      <c r="F335" s="105">
        <v>42759</v>
      </c>
      <c r="G335" s="106" t="s">
        <v>2127</v>
      </c>
      <c r="H335" s="96">
        <v>148877.97</v>
      </c>
    </row>
    <row r="336" spans="1:8" x14ac:dyDescent="0.25">
      <c r="A336" s="104" t="s">
        <v>1206</v>
      </c>
      <c r="H336" s="96">
        <v>458402.23</v>
      </c>
    </row>
    <row r="337" spans="1:8" x14ac:dyDescent="0.25">
      <c r="A337" s="104"/>
      <c r="H337" s="96"/>
    </row>
    <row r="338" spans="1:8" x14ac:dyDescent="0.25">
      <c r="A338" s="104" t="s">
        <v>1608</v>
      </c>
      <c r="H338" s="96"/>
    </row>
    <row r="339" spans="1:8" ht="45" x14ac:dyDescent="0.25">
      <c r="A339" s="107" t="s">
        <v>1609</v>
      </c>
      <c r="B339" s="107"/>
      <c r="C339" s="107"/>
      <c r="D339" s="107"/>
      <c r="E339" s="107"/>
      <c r="F339" s="107"/>
      <c r="G339" s="107"/>
      <c r="H339" s="96"/>
    </row>
    <row r="340" spans="1:8" ht="30" x14ac:dyDescent="0.25">
      <c r="A340" s="115" t="s">
        <v>953</v>
      </c>
      <c r="B340" s="104" t="s">
        <v>1702</v>
      </c>
      <c r="C340" s="120">
        <v>0.43</v>
      </c>
      <c r="D340" s="104" t="s">
        <v>2397</v>
      </c>
      <c r="H340" s="96"/>
    </row>
    <row r="341" spans="1:8" x14ac:dyDescent="0.25">
      <c r="A341" s="2"/>
      <c r="B341" s="104"/>
      <c r="C341" s="120"/>
      <c r="D341" s="114" t="s">
        <v>23</v>
      </c>
      <c r="E341" s="104" t="s">
        <v>863</v>
      </c>
      <c r="F341" s="105">
        <v>42691</v>
      </c>
      <c r="G341" s="106"/>
      <c r="H341" s="96">
        <v>2534818.06</v>
      </c>
    </row>
    <row r="342" spans="1:8" x14ac:dyDescent="0.25">
      <c r="A342" s="2"/>
      <c r="B342" s="104"/>
      <c r="C342" s="120"/>
      <c r="D342" s="114" t="s">
        <v>103</v>
      </c>
      <c r="E342" s="104" t="s">
        <v>863</v>
      </c>
      <c r="F342" s="105">
        <v>42732</v>
      </c>
      <c r="G342" s="106" t="s">
        <v>1976</v>
      </c>
      <c r="H342" s="96">
        <v>1183401.5</v>
      </c>
    </row>
    <row r="343" spans="1:8" x14ac:dyDescent="0.25">
      <c r="A343" s="2"/>
      <c r="B343" s="104"/>
      <c r="C343" s="120"/>
      <c r="D343" s="114" t="s">
        <v>221</v>
      </c>
      <c r="E343" s="104" t="s">
        <v>864</v>
      </c>
      <c r="F343" s="105">
        <v>42811</v>
      </c>
      <c r="G343" s="106" t="s">
        <v>2398</v>
      </c>
      <c r="H343" s="96">
        <v>235022.25</v>
      </c>
    </row>
    <row r="344" spans="1:8" x14ac:dyDescent="0.25">
      <c r="A344" s="2"/>
      <c r="B344" s="104"/>
      <c r="C344" s="120"/>
      <c r="D344" s="114" t="s">
        <v>55</v>
      </c>
      <c r="E344" s="104" t="s">
        <v>863</v>
      </c>
      <c r="F344" s="105">
        <v>42810</v>
      </c>
      <c r="G344" s="106" t="s">
        <v>2399</v>
      </c>
      <c r="H344" s="96">
        <v>1088016.8700000001</v>
      </c>
    </row>
    <row r="345" spans="1:8" x14ac:dyDescent="0.25">
      <c r="A345" s="104" t="s">
        <v>1703</v>
      </c>
      <c r="H345" s="96">
        <v>5041258.68</v>
      </c>
    </row>
    <row r="346" spans="1:8" x14ac:dyDescent="0.25">
      <c r="A346" s="104"/>
      <c r="H346" s="96"/>
    </row>
    <row r="347" spans="1:8" x14ac:dyDescent="0.25">
      <c r="A347" s="104" t="s">
        <v>1488</v>
      </c>
      <c r="H347" s="96"/>
    </row>
    <row r="348" spans="1:8" ht="45" x14ac:dyDescent="0.25">
      <c r="A348" s="107" t="s">
        <v>1487</v>
      </c>
      <c r="B348" s="107"/>
      <c r="C348" s="107"/>
      <c r="D348" s="107"/>
      <c r="E348" s="107"/>
      <c r="F348" s="107"/>
      <c r="G348" s="107"/>
      <c r="H348" s="96"/>
    </row>
    <row r="349" spans="1:8" x14ac:dyDescent="0.25">
      <c r="A349" s="115" t="s">
        <v>1449</v>
      </c>
      <c r="B349" s="104" t="s">
        <v>1590</v>
      </c>
      <c r="C349" s="120">
        <v>1</v>
      </c>
      <c r="D349" s="104" t="s">
        <v>1324</v>
      </c>
      <c r="H349" s="96"/>
    </row>
    <row r="350" spans="1:8" x14ac:dyDescent="0.25">
      <c r="A350" s="2"/>
      <c r="B350" s="104"/>
      <c r="C350" s="120"/>
      <c r="D350" s="114" t="s">
        <v>23</v>
      </c>
      <c r="E350" s="104" t="s">
        <v>863</v>
      </c>
      <c r="F350" s="105">
        <v>42690</v>
      </c>
      <c r="G350" s="106"/>
      <c r="H350" s="96">
        <v>574927.31999999995</v>
      </c>
    </row>
    <row r="351" spans="1:8" x14ac:dyDescent="0.25">
      <c r="A351" s="2"/>
      <c r="B351" s="104"/>
      <c r="C351" s="120"/>
      <c r="D351" s="114" t="s">
        <v>103</v>
      </c>
      <c r="E351" s="104" t="s">
        <v>863</v>
      </c>
      <c r="F351" s="105">
        <v>42794</v>
      </c>
      <c r="G351" s="106" t="s">
        <v>2128</v>
      </c>
      <c r="H351" s="96">
        <v>140940.14000000001</v>
      </c>
    </row>
    <row r="352" spans="1:8" x14ac:dyDescent="0.25">
      <c r="A352" s="2"/>
      <c r="B352" s="104"/>
      <c r="C352" s="120"/>
      <c r="D352" s="114" t="s">
        <v>221</v>
      </c>
      <c r="E352" s="104" t="s">
        <v>863</v>
      </c>
      <c r="F352" s="105">
        <v>42794</v>
      </c>
      <c r="G352" s="106" t="s">
        <v>2351</v>
      </c>
      <c r="H352" s="96">
        <v>705812.32</v>
      </c>
    </row>
    <row r="353" spans="1:8" x14ac:dyDescent="0.25">
      <c r="A353" s="2"/>
      <c r="B353" s="104"/>
      <c r="C353" s="120"/>
      <c r="D353" s="114" t="s">
        <v>55</v>
      </c>
      <c r="E353" s="104" t="s">
        <v>863</v>
      </c>
      <c r="F353" s="105">
        <v>42794</v>
      </c>
      <c r="G353" s="106" t="s">
        <v>2352</v>
      </c>
      <c r="H353" s="96">
        <v>486484.16</v>
      </c>
    </row>
    <row r="354" spans="1:8" x14ac:dyDescent="0.25">
      <c r="A354" s="104" t="s">
        <v>1591</v>
      </c>
      <c r="H354" s="96">
        <v>1908163.94</v>
      </c>
    </row>
    <row r="355" spans="1:8" x14ac:dyDescent="0.25">
      <c r="A355" s="104"/>
      <c r="H355" s="96"/>
    </row>
    <row r="356" spans="1:8" x14ac:dyDescent="0.25">
      <c r="A356" s="104" t="s">
        <v>1446</v>
      </c>
      <c r="H356" s="96"/>
    </row>
    <row r="357" spans="1:8" ht="45" x14ac:dyDescent="0.25">
      <c r="A357" s="107" t="s">
        <v>1448</v>
      </c>
      <c r="B357" s="107"/>
      <c r="C357" s="107"/>
      <c r="D357" s="107"/>
      <c r="E357" s="107"/>
      <c r="F357" s="107"/>
      <c r="G357" s="107"/>
      <c r="H357" s="96"/>
    </row>
    <row r="358" spans="1:8" x14ac:dyDescent="0.25">
      <c r="A358" s="115" t="s">
        <v>1449</v>
      </c>
      <c r="B358" s="104" t="s">
        <v>1769</v>
      </c>
      <c r="C358" s="120">
        <v>0.18</v>
      </c>
      <c r="D358" s="104" t="s">
        <v>2129</v>
      </c>
      <c r="H358" s="96"/>
    </row>
    <row r="359" spans="1:8" x14ac:dyDescent="0.25">
      <c r="A359" s="2"/>
      <c r="B359" s="104"/>
      <c r="C359" s="120"/>
      <c r="D359" s="114" t="s">
        <v>23</v>
      </c>
      <c r="E359" s="104" t="s">
        <v>863</v>
      </c>
      <c r="F359" s="105">
        <v>42690</v>
      </c>
      <c r="G359" s="106"/>
      <c r="H359" s="96">
        <v>477160.22</v>
      </c>
    </row>
    <row r="360" spans="1:8" x14ac:dyDescent="0.25">
      <c r="A360" s="2"/>
      <c r="B360" s="104"/>
      <c r="C360" s="120"/>
      <c r="D360" s="114" t="s">
        <v>103</v>
      </c>
      <c r="E360" s="104" t="s">
        <v>863</v>
      </c>
      <c r="F360" s="105">
        <v>42804</v>
      </c>
      <c r="G360" s="106" t="s">
        <v>2130</v>
      </c>
      <c r="H360" s="96">
        <v>197538.23</v>
      </c>
    </row>
    <row r="361" spans="1:8" x14ac:dyDescent="0.25">
      <c r="A361" s="104" t="s">
        <v>1592</v>
      </c>
      <c r="H361" s="96">
        <v>674698.45</v>
      </c>
    </row>
    <row r="362" spans="1:8" x14ac:dyDescent="0.25">
      <c r="A362" s="104"/>
      <c r="H362" s="96"/>
    </row>
    <row r="363" spans="1:8" x14ac:dyDescent="0.25">
      <c r="A363" s="104" t="s">
        <v>1663</v>
      </c>
      <c r="H363" s="96"/>
    </row>
    <row r="364" spans="1:8" ht="45" x14ac:dyDescent="0.25">
      <c r="A364" s="107" t="s">
        <v>1664</v>
      </c>
      <c r="B364" s="107"/>
      <c r="C364" s="107"/>
      <c r="D364" s="107"/>
      <c r="E364" s="107"/>
      <c r="F364" s="107"/>
      <c r="G364" s="107"/>
      <c r="H364" s="96"/>
    </row>
    <row r="365" spans="1:8" x14ac:dyDescent="0.25">
      <c r="A365" s="115" t="s">
        <v>1665</v>
      </c>
      <c r="B365" s="104" t="s">
        <v>1704</v>
      </c>
      <c r="C365" s="120">
        <v>1</v>
      </c>
      <c r="D365" s="104" t="s">
        <v>1324</v>
      </c>
      <c r="H365" s="96"/>
    </row>
    <row r="366" spans="1:8" x14ac:dyDescent="0.25">
      <c r="A366" s="2"/>
      <c r="B366" s="104"/>
      <c r="C366" s="120"/>
      <c r="D366" s="114" t="s">
        <v>23</v>
      </c>
      <c r="E366" s="104" t="s">
        <v>863</v>
      </c>
      <c r="F366" s="105">
        <v>42696</v>
      </c>
      <c r="G366" s="106"/>
      <c r="H366" s="96">
        <v>856597.37</v>
      </c>
    </row>
    <row r="367" spans="1:8" x14ac:dyDescent="0.25">
      <c r="A367" s="2"/>
      <c r="B367" s="104"/>
      <c r="C367" s="120"/>
      <c r="D367" s="114" t="s">
        <v>103</v>
      </c>
      <c r="E367" s="104" t="s">
        <v>866</v>
      </c>
      <c r="F367" s="105">
        <v>42801</v>
      </c>
      <c r="G367" s="106" t="s">
        <v>1335</v>
      </c>
      <c r="H367" s="96">
        <v>142255.07999999999</v>
      </c>
    </row>
    <row r="368" spans="1:8" x14ac:dyDescent="0.25">
      <c r="A368" s="2"/>
      <c r="B368" s="104"/>
      <c r="C368" s="120"/>
      <c r="D368" s="114" t="s">
        <v>221</v>
      </c>
      <c r="E368" s="104" t="s">
        <v>866</v>
      </c>
      <c r="F368" s="105">
        <v>42801</v>
      </c>
      <c r="G368" s="106" t="s">
        <v>2429</v>
      </c>
      <c r="H368" s="96">
        <v>971932.15</v>
      </c>
    </row>
    <row r="369" spans="1:8" x14ac:dyDescent="0.25">
      <c r="A369" s="2"/>
      <c r="B369" s="104"/>
      <c r="C369" s="120"/>
      <c r="D369" s="114" t="s">
        <v>55</v>
      </c>
      <c r="E369" s="104" t="s">
        <v>774</v>
      </c>
      <c r="F369" s="105">
        <v>42810</v>
      </c>
      <c r="G369" s="106" t="s">
        <v>2523</v>
      </c>
      <c r="H369" s="96">
        <v>637860.43999999994</v>
      </c>
    </row>
    <row r="370" spans="1:8" x14ac:dyDescent="0.25">
      <c r="A370" s="2"/>
      <c r="B370" s="104"/>
      <c r="C370" s="120"/>
      <c r="D370" s="114" t="s">
        <v>215</v>
      </c>
      <c r="E370" s="104" t="s">
        <v>774</v>
      </c>
      <c r="F370" s="105">
        <v>42810</v>
      </c>
      <c r="G370" s="106" t="s">
        <v>2524</v>
      </c>
      <c r="H370" s="96">
        <v>234372.09</v>
      </c>
    </row>
    <row r="371" spans="1:8" x14ac:dyDescent="0.25">
      <c r="A371" s="104" t="s">
        <v>1705</v>
      </c>
      <c r="H371" s="96">
        <v>2843017.13</v>
      </c>
    </row>
    <row r="372" spans="1:8" x14ac:dyDescent="0.25">
      <c r="A372" s="104"/>
      <c r="H372" s="96"/>
    </row>
    <row r="373" spans="1:8" x14ac:dyDescent="0.25">
      <c r="A373" s="104" t="s">
        <v>1453</v>
      </c>
      <c r="H373" s="96"/>
    </row>
    <row r="374" spans="1:8" ht="45" x14ac:dyDescent="0.25">
      <c r="A374" s="107" t="s">
        <v>1452</v>
      </c>
      <c r="B374" s="107"/>
      <c r="C374" s="107"/>
      <c r="D374" s="107"/>
      <c r="E374" s="107"/>
      <c r="F374" s="107"/>
      <c r="G374" s="107"/>
      <c r="H374" s="96"/>
    </row>
    <row r="375" spans="1:8" x14ac:dyDescent="0.25">
      <c r="A375" s="115" t="s">
        <v>1449</v>
      </c>
      <c r="B375" s="104" t="s">
        <v>1593</v>
      </c>
      <c r="C375" s="120">
        <v>1</v>
      </c>
      <c r="D375" s="104" t="s">
        <v>1324</v>
      </c>
      <c r="H375" s="96"/>
    </row>
    <row r="376" spans="1:8" x14ac:dyDescent="0.25">
      <c r="A376" s="2"/>
      <c r="B376" s="104"/>
      <c r="C376" s="120"/>
      <c r="D376" s="114" t="s">
        <v>23</v>
      </c>
      <c r="E376" s="104" t="s">
        <v>863</v>
      </c>
      <c r="F376" s="105">
        <v>42690</v>
      </c>
      <c r="G376" s="106"/>
      <c r="H376" s="96">
        <v>395485.32</v>
      </c>
    </row>
    <row r="377" spans="1:8" x14ac:dyDescent="0.25">
      <c r="A377" s="2"/>
      <c r="B377" s="104"/>
      <c r="C377" s="120"/>
      <c r="D377" s="114" t="s">
        <v>103</v>
      </c>
      <c r="E377" s="104" t="s">
        <v>863</v>
      </c>
      <c r="F377" s="105">
        <v>42794</v>
      </c>
      <c r="G377" s="106" t="s">
        <v>1544</v>
      </c>
      <c r="H377" s="96">
        <v>94861.86</v>
      </c>
    </row>
    <row r="378" spans="1:8" x14ac:dyDescent="0.25">
      <c r="A378" s="2"/>
      <c r="B378" s="104"/>
      <c r="C378" s="120"/>
      <c r="D378" s="114" t="s">
        <v>221</v>
      </c>
      <c r="E378" s="104" t="s">
        <v>863</v>
      </c>
      <c r="F378" s="105">
        <v>42794</v>
      </c>
      <c r="G378" s="106" t="s">
        <v>2353</v>
      </c>
      <c r="H378" s="96">
        <v>485819.04</v>
      </c>
    </row>
    <row r="379" spans="1:8" x14ac:dyDescent="0.25">
      <c r="A379" s="2"/>
      <c r="B379" s="104"/>
      <c r="C379" s="120"/>
      <c r="D379" s="114" t="s">
        <v>55</v>
      </c>
      <c r="E379" s="104" t="s">
        <v>863</v>
      </c>
      <c r="F379" s="105">
        <v>42794</v>
      </c>
      <c r="G379" s="106" t="s">
        <v>2354</v>
      </c>
      <c r="H379" s="96">
        <v>336435.92</v>
      </c>
    </row>
    <row r="380" spans="1:8" x14ac:dyDescent="0.25">
      <c r="A380" s="104" t="s">
        <v>1594</v>
      </c>
      <c r="H380" s="96">
        <v>1312602.1399999999</v>
      </c>
    </row>
    <row r="381" spans="1:8" x14ac:dyDescent="0.25">
      <c r="A381" s="104"/>
      <c r="H381" s="96"/>
    </row>
    <row r="382" spans="1:8" x14ac:dyDescent="0.25">
      <c r="A382" s="104" t="s">
        <v>1602</v>
      </c>
      <c r="H382" s="96"/>
    </row>
    <row r="383" spans="1:8" ht="45" x14ac:dyDescent="0.25">
      <c r="A383" s="107" t="s">
        <v>1603</v>
      </c>
      <c r="B383" s="107"/>
      <c r="C383" s="107"/>
      <c r="D383" s="107"/>
      <c r="E383" s="107"/>
      <c r="F383" s="107"/>
      <c r="G383" s="107"/>
      <c r="H383" s="96"/>
    </row>
    <row r="384" spans="1:8" ht="30" x14ac:dyDescent="0.25">
      <c r="A384" s="115" t="s">
        <v>1604</v>
      </c>
      <c r="B384" s="104" t="s">
        <v>1706</v>
      </c>
      <c r="C384" s="120">
        <v>0.21</v>
      </c>
      <c r="D384" s="104" t="s">
        <v>2525</v>
      </c>
      <c r="H384" s="96"/>
    </row>
    <row r="385" spans="1:8" x14ac:dyDescent="0.25">
      <c r="A385" s="2"/>
      <c r="B385" s="104"/>
      <c r="C385" s="120"/>
      <c r="D385" s="114" t="s">
        <v>23</v>
      </c>
      <c r="E385" s="104" t="s">
        <v>863</v>
      </c>
      <c r="F385" s="105">
        <v>42685</v>
      </c>
      <c r="G385" s="106"/>
      <c r="H385" s="96">
        <v>1017771.87</v>
      </c>
    </row>
    <row r="386" spans="1:8" x14ac:dyDescent="0.25">
      <c r="A386" s="2"/>
      <c r="B386" s="104"/>
      <c r="C386" s="120"/>
      <c r="D386" s="114" t="s">
        <v>103</v>
      </c>
      <c r="E386" s="104" t="s">
        <v>866</v>
      </c>
      <c r="F386" s="105">
        <v>42811</v>
      </c>
      <c r="G386" s="106" t="s">
        <v>2526</v>
      </c>
      <c r="H386" s="96">
        <v>485891.4</v>
      </c>
    </row>
    <row r="387" spans="1:8" x14ac:dyDescent="0.25">
      <c r="A387" s="104" t="s">
        <v>1707</v>
      </c>
      <c r="H387" s="96">
        <v>1503663.27</v>
      </c>
    </row>
    <row r="388" spans="1:8" x14ac:dyDescent="0.25">
      <c r="A388" s="104"/>
      <c r="H388" s="96"/>
    </row>
    <row r="389" spans="1:8" x14ac:dyDescent="0.25">
      <c r="A389" s="104" t="s">
        <v>1240</v>
      </c>
      <c r="H389" s="96"/>
    </row>
    <row r="390" spans="1:8" ht="60" x14ac:dyDescent="0.25">
      <c r="A390" s="107" t="s">
        <v>1239</v>
      </c>
      <c r="B390" s="107"/>
      <c r="C390" s="107"/>
      <c r="D390" s="107"/>
      <c r="E390" s="107"/>
      <c r="F390" s="107"/>
      <c r="G390" s="107"/>
      <c r="H390" s="96"/>
    </row>
    <row r="391" spans="1:8" x14ac:dyDescent="0.25">
      <c r="A391" s="115" t="s">
        <v>1207</v>
      </c>
      <c r="B391" s="104" t="s">
        <v>1595</v>
      </c>
      <c r="C391" s="120">
        <v>0.85</v>
      </c>
      <c r="D391" s="104" t="s">
        <v>2430</v>
      </c>
      <c r="H391" s="96"/>
    </row>
    <row r="392" spans="1:8" x14ac:dyDescent="0.25">
      <c r="A392" s="2"/>
      <c r="B392" s="104"/>
      <c r="C392" s="120"/>
      <c r="D392" s="114" t="s">
        <v>23</v>
      </c>
      <c r="E392" s="104" t="s">
        <v>863</v>
      </c>
      <c r="F392" s="105">
        <v>42682</v>
      </c>
      <c r="G392" s="106"/>
      <c r="H392" s="96">
        <v>599399.5</v>
      </c>
    </row>
    <row r="393" spans="1:8" x14ac:dyDescent="0.25">
      <c r="A393" s="2"/>
      <c r="B393" s="104"/>
      <c r="C393" s="120"/>
      <c r="D393" s="114" t="s">
        <v>103</v>
      </c>
      <c r="E393" s="104" t="s">
        <v>863</v>
      </c>
      <c r="F393" s="105">
        <v>42804</v>
      </c>
      <c r="G393" s="106" t="s">
        <v>2324</v>
      </c>
      <c r="H393" s="96">
        <v>718178.25</v>
      </c>
    </row>
    <row r="394" spans="1:8" x14ac:dyDescent="0.25">
      <c r="A394" s="2"/>
      <c r="B394" s="104"/>
      <c r="C394" s="120"/>
      <c r="D394" s="114" t="s">
        <v>221</v>
      </c>
      <c r="E394" s="104" t="s">
        <v>863</v>
      </c>
      <c r="F394" s="105">
        <v>42810</v>
      </c>
      <c r="G394" s="106" t="s">
        <v>2431</v>
      </c>
      <c r="H394" s="96">
        <v>379980.47</v>
      </c>
    </row>
    <row r="395" spans="1:8" x14ac:dyDescent="0.25">
      <c r="A395" s="104" t="s">
        <v>1596</v>
      </c>
      <c r="H395" s="96">
        <v>1697558.22</v>
      </c>
    </row>
    <row r="396" spans="1:8" x14ac:dyDescent="0.25">
      <c r="A396" s="104"/>
      <c r="H396" s="96"/>
    </row>
    <row r="397" spans="1:8" x14ac:dyDescent="0.25">
      <c r="A397" s="104" t="s">
        <v>1719</v>
      </c>
      <c r="H397" s="96"/>
    </row>
    <row r="398" spans="1:8" ht="45" x14ac:dyDescent="0.25">
      <c r="A398" s="107" t="s">
        <v>1720</v>
      </c>
      <c r="B398" s="107"/>
      <c r="C398" s="107"/>
      <c r="D398" s="107"/>
      <c r="E398" s="107"/>
      <c r="F398" s="107"/>
      <c r="G398" s="107"/>
      <c r="H398" s="96"/>
    </row>
    <row r="399" spans="1:8" x14ac:dyDescent="0.25">
      <c r="A399" s="115" t="s">
        <v>1721</v>
      </c>
      <c r="B399" s="104" t="s">
        <v>1765</v>
      </c>
      <c r="C399" s="120">
        <v>0.95</v>
      </c>
      <c r="D399" s="104" t="s">
        <v>2527</v>
      </c>
      <c r="H399" s="96"/>
    </row>
    <row r="400" spans="1:8" x14ac:dyDescent="0.25">
      <c r="A400" s="2"/>
      <c r="B400" s="104"/>
      <c r="C400" s="120"/>
      <c r="D400" s="114" t="s">
        <v>23</v>
      </c>
      <c r="E400" s="104" t="s">
        <v>863</v>
      </c>
      <c r="F400" s="105">
        <v>42705</v>
      </c>
      <c r="G400" s="106"/>
      <c r="H400" s="96">
        <v>855320.82</v>
      </c>
    </row>
    <row r="401" spans="1:8" x14ac:dyDescent="0.25">
      <c r="A401" s="2"/>
      <c r="B401" s="104"/>
      <c r="C401" s="120"/>
      <c r="D401" s="114" t="s">
        <v>103</v>
      </c>
      <c r="E401" s="104" t="s">
        <v>864</v>
      </c>
      <c r="F401" s="105">
        <v>42802</v>
      </c>
      <c r="G401" s="106" t="s">
        <v>2325</v>
      </c>
      <c r="H401" s="96">
        <v>349894.37</v>
      </c>
    </row>
    <row r="402" spans="1:8" x14ac:dyDescent="0.25">
      <c r="A402" s="2"/>
      <c r="B402" s="104"/>
      <c r="C402" s="120"/>
      <c r="D402" s="114" t="s">
        <v>221</v>
      </c>
      <c r="E402" s="104" t="s">
        <v>863</v>
      </c>
      <c r="F402" s="105">
        <v>42810</v>
      </c>
      <c r="G402" s="106" t="s">
        <v>2456</v>
      </c>
      <c r="H402" s="96">
        <v>168064.38</v>
      </c>
    </row>
    <row r="403" spans="1:8" x14ac:dyDescent="0.25">
      <c r="A403" s="2"/>
      <c r="B403" s="104"/>
      <c r="C403" s="120"/>
      <c r="D403" s="114" t="s">
        <v>55</v>
      </c>
      <c r="E403" s="104" t="s">
        <v>863</v>
      </c>
      <c r="F403" s="105">
        <v>42810</v>
      </c>
      <c r="G403" s="106" t="s">
        <v>2457</v>
      </c>
      <c r="H403" s="96">
        <v>657317.11</v>
      </c>
    </row>
    <row r="404" spans="1:8" x14ac:dyDescent="0.25">
      <c r="A404" s="2"/>
      <c r="B404" s="104"/>
      <c r="C404" s="120"/>
      <c r="D404" s="114" t="s">
        <v>215</v>
      </c>
      <c r="E404" s="104" t="s">
        <v>866</v>
      </c>
      <c r="F404" s="105">
        <v>42811</v>
      </c>
      <c r="G404" s="106" t="s">
        <v>2528</v>
      </c>
      <c r="H404" s="96">
        <v>709294.63</v>
      </c>
    </row>
    <row r="405" spans="1:8" x14ac:dyDescent="0.25">
      <c r="A405" s="104" t="s">
        <v>1766</v>
      </c>
      <c r="H405" s="96">
        <v>2739891.31</v>
      </c>
    </row>
    <row r="406" spans="1:8" x14ac:dyDescent="0.25">
      <c r="A406" s="104"/>
      <c r="H406" s="96"/>
    </row>
    <row r="407" spans="1:8" x14ac:dyDescent="0.25">
      <c r="A407" s="104" t="s">
        <v>1638</v>
      </c>
      <c r="H407" s="96"/>
    </row>
    <row r="408" spans="1:8" ht="45" x14ac:dyDescent="0.25">
      <c r="A408" s="107" t="s">
        <v>1640</v>
      </c>
      <c r="B408" s="107"/>
      <c r="C408" s="107"/>
      <c r="D408" s="107"/>
      <c r="E408" s="107"/>
      <c r="F408" s="107"/>
      <c r="G408" s="107"/>
      <c r="H408" s="96"/>
    </row>
    <row r="409" spans="1:8" x14ac:dyDescent="0.25">
      <c r="A409" s="115" t="s">
        <v>1639</v>
      </c>
      <c r="B409" s="104" t="s">
        <v>1708</v>
      </c>
      <c r="C409" s="120">
        <v>1</v>
      </c>
      <c r="D409" s="104" t="s">
        <v>1801</v>
      </c>
      <c r="H409" s="96"/>
    </row>
    <row r="410" spans="1:8" x14ac:dyDescent="0.25">
      <c r="A410" s="2"/>
      <c r="B410" s="104"/>
      <c r="C410" s="120"/>
      <c r="D410" s="114" t="s">
        <v>23</v>
      </c>
      <c r="E410" s="104" t="s">
        <v>863</v>
      </c>
      <c r="F410" s="105">
        <v>42691</v>
      </c>
      <c r="G410" s="106"/>
      <c r="H410" s="96">
        <v>782731.18</v>
      </c>
    </row>
    <row r="411" spans="1:8" x14ac:dyDescent="0.25">
      <c r="A411" s="2"/>
      <c r="B411" s="104"/>
      <c r="C411" s="120"/>
      <c r="D411" s="114" t="s">
        <v>103</v>
      </c>
      <c r="E411" s="104" t="s">
        <v>863</v>
      </c>
      <c r="F411" s="105">
        <v>42758</v>
      </c>
      <c r="G411" s="106" t="s">
        <v>1977</v>
      </c>
      <c r="H411" s="96">
        <v>126062.18</v>
      </c>
    </row>
    <row r="412" spans="1:8" x14ac:dyDescent="0.25">
      <c r="A412" s="2"/>
      <c r="B412" s="104"/>
      <c r="C412" s="120"/>
      <c r="D412" s="114" t="s">
        <v>221</v>
      </c>
      <c r="E412" s="104" t="s">
        <v>863</v>
      </c>
      <c r="F412" s="105">
        <v>42804</v>
      </c>
      <c r="G412" s="106" t="s">
        <v>2256</v>
      </c>
      <c r="H412" s="96">
        <v>862190.24</v>
      </c>
    </row>
    <row r="413" spans="1:8" x14ac:dyDescent="0.25">
      <c r="A413" s="2"/>
      <c r="B413" s="104"/>
      <c r="C413" s="120"/>
      <c r="D413" s="114" t="s">
        <v>55</v>
      </c>
      <c r="E413" s="104" t="s">
        <v>863</v>
      </c>
      <c r="F413" s="105">
        <v>42804</v>
      </c>
      <c r="G413" s="106" t="s">
        <v>2257</v>
      </c>
      <c r="H413" s="96">
        <v>826701.19</v>
      </c>
    </row>
    <row r="414" spans="1:8" x14ac:dyDescent="0.25">
      <c r="A414" s="104" t="s">
        <v>1709</v>
      </c>
      <c r="H414" s="96">
        <v>2597684.79</v>
      </c>
    </row>
    <row r="415" spans="1:8" x14ac:dyDescent="0.25">
      <c r="A415" s="104"/>
      <c r="H415" s="96"/>
    </row>
    <row r="416" spans="1:8" x14ac:dyDescent="0.25">
      <c r="A416" s="104" t="s">
        <v>1442</v>
      </c>
      <c r="H416" s="96"/>
    </row>
    <row r="417" spans="1:8" ht="45" x14ac:dyDescent="0.25">
      <c r="A417" s="107" t="s">
        <v>1441</v>
      </c>
      <c r="B417" s="107"/>
      <c r="C417" s="107"/>
      <c r="D417" s="107"/>
      <c r="E417" s="107"/>
      <c r="F417" s="107"/>
      <c r="G417" s="107"/>
      <c r="H417" s="96"/>
    </row>
    <row r="418" spans="1:8" ht="30" x14ac:dyDescent="0.25">
      <c r="A418" s="115" t="s">
        <v>1440</v>
      </c>
      <c r="B418" s="104" t="s">
        <v>1597</v>
      </c>
      <c r="C418" s="120">
        <v>1</v>
      </c>
      <c r="D418" s="104" t="s">
        <v>1324</v>
      </c>
      <c r="H418" s="96"/>
    </row>
    <row r="419" spans="1:8" x14ac:dyDescent="0.25">
      <c r="A419" s="2"/>
      <c r="B419" s="104"/>
      <c r="C419" s="120"/>
      <c r="D419" s="114" t="s">
        <v>23</v>
      </c>
      <c r="E419" s="104" t="s">
        <v>863</v>
      </c>
      <c r="F419" s="105">
        <v>42683</v>
      </c>
      <c r="G419" s="106"/>
      <c r="H419" s="96">
        <v>590694.77</v>
      </c>
    </row>
    <row r="420" spans="1:8" x14ac:dyDescent="0.25">
      <c r="A420" s="2"/>
      <c r="B420" s="104"/>
      <c r="C420" s="120"/>
      <c r="D420" s="114" t="s">
        <v>103</v>
      </c>
      <c r="E420" s="104" t="s">
        <v>863</v>
      </c>
      <c r="F420" s="105">
        <v>42794</v>
      </c>
      <c r="G420" s="106" t="s">
        <v>2311</v>
      </c>
      <c r="H420" s="96">
        <v>97480.77</v>
      </c>
    </row>
    <row r="421" spans="1:8" x14ac:dyDescent="0.25">
      <c r="A421" s="2"/>
      <c r="B421" s="104"/>
      <c r="C421" s="120"/>
      <c r="D421" s="114" t="s">
        <v>221</v>
      </c>
      <c r="E421" s="104" t="s">
        <v>863</v>
      </c>
      <c r="F421" s="105">
        <v>42794</v>
      </c>
      <c r="G421" s="106" t="s">
        <v>2372</v>
      </c>
      <c r="H421" s="96">
        <v>103126.09</v>
      </c>
    </row>
    <row r="422" spans="1:8" x14ac:dyDescent="0.25">
      <c r="A422" s="2"/>
      <c r="B422" s="104"/>
      <c r="C422" s="120"/>
      <c r="D422" s="114" t="s">
        <v>55</v>
      </c>
      <c r="E422" s="104" t="s">
        <v>863</v>
      </c>
      <c r="F422" s="105">
        <v>42794</v>
      </c>
      <c r="G422" s="106" t="s">
        <v>2373</v>
      </c>
      <c r="H422" s="96">
        <v>1006137.06</v>
      </c>
    </row>
    <row r="423" spans="1:8" x14ac:dyDescent="0.25">
      <c r="A423" s="2"/>
      <c r="B423" s="104"/>
      <c r="C423" s="120"/>
      <c r="D423" s="114" t="s">
        <v>215</v>
      </c>
      <c r="E423" s="104" t="s">
        <v>863</v>
      </c>
      <c r="F423" s="105">
        <v>42794</v>
      </c>
      <c r="G423" s="106" t="s">
        <v>2374</v>
      </c>
      <c r="H423" s="96">
        <v>163056.87</v>
      </c>
    </row>
    <row r="424" spans="1:8" x14ac:dyDescent="0.25">
      <c r="A424" s="104" t="s">
        <v>1598</v>
      </c>
      <c r="H424" s="96">
        <v>1960495.56</v>
      </c>
    </row>
    <row r="425" spans="1:8" x14ac:dyDescent="0.25">
      <c r="A425" s="104"/>
      <c r="H425" s="96"/>
    </row>
    <row r="426" spans="1:8" x14ac:dyDescent="0.25">
      <c r="A426" s="104" t="s">
        <v>1740</v>
      </c>
      <c r="H426" s="96"/>
    </row>
    <row r="427" spans="1:8" ht="45" x14ac:dyDescent="0.25">
      <c r="A427" s="107" t="s">
        <v>1741</v>
      </c>
      <c r="B427" s="107"/>
      <c r="C427" s="107"/>
      <c r="D427" s="107"/>
      <c r="E427" s="107"/>
      <c r="F427" s="107"/>
      <c r="G427" s="107"/>
      <c r="H427" s="96"/>
    </row>
    <row r="428" spans="1:8" ht="30" x14ac:dyDescent="0.25">
      <c r="A428" s="115" t="s">
        <v>1742</v>
      </c>
      <c r="B428" s="104" t="s">
        <v>1767</v>
      </c>
      <c r="C428" s="120">
        <v>7.0000000000000007E-2</v>
      </c>
      <c r="D428" s="104" t="s">
        <v>2458</v>
      </c>
      <c r="H428" s="96"/>
    </row>
    <row r="429" spans="1:8" x14ac:dyDescent="0.25">
      <c r="A429" s="2"/>
      <c r="B429" s="104"/>
      <c r="C429" s="120"/>
      <c r="D429" s="114" t="s">
        <v>23</v>
      </c>
      <c r="E429" s="104" t="s">
        <v>863</v>
      </c>
      <c r="F429" s="105">
        <v>42705</v>
      </c>
      <c r="G429" s="106"/>
      <c r="H429" s="96">
        <v>1703853.3</v>
      </c>
    </row>
    <row r="430" spans="1:8" x14ac:dyDescent="0.25">
      <c r="A430" s="2"/>
      <c r="B430" s="104"/>
      <c r="C430" s="120"/>
      <c r="D430" s="114" t="s">
        <v>103</v>
      </c>
      <c r="E430" s="104" t="s">
        <v>863</v>
      </c>
      <c r="F430" s="105">
        <v>42810</v>
      </c>
      <c r="G430" s="106" t="s">
        <v>2459</v>
      </c>
      <c r="H430" s="96">
        <v>21786.35</v>
      </c>
    </row>
    <row r="431" spans="1:8" x14ac:dyDescent="0.25">
      <c r="A431" s="2"/>
      <c r="B431" s="104"/>
      <c r="C431" s="120"/>
      <c r="D431" s="114" t="s">
        <v>221</v>
      </c>
      <c r="E431" s="104" t="s">
        <v>863</v>
      </c>
      <c r="F431" s="105">
        <v>42810</v>
      </c>
      <c r="G431" s="106" t="s">
        <v>2460</v>
      </c>
      <c r="H431" s="96">
        <v>244917.95</v>
      </c>
    </row>
    <row r="432" spans="1:8" x14ac:dyDescent="0.25">
      <c r="A432" s="104" t="s">
        <v>1768</v>
      </c>
      <c r="H432" s="96">
        <v>1970557.6</v>
      </c>
    </row>
    <row r="433" spans="1:8" x14ac:dyDescent="0.25">
      <c r="A433" s="104"/>
      <c r="H433" s="96"/>
    </row>
    <row r="434" spans="1:8" x14ac:dyDescent="0.25">
      <c r="A434" s="104" t="s">
        <v>1809</v>
      </c>
      <c r="H434" s="96"/>
    </row>
    <row r="435" spans="1:8" ht="45" x14ac:dyDescent="0.25">
      <c r="A435" s="107" t="s">
        <v>1811</v>
      </c>
      <c r="B435" s="107"/>
      <c r="C435" s="107"/>
      <c r="D435" s="107"/>
      <c r="E435" s="107"/>
      <c r="F435" s="107"/>
      <c r="G435" s="107"/>
      <c r="H435" s="96"/>
    </row>
    <row r="436" spans="1:8" ht="30" x14ac:dyDescent="0.25">
      <c r="A436" s="115" t="s">
        <v>1810</v>
      </c>
      <c r="B436" s="104" t="s">
        <v>1837</v>
      </c>
      <c r="C436" s="120">
        <v>0.21</v>
      </c>
      <c r="D436" s="104" t="s">
        <v>2461</v>
      </c>
      <c r="H436" s="96"/>
    </row>
    <row r="437" spans="1:8" x14ac:dyDescent="0.25">
      <c r="A437" s="2"/>
      <c r="B437" s="104"/>
      <c r="C437" s="120"/>
      <c r="D437" s="114" t="s">
        <v>23</v>
      </c>
      <c r="E437" s="104" t="s">
        <v>863</v>
      </c>
      <c r="F437" s="105">
        <v>42699</v>
      </c>
      <c r="G437" s="106"/>
      <c r="H437" s="96">
        <v>1006221.44</v>
      </c>
    </row>
    <row r="438" spans="1:8" x14ac:dyDescent="0.25">
      <c r="A438" s="2"/>
      <c r="B438" s="104"/>
      <c r="C438" s="120"/>
      <c r="D438" s="114" t="s">
        <v>103</v>
      </c>
      <c r="E438" s="104" t="s">
        <v>863</v>
      </c>
      <c r="F438" s="105">
        <v>42810</v>
      </c>
      <c r="G438" s="106" t="s">
        <v>1412</v>
      </c>
      <c r="H438" s="96">
        <v>62919.94</v>
      </c>
    </row>
    <row r="439" spans="1:8" x14ac:dyDescent="0.25">
      <c r="A439" s="2"/>
      <c r="B439" s="104"/>
      <c r="C439" s="120"/>
      <c r="D439" s="114" t="s">
        <v>221</v>
      </c>
      <c r="E439" s="104" t="s">
        <v>863</v>
      </c>
      <c r="F439" s="105">
        <v>42810</v>
      </c>
      <c r="G439" s="106" t="s">
        <v>2462</v>
      </c>
      <c r="H439" s="96">
        <v>424005.66</v>
      </c>
    </row>
    <row r="440" spans="1:8" x14ac:dyDescent="0.25">
      <c r="A440" s="104" t="s">
        <v>1838</v>
      </c>
      <c r="H440" s="96">
        <v>1493147.04</v>
      </c>
    </row>
    <row r="441" spans="1:8" x14ac:dyDescent="0.25">
      <c r="A441" s="104"/>
      <c r="H441" s="96"/>
    </row>
    <row r="442" spans="1:8" x14ac:dyDescent="0.25">
      <c r="A442" s="104" t="s">
        <v>1819</v>
      </c>
      <c r="H442" s="96"/>
    </row>
    <row r="443" spans="1:8" ht="45" x14ac:dyDescent="0.25">
      <c r="A443" s="107" t="s">
        <v>1818</v>
      </c>
      <c r="B443" s="107"/>
      <c r="C443" s="107"/>
      <c r="D443" s="107"/>
      <c r="E443" s="107"/>
      <c r="F443" s="107"/>
      <c r="G443" s="107"/>
      <c r="H443" s="96"/>
    </row>
    <row r="444" spans="1:8" ht="30" x14ac:dyDescent="0.25">
      <c r="A444" s="115" t="s">
        <v>1820</v>
      </c>
      <c r="B444" s="104" t="s">
        <v>1839</v>
      </c>
      <c r="C444" s="120">
        <v>0.26</v>
      </c>
      <c r="D444" s="104" t="s">
        <v>2529</v>
      </c>
      <c r="H444" s="96"/>
    </row>
    <row r="445" spans="1:8" x14ac:dyDescent="0.25">
      <c r="A445" s="2"/>
      <c r="B445" s="104"/>
      <c r="C445" s="120"/>
      <c r="D445" s="114" t="s">
        <v>23</v>
      </c>
      <c r="E445" s="104" t="s">
        <v>863</v>
      </c>
      <c r="F445" s="105">
        <v>42705</v>
      </c>
      <c r="G445" s="106"/>
      <c r="H445" s="96">
        <v>825701.2</v>
      </c>
    </row>
    <row r="446" spans="1:8" x14ac:dyDescent="0.25">
      <c r="A446" s="2"/>
      <c r="B446" s="104"/>
      <c r="C446" s="120"/>
      <c r="D446" s="114" t="s">
        <v>103</v>
      </c>
      <c r="E446" s="104" t="s">
        <v>866</v>
      </c>
      <c r="F446" s="105">
        <v>42810</v>
      </c>
      <c r="G446" s="106" t="s">
        <v>2530</v>
      </c>
      <c r="H446" s="96">
        <v>97632.24</v>
      </c>
    </row>
    <row r="447" spans="1:8" x14ac:dyDescent="0.25">
      <c r="A447" s="2"/>
      <c r="B447" s="104"/>
      <c r="C447" s="120"/>
      <c r="D447" s="114" t="s">
        <v>221</v>
      </c>
      <c r="E447" s="104" t="s">
        <v>866</v>
      </c>
      <c r="F447" s="105">
        <v>42811</v>
      </c>
      <c r="G447" s="106" t="s">
        <v>2531</v>
      </c>
      <c r="H447" s="96">
        <v>391574.53</v>
      </c>
    </row>
    <row r="448" spans="1:8" x14ac:dyDescent="0.25">
      <c r="A448" s="104" t="s">
        <v>1840</v>
      </c>
      <c r="H448" s="96">
        <v>1314907.97</v>
      </c>
    </row>
    <row r="449" spans="1:8" x14ac:dyDescent="0.25">
      <c r="A449" s="104"/>
      <c r="H449" s="96"/>
    </row>
    <row r="450" spans="1:8" x14ac:dyDescent="0.25">
      <c r="A450" s="104" t="s">
        <v>1620</v>
      </c>
      <c r="H450" s="96"/>
    </row>
    <row r="451" spans="1:8" ht="30" x14ac:dyDescent="0.25">
      <c r="A451" s="107" t="s">
        <v>1621</v>
      </c>
      <c r="B451" s="107"/>
      <c r="C451" s="107"/>
      <c r="D451" s="107"/>
      <c r="E451" s="107"/>
      <c r="F451" s="107"/>
      <c r="G451" s="107"/>
      <c r="H451" s="96"/>
    </row>
    <row r="452" spans="1:8" x14ac:dyDescent="0.25">
      <c r="A452" s="115" t="s">
        <v>1619</v>
      </c>
      <c r="B452" s="104" t="s">
        <v>1710</v>
      </c>
      <c r="C452" s="120">
        <v>0.94</v>
      </c>
      <c r="D452" s="104" t="s">
        <v>2326</v>
      </c>
      <c r="H452" s="96"/>
    </row>
    <row r="453" spans="1:8" x14ac:dyDescent="0.25">
      <c r="A453" s="2"/>
      <c r="B453" s="104"/>
      <c r="C453" s="120"/>
      <c r="D453" s="114" t="s">
        <v>23</v>
      </c>
      <c r="E453" s="104" t="s">
        <v>863</v>
      </c>
      <c r="F453" s="105">
        <v>42689</v>
      </c>
      <c r="G453" s="106"/>
      <c r="H453" s="96">
        <v>1107177.44</v>
      </c>
    </row>
    <row r="454" spans="1:8" x14ac:dyDescent="0.25">
      <c r="A454" s="2"/>
      <c r="B454" s="104"/>
      <c r="C454" s="120"/>
      <c r="D454" s="114" t="s">
        <v>103</v>
      </c>
      <c r="E454" s="104" t="s">
        <v>863</v>
      </c>
      <c r="F454" s="105">
        <v>42804</v>
      </c>
      <c r="G454" s="106" t="s">
        <v>2258</v>
      </c>
      <c r="H454" s="96">
        <v>534472.12</v>
      </c>
    </row>
    <row r="455" spans="1:8" x14ac:dyDescent="0.25">
      <c r="A455" s="2"/>
      <c r="B455" s="104"/>
      <c r="C455" s="120"/>
      <c r="D455" s="114" t="s">
        <v>221</v>
      </c>
      <c r="E455" s="104" t="s">
        <v>863</v>
      </c>
      <c r="F455" s="105">
        <v>42804</v>
      </c>
      <c r="G455" s="106" t="s">
        <v>2327</v>
      </c>
      <c r="H455" s="96">
        <v>1053304.77</v>
      </c>
    </row>
    <row r="456" spans="1:8" x14ac:dyDescent="0.25">
      <c r="A456" s="2"/>
      <c r="B456" s="104"/>
      <c r="C456" s="120"/>
      <c r="D456" s="114" t="s">
        <v>55</v>
      </c>
      <c r="E456" s="104" t="s">
        <v>863</v>
      </c>
      <c r="F456" s="105">
        <v>42804</v>
      </c>
      <c r="G456" s="106" t="s">
        <v>2328</v>
      </c>
      <c r="H456" s="96">
        <v>834184.5</v>
      </c>
    </row>
    <row r="457" spans="1:8" x14ac:dyDescent="0.25">
      <c r="A457" s="104" t="s">
        <v>1711</v>
      </c>
      <c r="H457" s="96">
        <v>3529138.83</v>
      </c>
    </row>
    <row r="458" spans="1:8" x14ac:dyDescent="0.25">
      <c r="A458" s="104"/>
      <c r="H458" s="96"/>
    </row>
    <row r="459" spans="1:8" x14ac:dyDescent="0.25">
      <c r="A459" s="104" t="s">
        <v>1656</v>
      </c>
      <c r="H459" s="96"/>
    </row>
    <row r="460" spans="1:8" ht="45" x14ac:dyDescent="0.25">
      <c r="A460" s="107" t="s">
        <v>1658</v>
      </c>
      <c r="B460" s="107"/>
      <c r="C460" s="107"/>
      <c r="D460" s="107"/>
      <c r="E460" s="107"/>
      <c r="F460" s="107"/>
      <c r="G460" s="107"/>
      <c r="H460" s="96"/>
    </row>
    <row r="461" spans="1:8" x14ac:dyDescent="0.25">
      <c r="A461" s="115" t="s">
        <v>1659</v>
      </c>
      <c r="B461" s="104" t="s">
        <v>1712</v>
      </c>
      <c r="C461" s="120">
        <v>0.37</v>
      </c>
      <c r="D461" s="104" t="s">
        <v>2432</v>
      </c>
      <c r="H461" s="96"/>
    </row>
    <row r="462" spans="1:8" x14ac:dyDescent="0.25">
      <c r="A462" s="2"/>
      <c r="B462" s="104"/>
      <c r="C462" s="120"/>
      <c r="D462" s="114" t="s">
        <v>23</v>
      </c>
      <c r="E462" s="104" t="s">
        <v>863</v>
      </c>
      <c r="F462" s="105">
        <v>42692</v>
      </c>
      <c r="G462" s="106"/>
      <c r="H462" s="96">
        <v>449909.8</v>
      </c>
    </row>
    <row r="463" spans="1:8" x14ac:dyDescent="0.25">
      <c r="A463" s="2"/>
      <c r="B463" s="104"/>
      <c r="C463" s="120"/>
      <c r="D463" s="114" t="s">
        <v>103</v>
      </c>
      <c r="E463" s="104" t="s">
        <v>865</v>
      </c>
      <c r="F463" s="105">
        <v>42810</v>
      </c>
      <c r="G463" s="106" t="s">
        <v>2433</v>
      </c>
      <c r="H463" s="96">
        <v>113928.82</v>
      </c>
    </row>
    <row r="464" spans="1:8" x14ac:dyDescent="0.25">
      <c r="A464" s="2"/>
      <c r="B464" s="104"/>
      <c r="C464" s="120"/>
      <c r="D464" s="114" t="s">
        <v>221</v>
      </c>
      <c r="E464" s="104" t="s">
        <v>865</v>
      </c>
      <c r="F464" s="105">
        <v>42810</v>
      </c>
      <c r="G464" s="106" t="s">
        <v>1058</v>
      </c>
      <c r="H464" s="96">
        <v>105202.64</v>
      </c>
    </row>
    <row r="465" spans="1:8" x14ac:dyDescent="0.25">
      <c r="A465" s="2"/>
      <c r="B465" s="104"/>
      <c r="C465" s="120"/>
      <c r="D465" s="114" t="s">
        <v>55</v>
      </c>
      <c r="E465" s="104" t="s">
        <v>865</v>
      </c>
      <c r="F465" s="105">
        <v>42810</v>
      </c>
      <c r="G465" s="106" t="s">
        <v>2434</v>
      </c>
      <c r="H465" s="96">
        <v>168015.28</v>
      </c>
    </row>
    <row r="466" spans="1:8" x14ac:dyDescent="0.25">
      <c r="A466" s="104" t="s">
        <v>1713</v>
      </c>
      <c r="H466" s="96">
        <v>837056.54</v>
      </c>
    </row>
    <row r="467" spans="1:8" x14ac:dyDescent="0.25">
      <c r="A467" s="104"/>
      <c r="H467" s="96"/>
    </row>
    <row r="468" spans="1:8" x14ac:dyDescent="0.25">
      <c r="A468" s="104" t="s">
        <v>1670</v>
      </c>
      <c r="H468" s="96"/>
    </row>
    <row r="469" spans="1:8" ht="45" x14ac:dyDescent="0.25">
      <c r="A469" s="107" t="s">
        <v>1669</v>
      </c>
      <c r="B469" s="107"/>
      <c r="C469" s="107"/>
      <c r="D469" s="107"/>
      <c r="E469" s="107"/>
      <c r="F469" s="107"/>
      <c r="G469" s="107"/>
      <c r="H469" s="96"/>
    </row>
    <row r="470" spans="1:8" x14ac:dyDescent="0.25">
      <c r="A470" s="115" t="s">
        <v>1671</v>
      </c>
      <c r="B470" s="104" t="s">
        <v>1714</v>
      </c>
      <c r="C470" s="120">
        <v>0.12</v>
      </c>
      <c r="D470" s="104" t="s">
        <v>2131</v>
      </c>
      <c r="H470" s="96"/>
    </row>
    <row r="471" spans="1:8" x14ac:dyDescent="0.25">
      <c r="A471" s="2"/>
      <c r="B471" s="104"/>
      <c r="C471" s="120"/>
      <c r="D471" s="114" t="s">
        <v>23</v>
      </c>
      <c r="E471" s="104" t="s">
        <v>863</v>
      </c>
      <c r="F471" s="105">
        <v>42704</v>
      </c>
      <c r="G471" s="106"/>
      <c r="H471" s="96">
        <v>1138742.6200000001</v>
      </c>
    </row>
    <row r="472" spans="1:8" x14ac:dyDescent="0.25">
      <c r="A472" s="2"/>
      <c r="B472" s="104"/>
      <c r="C472" s="120"/>
      <c r="D472" s="114" t="s">
        <v>103</v>
      </c>
      <c r="E472" s="104" t="s">
        <v>863</v>
      </c>
      <c r="F472" s="105">
        <v>42759</v>
      </c>
      <c r="G472" s="106" t="s">
        <v>2132</v>
      </c>
      <c r="H472" s="96">
        <v>327394.90000000002</v>
      </c>
    </row>
    <row r="473" spans="1:8" x14ac:dyDescent="0.25">
      <c r="A473" s="104" t="s">
        <v>1715</v>
      </c>
      <c r="H473" s="96">
        <v>1466137.52</v>
      </c>
    </row>
    <row r="474" spans="1:8" x14ac:dyDescent="0.25">
      <c r="A474" s="104"/>
      <c r="H474" s="96"/>
    </row>
    <row r="475" spans="1:8" x14ac:dyDescent="0.25">
      <c r="A475" s="104" t="s">
        <v>1770</v>
      </c>
      <c r="H475" s="96"/>
    </row>
    <row r="476" spans="1:8" ht="45" x14ac:dyDescent="0.25">
      <c r="A476" s="107" t="s">
        <v>1772</v>
      </c>
      <c r="B476" s="107"/>
      <c r="C476" s="107"/>
      <c r="D476" s="107"/>
      <c r="E476" s="107"/>
      <c r="F476" s="107"/>
      <c r="G476" s="107"/>
      <c r="H476" s="96"/>
    </row>
    <row r="477" spans="1:8" ht="30" x14ac:dyDescent="0.25">
      <c r="A477" s="115" t="s">
        <v>1771</v>
      </c>
      <c r="B477" s="104" t="s">
        <v>1803</v>
      </c>
      <c r="C477" s="120">
        <v>0.85</v>
      </c>
      <c r="D477" s="104" t="s">
        <v>2519</v>
      </c>
      <c r="H477" s="96"/>
    </row>
    <row r="478" spans="1:8" x14ac:dyDescent="0.25">
      <c r="A478" s="2"/>
      <c r="B478" s="104"/>
      <c r="C478" s="120"/>
      <c r="D478" s="114" t="s">
        <v>23</v>
      </c>
      <c r="E478" s="104" t="s">
        <v>863</v>
      </c>
      <c r="F478" s="105">
        <v>42699</v>
      </c>
      <c r="G478" s="106"/>
      <c r="H478" s="96">
        <v>1549584.03</v>
      </c>
    </row>
    <row r="479" spans="1:8" x14ac:dyDescent="0.25">
      <c r="A479" s="2"/>
      <c r="B479" s="104"/>
      <c r="C479" s="120"/>
      <c r="D479" s="114" t="s">
        <v>103</v>
      </c>
      <c r="E479" s="104" t="s">
        <v>864</v>
      </c>
      <c r="F479" s="105">
        <v>42802</v>
      </c>
      <c r="G479" s="106" t="s">
        <v>1503</v>
      </c>
      <c r="H479" s="96">
        <v>306152.98</v>
      </c>
    </row>
    <row r="480" spans="1:8" x14ac:dyDescent="0.25">
      <c r="A480" s="2"/>
      <c r="B480" s="104"/>
      <c r="C480" s="120"/>
      <c r="D480" s="114" t="s">
        <v>221</v>
      </c>
      <c r="E480" s="104" t="s">
        <v>863</v>
      </c>
      <c r="F480" s="105">
        <v>42804</v>
      </c>
      <c r="G480" s="106" t="s">
        <v>2329</v>
      </c>
      <c r="H480" s="96">
        <v>262727.09000000003</v>
      </c>
    </row>
    <row r="481" spans="1:8" x14ac:dyDescent="0.25">
      <c r="A481" s="2"/>
      <c r="B481" s="104"/>
      <c r="C481" s="120"/>
      <c r="D481" s="114" t="s">
        <v>55</v>
      </c>
      <c r="E481" s="104" t="s">
        <v>863</v>
      </c>
      <c r="F481" s="105">
        <v>42804</v>
      </c>
      <c r="G481" s="106" t="s">
        <v>2330</v>
      </c>
      <c r="H481" s="96">
        <v>876185.34</v>
      </c>
    </row>
    <row r="482" spans="1:8" x14ac:dyDescent="0.25">
      <c r="A482" s="2"/>
      <c r="B482" s="104"/>
      <c r="C482" s="120"/>
      <c r="D482" s="114" t="s">
        <v>215</v>
      </c>
      <c r="E482" s="104" t="s">
        <v>866</v>
      </c>
      <c r="F482" s="105">
        <v>42810</v>
      </c>
      <c r="G482" s="106" t="s">
        <v>2520</v>
      </c>
      <c r="H482" s="96">
        <v>383339.86</v>
      </c>
    </row>
    <row r="483" spans="1:8" x14ac:dyDescent="0.25">
      <c r="A483" s="2"/>
      <c r="B483" s="104"/>
      <c r="C483" s="120"/>
      <c r="D483" s="114" t="s">
        <v>15</v>
      </c>
      <c r="E483" s="104" t="s">
        <v>866</v>
      </c>
      <c r="F483" s="105">
        <v>42810</v>
      </c>
      <c r="G483" s="106" t="s">
        <v>2521</v>
      </c>
      <c r="H483" s="96">
        <v>1241076.5</v>
      </c>
    </row>
    <row r="484" spans="1:8" x14ac:dyDescent="0.25">
      <c r="A484" s="104" t="s">
        <v>1804</v>
      </c>
      <c r="H484" s="96">
        <v>4619065.8</v>
      </c>
    </row>
    <row r="485" spans="1:8" x14ac:dyDescent="0.25">
      <c r="A485" s="104"/>
      <c r="H485" s="96"/>
    </row>
    <row r="486" spans="1:8" x14ac:dyDescent="0.25">
      <c r="A486" s="104" t="s">
        <v>1778</v>
      </c>
      <c r="H486" s="96"/>
    </row>
    <row r="487" spans="1:8" ht="75" x14ac:dyDescent="0.25">
      <c r="A487" s="107" t="s">
        <v>1779</v>
      </c>
      <c r="B487" s="107"/>
      <c r="C487" s="107"/>
      <c r="D487" s="107"/>
      <c r="E487" s="107"/>
      <c r="F487" s="107"/>
      <c r="G487" s="107"/>
      <c r="H487" s="96"/>
    </row>
    <row r="488" spans="1:8" x14ac:dyDescent="0.25">
      <c r="A488" s="115" t="s">
        <v>898</v>
      </c>
      <c r="B488" s="104" t="s">
        <v>1805</v>
      </c>
      <c r="C488" s="120">
        <v>0.33</v>
      </c>
      <c r="D488" s="104" t="s">
        <v>2498</v>
      </c>
      <c r="H488" s="96"/>
    </row>
    <row r="489" spans="1:8" x14ac:dyDescent="0.25">
      <c r="A489" s="2"/>
      <c r="B489" s="104"/>
      <c r="C489" s="120"/>
      <c r="D489" s="114" t="s">
        <v>23</v>
      </c>
      <c r="E489" s="104" t="s">
        <v>863</v>
      </c>
      <c r="F489" s="105">
        <v>42710</v>
      </c>
      <c r="G489" s="106"/>
      <c r="H489" s="96">
        <v>564432.41</v>
      </c>
    </row>
    <row r="490" spans="1:8" x14ac:dyDescent="0.25">
      <c r="A490" s="2"/>
      <c r="B490" s="104"/>
      <c r="C490" s="120"/>
      <c r="D490" s="114" t="s">
        <v>103</v>
      </c>
      <c r="E490" s="104" t="s">
        <v>866</v>
      </c>
      <c r="F490" s="105">
        <v>42810</v>
      </c>
      <c r="G490" s="106" t="s">
        <v>2499</v>
      </c>
      <c r="H490" s="96">
        <v>430361.02</v>
      </c>
    </row>
    <row r="491" spans="1:8" x14ac:dyDescent="0.25">
      <c r="A491" s="104" t="s">
        <v>1806</v>
      </c>
      <c r="H491" s="96">
        <v>994793.43</v>
      </c>
    </row>
    <row r="492" spans="1:8" x14ac:dyDescent="0.25">
      <c r="A492" s="104"/>
      <c r="H492" s="96"/>
    </row>
    <row r="493" spans="1:8" x14ac:dyDescent="0.25">
      <c r="A493" s="104" t="s">
        <v>2236</v>
      </c>
      <c r="H493" s="96"/>
    </row>
    <row r="494" spans="1:8" ht="45" x14ac:dyDescent="0.25">
      <c r="A494" s="107" t="s">
        <v>2198</v>
      </c>
      <c r="B494" s="107"/>
      <c r="C494" s="107"/>
      <c r="D494" s="107"/>
      <c r="E494" s="107"/>
      <c r="F494" s="107"/>
      <c r="G494" s="107"/>
      <c r="H494" s="96"/>
    </row>
    <row r="495" spans="1:8" x14ac:dyDescent="0.25">
      <c r="A495" s="115" t="s">
        <v>391</v>
      </c>
      <c r="B495" s="104" t="s">
        <v>2415</v>
      </c>
      <c r="C495" s="120">
        <v>0</v>
      </c>
      <c r="D495" s="104" t="s">
        <v>1278</v>
      </c>
      <c r="H495" s="96"/>
    </row>
    <row r="496" spans="1:8" x14ac:dyDescent="0.25">
      <c r="A496" s="2"/>
      <c r="B496" s="104"/>
      <c r="C496" s="120"/>
      <c r="D496" s="114" t="s">
        <v>23</v>
      </c>
      <c r="E496" s="104" t="s">
        <v>863</v>
      </c>
      <c r="F496" s="105">
        <v>42794</v>
      </c>
      <c r="G496" s="106"/>
      <c r="H496" s="96">
        <v>4860315.62</v>
      </c>
    </row>
    <row r="497" spans="1:8" x14ac:dyDescent="0.25">
      <c r="A497" s="104" t="s">
        <v>2416</v>
      </c>
      <c r="H497" s="96">
        <v>4860315.62</v>
      </c>
    </row>
    <row r="498" spans="1:8" x14ac:dyDescent="0.25">
      <c r="A498" s="104"/>
      <c r="H498" s="96"/>
    </row>
    <row r="499" spans="1:8" x14ac:dyDescent="0.25">
      <c r="A499" s="104" t="s">
        <v>2229</v>
      </c>
      <c r="H499" s="96"/>
    </row>
    <row r="500" spans="1:8" ht="45" x14ac:dyDescent="0.25">
      <c r="A500" s="107" t="s">
        <v>2207</v>
      </c>
      <c r="B500" s="107"/>
      <c r="C500" s="107"/>
      <c r="D500" s="107"/>
      <c r="E500" s="107"/>
      <c r="F500" s="107"/>
      <c r="G500" s="107"/>
      <c r="H500" s="96"/>
    </row>
    <row r="501" spans="1:8" x14ac:dyDescent="0.25">
      <c r="A501" s="115" t="s">
        <v>2230</v>
      </c>
      <c r="B501" s="104" t="s">
        <v>2355</v>
      </c>
      <c r="C501" s="120">
        <v>0</v>
      </c>
      <c r="D501" s="104" t="s">
        <v>1278</v>
      </c>
      <c r="H501" s="96"/>
    </row>
    <row r="502" spans="1:8" x14ac:dyDescent="0.25">
      <c r="A502" s="2"/>
      <c r="B502" s="104"/>
      <c r="C502" s="120"/>
      <c r="D502" s="114" t="s">
        <v>23</v>
      </c>
      <c r="E502" s="104" t="s">
        <v>863</v>
      </c>
      <c r="F502" s="105">
        <v>42795</v>
      </c>
      <c r="G502" s="106"/>
      <c r="H502" s="96">
        <v>3737088.94</v>
      </c>
    </row>
    <row r="503" spans="1:8" x14ac:dyDescent="0.25">
      <c r="A503" s="104" t="s">
        <v>2356</v>
      </c>
      <c r="H503" s="96">
        <v>3737088.94</v>
      </c>
    </row>
    <row r="504" spans="1:8" x14ac:dyDescent="0.25">
      <c r="A504" s="104"/>
      <c r="H504" s="96"/>
    </row>
    <row r="505" spans="1:8" x14ac:dyDescent="0.25">
      <c r="A505" s="104" t="s">
        <v>2233</v>
      </c>
      <c r="H505" s="96"/>
    </row>
    <row r="506" spans="1:8" ht="75" x14ac:dyDescent="0.25">
      <c r="A506" s="107" t="s">
        <v>2212</v>
      </c>
      <c r="B506" s="107"/>
      <c r="C506" s="107"/>
      <c r="D506" s="107"/>
      <c r="E506" s="107"/>
      <c r="F506" s="107"/>
      <c r="G506" s="107"/>
      <c r="H506" s="96"/>
    </row>
    <row r="507" spans="1:8" ht="30" x14ac:dyDescent="0.25">
      <c r="A507" s="115" t="s">
        <v>2234</v>
      </c>
      <c r="B507" s="104" t="s">
        <v>2357</v>
      </c>
      <c r="C507" s="120">
        <v>0</v>
      </c>
      <c r="D507" s="104" t="s">
        <v>1278</v>
      </c>
      <c r="H507" s="96"/>
    </row>
    <row r="508" spans="1:8" x14ac:dyDescent="0.25">
      <c r="A508" s="2"/>
      <c r="B508" s="104"/>
      <c r="C508" s="120"/>
      <c r="D508" s="114" t="s">
        <v>23</v>
      </c>
      <c r="E508" s="104" t="s">
        <v>863</v>
      </c>
      <c r="F508" s="105">
        <v>42795</v>
      </c>
      <c r="G508" s="106"/>
      <c r="H508" s="96">
        <v>2854969.52</v>
      </c>
    </row>
    <row r="509" spans="1:8" x14ac:dyDescent="0.25">
      <c r="A509" s="104" t="s">
        <v>2358</v>
      </c>
      <c r="H509" s="96">
        <v>2854969.52</v>
      </c>
    </row>
    <row r="510" spans="1:8" x14ac:dyDescent="0.25">
      <c r="A510" s="104"/>
      <c r="H510" s="96"/>
    </row>
    <row r="511" spans="1:8" x14ac:dyDescent="0.25">
      <c r="A511" s="104" t="s">
        <v>2224</v>
      </c>
      <c r="H511" s="96"/>
    </row>
    <row r="512" spans="1:8" ht="75" x14ac:dyDescent="0.25">
      <c r="A512" s="107" t="s">
        <v>2215</v>
      </c>
      <c r="B512" s="107"/>
      <c r="C512" s="107"/>
      <c r="D512" s="107"/>
      <c r="E512" s="107"/>
      <c r="F512" s="107"/>
      <c r="G512" s="107"/>
      <c r="H512" s="96"/>
    </row>
    <row r="513" spans="1:8" ht="30" x14ac:dyDescent="0.25">
      <c r="A513" s="115" t="s">
        <v>873</v>
      </c>
      <c r="B513" s="104" t="s">
        <v>2359</v>
      </c>
      <c r="C513" s="120">
        <v>0</v>
      </c>
      <c r="D513" s="104" t="s">
        <v>1278</v>
      </c>
      <c r="H513" s="96"/>
    </row>
    <row r="514" spans="1:8" x14ac:dyDescent="0.25">
      <c r="A514" s="2"/>
      <c r="B514" s="104"/>
      <c r="C514" s="120"/>
      <c r="D514" s="114" t="s">
        <v>23</v>
      </c>
      <c r="E514" s="104" t="s">
        <v>863</v>
      </c>
      <c r="F514" s="105">
        <v>42788</v>
      </c>
      <c r="G514" s="106"/>
      <c r="H514" s="96">
        <v>8445100.7599999998</v>
      </c>
    </row>
    <row r="515" spans="1:8" x14ac:dyDescent="0.25">
      <c r="A515" s="104" t="s">
        <v>2360</v>
      </c>
      <c r="H515" s="96">
        <v>8445100.7599999998</v>
      </c>
    </row>
    <row r="516" spans="1:8" x14ac:dyDescent="0.25">
      <c r="A516" s="104"/>
      <c r="H516" s="96"/>
    </row>
    <row r="517" spans="1:8" x14ac:dyDescent="0.25">
      <c r="A517" s="104" t="s">
        <v>2232</v>
      </c>
      <c r="H517" s="96"/>
    </row>
    <row r="518" spans="1:8" ht="75" x14ac:dyDescent="0.25">
      <c r="A518" s="107" t="s">
        <v>2219</v>
      </c>
      <c r="B518" s="107"/>
      <c r="C518" s="107"/>
      <c r="D518" s="107"/>
      <c r="E518" s="107"/>
      <c r="F518" s="107"/>
      <c r="G518" s="107"/>
      <c r="H518" s="96"/>
    </row>
    <row r="519" spans="1:8" ht="30" x14ac:dyDescent="0.25">
      <c r="A519" s="115" t="s">
        <v>779</v>
      </c>
      <c r="B519" s="104" t="s">
        <v>2383</v>
      </c>
      <c r="C519" s="120">
        <v>0</v>
      </c>
      <c r="D519" s="104" t="s">
        <v>1278</v>
      </c>
      <c r="H519" s="96"/>
    </row>
    <row r="520" spans="1:8" x14ac:dyDescent="0.25">
      <c r="A520" s="2"/>
      <c r="B520" s="104"/>
      <c r="C520" s="120"/>
      <c r="D520" s="114" t="s">
        <v>23</v>
      </c>
      <c r="E520" s="104" t="s">
        <v>863</v>
      </c>
      <c r="F520" s="105">
        <v>42810</v>
      </c>
      <c r="G520" s="106"/>
      <c r="H520" s="96">
        <v>335436.14</v>
      </c>
    </row>
    <row r="521" spans="1:8" x14ac:dyDescent="0.25">
      <c r="A521" s="104" t="s">
        <v>2384</v>
      </c>
      <c r="H521" s="96">
        <v>335436.14</v>
      </c>
    </row>
    <row r="522" spans="1:8" x14ac:dyDescent="0.25">
      <c r="A522" s="104"/>
      <c r="H522" s="96"/>
    </row>
    <row r="523" spans="1:8" x14ac:dyDescent="0.25">
      <c r="A523" s="104" t="s">
        <v>2223</v>
      </c>
      <c r="H523" s="96"/>
    </row>
    <row r="524" spans="1:8" ht="60" x14ac:dyDescent="0.25">
      <c r="A524" s="107" t="s">
        <v>2217</v>
      </c>
      <c r="B524" s="107"/>
      <c r="C524" s="107"/>
      <c r="D524" s="107"/>
      <c r="E524" s="107"/>
      <c r="F524" s="107"/>
      <c r="G524" s="107"/>
      <c r="H524" s="96"/>
    </row>
    <row r="525" spans="1:8" x14ac:dyDescent="0.25">
      <c r="A525" s="115" t="s">
        <v>169</v>
      </c>
      <c r="B525" s="104" t="s">
        <v>2361</v>
      </c>
      <c r="C525" s="120">
        <v>0</v>
      </c>
      <c r="D525" s="104" t="s">
        <v>1278</v>
      </c>
      <c r="H525" s="96"/>
    </row>
    <row r="526" spans="1:8" x14ac:dyDescent="0.25">
      <c r="A526" s="2"/>
      <c r="B526" s="104"/>
      <c r="C526" s="120"/>
      <c r="D526" s="114" t="s">
        <v>23</v>
      </c>
      <c r="E526" s="104" t="s">
        <v>863</v>
      </c>
      <c r="F526" s="105">
        <v>42794</v>
      </c>
      <c r="G526" s="106"/>
      <c r="H526" s="96">
        <v>1947064.74</v>
      </c>
    </row>
    <row r="527" spans="1:8" x14ac:dyDescent="0.25">
      <c r="A527" s="104" t="s">
        <v>2362</v>
      </c>
      <c r="H527" s="96">
        <v>1947064.74</v>
      </c>
    </row>
    <row r="528" spans="1:8" x14ac:dyDescent="0.25">
      <c r="A528" s="104"/>
      <c r="H528" s="96"/>
    </row>
    <row r="529" spans="1:8" x14ac:dyDescent="0.25">
      <c r="A529" s="104" t="s">
        <v>2222</v>
      </c>
      <c r="H529" s="96"/>
    </row>
    <row r="530" spans="1:8" ht="45" x14ac:dyDescent="0.25">
      <c r="A530" s="107" t="s">
        <v>2204</v>
      </c>
      <c r="B530" s="107"/>
      <c r="C530" s="107"/>
      <c r="D530" s="107"/>
      <c r="E530" s="107"/>
      <c r="F530" s="107"/>
      <c r="G530" s="107"/>
      <c r="H530" s="96"/>
    </row>
    <row r="531" spans="1:8" x14ac:dyDescent="0.25">
      <c r="A531" s="115" t="s">
        <v>898</v>
      </c>
      <c r="B531" s="104" t="s">
        <v>2363</v>
      </c>
      <c r="C531" s="120">
        <v>0</v>
      </c>
      <c r="D531" s="104" t="s">
        <v>1278</v>
      </c>
      <c r="H531" s="96"/>
    </row>
    <row r="532" spans="1:8" x14ac:dyDescent="0.25">
      <c r="A532" s="2"/>
      <c r="B532" s="104"/>
      <c r="C532" s="120"/>
      <c r="D532" s="114" t="s">
        <v>23</v>
      </c>
      <c r="E532" s="104" t="s">
        <v>863</v>
      </c>
      <c r="F532" s="105">
        <v>42789</v>
      </c>
      <c r="G532" s="106"/>
      <c r="H532" s="96">
        <v>1556626.45</v>
      </c>
    </row>
    <row r="533" spans="1:8" x14ac:dyDescent="0.25">
      <c r="A533" s="104" t="s">
        <v>2364</v>
      </c>
      <c r="H533" s="96">
        <v>1556626.45</v>
      </c>
    </row>
    <row r="534" spans="1:8" x14ac:dyDescent="0.25">
      <c r="A534" s="104"/>
      <c r="H534" s="96"/>
    </row>
    <row r="535" spans="1:8" x14ac:dyDescent="0.25">
      <c r="A535" s="104" t="s">
        <v>2225</v>
      </c>
      <c r="H535" s="96"/>
    </row>
    <row r="536" spans="1:8" ht="45" x14ac:dyDescent="0.25">
      <c r="A536" s="107" t="s">
        <v>2209</v>
      </c>
      <c r="B536" s="107"/>
      <c r="C536" s="107"/>
      <c r="D536" s="107"/>
      <c r="E536" s="107"/>
      <c r="F536" s="107"/>
      <c r="G536" s="107"/>
      <c r="H536" s="96"/>
    </row>
    <row r="537" spans="1:8" x14ac:dyDescent="0.25">
      <c r="A537" s="115" t="s">
        <v>686</v>
      </c>
      <c r="B537" s="104" t="s">
        <v>2365</v>
      </c>
      <c r="C537" s="120">
        <v>0</v>
      </c>
      <c r="D537" s="104" t="s">
        <v>1278</v>
      </c>
      <c r="H537" s="96"/>
    </row>
    <row r="538" spans="1:8" x14ac:dyDescent="0.25">
      <c r="A538" s="2"/>
      <c r="B538" s="104"/>
      <c r="C538" s="120"/>
      <c r="D538" s="114" t="s">
        <v>23</v>
      </c>
      <c r="E538" s="104" t="s">
        <v>863</v>
      </c>
      <c r="F538" s="105">
        <v>42802</v>
      </c>
      <c r="G538" s="106"/>
      <c r="H538" s="96">
        <v>1856050.22</v>
      </c>
    </row>
    <row r="539" spans="1:8" x14ac:dyDescent="0.25">
      <c r="A539" s="104" t="s">
        <v>2366</v>
      </c>
      <c r="H539" s="96">
        <v>1856050.22</v>
      </c>
    </row>
    <row r="540" spans="1:8" x14ac:dyDescent="0.25">
      <c r="A540" s="104"/>
      <c r="H540" s="96"/>
    </row>
    <row r="541" spans="1:8" x14ac:dyDescent="0.25">
      <c r="A541" s="104" t="s">
        <v>2228</v>
      </c>
      <c r="H541" s="96"/>
    </row>
    <row r="542" spans="1:8" ht="45" x14ac:dyDescent="0.25">
      <c r="A542" s="107" t="s">
        <v>2226</v>
      </c>
      <c r="B542" s="107"/>
      <c r="C542" s="107"/>
      <c r="D542" s="107"/>
      <c r="E542" s="107"/>
      <c r="F542" s="107"/>
      <c r="G542" s="107"/>
      <c r="H542" s="96"/>
    </row>
    <row r="543" spans="1:8" ht="30" x14ac:dyDescent="0.25">
      <c r="A543" s="115" t="s">
        <v>2227</v>
      </c>
      <c r="B543" s="104" t="s">
        <v>2367</v>
      </c>
      <c r="C543" s="120">
        <v>0</v>
      </c>
      <c r="D543" s="104" t="s">
        <v>1278</v>
      </c>
      <c r="H543" s="96"/>
    </row>
    <row r="544" spans="1:8" x14ac:dyDescent="0.25">
      <c r="A544" s="2"/>
      <c r="B544" s="104"/>
      <c r="C544" s="120"/>
      <c r="D544" s="114" t="s">
        <v>23</v>
      </c>
      <c r="E544" s="104" t="s">
        <v>863</v>
      </c>
      <c r="F544" s="105">
        <v>42795</v>
      </c>
      <c r="G544" s="106"/>
      <c r="H544" s="96">
        <v>2157349.83</v>
      </c>
    </row>
    <row r="545" spans="1:8" x14ac:dyDescent="0.25">
      <c r="A545" s="104" t="s">
        <v>2368</v>
      </c>
      <c r="H545" s="96">
        <v>2157349.83</v>
      </c>
    </row>
    <row r="546" spans="1:8" x14ac:dyDescent="0.25">
      <c r="A546" s="104"/>
      <c r="H546" s="96"/>
    </row>
    <row r="547" spans="1:8" x14ac:dyDescent="0.25">
      <c r="A547" s="104" t="s">
        <v>800</v>
      </c>
      <c r="H547" s="96">
        <v>268693904.57999998</v>
      </c>
    </row>
  </sheetData>
  <printOptions horizontalCentered="1"/>
  <pageMargins left="0.39370078740157483" right="0.39370078740157483" top="1.1023622047244095" bottom="0.62992125984251968" header="0.51181102362204722" footer="0.35433070866141736"/>
  <pageSetup scale="65" fitToHeight="0" orientation="portrait" r:id="rId2"/>
  <headerFooter>
    <oddHeader>&amp;L&amp;G&amp;R&amp;12
&amp;"Calibri,Negrita"&amp;16DGEO&amp;"Calibri,Normal"&amp;12
OBRAS PAVIMENTACION 2016
RECURSO FEDERAL
&amp;D</oddHeader>
    <oddFooter>&amp;RHOJA &amp;P DE &amp;N</oddFooter>
  </headerFooter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view="pageBreakPreview" zoomScaleNormal="70" zoomScaleSheetLayoutView="100" workbookViewId="0">
      <selection activeCell="A5" sqref="A5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0.85546875" bestFit="1" customWidth="1"/>
    <col min="5" max="5" width="16.85546875" bestFit="1" customWidth="1"/>
    <col min="6" max="6" width="10.7109375" bestFit="1" customWidth="1"/>
    <col min="7" max="7" width="15.85546875" bestFit="1" customWidth="1"/>
    <col min="8" max="8" width="14.710937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8" x14ac:dyDescent="0.25">
      <c r="A3" s="94" t="s">
        <v>3</v>
      </c>
      <c r="B3" s="94" t="s">
        <v>890</v>
      </c>
      <c r="C3" s="94" t="s">
        <v>911</v>
      </c>
      <c r="D3" s="94" t="s">
        <v>1325</v>
      </c>
      <c r="E3" s="94" t="s">
        <v>46</v>
      </c>
      <c r="F3" s="94" t="s">
        <v>47</v>
      </c>
      <c r="G3" s="110" t="s">
        <v>1435</v>
      </c>
      <c r="H3" s="102" t="s">
        <v>43</v>
      </c>
    </row>
    <row r="4" spans="1:8" x14ac:dyDescent="0.25">
      <c r="A4" s="104" t="s">
        <v>1644</v>
      </c>
      <c r="H4" s="96"/>
    </row>
    <row r="5" spans="1:8" ht="45" x14ac:dyDescent="0.25">
      <c r="A5" s="107" t="s">
        <v>2437</v>
      </c>
      <c r="B5" s="107"/>
      <c r="C5" s="107"/>
      <c r="D5" s="107"/>
      <c r="E5" s="107"/>
      <c r="F5" s="107"/>
      <c r="G5" s="107"/>
      <c r="H5" s="96"/>
    </row>
    <row r="6" spans="1:8" x14ac:dyDescent="0.25">
      <c r="A6" s="115" t="s">
        <v>1643</v>
      </c>
      <c r="B6" s="104" t="s">
        <v>1807</v>
      </c>
      <c r="C6" s="120">
        <v>0.19</v>
      </c>
      <c r="D6" s="104" t="s">
        <v>2449</v>
      </c>
      <c r="H6" s="96">
        <v>1245594.56</v>
      </c>
    </row>
    <row r="7" spans="1:8" x14ac:dyDescent="0.25">
      <c r="A7" s="2"/>
      <c r="B7" s="104"/>
      <c r="C7" s="120"/>
      <c r="D7" s="114" t="s">
        <v>23</v>
      </c>
      <c r="E7" s="104" t="s">
        <v>863</v>
      </c>
      <c r="F7" s="105">
        <v>42692</v>
      </c>
      <c r="G7" s="106"/>
      <c r="H7" s="96">
        <v>863992.62</v>
      </c>
    </row>
    <row r="8" spans="1:8" x14ac:dyDescent="0.25">
      <c r="A8" s="2"/>
      <c r="B8" s="104"/>
      <c r="C8" s="120"/>
      <c r="D8" s="114" t="s">
        <v>221</v>
      </c>
      <c r="E8" s="104" t="s">
        <v>864</v>
      </c>
      <c r="F8" s="105">
        <v>42811</v>
      </c>
      <c r="G8" s="106" t="s">
        <v>2450</v>
      </c>
      <c r="H8" s="96">
        <v>237697.48</v>
      </c>
    </row>
    <row r="9" spans="1:8" x14ac:dyDescent="0.25">
      <c r="A9" s="2"/>
      <c r="B9" s="104"/>
      <c r="C9" s="120"/>
      <c r="D9" s="114" t="s">
        <v>215</v>
      </c>
      <c r="E9" s="104" t="s">
        <v>864</v>
      </c>
      <c r="F9" s="105">
        <v>42811</v>
      </c>
      <c r="G9" s="106" t="s">
        <v>2092</v>
      </c>
      <c r="H9" s="96">
        <v>143904.46</v>
      </c>
    </row>
    <row r="10" spans="1:8" x14ac:dyDescent="0.25">
      <c r="A10" s="104" t="s">
        <v>1687</v>
      </c>
      <c r="H10" s="96">
        <v>1245594.56</v>
      </c>
    </row>
    <row r="11" spans="1:8" x14ac:dyDescent="0.25">
      <c r="A11" s="104"/>
      <c r="H11" s="96"/>
    </row>
    <row r="12" spans="1:8" x14ac:dyDescent="0.25">
      <c r="A12" s="104" t="s">
        <v>1647</v>
      </c>
      <c r="H12" s="96"/>
    </row>
    <row r="13" spans="1:8" ht="45" x14ac:dyDescent="0.25">
      <c r="A13" s="107" t="s">
        <v>1648</v>
      </c>
      <c r="B13" s="107"/>
      <c r="C13" s="107"/>
      <c r="D13" s="107"/>
      <c r="E13" s="107"/>
      <c r="F13" s="107"/>
      <c r="G13" s="107"/>
      <c r="H13" s="96"/>
    </row>
    <row r="14" spans="1:8" x14ac:dyDescent="0.25">
      <c r="A14" s="115" t="s">
        <v>1643</v>
      </c>
      <c r="B14" s="104" t="s">
        <v>1808</v>
      </c>
      <c r="C14" s="120">
        <v>0.19</v>
      </c>
      <c r="D14" s="104" t="s">
        <v>2449</v>
      </c>
      <c r="H14" s="96">
        <v>1245594.42</v>
      </c>
    </row>
    <row r="15" spans="1:8" x14ac:dyDescent="0.25">
      <c r="A15" s="2"/>
      <c r="B15" s="104"/>
      <c r="C15" s="120"/>
      <c r="D15" s="114" t="s">
        <v>23</v>
      </c>
      <c r="E15" s="104" t="s">
        <v>863</v>
      </c>
      <c r="F15" s="105">
        <v>42692</v>
      </c>
      <c r="G15" s="106"/>
      <c r="H15" s="96">
        <v>863992.48</v>
      </c>
    </row>
    <row r="16" spans="1:8" x14ac:dyDescent="0.25">
      <c r="A16" s="2"/>
      <c r="B16" s="104"/>
      <c r="C16" s="120"/>
      <c r="D16" s="114" t="s">
        <v>103</v>
      </c>
      <c r="E16" s="104" t="s">
        <v>863</v>
      </c>
      <c r="F16" s="105">
        <v>42810</v>
      </c>
      <c r="G16" s="106" t="s">
        <v>2450</v>
      </c>
      <c r="H16" s="96">
        <v>237697.48</v>
      </c>
    </row>
    <row r="17" spans="1:8" x14ac:dyDescent="0.25">
      <c r="A17" s="2"/>
      <c r="B17" s="104"/>
      <c r="C17" s="120"/>
      <c r="D17" s="114" t="s">
        <v>55</v>
      </c>
      <c r="E17" s="104" t="s">
        <v>864</v>
      </c>
      <c r="F17" s="105">
        <v>42811</v>
      </c>
      <c r="G17" s="106" t="s">
        <v>2092</v>
      </c>
      <c r="H17" s="96">
        <v>143904.46</v>
      </c>
    </row>
    <row r="18" spans="1:8" x14ac:dyDescent="0.25">
      <c r="A18" s="104" t="s">
        <v>1688</v>
      </c>
      <c r="H18" s="96">
        <v>1245594.42</v>
      </c>
    </row>
    <row r="19" spans="1:8" x14ac:dyDescent="0.25">
      <c r="A19" s="104"/>
      <c r="H19" s="96"/>
    </row>
    <row r="20" spans="1:8" x14ac:dyDescent="0.25">
      <c r="A20" s="104" t="s">
        <v>1650</v>
      </c>
      <c r="H20" s="96"/>
    </row>
    <row r="21" spans="1:8" ht="60" x14ac:dyDescent="0.25">
      <c r="A21" s="107" t="s">
        <v>1631</v>
      </c>
      <c r="B21" s="107"/>
      <c r="C21" s="107"/>
      <c r="D21" s="107"/>
      <c r="E21" s="107"/>
      <c r="F21" s="107"/>
      <c r="G21" s="107"/>
      <c r="H21" s="96"/>
    </row>
    <row r="22" spans="1:8" x14ac:dyDescent="0.25">
      <c r="A22" s="115" t="s">
        <v>1437</v>
      </c>
      <c r="B22" s="104" t="s">
        <v>1689</v>
      </c>
      <c r="C22" s="120">
        <v>0.12</v>
      </c>
      <c r="D22" s="104" t="s">
        <v>2331</v>
      </c>
      <c r="H22" s="96">
        <v>808684.7</v>
      </c>
    </row>
    <row r="23" spans="1:8" x14ac:dyDescent="0.25">
      <c r="A23" s="2"/>
      <c r="B23" s="104"/>
      <c r="C23" s="120"/>
      <c r="D23" s="114" t="s">
        <v>23</v>
      </c>
      <c r="E23" s="104" t="s">
        <v>863</v>
      </c>
      <c r="F23" s="105">
        <v>42692</v>
      </c>
      <c r="G23" s="106"/>
      <c r="H23" s="96">
        <v>634074.93000000005</v>
      </c>
    </row>
    <row r="24" spans="1:8" x14ac:dyDescent="0.25">
      <c r="A24" s="2"/>
      <c r="B24" s="104"/>
      <c r="C24" s="120"/>
      <c r="D24" s="114" t="s">
        <v>221</v>
      </c>
      <c r="E24" s="104" t="s">
        <v>863</v>
      </c>
      <c r="F24" s="105">
        <v>42804</v>
      </c>
      <c r="G24" s="106" t="s">
        <v>2332</v>
      </c>
      <c r="H24" s="96">
        <v>174609.77</v>
      </c>
    </row>
    <row r="25" spans="1:8" x14ac:dyDescent="0.25">
      <c r="A25" s="104" t="s">
        <v>1690</v>
      </c>
      <c r="H25" s="96">
        <v>808684.7</v>
      </c>
    </row>
    <row r="26" spans="1:8" x14ac:dyDescent="0.25">
      <c r="A26" s="104"/>
      <c r="H26" s="96"/>
    </row>
    <row r="27" spans="1:8" x14ac:dyDescent="0.25">
      <c r="A27" s="104" t="s">
        <v>1651</v>
      </c>
      <c r="H27" s="96"/>
    </row>
    <row r="28" spans="1:8" ht="45" x14ac:dyDescent="0.25">
      <c r="A28" s="107" t="s">
        <v>1691</v>
      </c>
      <c r="B28" s="107"/>
      <c r="C28" s="107"/>
      <c r="D28" s="107"/>
      <c r="E28" s="107"/>
      <c r="F28" s="107"/>
      <c r="G28" s="107"/>
      <c r="H28" s="96"/>
    </row>
    <row r="29" spans="1:8" x14ac:dyDescent="0.25">
      <c r="A29" s="115" t="s">
        <v>1437</v>
      </c>
      <c r="B29" s="104" t="s">
        <v>1692</v>
      </c>
      <c r="C29" s="120">
        <v>0.14000000000000001</v>
      </c>
      <c r="D29" s="104" t="s">
        <v>2333</v>
      </c>
      <c r="H29" s="96">
        <v>893997.02</v>
      </c>
    </row>
    <row r="30" spans="1:8" x14ac:dyDescent="0.25">
      <c r="A30" s="2"/>
      <c r="B30" s="104"/>
      <c r="C30" s="120"/>
      <c r="D30" s="114" t="s">
        <v>23</v>
      </c>
      <c r="E30" s="104" t="s">
        <v>863</v>
      </c>
      <c r="F30" s="105">
        <v>42692</v>
      </c>
      <c r="G30" s="106"/>
      <c r="H30" s="96">
        <v>673918.5</v>
      </c>
    </row>
    <row r="31" spans="1:8" x14ac:dyDescent="0.25">
      <c r="A31" s="2"/>
      <c r="B31" s="104"/>
      <c r="C31" s="120"/>
      <c r="D31" s="114" t="s">
        <v>103</v>
      </c>
      <c r="E31" s="104" t="s">
        <v>863</v>
      </c>
      <c r="F31" s="105">
        <v>42804</v>
      </c>
      <c r="G31" s="106" t="s">
        <v>2334</v>
      </c>
      <c r="H31" s="96">
        <v>220078.52</v>
      </c>
    </row>
    <row r="32" spans="1:8" x14ac:dyDescent="0.25">
      <c r="A32" s="104" t="s">
        <v>1693</v>
      </c>
      <c r="H32" s="96">
        <v>893997.02</v>
      </c>
    </row>
    <row r="33" spans="1:8" x14ac:dyDescent="0.25">
      <c r="A33" s="104"/>
      <c r="H33" s="96"/>
    </row>
    <row r="34" spans="1:8" x14ac:dyDescent="0.25">
      <c r="A34" s="104" t="s">
        <v>2472</v>
      </c>
      <c r="H34" s="96"/>
    </row>
    <row r="35" spans="1:8" ht="60" x14ac:dyDescent="0.25">
      <c r="A35" s="107" t="s">
        <v>2470</v>
      </c>
      <c r="B35" s="107"/>
      <c r="C35" s="107"/>
      <c r="D35" s="107"/>
      <c r="E35" s="107"/>
      <c r="F35" s="107"/>
      <c r="G35" s="107"/>
      <c r="H35" s="96"/>
    </row>
    <row r="36" spans="1:8" x14ac:dyDescent="0.25">
      <c r="A36" s="115" t="s">
        <v>2471</v>
      </c>
      <c r="B36" s="104" t="s">
        <v>2474</v>
      </c>
      <c r="C36" s="120">
        <v>0</v>
      </c>
      <c r="D36" s="104" t="s">
        <v>1278</v>
      </c>
      <c r="H36" s="96">
        <v>206858.09</v>
      </c>
    </row>
    <row r="37" spans="1:8" x14ac:dyDescent="0.25">
      <c r="A37" s="2"/>
      <c r="B37" s="104"/>
      <c r="C37" s="120"/>
      <c r="D37" s="114" t="s">
        <v>23</v>
      </c>
      <c r="E37" s="104" t="s">
        <v>2476</v>
      </c>
      <c r="F37" s="105">
        <v>42800</v>
      </c>
      <c r="G37" s="106"/>
      <c r="H37" s="96">
        <v>206858.09</v>
      </c>
    </row>
    <row r="38" spans="1:8" x14ac:dyDescent="0.25">
      <c r="A38" s="104" t="s">
        <v>2475</v>
      </c>
      <c r="H38" s="96">
        <v>206858.09</v>
      </c>
    </row>
    <row r="39" spans="1:8" x14ac:dyDescent="0.25">
      <c r="A39" s="104"/>
      <c r="H39" s="96"/>
    </row>
    <row r="40" spans="1:8" x14ac:dyDescent="0.25">
      <c r="A40" s="104" t="s">
        <v>800</v>
      </c>
      <c r="H40" s="96">
        <v>4400728.79</v>
      </c>
    </row>
  </sheetData>
  <printOptions horizontalCentered="1"/>
  <pageMargins left="0.39370078740157483" right="0.39370078740157483" top="1.1023622047244095" bottom="0.62992125984251968" header="0.51181102362204722" footer="0.35433070866141736"/>
  <pageSetup scale="65" fitToHeight="0" orientation="portrait" r:id="rId2"/>
  <headerFooter>
    <oddHeader>&amp;L&amp;G&amp;R&amp;12
&amp;"Calibri,Negrita"&amp;16DGEO&amp;"Calibri,Normal"&amp;12
REAHB. Y CONTRUCC. DE CENTROS COMUNITARIOS
FAFEF 2016</oddHeader>
    <oddFooter>&amp;R&amp;D</oddFooter>
  </headerFooter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28"/>
  <sheetViews>
    <sheetView view="pageBreakPreview" topLeftCell="A427" zoomScaleNormal="70" zoomScaleSheetLayoutView="100" workbookViewId="0">
      <selection activeCell="A5" sqref="A5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6.85546875" bestFit="1" customWidth="1"/>
    <col min="5" max="6" width="11" bestFit="1" customWidth="1"/>
    <col min="7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7" ht="30" x14ac:dyDescent="0.25">
      <c r="A3" s="94" t="s">
        <v>3</v>
      </c>
      <c r="B3" s="94" t="s">
        <v>890</v>
      </c>
      <c r="C3" s="94" t="s">
        <v>911</v>
      </c>
      <c r="D3" s="94" t="s">
        <v>46</v>
      </c>
      <c r="E3" s="94" t="s">
        <v>47</v>
      </c>
      <c r="F3" s="110" t="s">
        <v>892</v>
      </c>
      <c r="G3" s="102" t="s">
        <v>43</v>
      </c>
    </row>
    <row r="4" spans="1:7" x14ac:dyDescent="0.25">
      <c r="A4" s="104" t="s">
        <v>358</v>
      </c>
      <c r="G4" s="96"/>
    </row>
    <row r="5" spans="1:7" ht="60" x14ac:dyDescent="0.25">
      <c r="A5" s="107" t="s">
        <v>357</v>
      </c>
      <c r="B5" s="107"/>
      <c r="C5" s="107"/>
      <c r="D5" s="107"/>
      <c r="E5" s="107"/>
      <c r="F5" s="107"/>
      <c r="G5" s="96"/>
    </row>
    <row r="6" spans="1:7" ht="30" x14ac:dyDescent="0.25">
      <c r="A6" s="115" t="s">
        <v>356</v>
      </c>
      <c r="B6" s="104" t="s">
        <v>1256</v>
      </c>
      <c r="C6" s="120">
        <v>1</v>
      </c>
      <c r="D6" s="120"/>
      <c r="E6" s="120"/>
      <c r="F6" s="120"/>
      <c r="G6" s="96"/>
    </row>
    <row r="7" spans="1:7" x14ac:dyDescent="0.25">
      <c r="A7" s="2"/>
      <c r="B7" s="104"/>
      <c r="C7" s="114" t="s">
        <v>23</v>
      </c>
      <c r="D7" s="104" t="s">
        <v>863</v>
      </c>
      <c r="E7" s="105">
        <v>42538</v>
      </c>
      <c r="F7" s="106"/>
      <c r="G7" s="96">
        <v>78910.5</v>
      </c>
    </row>
    <row r="8" spans="1:7" x14ac:dyDescent="0.25">
      <c r="A8" s="2"/>
      <c r="B8" s="104"/>
      <c r="C8" s="114" t="s">
        <v>103</v>
      </c>
      <c r="D8" s="104" t="s">
        <v>863</v>
      </c>
      <c r="E8" s="105">
        <v>42663</v>
      </c>
      <c r="F8" s="106" t="s">
        <v>1078</v>
      </c>
      <c r="G8" s="96">
        <v>177055.45</v>
      </c>
    </row>
    <row r="9" spans="1:7" x14ac:dyDescent="0.25">
      <c r="A9" s="2"/>
      <c r="B9" s="104"/>
      <c r="C9" s="114" t="s">
        <v>221</v>
      </c>
      <c r="D9" s="104" t="s">
        <v>863</v>
      </c>
      <c r="E9" s="105">
        <v>42663</v>
      </c>
      <c r="F9" s="106" t="s">
        <v>1078</v>
      </c>
      <c r="G9" s="96">
        <v>177055.45</v>
      </c>
    </row>
    <row r="10" spans="1:7" x14ac:dyDescent="0.25">
      <c r="A10" s="2"/>
      <c r="B10" s="104"/>
      <c r="C10" s="114" t="s">
        <v>55</v>
      </c>
      <c r="D10" s="104" t="s">
        <v>863</v>
      </c>
      <c r="E10" s="105">
        <v>42663</v>
      </c>
      <c r="F10" s="106" t="s">
        <v>1078</v>
      </c>
      <c r="G10" s="96">
        <v>177055.45</v>
      </c>
    </row>
    <row r="11" spans="1:7" x14ac:dyDescent="0.25">
      <c r="A11" s="2"/>
      <c r="B11" s="104"/>
      <c r="C11" s="114" t="s">
        <v>215</v>
      </c>
      <c r="D11" s="104" t="s">
        <v>863</v>
      </c>
      <c r="E11" s="105">
        <v>42781</v>
      </c>
      <c r="F11" s="106" t="s">
        <v>1078</v>
      </c>
      <c r="G11" s="96">
        <v>177055.45</v>
      </c>
    </row>
    <row r="12" spans="1:7" x14ac:dyDescent="0.25">
      <c r="A12" s="104" t="s">
        <v>1257</v>
      </c>
      <c r="G12" s="96">
        <v>787132.3</v>
      </c>
    </row>
    <row r="13" spans="1:7" x14ac:dyDescent="0.25">
      <c r="A13" s="104"/>
      <c r="G13" s="96"/>
    </row>
    <row r="14" spans="1:7" x14ac:dyDescent="0.25">
      <c r="A14" s="104" t="s">
        <v>426</v>
      </c>
      <c r="G14" s="96"/>
    </row>
    <row r="15" spans="1:7" ht="60" x14ac:dyDescent="0.25">
      <c r="A15" s="107" t="s">
        <v>427</v>
      </c>
      <c r="B15" s="107"/>
      <c r="C15" s="107"/>
      <c r="D15" s="107"/>
      <c r="E15" s="107"/>
      <c r="F15" s="107"/>
      <c r="G15" s="96"/>
    </row>
    <row r="16" spans="1:7" x14ac:dyDescent="0.25">
      <c r="A16" s="115" t="s">
        <v>425</v>
      </c>
      <c r="B16" s="104" t="s">
        <v>1079</v>
      </c>
      <c r="C16" s="120">
        <v>1</v>
      </c>
      <c r="D16" s="120"/>
      <c r="E16" s="120"/>
      <c r="F16" s="120"/>
      <c r="G16" s="96"/>
    </row>
    <row r="17" spans="1:7" x14ac:dyDescent="0.25">
      <c r="A17" s="2"/>
      <c r="B17" s="104"/>
      <c r="C17" s="114" t="s">
        <v>23</v>
      </c>
      <c r="D17" s="104" t="s">
        <v>863</v>
      </c>
      <c r="E17" s="105">
        <v>42627</v>
      </c>
      <c r="F17" s="106"/>
      <c r="G17" s="96">
        <v>52549.42</v>
      </c>
    </row>
    <row r="18" spans="1:7" x14ac:dyDescent="0.25">
      <c r="A18" s="2"/>
      <c r="B18" s="104"/>
      <c r="C18" s="114" t="s">
        <v>103</v>
      </c>
      <c r="D18" s="104" t="s">
        <v>863</v>
      </c>
      <c r="E18" s="105">
        <v>42697</v>
      </c>
      <c r="F18" s="106" t="s">
        <v>1078</v>
      </c>
      <c r="G18" s="96">
        <v>117907.75</v>
      </c>
    </row>
    <row r="19" spans="1:7" x14ac:dyDescent="0.25">
      <c r="A19" s="2"/>
      <c r="B19" s="104"/>
      <c r="C19" s="114" t="s">
        <v>221</v>
      </c>
      <c r="D19" s="104" t="s">
        <v>863</v>
      </c>
      <c r="E19" s="105">
        <v>42781</v>
      </c>
      <c r="F19" s="106" t="s">
        <v>1078</v>
      </c>
      <c r="G19" s="96">
        <v>117907.75</v>
      </c>
    </row>
    <row r="20" spans="1:7" x14ac:dyDescent="0.25">
      <c r="A20" s="2"/>
      <c r="B20" s="104"/>
      <c r="C20" s="114" t="s">
        <v>55</v>
      </c>
      <c r="D20" s="104" t="s">
        <v>863</v>
      </c>
      <c r="E20" s="105">
        <v>42781</v>
      </c>
      <c r="F20" s="106" t="s">
        <v>1078</v>
      </c>
      <c r="G20" s="96">
        <v>117907.75</v>
      </c>
    </row>
    <row r="21" spans="1:7" x14ac:dyDescent="0.25">
      <c r="A21" s="2"/>
      <c r="B21" s="104"/>
      <c r="C21" s="114" t="s">
        <v>215</v>
      </c>
      <c r="D21" s="104" t="s">
        <v>863</v>
      </c>
      <c r="E21" s="105">
        <v>42781</v>
      </c>
      <c r="F21" s="106" t="s">
        <v>1078</v>
      </c>
      <c r="G21" s="96">
        <v>117907.75</v>
      </c>
    </row>
    <row r="22" spans="1:7" x14ac:dyDescent="0.25">
      <c r="A22" s="104" t="s">
        <v>1080</v>
      </c>
      <c r="G22" s="96">
        <v>524180.42</v>
      </c>
    </row>
    <row r="23" spans="1:7" x14ac:dyDescent="0.25">
      <c r="A23" s="104"/>
      <c r="G23" s="96"/>
    </row>
    <row r="24" spans="1:7" x14ac:dyDescent="0.25">
      <c r="A24" s="104" t="s">
        <v>419</v>
      </c>
      <c r="G24" s="96"/>
    </row>
    <row r="25" spans="1:7" ht="45" x14ac:dyDescent="0.25">
      <c r="A25" s="107" t="s">
        <v>417</v>
      </c>
      <c r="B25" s="107"/>
      <c r="C25" s="107"/>
      <c r="D25" s="107"/>
      <c r="E25" s="107"/>
      <c r="F25" s="107"/>
      <c r="G25" s="96"/>
    </row>
    <row r="26" spans="1:7" x14ac:dyDescent="0.25">
      <c r="A26" s="115" t="s">
        <v>418</v>
      </c>
      <c r="B26" s="104" t="s">
        <v>1081</v>
      </c>
      <c r="C26" s="120">
        <v>1</v>
      </c>
      <c r="D26" s="120"/>
      <c r="E26" s="120"/>
      <c r="F26" s="120"/>
      <c r="G26" s="96"/>
    </row>
    <row r="27" spans="1:7" x14ac:dyDescent="0.25">
      <c r="A27" s="2"/>
      <c r="B27" s="104"/>
      <c r="C27" s="114" t="s">
        <v>23</v>
      </c>
      <c r="D27" s="104" t="s">
        <v>863</v>
      </c>
      <c r="E27" s="105">
        <v>42545</v>
      </c>
      <c r="F27" s="106"/>
      <c r="G27" s="96">
        <v>70322.36</v>
      </c>
    </row>
    <row r="28" spans="1:7" x14ac:dyDescent="0.25">
      <c r="A28" s="2"/>
      <c r="B28" s="104"/>
      <c r="C28" s="114" t="s">
        <v>103</v>
      </c>
      <c r="D28" s="104" t="s">
        <v>863</v>
      </c>
      <c r="E28" s="105">
        <v>42664</v>
      </c>
      <c r="F28" s="106" t="s">
        <v>1258</v>
      </c>
      <c r="G28" s="96">
        <v>258051.38</v>
      </c>
    </row>
    <row r="29" spans="1:7" x14ac:dyDescent="0.25">
      <c r="A29" s="2"/>
      <c r="B29" s="104"/>
      <c r="C29" s="114" t="s">
        <v>221</v>
      </c>
      <c r="D29" s="104" t="s">
        <v>863</v>
      </c>
      <c r="E29" s="105">
        <v>42664</v>
      </c>
      <c r="F29" s="106" t="s">
        <v>1259</v>
      </c>
      <c r="G29" s="96">
        <v>111704.12</v>
      </c>
    </row>
    <row r="30" spans="1:7" x14ac:dyDescent="0.25">
      <c r="A30" s="2"/>
      <c r="B30" s="104"/>
      <c r="C30" s="114" t="s">
        <v>55</v>
      </c>
      <c r="D30" s="104" t="s">
        <v>863</v>
      </c>
      <c r="E30" s="105">
        <v>42664</v>
      </c>
      <c r="F30" s="106" t="s">
        <v>1260</v>
      </c>
      <c r="G30" s="96">
        <v>110587</v>
      </c>
    </row>
    <row r="31" spans="1:7" x14ac:dyDescent="0.25">
      <c r="A31" s="2"/>
      <c r="B31" s="104"/>
      <c r="C31" s="114" t="s">
        <v>215</v>
      </c>
      <c r="D31" s="104" t="s">
        <v>863</v>
      </c>
      <c r="E31" s="105">
        <v>42671</v>
      </c>
      <c r="F31" s="106" t="s">
        <v>1317</v>
      </c>
      <c r="G31" s="96">
        <v>116172.3</v>
      </c>
    </row>
    <row r="32" spans="1:7" x14ac:dyDescent="0.25">
      <c r="A32" s="2"/>
      <c r="B32" s="104"/>
      <c r="C32" s="114" t="s">
        <v>15</v>
      </c>
      <c r="D32" s="104" t="s">
        <v>2238</v>
      </c>
      <c r="E32" s="105">
        <v>42713</v>
      </c>
      <c r="F32" s="106" t="s">
        <v>1895</v>
      </c>
      <c r="G32" s="96">
        <v>17314.2</v>
      </c>
    </row>
    <row r="33" spans="1:7" x14ac:dyDescent="0.25">
      <c r="A33" s="2"/>
      <c r="B33" s="104"/>
      <c r="C33" s="114" t="s">
        <v>214</v>
      </c>
      <c r="D33" s="104" t="s">
        <v>2238</v>
      </c>
      <c r="E33" s="105">
        <v>42713</v>
      </c>
      <c r="F33" s="106" t="s">
        <v>1895</v>
      </c>
      <c r="G33" s="96">
        <v>17314.099999999999</v>
      </c>
    </row>
    <row r="34" spans="1:7" x14ac:dyDescent="0.25">
      <c r="A34" s="104" t="s">
        <v>1082</v>
      </c>
      <c r="G34" s="96">
        <v>701465.46</v>
      </c>
    </row>
    <row r="35" spans="1:7" x14ac:dyDescent="0.25">
      <c r="A35" s="104"/>
      <c r="G35" s="96"/>
    </row>
    <row r="36" spans="1:7" x14ac:dyDescent="0.25">
      <c r="A36" s="104" t="s">
        <v>359</v>
      </c>
      <c r="G36" s="96"/>
    </row>
    <row r="37" spans="1:7" ht="60" x14ac:dyDescent="0.25">
      <c r="A37" s="107" t="s">
        <v>361</v>
      </c>
      <c r="B37" s="107"/>
      <c r="C37" s="107"/>
      <c r="D37" s="107"/>
      <c r="E37" s="107"/>
      <c r="F37" s="107"/>
      <c r="G37" s="96"/>
    </row>
    <row r="38" spans="1:7" x14ac:dyDescent="0.25">
      <c r="A38" s="115" t="s">
        <v>362</v>
      </c>
      <c r="B38" s="104" t="s">
        <v>1083</v>
      </c>
      <c r="C38" s="120">
        <v>1</v>
      </c>
      <c r="D38" s="120"/>
      <c r="E38" s="120"/>
      <c r="F38" s="120"/>
      <c r="G38" s="96"/>
    </row>
    <row r="39" spans="1:7" x14ac:dyDescent="0.25">
      <c r="A39" s="2"/>
      <c r="B39" s="104"/>
      <c r="C39" s="114" t="s">
        <v>23</v>
      </c>
      <c r="D39" s="104" t="s">
        <v>863</v>
      </c>
      <c r="E39" s="105">
        <v>42537</v>
      </c>
      <c r="F39" s="106"/>
      <c r="G39" s="96">
        <v>105502.2</v>
      </c>
    </row>
    <row r="40" spans="1:7" x14ac:dyDescent="0.25">
      <c r="A40" s="2"/>
      <c r="B40" s="104"/>
      <c r="C40" s="114" t="s">
        <v>103</v>
      </c>
      <c r="D40" s="104" t="s">
        <v>863</v>
      </c>
      <c r="E40" s="105">
        <v>42632</v>
      </c>
      <c r="F40" s="106" t="s">
        <v>1078</v>
      </c>
      <c r="G40" s="96">
        <v>236720.57</v>
      </c>
    </row>
    <row r="41" spans="1:7" x14ac:dyDescent="0.25">
      <c r="A41" s="2"/>
      <c r="B41" s="104"/>
      <c r="C41" s="114" t="s">
        <v>221</v>
      </c>
      <c r="D41" s="104" t="s">
        <v>863</v>
      </c>
      <c r="E41" s="105">
        <v>42664</v>
      </c>
      <c r="F41" s="106" t="s">
        <v>1078</v>
      </c>
      <c r="G41" s="96">
        <v>236720.57</v>
      </c>
    </row>
    <row r="42" spans="1:7" x14ac:dyDescent="0.25">
      <c r="A42" s="2"/>
      <c r="B42" s="104"/>
      <c r="C42" s="114" t="s">
        <v>55</v>
      </c>
      <c r="D42" s="104" t="s">
        <v>863</v>
      </c>
      <c r="E42" s="105">
        <v>42697</v>
      </c>
      <c r="F42" s="106" t="s">
        <v>1078</v>
      </c>
      <c r="G42" s="96">
        <v>236720.57</v>
      </c>
    </row>
    <row r="43" spans="1:7" x14ac:dyDescent="0.25">
      <c r="A43" s="2"/>
      <c r="B43" s="104"/>
      <c r="C43" s="114" t="s">
        <v>215</v>
      </c>
      <c r="D43" s="104" t="s">
        <v>863</v>
      </c>
      <c r="E43" s="105">
        <v>43062</v>
      </c>
      <c r="F43" s="106" t="s">
        <v>1084</v>
      </c>
      <c r="G43" s="96">
        <v>118360.25</v>
      </c>
    </row>
    <row r="44" spans="1:7" x14ac:dyDescent="0.25">
      <c r="A44" s="2"/>
      <c r="B44" s="104"/>
      <c r="C44" s="114" t="s">
        <v>15</v>
      </c>
      <c r="D44" s="104" t="s">
        <v>863</v>
      </c>
      <c r="E44" s="105">
        <v>42781</v>
      </c>
      <c r="F44" s="106" t="s">
        <v>1084</v>
      </c>
      <c r="G44" s="96">
        <v>118360.25</v>
      </c>
    </row>
    <row r="45" spans="1:7" x14ac:dyDescent="0.25">
      <c r="A45" s="104" t="s">
        <v>1085</v>
      </c>
      <c r="G45" s="96">
        <v>1052384.4099999999</v>
      </c>
    </row>
    <row r="46" spans="1:7" x14ac:dyDescent="0.25">
      <c r="A46" s="104"/>
      <c r="G46" s="96"/>
    </row>
    <row r="47" spans="1:7" x14ac:dyDescent="0.25">
      <c r="A47" s="104" t="s">
        <v>315</v>
      </c>
      <c r="G47" s="96"/>
    </row>
    <row r="48" spans="1:7" ht="60" x14ac:dyDescent="0.25">
      <c r="A48" s="107" t="s">
        <v>317</v>
      </c>
      <c r="B48" s="107"/>
      <c r="C48" s="107"/>
      <c r="D48" s="107"/>
      <c r="E48" s="107"/>
      <c r="F48" s="107"/>
      <c r="G48" s="96"/>
    </row>
    <row r="49" spans="1:7" x14ac:dyDescent="0.25">
      <c r="A49" s="115" t="s">
        <v>289</v>
      </c>
      <c r="B49" s="104" t="s">
        <v>1086</v>
      </c>
      <c r="C49" s="120">
        <v>1</v>
      </c>
      <c r="D49" s="120"/>
      <c r="E49" s="120"/>
      <c r="F49" s="120"/>
      <c r="G49" s="96"/>
    </row>
    <row r="50" spans="1:7" x14ac:dyDescent="0.25">
      <c r="A50" s="2"/>
      <c r="B50" s="104"/>
      <c r="C50" s="114" t="s">
        <v>23</v>
      </c>
      <c r="D50" s="104" t="s">
        <v>863</v>
      </c>
      <c r="E50" s="105">
        <v>42523</v>
      </c>
      <c r="F50" s="106"/>
      <c r="G50" s="96">
        <v>249748.85</v>
      </c>
    </row>
    <row r="51" spans="1:7" x14ac:dyDescent="0.25">
      <c r="A51" s="2"/>
      <c r="B51" s="104"/>
      <c r="C51" s="114" t="s">
        <v>103</v>
      </c>
      <c r="D51" s="104" t="s">
        <v>863</v>
      </c>
      <c r="E51" s="105">
        <v>42663</v>
      </c>
      <c r="F51" s="106" t="s">
        <v>1087</v>
      </c>
      <c r="G51" s="96">
        <v>320213.71999999997</v>
      </c>
    </row>
    <row r="52" spans="1:7" x14ac:dyDescent="0.25">
      <c r="A52" s="2"/>
      <c r="B52" s="104"/>
      <c r="C52" s="114" t="s">
        <v>221</v>
      </c>
      <c r="D52" s="104" t="s">
        <v>863</v>
      </c>
      <c r="E52" s="105">
        <v>42663</v>
      </c>
      <c r="F52" s="106" t="s">
        <v>1087</v>
      </c>
      <c r="G52" s="96">
        <v>320213.71999999997</v>
      </c>
    </row>
    <row r="53" spans="1:7" x14ac:dyDescent="0.25">
      <c r="A53" s="2"/>
      <c r="B53" s="104"/>
      <c r="C53" s="114" t="s">
        <v>55</v>
      </c>
      <c r="D53" s="104" t="s">
        <v>863</v>
      </c>
      <c r="E53" s="105">
        <v>42671</v>
      </c>
      <c r="F53" s="106" t="s">
        <v>1087</v>
      </c>
      <c r="G53" s="96">
        <v>320213.71999999997</v>
      </c>
    </row>
    <row r="54" spans="1:7" x14ac:dyDescent="0.25">
      <c r="A54" s="2"/>
      <c r="B54" s="104"/>
      <c r="C54" s="114" t="s">
        <v>215</v>
      </c>
      <c r="D54" s="104" t="s">
        <v>863</v>
      </c>
      <c r="E54" s="105">
        <v>42671</v>
      </c>
      <c r="F54" s="106" t="s">
        <v>1087</v>
      </c>
      <c r="G54" s="96">
        <v>320213.71999999997</v>
      </c>
    </row>
    <row r="55" spans="1:7" x14ac:dyDescent="0.25">
      <c r="A55" s="2"/>
      <c r="B55" s="104"/>
      <c r="C55" s="114" t="s">
        <v>15</v>
      </c>
      <c r="D55" s="104" t="s">
        <v>863</v>
      </c>
      <c r="E55" s="105">
        <v>42781</v>
      </c>
      <c r="F55" s="106" t="s">
        <v>1087</v>
      </c>
      <c r="G55" s="96">
        <v>320213.71999999997</v>
      </c>
    </row>
    <row r="56" spans="1:7" x14ac:dyDescent="0.25">
      <c r="A56" s="2"/>
      <c r="B56" s="104"/>
      <c r="C56" s="114" t="s">
        <v>214</v>
      </c>
      <c r="D56" s="104" t="s">
        <v>863</v>
      </c>
      <c r="E56" s="105">
        <v>42781</v>
      </c>
      <c r="F56" s="106" t="s">
        <v>1087</v>
      </c>
      <c r="G56" s="96">
        <v>320213.71999999997</v>
      </c>
    </row>
    <row r="57" spans="1:7" x14ac:dyDescent="0.25">
      <c r="A57" s="2"/>
      <c r="B57" s="104"/>
      <c r="C57" s="114" t="s">
        <v>218</v>
      </c>
      <c r="D57" s="104" t="s">
        <v>863</v>
      </c>
      <c r="E57" s="105">
        <v>42781</v>
      </c>
      <c r="F57" s="106" t="s">
        <v>1087</v>
      </c>
      <c r="G57" s="96">
        <v>320213.74</v>
      </c>
    </row>
    <row r="58" spans="1:7" x14ac:dyDescent="0.25">
      <c r="A58" s="104" t="s">
        <v>1088</v>
      </c>
      <c r="G58" s="96">
        <v>2491244.91</v>
      </c>
    </row>
    <row r="59" spans="1:7" x14ac:dyDescent="0.25">
      <c r="A59" s="104"/>
      <c r="G59" s="96"/>
    </row>
    <row r="60" spans="1:7" x14ac:dyDescent="0.25">
      <c r="A60" s="104" t="s">
        <v>446</v>
      </c>
      <c r="G60" s="96"/>
    </row>
    <row r="61" spans="1:7" ht="75" x14ac:dyDescent="0.25">
      <c r="A61" s="107" t="s">
        <v>445</v>
      </c>
      <c r="B61" s="107"/>
      <c r="C61" s="107"/>
      <c r="D61" s="107"/>
      <c r="E61" s="107"/>
      <c r="F61" s="107"/>
      <c r="G61" s="96"/>
    </row>
    <row r="62" spans="1:7" x14ac:dyDescent="0.25">
      <c r="A62" s="115" t="s">
        <v>444</v>
      </c>
      <c r="B62" s="104" t="s">
        <v>1563</v>
      </c>
      <c r="C62" s="120">
        <v>1</v>
      </c>
      <c r="D62" s="120"/>
      <c r="E62" s="120"/>
      <c r="F62" s="120"/>
      <c r="G62" s="96"/>
    </row>
    <row r="63" spans="1:7" x14ac:dyDescent="0.25">
      <c r="A63" s="2"/>
      <c r="B63" s="104"/>
      <c r="C63" s="114" t="s">
        <v>103</v>
      </c>
      <c r="D63" s="104" t="s">
        <v>863</v>
      </c>
      <c r="E63" s="105">
        <v>42781</v>
      </c>
      <c r="F63" s="106" t="s">
        <v>1564</v>
      </c>
      <c r="G63" s="96">
        <v>132199.92000000001</v>
      </c>
    </row>
    <row r="64" spans="1:7" x14ac:dyDescent="0.25">
      <c r="A64" s="2"/>
      <c r="B64" s="104"/>
      <c r="C64" s="114" t="s">
        <v>221</v>
      </c>
      <c r="D64" s="104" t="s">
        <v>863</v>
      </c>
      <c r="E64" s="105">
        <v>42781</v>
      </c>
      <c r="F64" s="106" t="s">
        <v>1320</v>
      </c>
      <c r="G64" s="96">
        <v>88133.29</v>
      </c>
    </row>
    <row r="65" spans="1:7" x14ac:dyDescent="0.25">
      <c r="A65" s="104" t="s">
        <v>1565</v>
      </c>
      <c r="G65" s="96">
        <v>220333.21</v>
      </c>
    </row>
    <row r="66" spans="1:7" x14ac:dyDescent="0.25">
      <c r="A66" s="104"/>
      <c r="G66" s="96"/>
    </row>
    <row r="67" spans="1:7" x14ac:dyDescent="0.25">
      <c r="A67" s="104" t="s">
        <v>447</v>
      </c>
      <c r="G67" s="96"/>
    </row>
    <row r="68" spans="1:7" ht="75" x14ac:dyDescent="0.25">
      <c r="A68" s="107" t="s">
        <v>450</v>
      </c>
      <c r="B68" s="107"/>
      <c r="C68" s="107"/>
      <c r="D68" s="107"/>
      <c r="E68" s="107"/>
      <c r="F68" s="107"/>
      <c r="G68" s="96"/>
    </row>
    <row r="69" spans="1:7" x14ac:dyDescent="0.25">
      <c r="A69" s="115" t="s">
        <v>444</v>
      </c>
      <c r="B69" s="104" t="s">
        <v>1563</v>
      </c>
      <c r="C69" s="120">
        <v>1</v>
      </c>
      <c r="D69" s="120"/>
      <c r="E69" s="120"/>
      <c r="F69" s="120"/>
      <c r="G69" s="96"/>
    </row>
    <row r="70" spans="1:7" x14ac:dyDescent="0.25">
      <c r="A70" s="2"/>
      <c r="B70" s="104"/>
      <c r="C70" s="114" t="s">
        <v>103</v>
      </c>
      <c r="D70" s="104" t="s">
        <v>863</v>
      </c>
      <c r="E70" s="105">
        <v>42781</v>
      </c>
      <c r="F70" s="106" t="s">
        <v>1681</v>
      </c>
      <c r="G70" s="96">
        <v>118979.94</v>
      </c>
    </row>
    <row r="71" spans="1:7" x14ac:dyDescent="0.25">
      <c r="A71" s="2"/>
      <c r="B71" s="104"/>
      <c r="C71" s="114" t="s">
        <v>221</v>
      </c>
      <c r="D71" s="104" t="s">
        <v>863</v>
      </c>
      <c r="E71" s="105">
        <v>42781</v>
      </c>
      <c r="F71" s="106" t="s">
        <v>1682</v>
      </c>
      <c r="G71" s="96">
        <v>101353.27</v>
      </c>
    </row>
    <row r="72" spans="1:7" x14ac:dyDescent="0.25">
      <c r="A72" s="104" t="s">
        <v>1683</v>
      </c>
      <c r="G72" s="96">
        <v>220333.21</v>
      </c>
    </row>
    <row r="73" spans="1:7" x14ac:dyDescent="0.25">
      <c r="A73" s="104"/>
      <c r="G73" s="96"/>
    </row>
    <row r="74" spans="1:7" x14ac:dyDescent="0.25">
      <c r="A74" s="104" t="s">
        <v>740</v>
      </c>
      <c r="G74" s="96"/>
    </row>
    <row r="75" spans="1:7" ht="45" x14ac:dyDescent="0.25">
      <c r="A75" s="107" t="s">
        <v>741</v>
      </c>
      <c r="B75" s="107"/>
      <c r="C75" s="107"/>
      <c r="D75" s="107"/>
      <c r="E75" s="107"/>
      <c r="F75" s="107"/>
      <c r="G75" s="96"/>
    </row>
    <row r="76" spans="1:7" x14ac:dyDescent="0.25">
      <c r="A76" s="115" t="s">
        <v>295</v>
      </c>
      <c r="B76" s="104" t="s">
        <v>1089</v>
      </c>
      <c r="C76" s="120">
        <v>1</v>
      </c>
      <c r="D76" s="120"/>
      <c r="E76" s="120"/>
      <c r="F76" s="120"/>
      <c r="G76" s="96"/>
    </row>
    <row r="77" spans="1:7" x14ac:dyDescent="0.25">
      <c r="A77" s="2"/>
      <c r="B77" s="104"/>
      <c r="C77" s="114" t="s">
        <v>103</v>
      </c>
      <c r="D77" s="104" t="s">
        <v>863</v>
      </c>
      <c r="E77" s="105">
        <v>42662</v>
      </c>
      <c r="F77" s="106" t="s">
        <v>1078</v>
      </c>
      <c r="G77" s="96">
        <v>84410.66</v>
      </c>
    </row>
    <row r="78" spans="1:7" x14ac:dyDescent="0.25">
      <c r="A78" s="2"/>
      <c r="B78" s="104"/>
      <c r="C78" s="114" t="s">
        <v>221</v>
      </c>
      <c r="D78" s="104" t="s">
        <v>863</v>
      </c>
      <c r="E78" s="105">
        <v>42662</v>
      </c>
      <c r="F78" s="106" t="s">
        <v>1078</v>
      </c>
      <c r="G78" s="96">
        <v>84410.66</v>
      </c>
    </row>
    <row r="79" spans="1:7" x14ac:dyDescent="0.25">
      <c r="A79" s="2"/>
      <c r="B79" s="104"/>
      <c r="C79" s="114" t="s">
        <v>55</v>
      </c>
      <c r="D79" s="104" t="s">
        <v>863</v>
      </c>
      <c r="E79" s="105">
        <v>42662</v>
      </c>
      <c r="F79" s="106" t="s">
        <v>1078</v>
      </c>
      <c r="G79" s="96">
        <v>84410.66</v>
      </c>
    </row>
    <row r="80" spans="1:7" x14ac:dyDescent="0.25">
      <c r="A80" s="2"/>
      <c r="B80" s="104"/>
      <c r="C80" s="114" t="s">
        <v>215</v>
      </c>
      <c r="D80" s="104" t="s">
        <v>2238</v>
      </c>
      <c r="E80" s="105">
        <v>42744</v>
      </c>
      <c r="F80" s="106" t="s">
        <v>1078</v>
      </c>
      <c r="G80" s="96">
        <v>84410.66</v>
      </c>
    </row>
    <row r="81" spans="1:7" x14ac:dyDescent="0.25">
      <c r="A81" s="104" t="s">
        <v>1261</v>
      </c>
      <c r="G81" s="96">
        <v>337642.64</v>
      </c>
    </row>
    <row r="82" spans="1:7" x14ac:dyDescent="0.25">
      <c r="A82" s="104"/>
      <c r="G82" s="96"/>
    </row>
    <row r="83" spans="1:7" x14ac:dyDescent="0.25">
      <c r="A83" s="104" t="s">
        <v>287</v>
      </c>
      <c r="G83" s="96"/>
    </row>
    <row r="84" spans="1:7" ht="45" x14ac:dyDescent="0.25">
      <c r="A84" s="107" t="s">
        <v>692</v>
      </c>
      <c r="B84" s="107"/>
      <c r="C84" s="107"/>
      <c r="D84" s="107"/>
      <c r="E84" s="107"/>
      <c r="F84" s="107"/>
      <c r="G84" s="96"/>
    </row>
    <row r="85" spans="1:7" x14ac:dyDescent="0.25">
      <c r="A85" s="115" t="s">
        <v>286</v>
      </c>
      <c r="B85" s="104" t="s">
        <v>1090</v>
      </c>
      <c r="C85" s="120">
        <v>1</v>
      </c>
      <c r="D85" s="120"/>
      <c r="E85" s="120"/>
      <c r="F85" s="120"/>
      <c r="G85" s="96"/>
    </row>
    <row r="86" spans="1:7" x14ac:dyDescent="0.25">
      <c r="A86" s="2"/>
      <c r="B86" s="104"/>
      <c r="C86" s="114" t="s">
        <v>23</v>
      </c>
      <c r="D86" s="104" t="s">
        <v>863</v>
      </c>
      <c r="E86" s="105">
        <v>42551</v>
      </c>
      <c r="F86" s="106"/>
      <c r="G86" s="96">
        <v>18932</v>
      </c>
    </row>
    <row r="87" spans="1:7" x14ac:dyDescent="0.25">
      <c r="A87" s="2"/>
      <c r="B87" s="104"/>
      <c r="C87" s="114" t="s">
        <v>103</v>
      </c>
      <c r="D87" s="104" t="s">
        <v>863</v>
      </c>
      <c r="E87" s="105">
        <v>42632</v>
      </c>
      <c r="F87" s="106" t="s">
        <v>1262</v>
      </c>
      <c r="G87" s="96">
        <v>135931.76999999999</v>
      </c>
    </row>
    <row r="88" spans="1:7" x14ac:dyDescent="0.25">
      <c r="A88" s="2"/>
      <c r="B88" s="104"/>
      <c r="C88" s="114" t="s">
        <v>221</v>
      </c>
      <c r="D88" s="104" t="s">
        <v>2238</v>
      </c>
      <c r="E88" s="105">
        <v>42741</v>
      </c>
      <c r="F88" s="106" t="s">
        <v>1091</v>
      </c>
      <c r="G88" s="96">
        <v>33982.949999999997</v>
      </c>
    </row>
    <row r="89" spans="1:7" x14ac:dyDescent="0.25">
      <c r="A89" s="104" t="s">
        <v>1092</v>
      </c>
      <c r="G89" s="96">
        <v>188846.72</v>
      </c>
    </row>
    <row r="90" spans="1:7" x14ac:dyDescent="0.25">
      <c r="A90" s="104"/>
      <c r="G90" s="96"/>
    </row>
    <row r="91" spans="1:7" x14ac:dyDescent="0.25">
      <c r="A91" s="104" t="s">
        <v>691</v>
      </c>
      <c r="G91" s="96"/>
    </row>
    <row r="92" spans="1:7" ht="60" x14ac:dyDescent="0.25">
      <c r="A92" s="107" t="s">
        <v>689</v>
      </c>
      <c r="B92" s="107"/>
      <c r="C92" s="107"/>
      <c r="D92" s="107"/>
      <c r="E92" s="107"/>
      <c r="F92" s="107"/>
      <c r="G92" s="96"/>
    </row>
    <row r="93" spans="1:7" x14ac:dyDescent="0.25">
      <c r="A93" s="115" t="s">
        <v>690</v>
      </c>
      <c r="B93" s="104" t="s">
        <v>1263</v>
      </c>
      <c r="C93" s="120">
        <v>0.97</v>
      </c>
      <c r="D93" s="120"/>
      <c r="E93" s="120"/>
      <c r="F93" s="120"/>
      <c r="G93" s="96"/>
    </row>
    <row r="94" spans="1:7" x14ac:dyDescent="0.25">
      <c r="A94" s="2"/>
      <c r="B94" s="104"/>
      <c r="C94" s="114" t="s">
        <v>103</v>
      </c>
      <c r="D94" s="104" t="s">
        <v>863</v>
      </c>
      <c r="E94" s="105">
        <v>42605</v>
      </c>
      <c r="F94" s="106" t="s">
        <v>1264</v>
      </c>
      <c r="G94" s="96">
        <v>51759.519999999997</v>
      </c>
    </row>
    <row r="95" spans="1:7" x14ac:dyDescent="0.25">
      <c r="A95" s="2"/>
      <c r="B95" s="104"/>
      <c r="C95" s="114" t="s">
        <v>221</v>
      </c>
      <c r="D95" s="104" t="s">
        <v>863</v>
      </c>
      <c r="E95" s="105">
        <v>42486</v>
      </c>
      <c r="F95" s="106" t="s">
        <v>1265</v>
      </c>
      <c r="G95" s="96">
        <v>36254.379999999997</v>
      </c>
    </row>
    <row r="96" spans="1:7" x14ac:dyDescent="0.25">
      <c r="A96" s="2"/>
      <c r="B96" s="104"/>
      <c r="C96" s="114" t="s">
        <v>55</v>
      </c>
      <c r="D96" s="104" t="s">
        <v>863</v>
      </c>
      <c r="E96" s="105">
        <v>42632</v>
      </c>
      <c r="F96" s="106" t="s">
        <v>1266</v>
      </c>
      <c r="G96" s="96">
        <v>16362.1</v>
      </c>
    </row>
    <row r="97" spans="1:7" x14ac:dyDescent="0.25">
      <c r="A97" s="2"/>
      <c r="B97" s="104"/>
      <c r="C97" s="114" t="s">
        <v>215</v>
      </c>
      <c r="D97" s="104" t="s">
        <v>863</v>
      </c>
      <c r="E97" s="105">
        <v>42662</v>
      </c>
      <c r="F97" s="106" t="s">
        <v>1267</v>
      </c>
      <c r="G97" s="96">
        <v>3100.58</v>
      </c>
    </row>
    <row r="98" spans="1:7" x14ac:dyDescent="0.25">
      <c r="A98" s="104" t="s">
        <v>1268</v>
      </c>
      <c r="G98" s="96">
        <v>107476.58</v>
      </c>
    </row>
    <row r="99" spans="1:7" x14ac:dyDescent="0.25">
      <c r="A99" s="104"/>
      <c r="G99" s="96"/>
    </row>
    <row r="100" spans="1:7" x14ac:dyDescent="0.25">
      <c r="A100" s="104" t="s">
        <v>296</v>
      </c>
      <c r="G100" s="96"/>
    </row>
    <row r="101" spans="1:7" ht="75" x14ac:dyDescent="0.25">
      <c r="A101" s="107" t="s">
        <v>484</v>
      </c>
      <c r="B101" s="107"/>
      <c r="C101" s="107"/>
      <c r="D101" s="107"/>
      <c r="E101" s="107"/>
      <c r="F101" s="107"/>
      <c r="G101" s="96"/>
    </row>
    <row r="102" spans="1:7" x14ac:dyDescent="0.25">
      <c r="A102" s="115" t="s">
        <v>295</v>
      </c>
      <c r="B102" s="104" t="s">
        <v>1089</v>
      </c>
      <c r="C102" s="120">
        <v>1</v>
      </c>
      <c r="D102" s="120"/>
      <c r="E102" s="120"/>
      <c r="F102" s="120"/>
      <c r="G102" s="96"/>
    </row>
    <row r="103" spans="1:7" x14ac:dyDescent="0.25">
      <c r="A103" s="2"/>
      <c r="B103" s="104"/>
      <c r="C103" s="114" t="s">
        <v>103</v>
      </c>
      <c r="D103" s="104" t="s">
        <v>863</v>
      </c>
      <c r="E103" s="105">
        <v>42662</v>
      </c>
      <c r="F103" s="106" t="s">
        <v>1078</v>
      </c>
      <c r="G103" s="96">
        <v>84410.66</v>
      </c>
    </row>
    <row r="104" spans="1:7" x14ac:dyDescent="0.25">
      <c r="A104" s="2"/>
      <c r="B104" s="104"/>
      <c r="C104" s="114" t="s">
        <v>221</v>
      </c>
      <c r="D104" s="104" t="s">
        <v>863</v>
      </c>
      <c r="E104" s="105">
        <v>42664</v>
      </c>
      <c r="F104" s="106" t="s">
        <v>1078</v>
      </c>
      <c r="G104" s="96">
        <v>84410.66</v>
      </c>
    </row>
    <row r="105" spans="1:7" x14ac:dyDescent="0.25">
      <c r="A105" s="2"/>
      <c r="B105" s="104"/>
      <c r="C105" s="114" t="s">
        <v>55</v>
      </c>
      <c r="D105" s="104" t="s">
        <v>863</v>
      </c>
      <c r="E105" s="105">
        <v>42781</v>
      </c>
      <c r="F105" s="106" t="s">
        <v>1078</v>
      </c>
      <c r="G105" s="96">
        <v>84410.66</v>
      </c>
    </row>
    <row r="106" spans="1:7" x14ac:dyDescent="0.25">
      <c r="A106" s="2"/>
      <c r="B106" s="104"/>
      <c r="C106" s="114" t="s">
        <v>215</v>
      </c>
      <c r="D106" s="104" t="s">
        <v>2238</v>
      </c>
      <c r="E106" s="105">
        <v>42744</v>
      </c>
      <c r="F106" s="106" t="s">
        <v>1078</v>
      </c>
      <c r="G106" s="96">
        <v>84410.66</v>
      </c>
    </row>
    <row r="107" spans="1:7" x14ac:dyDescent="0.25">
      <c r="A107" s="104" t="s">
        <v>1093</v>
      </c>
      <c r="G107" s="96">
        <v>337642.64</v>
      </c>
    </row>
    <row r="108" spans="1:7" x14ac:dyDescent="0.25">
      <c r="A108" s="104"/>
      <c r="G108" s="96"/>
    </row>
    <row r="109" spans="1:7" x14ac:dyDescent="0.25">
      <c r="A109" s="104" t="s">
        <v>451</v>
      </c>
      <c r="G109" s="96"/>
    </row>
    <row r="110" spans="1:7" ht="60" x14ac:dyDescent="0.25">
      <c r="A110" s="107" t="s">
        <v>453</v>
      </c>
      <c r="B110" s="107"/>
      <c r="C110" s="107"/>
      <c r="D110" s="107"/>
      <c r="E110" s="107"/>
      <c r="F110" s="107"/>
      <c r="G110" s="96"/>
    </row>
    <row r="111" spans="1:7" x14ac:dyDescent="0.25">
      <c r="A111" s="115" t="s">
        <v>452</v>
      </c>
      <c r="B111" s="104" t="s">
        <v>1094</v>
      </c>
      <c r="C111" s="120">
        <v>1</v>
      </c>
      <c r="D111" s="120"/>
      <c r="E111" s="120"/>
      <c r="F111" s="120"/>
      <c r="G111" s="96"/>
    </row>
    <row r="112" spans="1:7" x14ac:dyDescent="0.25">
      <c r="A112" s="2"/>
      <c r="B112" s="104"/>
      <c r="C112" s="114" t="s">
        <v>23</v>
      </c>
      <c r="D112" s="104" t="s">
        <v>863</v>
      </c>
      <c r="E112" s="105">
        <v>42549</v>
      </c>
      <c r="F112" s="106"/>
      <c r="G112" s="96">
        <v>229909.48</v>
      </c>
    </row>
    <row r="113" spans="1:7" x14ac:dyDescent="0.25">
      <c r="A113" s="2"/>
      <c r="B113" s="104"/>
      <c r="C113" s="114" t="s">
        <v>103</v>
      </c>
      <c r="D113" s="104" t="s">
        <v>863</v>
      </c>
      <c r="E113" s="105">
        <v>42664</v>
      </c>
      <c r="F113" s="106" t="s">
        <v>1269</v>
      </c>
      <c r="G113" s="96">
        <v>57157.2</v>
      </c>
    </row>
    <row r="114" spans="1:7" x14ac:dyDescent="0.25">
      <c r="A114" s="2"/>
      <c r="B114" s="104"/>
      <c r="C114" s="114" t="s">
        <v>221</v>
      </c>
      <c r="D114" s="104" t="s">
        <v>863</v>
      </c>
      <c r="E114" s="105">
        <v>42664</v>
      </c>
      <c r="F114" s="106" t="s">
        <v>1095</v>
      </c>
      <c r="G114" s="96">
        <v>364609.43</v>
      </c>
    </row>
    <row r="115" spans="1:7" x14ac:dyDescent="0.25">
      <c r="A115" s="2"/>
      <c r="B115" s="104"/>
      <c r="C115" s="114" t="s">
        <v>55</v>
      </c>
      <c r="D115" s="104" t="s">
        <v>863</v>
      </c>
      <c r="E115" s="105">
        <v>42671</v>
      </c>
      <c r="F115" s="106" t="s">
        <v>1318</v>
      </c>
      <c r="G115" s="96">
        <v>355117.63</v>
      </c>
    </row>
    <row r="116" spans="1:7" x14ac:dyDescent="0.25">
      <c r="A116" s="2"/>
      <c r="B116" s="104"/>
      <c r="C116" s="114" t="s">
        <v>215</v>
      </c>
      <c r="D116" s="104" t="s">
        <v>863</v>
      </c>
      <c r="E116" s="105">
        <v>42671</v>
      </c>
      <c r="F116" s="106" t="s">
        <v>1318</v>
      </c>
      <c r="G116" s="96">
        <v>355117.63</v>
      </c>
    </row>
    <row r="117" spans="1:7" x14ac:dyDescent="0.25">
      <c r="A117" s="2"/>
      <c r="B117" s="104"/>
      <c r="C117" s="114" t="s">
        <v>15</v>
      </c>
      <c r="D117" s="104" t="s">
        <v>863</v>
      </c>
      <c r="E117" s="105">
        <v>42697</v>
      </c>
      <c r="F117" s="106" t="s">
        <v>1095</v>
      </c>
      <c r="G117" s="96">
        <v>364609.43</v>
      </c>
    </row>
    <row r="118" spans="1:7" x14ac:dyDescent="0.25">
      <c r="A118" s="2"/>
      <c r="B118" s="104"/>
      <c r="C118" s="114" t="s">
        <v>214</v>
      </c>
      <c r="D118" s="104" t="s">
        <v>863</v>
      </c>
      <c r="E118" s="105">
        <v>42781</v>
      </c>
      <c r="F118" s="106" t="s">
        <v>1318</v>
      </c>
      <c r="G118" s="96">
        <v>355117.63</v>
      </c>
    </row>
    <row r="119" spans="1:7" x14ac:dyDescent="0.25">
      <c r="A119" s="2"/>
      <c r="B119" s="104"/>
      <c r="C119" s="114" t="s">
        <v>218</v>
      </c>
      <c r="D119" s="104" t="s">
        <v>863</v>
      </c>
      <c r="E119" s="105">
        <v>42781</v>
      </c>
      <c r="F119" s="106" t="s">
        <v>2078</v>
      </c>
      <c r="G119" s="96">
        <v>211708.68</v>
      </c>
    </row>
    <row r="120" spans="1:7" x14ac:dyDescent="0.25">
      <c r="A120" s="104" t="s">
        <v>1096</v>
      </c>
      <c r="G120" s="96">
        <v>2293347.11</v>
      </c>
    </row>
    <row r="121" spans="1:7" x14ac:dyDescent="0.25">
      <c r="A121" s="104"/>
      <c r="G121" s="96"/>
    </row>
    <row r="122" spans="1:7" x14ac:dyDescent="0.25">
      <c r="A122" s="104" t="s">
        <v>421</v>
      </c>
      <c r="G122" s="96"/>
    </row>
    <row r="123" spans="1:7" ht="60" x14ac:dyDescent="0.25">
      <c r="A123" s="107" t="s">
        <v>420</v>
      </c>
      <c r="B123" s="107"/>
      <c r="C123" s="107"/>
      <c r="D123" s="107"/>
      <c r="E123" s="107"/>
      <c r="F123" s="107"/>
      <c r="G123" s="96"/>
    </row>
    <row r="124" spans="1:7" x14ac:dyDescent="0.25">
      <c r="A124" s="115" t="s">
        <v>418</v>
      </c>
      <c r="B124" s="104" t="s">
        <v>1097</v>
      </c>
      <c r="C124" s="120">
        <v>1</v>
      </c>
      <c r="D124" s="120"/>
      <c r="E124" s="120"/>
      <c r="F124" s="120"/>
      <c r="G124" s="96"/>
    </row>
    <row r="125" spans="1:7" x14ac:dyDescent="0.25">
      <c r="A125" s="2"/>
      <c r="B125" s="104"/>
      <c r="C125" s="114" t="s">
        <v>23</v>
      </c>
      <c r="D125" s="104" t="s">
        <v>863</v>
      </c>
      <c r="E125" s="105">
        <v>42545</v>
      </c>
      <c r="F125" s="106"/>
      <c r="G125" s="96">
        <v>114699.41</v>
      </c>
    </row>
    <row r="126" spans="1:7" x14ac:dyDescent="0.25">
      <c r="A126" s="2"/>
      <c r="B126" s="104"/>
      <c r="C126" s="114" t="s">
        <v>103</v>
      </c>
      <c r="D126" s="104" t="s">
        <v>863</v>
      </c>
      <c r="E126" s="105">
        <v>42671</v>
      </c>
      <c r="F126" s="106" t="s">
        <v>1319</v>
      </c>
      <c r="G126" s="96">
        <v>25559.81</v>
      </c>
    </row>
    <row r="127" spans="1:7" x14ac:dyDescent="0.25">
      <c r="A127" s="2"/>
      <c r="B127" s="104"/>
      <c r="C127" s="114" t="s">
        <v>221</v>
      </c>
      <c r="D127" s="104" t="s">
        <v>863</v>
      </c>
      <c r="E127" s="105">
        <v>42671</v>
      </c>
      <c r="F127" s="106" t="s">
        <v>1098</v>
      </c>
      <c r="G127" s="96">
        <v>175220.52</v>
      </c>
    </row>
    <row r="128" spans="1:7" x14ac:dyDescent="0.25">
      <c r="A128" s="2"/>
      <c r="B128" s="104"/>
      <c r="C128" s="114" t="s">
        <v>55</v>
      </c>
      <c r="D128" s="104" t="s">
        <v>863</v>
      </c>
      <c r="E128" s="105">
        <v>42671</v>
      </c>
      <c r="F128" s="106" t="s">
        <v>1101</v>
      </c>
      <c r="G128" s="96">
        <v>171570</v>
      </c>
    </row>
    <row r="129" spans="1:7" x14ac:dyDescent="0.25">
      <c r="A129" s="2"/>
      <c r="B129" s="104"/>
      <c r="C129" s="114" t="s">
        <v>215</v>
      </c>
      <c r="D129" s="104" t="s">
        <v>863</v>
      </c>
      <c r="E129" s="105">
        <v>42781</v>
      </c>
      <c r="F129" s="106" t="s">
        <v>1716</v>
      </c>
      <c r="G129" s="96">
        <v>182521.41</v>
      </c>
    </row>
    <row r="130" spans="1:7" x14ac:dyDescent="0.25">
      <c r="A130" s="2"/>
      <c r="B130" s="104"/>
      <c r="C130" s="114" t="s">
        <v>15</v>
      </c>
      <c r="D130" s="104" t="s">
        <v>863</v>
      </c>
      <c r="E130" s="105">
        <v>42781</v>
      </c>
      <c r="F130" s="106" t="s">
        <v>1098</v>
      </c>
      <c r="G130" s="96">
        <v>175220.52</v>
      </c>
    </row>
    <row r="131" spans="1:7" x14ac:dyDescent="0.25">
      <c r="A131" s="2"/>
      <c r="B131" s="104"/>
      <c r="C131" s="114" t="s">
        <v>214</v>
      </c>
      <c r="D131" s="104" t="s">
        <v>863</v>
      </c>
      <c r="E131" s="105">
        <v>42781</v>
      </c>
      <c r="F131" s="106" t="s">
        <v>1101</v>
      </c>
      <c r="G131" s="96">
        <v>171570</v>
      </c>
    </row>
    <row r="132" spans="1:7" x14ac:dyDescent="0.25">
      <c r="A132" s="2"/>
      <c r="B132" s="104"/>
      <c r="C132" s="114" t="s">
        <v>218</v>
      </c>
      <c r="D132" s="104" t="s">
        <v>2238</v>
      </c>
      <c r="E132" s="105">
        <v>42741</v>
      </c>
      <c r="F132" s="106" t="s">
        <v>2079</v>
      </c>
      <c r="G132" s="96">
        <v>127764.97</v>
      </c>
    </row>
    <row r="133" spans="1:7" x14ac:dyDescent="0.25">
      <c r="A133" s="104" t="s">
        <v>1099</v>
      </c>
      <c r="G133" s="96">
        <v>1144126.6399999999</v>
      </c>
    </row>
    <row r="134" spans="1:7" x14ac:dyDescent="0.25">
      <c r="A134" s="104"/>
      <c r="G134" s="96"/>
    </row>
    <row r="135" spans="1:7" x14ac:dyDescent="0.25">
      <c r="A135" s="104" t="s">
        <v>320</v>
      </c>
      <c r="G135" s="96"/>
    </row>
    <row r="136" spans="1:7" ht="90" x14ac:dyDescent="0.25">
      <c r="A136" s="107" t="s">
        <v>321</v>
      </c>
      <c r="B136" s="107"/>
      <c r="C136" s="107"/>
      <c r="D136" s="107"/>
      <c r="E136" s="107"/>
      <c r="F136" s="107"/>
      <c r="G136" s="96"/>
    </row>
    <row r="137" spans="1:7" ht="30" x14ac:dyDescent="0.25">
      <c r="A137" s="115" t="s">
        <v>489</v>
      </c>
      <c r="B137" s="104" t="s">
        <v>1100</v>
      </c>
      <c r="C137" s="120">
        <v>1</v>
      </c>
      <c r="D137" s="120"/>
      <c r="E137" s="120"/>
      <c r="F137" s="120"/>
      <c r="G137" s="96"/>
    </row>
    <row r="138" spans="1:7" x14ac:dyDescent="0.25">
      <c r="A138" s="2"/>
      <c r="B138" s="104"/>
      <c r="C138" s="114" t="s">
        <v>23</v>
      </c>
      <c r="D138" s="104" t="s">
        <v>863</v>
      </c>
      <c r="E138" s="105">
        <v>42537</v>
      </c>
      <c r="F138" s="106"/>
      <c r="G138" s="96">
        <v>164826.6</v>
      </c>
    </row>
    <row r="139" spans="1:7" x14ac:dyDescent="0.25">
      <c r="A139" s="2"/>
      <c r="B139" s="104"/>
      <c r="C139" s="114" t="s">
        <v>103</v>
      </c>
      <c r="D139" s="104" t="s">
        <v>863</v>
      </c>
      <c r="E139" s="105">
        <v>42664</v>
      </c>
      <c r="F139" s="106" t="s">
        <v>1101</v>
      </c>
      <c r="G139" s="96">
        <v>246553.13</v>
      </c>
    </row>
    <row r="140" spans="1:7" x14ac:dyDescent="0.25">
      <c r="A140" s="2"/>
      <c r="B140" s="104"/>
      <c r="C140" s="114" t="s">
        <v>221</v>
      </c>
      <c r="D140" s="104" t="s">
        <v>863</v>
      </c>
      <c r="E140" s="105">
        <v>42697</v>
      </c>
      <c r="F140" s="106" t="s">
        <v>1101</v>
      </c>
      <c r="G140" s="96">
        <v>246553.13</v>
      </c>
    </row>
    <row r="141" spans="1:7" x14ac:dyDescent="0.25">
      <c r="A141" s="2"/>
      <c r="B141" s="104"/>
      <c r="C141" s="114" t="s">
        <v>55</v>
      </c>
      <c r="D141" s="104" t="s">
        <v>863</v>
      </c>
      <c r="E141" s="105">
        <v>42781</v>
      </c>
      <c r="F141" s="106" t="s">
        <v>1101</v>
      </c>
      <c r="G141" s="96">
        <v>246553.13</v>
      </c>
    </row>
    <row r="142" spans="1:7" x14ac:dyDescent="0.25">
      <c r="A142" s="2"/>
      <c r="B142" s="104"/>
      <c r="C142" s="114" t="s">
        <v>215</v>
      </c>
      <c r="D142" s="104" t="s">
        <v>863</v>
      </c>
      <c r="E142" s="105">
        <v>42781</v>
      </c>
      <c r="F142" s="106" t="s">
        <v>1101</v>
      </c>
      <c r="G142" s="96">
        <v>246553.13</v>
      </c>
    </row>
    <row r="143" spans="1:7" x14ac:dyDescent="0.25">
      <c r="A143" s="2"/>
      <c r="B143" s="104"/>
      <c r="C143" s="114" t="s">
        <v>15</v>
      </c>
      <c r="D143" s="104" t="s">
        <v>863</v>
      </c>
      <c r="E143" s="105">
        <v>42781</v>
      </c>
      <c r="F143" s="106" t="s">
        <v>1101</v>
      </c>
      <c r="G143" s="96">
        <v>246553.13</v>
      </c>
    </row>
    <row r="144" spans="1:7" x14ac:dyDescent="0.25">
      <c r="A144" s="2"/>
      <c r="B144" s="104"/>
      <c r="C144" s="114" t="s">
        <v>214</v>
      </c>
      <c r="D144" s="104" t="s">
        <v>2238</v>
      </c>
      <c r="E144" s="105">
        <v>42741</v>
      </c>
      <c r="F144" s="106" t="s">
        <v>1101</v>
      </c>
      <c r="G144" s="96">
        <v>246553.1</v>
      </c>
    </row>
    <row r="145" spans="1:7" x14ac:dyDescent="0.25">
      <c r="A145" s="104" t="s">
        <v>1102</v>
      </c>
      <c r="G145" s="96">
        <v>1644145.35</v>
      </c>
    </row>
    <row r="146" spans="1:7" x14ac:dyDescent="0.25">
      <c r="A146" s="104"/>
      <c r="G146" s="96"/>
    </row>
    <row r="147" spans="1:7" x14ac:dyDescent="0.25">
      <c r="A147" s="104" t="s">
        <v>436</v>
      </c>
      <c r="G147" s="96"/>
    </row>
    <row r="148" spans="1:7" ht="75" x14ac:dyDescent="0.25">
      <c r="A148" s="107" t="s">
        <v>435</v>
      </c>
      <c r="B148" s="107"/>
      <c r="C148" s="107"/>
      <c r="D148" s="107"/>
      <c r="E148" s="107"/>
      <c r="F148" s="107"/>
      <c r="G148" s="96"/>
    </row>
    <row r="149" spans="1:7" ht="30" x14ac:dyDescent="0.25">
      <c r="A149" s="115" t="s">
        <v>432</v>
      </c>
      <c r="B149" s="104" t="s">
        <v>1270</v>
      </c>
      <c r="C149" s="120">
        <v>0.17</v>
      </c>
      <c r="D149" s="120"/>
      <c r="E149" s="120"/>
      <c r="F149" s="120"/>
      <c r="G149" s="96"/>
    </row>
    <row r="150" spans="1:7" x14ac:dyDescent="0.25">
      <c r="A150" s="2"/>
      <c r="B150" s="104"/>
      <c r="C150" s="114" t="s">
        <v>23</v>
      </c>
      <c r="D150" s="104" t="s">
        <v>863</v>
      </c>
      <c r="E150" s="105">
        <v>42551</v>
      </c>
      <c r="F150" s="106"/>
      <c r="G150" s="96">
        <v>338999.93</v>
      </c>
    </row>
    <row r="151" spans="1:7" x14ac:dyDescent="0.25">
      <c r="A151" s="2"/>
      <c r="B151" s="104"/>
      <c r="C151" s="114" t="s">
        <v>103</v>
      </c>
      <c r="D151" s="104" t="s">
        <v>2238</v>
      </c>
      <c r="E151" s="105">
        <v>42741</v>
      </c>
      <c r="F151" s="106" t="s">
        <v>1101</v>
      </c>
      <c r="G151" s="96">
        <v>507087.4</v>
      </c>
    </row>
    <row r="152" spans="1:7" x14ac:dyDescent="0.25">
      <c r="A152" s="104" t="s">
        <v>1271</v>
      </c>
      <c r="G152" s="96">
        <v>846087.33</v>
      </c>
    </row>
    <row r="153" spans="1:7" x14ac:dyDescent="0.25">
      <c r="A153" s="104"/>
      <c r="G153" s="96"/>
    </row>
    <row r="154" spans="1:7" x14ac:dyDescent="0.25">
      <c r="A154" s="104" t="s">
        <v>291</v>
      </c>
      <c r="G154" s="96"/>
    </row>
    <row r="155" spans="1:7" ht="60" x14ac:dyDescent="0.25">
      <c r="A155" s="107" t="s">
        <v>288</v>
      </c>
      <c r="B155" s="107"/>
      <c r="C155" s="107"/>
      <c r="D155" s="107"/>
      <c r="E155" s="107"/>
      <c r="F155" s="107"/>
      <c r="G155" s="96"/>
    </row>
    <row r="156" spans="1:7" x14ac:dyDescent="0.25">
      <c r="A156" s="115" t="s">
        <v>289</v>
      </c>
      <c r="B156" s="104" t="s">
        <v>1103</v>
      </c>
      <c r="C156" s="120">
        <v>0.96</v>
      </c>
      <c r="D156" s="120"/>
      <c r="E156" s="120"/>
      <c r="F156" s="120"/>
      <c r="G156" s="96"/>
    </row>
    <row r="157" spans="1:7" x14ac:dyDescent="0.25">
      <c r="A157" s="2"/>
      <c r="B157" s="104"/>
      <c r="C157" s="114" t="s">
        <v>23</v>
      </c>
      <c r="D157" s="104" t="s">
        <v>863</v>
      </c>
      <c r="E157" s="105">
        <v>42541</v>
      </c>
      <c r="F157" s="106"/>
      <c r="G157" s="96">
        <v>244513.89</v>
      </c>
    </row>
    <row r="158" spans="1:7" x14ac:dyDescent="0.25">
      <c r="A158" s="2"/>
      <c r="B158" s="104"/>
      <c r="C158" s="114" t="s">
        <v>103</v>
      </c>
      <c r="D158" s="104" t="s">
        <v>863</v>
      </c>
      <c r="E158" s="105">
        <v>42627</v>
      </c>
      <c r="F158" s="106" t="s">
        <v>1101</v>
      </c>
      <c r="G158" s="96">
        <v>365752.04</v>
      </c>
    </row>
    <row r="159" spans="1:7" x14ac:dyDescent="0.25">
      <c r="A159" s="2"/>
      <c r="B159" s="104"/>
      <c r="C159" s="114" t="s">
        <v>221</v>
      </c>
      <c r="D159" s="104" t="s">
        <v>863</v>
      </c>
      <c r="E159" s="105">
        <v>42671</v>
      </c>
      <c r="F159" s="106" t="s">
        <v>1101</v>
      </c>
      <c r="G159" s="96">
        <v>365752.04</v>
      </c>
    </row>
    <row r="160" spans="1:7" x14ac:dyDescent="0.25">
      <c r="A160" s="2"/>
      <c r="B160" s="104"/>
      <c r="C160" s="114" t="s">
        <v>55</v>
      </c>
      <c r="D160" s="104" t="s">
        <v>863</v>
      </c>
      <c r="E160" s="105">
        <v>42697</v>
      </c>
      <c r="F160" s="106" t="s">
        <v>1101</v>
      </c>
      <c r="G160" s="96">
        <v>365752.04</v>
      </c>
    </row>
    <row r="161" spans="1:7" x14ac:dyDescent="0.25">
      <c r="A161" s="2"/>
      <c r="B161" s="104"/>
      <c r="C161" s="114" t="s">
        <v>215</v>
      </c>
      <c r="D161" s="104" t="s">
        <v>863</v>
      </c>
      <c r="E161" s="105">
        <v>42781</v>
      </c>
      <c r="F161" s="106" t="s">
        <v>1101</v>
      </c>
      <c r="G161" s="96">
        <v>365752.04</v>
      </c>
    </row>
    <row r="162" spans="1:7" x14ac:dyDescent="0.25">
      <c r="A162" s="2"/>
      <c r="B162" s="104"/>
      <c r="C162" s="114" t="s">
        <v>15</v>
      </c>
      <c r="D162" s="104" t="s">
        <v>863</v>
      </c>
      <c r="E162" s="105">
        <v>42781</v>
      </c>
      <c r="F162" s="106" t="s">
        <v>1101</v>
      </c>
      <c r="G162" s="96">
        <v>365752.04</v>
      </c>
    </row>
    <row r="163" spans="1:7" x14ac:dyDescent="0.25">
      <c r="A163" s="2"/>
      <c r="B163" s="104"/>
      <c r="C163" s="114" t="s">
        <v>214</v>
      </c>
      <c r="D163" s="104" t="s">
        <v>863</v>
      </c>
      <c r="E163" s="105">
        <v>42781</v>
      </c>
      <c r="F163" s="106" t="s">
        <v>1946</v>
      </c>
      <c r="G163" s="96">
        <v>143335.26999999999</v>
      </c>
    </row>
    <row r="164" spans="1:7" x14ac:dyDescent="0.25">
      <c r="A164" s="2"/>
      <c r="B164" s="104"/>
      <c r="C164" s="114" t="s">
        <v>218</v>
      </c>
      <c r="D164" s="104" t="s">
        <v>2238</v>
      </c>
      <c r="E164" s="105">
        <v>42741</v>
      </c>
      <c r="F164" s="106" t="s">
        <v>1946</v>
      </c>
      <c r="G164" s="96">
        <v>143335.26999999999</v>
      </c>
    </row>
    <row r="165" spans="1:7" x14ac:dyDescent="0.25">
      <c r="A165" s="104" t="s">
        <v>1104</v>
      </c>
      <c r="G165" s="96">
        <v>2359944.63</v>
      </c>
    </row>
    <row r="166" spans="1:7" x14ac:dyDescent="0.25">
      <c r="A166" s="104"/>
      <c r="G166" s="96"/>
    </row>
    <row r="167" spans="1:7" x14ac:dyDescent="0.25">
      <c r="A167" s="104" t="s">
        <v>428</v>
      </c>
      <c r="G167" s="96"/>
    </row>
    <row r="168" spans="1:7" ht="60" x14ac:dyDescent="0.25">
      <c r="A168" s="107" t="s">
        <v>430</v>
      </c>
      <c r="B168" s="107"/>
      <c r="C168" s="107"/>
      <c r="D168" s="107"/>
      <c r="E168" s="107"/>
      <c r="F168" s="107"/>
      <c r="G168" s="96"/>
    </row>
    <row r="169" spans="1:7" x14ac:dyDescent="0.25">
      <c r="A169" s="115" t="s">
        <v>443</v>
      </c>
      <c r="B169" s="104" t="s">
        <v>1105</v>
      </c>
      <c r="C169" s="120">
        <v>1</v>
      </c>
      <c r="D169" s="120"/>
      <c r="E169" s="120"/>
      <c r="F169" s="120"/>
      <c r="G169" s="96"/>
    </row>
    <row r="170" spans="1:7" x14ac:dyDescent="0.25">
      <c r="A170" s="2"/>
      <c r="B170" s="104"/>
      <c r="C170" s="114" t="s">
        <v>23</v>
      </c>
      <c r="D170" s="104" t="s">
        <v>863</v>
      </c>
      <c r="E170" s="105">
        <v>42632</v>
      </c>
      <c r="F170" s="106"/>
      <c r="G170" s="96">
        <v>194848.69</v>
      </c>
    </row>
    <row r="171" spans="1:7" x14ac:dyDescent="0.25">
      <c r="A171" s="2"/>
      <c r="B171" s="104"/>
      <c r="C171" s="114" t="s">
        <v>103</v>
      </c>
      <c r="D171" s="104" t="s">
        <v>863</v>
      </c>
      <c r="E171" s="105">
        <v>42781</v>
      </c>
      <c r="F171" s="106" t="s">
        <v>1101</v>
      </c>
      <c r="G171" s="96">
        <v>291461.14</v>
      </c>
    </row>
    <row r="172" spans="1:7" x14ac:dyDescent="0.25">
      <c r="A172" s="2"/>
      <c r="B172" s="104"/>
      <c r="C172" s="114" t="s">
        <v>221</v>
      </c>
      <c r="D172" s="104" t="s">
        <v>863</v>
      </c>
      <c r="E172" s="105">
        <v>42781</v>
      </c>
      <c r="F172" s="106" t="s">
        <v>1101</v>
      </c>
      <c r="G172" s="96">
        <v>291461.14</v>
      </c>
    </row>
    <row r="173" spans="1:7" x14ac:dyDescent="0.25">
      <c r="A173" s="2"/>
      <c r="B173" s="104"/>
      <c r="C173" s="114" t="s">
        <v>55</v>
      </c>
      <c r="D173" s="104" t="s">
        <v>863</v>
      </c>
      <c r="E173" s="105">
        <v>42781</v>
      </c>
      <c r="F173" s="106" t="s">
        <v>1101</v>
      </c>
      <c r="G173" s="96">
        <v>291461.14</v>
      </c>
    </row>
    <row r="174" spans="1:7" x14ac:dyDescent="0.25">
      <c r="A174" s="2"/>
      <c r="B174" s="104"/>
      <c r="C174" s="114" t="s">
        <v>215</v>
      </c>
      <c r="D174" s="104" t="s">
        <v>863</v>
      </c>
      <c r="E174" s="105">
        <v>42781</v>
      </c>
      <c r="F174" s="106" t="s">
        <v>1101</v>
      </c>
      <c r="G174" s="96">
        <v>291461.14</v>
      </c>
    </row>
    <row r="175" spans="1:7" x14ac:dyDescent="0.25">
      <c r="A175" s="2"/>
      <c r="B175" s="104"/>
      <c r="C175" s="114" t="s">
        <v>15</v>
      </c>
      <c r="D175" s="104" t="s">
        <v>863</v>
      </c>
      <c r="E175" s="105">
        <v>42781</v>
      </c>
      <c r="F175" s="106" t="s">
        <v>1101</v>
      </c>
      <c r="G175" s="96">
        <v>291461.14</v>
      </c>
    </row>
    <row r="176" spans="1:7" x14ac:dyDescent="0.25">
      <c r="A176" s="2"/>
      <c r="B176" s="104"/>
      <c r="C176" s="114" t="s">
        <v>214</v>
      </c>
      <c r="D176" s="104" t="s">
        <v>2238</v>
      </c>
      <c r="E176" s="105">
        <v>42745</v>
      </c>
      <c r="F176" s="106" t="s">
        <v>1101</v>
      </c>
      <c r="G176" s="96">
        <v>291461.14</v>
      </c>
    </row>
    <row r="177" spans="1:7" x14ac:dyDescent="0.25">
      <c r="A177" s="104" t="s">
        <v>1106</v>
      </c>
      <c r="G177" s="96">
        <v>1943615.53</v>
      </c>
    </row>
    <row r="178" spans="1:7" x14ac:dyDescent="0.25">
      <c r="A178" s="104"/>
      <c r="G178" s="96"/>
    </row>
    <row r="179" spans="1:7" x14ac:dyDescent="0.25">
      <c r="A179" s="104" t="s">
        <v>410</v>
      </c>
      <c r="G179" s="96"/>
    </row>
    <row r="180" spans="1:7" ht="75" x14ac:dyDescent="0.25">
      <c r="A180" s="107" t="s">
        <v>409</v>
      </c>
      <c r="B180" s="107"/>
      <c r="C180" s="107"/>
      <c r="D180" s="107"/>
      <c r="E180" s="107"/>
      <c r="F180" s="107"/>
      <c r="G180" s="96"/>
    </row>
    <row r="181" spans="1:7" x14ac:dyDescent="0.25">
      <c r="A181" s="115" t="s">
        <v>408</v>
      </c>
      <c r="B181" s="104" t="s">
        <v>1108</v>
      </c>
      <c r="C181" s="120">
        <v>0.71</v>
      </c>
      <c r="D181" s="120"/>
      <c r="E181" s="120"/>
      <c r="F181" s="120"/>
      <c r="G181" s="96"/>
    </row>
    <row r="182" spans="1:7" x14ac:dyDescent="0.25">
      <c r="A182" s="2"/>
      <c r="B182" s="104"/>
      <c r="C182" s="114" t="s">
        <v>23</v>
      </c>
      <c r="D182" s="104" t="s">
        <v>863</v>
      </c>
      <c r="E182" s="105">
        <v>42544</v>
      </c>
      <c r="F182" s="106"/>
      <c r="G182" s="96">
        <v>242893.36</v>
      </c>
    </row>
    <row r="183" spans="1:7" x14ac:dyDescent="0.25">
      <c r="A183" s="2"/>
      <c r="B183" s="104"/>
      <c r="C183" s="114" t="s">
        <v>103</v>
      </c>
      <c r="D183" s="104" t="s">
        <v>863</v>
      </c>
      <c r="E183" s="105">
        <v>42671</v>
      </c>
      <c r="F183" s="106" t="s">
        <v>1087</v>
      </c>
      <c r="G183" s="96">
        <v>311423.96999999997</v>
      </c>
    </row>
    <row r="184" spans="1:7" x14ac:dyDescent="0.25">
      <c r="A184" s="2"/>
      <c r="B184" s="104"/>
      <c r="C184" s="114" t="s">
        <v>221</v>
      </c>
      <c r="D184" s="104" t="s">
        <v>863</v>
      </c>
      <c r="E184" s="105">
        <v>42697</v>
      </c>
      <c r="F184" s="106" t="s">
        <v>1087</v>
      </c>
      <c r="G184" s="96">
        <v>311423.96999999997</v>
      </c>
    </row>
    <row r="185" spans="1:7" x14ac:dyDescent="0.25">
      <c r="A185" s="2"/>
      <c r="B185" s="104"/>
      <c r="C185" s="114" t="s">
        <v>55</v>
      </c>
      <c r="D185" s="104" t="s">
        <v>863</v>
      </c>
      <c r="E185" s="105">
        <v>42781</v>
      </c>
      <c r="F185" s="106" t="s">
        <v>1087</v>
      </c>
      <c r="G185" s="96">
        <v>311423.96999999997</v>
      </c>
    </row>
    <row r="186" spans="1:7" x14ac:dyDescent="0.25">
      <c r="A186" s="2"/>
      <c r="B186" s="104"/>
      <c r="C186" s="114" t="s">
        <v>215</v>
      </c>
      <c r="D186" s="104" t="s">
        <v>863</v>
      </c>
      <c r="E186" s="105">
        <v>42781</v>
      </c>
      <c r="F186" s="106" t="s">
        <v>1087</v>
      </c>
      <c r="G186" s="96">
        <v>311423.96999999997</v>
      </c>
    </row>
    <row r="187" spans="1:7" x14ac:dyDescent="0.25">
      <c r="A187" s="2"/>
      <c r="B187" s="104"/>
      <c r="C187" s="114" t="s">
        <v>15</v>
      </c>
      <c r="D187" s="104" t="s">
        <v>2238</v>
      </c>
      <c r="E187" s="105">
        <v>42744</v>
      </c>
      <c r="F187" s="106" t="s">
        <v>1087</v>
      </c>
      <c r="G187" s="96">
        <v>311423.96999999997</v>
      </c>
    </row>
    <row r="188" spans="1:7" x14ac:dyDescent="0.25">
      <c r="A188" s="104" t="s">
        <v>1109</v>
      </c>
      <c r="G188" s="96">
        <v>1800013.21</v>
      </c>
    </row>
    <row r="189" spans="1:7" x14ac:dyDescent="0.25">
      <c r="A189" s="104"/>
      <c r="G189" s="96"/>
    </row>
    <row r="190" spans="1:7" x14ac:dyDescent="0.25">
      <c r="A190" s="104" t="s">
        <v>480</v>
      </c>
      <c r="G190" s="96"/>
    </row>
    <row r="191" spans="1:7" ht="45" x14ac:dyDescent="0.25">
      <c r="A191" s="107" t="s">
        <v>479</v>
      </c>
      <c r="B191" s="107"/>
      <c r="C191" s="107"/>
      <c r="D191" s="107"/>
      <c r="E191" s="107"/>
      <c r="F191" s="107"/>
      <c r="G191" s="96"/>
    </row>
    <row r="192" spans="1:7" x14ac:dyDescent="0.25">
      <c r="A192" s="115" t="s">
        <v>481</v>
      </c>
      <c r="B192" s="104" t="s">
        <v>1272</v>
      </c>
      <c r="C192" s="120">
        <v>0.92</v>
      </c>
      <c r="D192" s="120"/>
      <c r="E192" s="120"/>
      <c r="F192" s="120"/>
      <c r="G192" s="96"/>
    </row>
    <row r="193" spans="1:7" x14ac:dyDescent="0.25">
      <c r="A193" s="2"/>
      <c r="B193" s="104"/>
      <c r="C193" s="114" t="s">
        <v>23</v>
      </c>
      <c r="D193" s="104" t="s">
        <v>863</v>
      </c>
      <c r="E193" s="105">
        <v>42551</v>
      </c>
      <c r="F193" s="106"/>
      <c r="G193" s="96">
        <v>136665.4</v>
      </c>
    </row>
    <row r="194" spans="1:7" x14ac:dyDescent="0.25">
      <c r="A194" s="2"/>
      <c r="B194" s="104"/>
      <c r="C194" s="114" t="s">
        <v>103</v>
      </c>
      <c r="D194" s="104" t="s">
        <v>863</v>
      </c>
      <c r="E194" s="105">
        <v>42662</v>
      </c>
      <c r="F194" s="106" t="s">
        <v>1273</v>
      </c>
      <c r="G194" s="96">
        <v>288077.28000000003</v>
      </c>
    </row>
    <row r="195" spans="1:7" x14ac:dyDescent="0.25">
      <c r="A195" s="2"/>
      <c r="B195" s="104"/>
      <c r="C195" s="114" t="s">
        <v>221</v>
      </c>
      <c r="D195" s="104" t="s">
        <v>863</v>
      </c>
      <c r="E195" s="105">
        <v>42613</v>
      </c>
      <c r="F195" s="106" t="s">
        <v>1274</v>
      </c>
      <c r="G195" s="96">
        <v>270775.76</v>
      </c>
    </row>
    <row r="196" spans="1:7" x14ac:dyDescent="0.25">
      <c r="A196" s="2"/>
      <c r="B196" s="104"/>
      <c r="C196" s="114" t="s">
        <v>55</v>
      </c>
      <c r="D196" s="104" t="s">
        <v>863</v>
      </c>
      <c r="E196" s="105">
        <v>42762</v>
      </c>
      <c r="F196" s="106" t="s">
        <v>1566</v>
      </c>
      <c r="G196" s="96">
        <v>288059.49</v>
      </c>
    </row>
    <row r="197" spans="1:7" x14ac:dyDescent="0.25">
      <c r="A197" s="2"/>
      <c r="B197" s="104"/>
      <c r="C197" s="114" t="s">
        <v>215</v>
      </c>
      <c r="D197" s="104" t="s">
        <v>863</v>
      </c>
      <c r="E197" s="105">
        <v>42762</v>
      </c>
      <c r="F197" s="106" t="s">
        <v>1567</v>
      </c>
      <c r="G197" s="96">
        <v>276537.11</v>
      </c>
    </row>
    <row r="198" spans="1:7" x14ac:dyDescent="0.25">
      <c r="A198" s="104" t="s">
        <v>1275</v>
      </c>
      <c r="G198" s="96">
        <v>1260115.04</v>
      </c>
    </row>
    <row r="199" spans="1:7" x14ac:dyDescent="0.25">
      <c r="A199" s="104"/>
      <c r="G199" s="96"/>
    </row>
    <row r="200" spans="1:7" x14ac:dyDescent="0.25">
      <c r="A200" s="104" t="s">
        <v>437</v>
      </c>
      <c r="G200" s="96"/>
    </row>
    <row r="201" spans="1:7" ht="90" x14ac:dyDescent="0.25">
      <c r="A201" s="107" t="s">
        <v>439</v>
      </c>
      <c r="B201" s="107"/>
      <c r="C201" s="107"/>
      <c r="D201" s="107"/>
      <c r="E201" s="107"/>
      <c r="F201" s="107"/>
      <c r="G201" s="96"/>
    </row>
    <row r="202" spans="1:7" ht="30" x14ac:dyDescent="0.25">
      <c r="A202" s="115" t="s">
        <v>432</v>
      </c>
      <c r="B202" s="104" t="s">
        <v>1110</v>
      </c>
      <c r="C202" s="120">
        <v>0.5</v>
      </c>
      <c r="D202" s="120"/>
      <c r="E202" s="120"/>
      <c r="F202" s="120"/>
      <c r="G202" s="96"/>
    </row>
    <row r="203" spans="1:7" x14ac:dyDescent="0.25">
      <c r="A203" s="2"/>
      <c r="B203" s="104"/>
      <c r="C203" s="114" t="s">
        <v>23</v>
      </c>
      <c r="D203" s="104" t="s">
        <v>863</v>
      </c>
      <c r="E203" s="105">
        <v>42632</v>
      </c>
      <c r="F203" s="106"/>
      <c r="G203" s="96">
        <v>102899.03</v>
      </c>
    </row>
    <row r="204" spans="1:7" x14ac:dyDescent="0.25">
      <c r="A204" s="2"/>
      <c r="B204" s="104"/>
      <c r="C204" s="114" t="s">
        <v>103</v>
      </c>
      <c r="D204" s="104" t="s">
        <v>863</v>
      </c>
      <c r="E204" s="105">
        <v>42781</v>
      </c>
      <c r="F204" s="106" t="s">
        <v>1101</v>
      </c>
      <c r="G204" s="96">
        <v>153919.82</v>
      </c>
    </row>
    <row r="205" spans="1:7" x14ac:dyDescent="0.25">
      <c r="A205" s="2"/>
      <c r="B205" s="104"/>
      <c r="C205" s="114" t="s">
        <v>221</v>
      </c>
      <c r="D205" s="104" t="s">
        <v>863</v>
      </c>
      <c r="E205" s="105">
        <v>42781</v>
      </c>
      <c r="F205" s="106" t="s">
        <v>1101</v>
      </c>
      <c r="G205" s="96">
        <v>153919.82</v>
      </c>
    </row>
    <row r="206" spans="1:7" x14ac:dyDescent="0.25">
      <c r="A206" s="2"/>
      <c r="B206" s="104"/>
      <c r="C206" s="114" t="s">
        <v>55</v>
      </c>
      <c r="D206" s="104" t="s">
        <v>2238</v>
      </c>
      <c r="E206" s="105">
        <v>42744</v>
      </c>
      <c r="F206" s="106" t="s">
        <v>1101</v>
      </c>
      <c r="G206" s="96">
        <v>153919.82</v>
      </c>
    </row>
    <row r="207" spans="1:7" x14ac:dyDescent="0.25">
      <c r="A207" s="104" t="s">
        <v>1111</v>
      </c>
      <c r="G207" s="96">
        <v>564658.49</v>
      </c>
    </row>
    <row r="208" spans="1:7" x14ac:dyDescent="0.25">
      <c r="A208" s="104"/>
      <c r="G208" s="96"/>
    </row>
    <row r="209" spans="1:7" x14ac:dyDescent="0.25">
      <c r="A209" s="104" t="s">
        <v>695</v>
      </c>
      <c r="G209" s="96"/>
    </row>
    <row r="210" spans="1:7" ht="60" x14ac:dyDescent="0.25">
      <c r="A210" s="107" t="s">
        <v>696</v>
      </c>
      <c r="B210" s="107"/>
      <c r="C210" s="107"/>
      <c r="D210" s="107"/>
      <c r="E210" s="107"/>
      <c r="F210" s="107"/>
      <c r="G210" s="96"/>
    </row>
    <row r="211" spans="1:7" ht="45" x14ac:dyDescent="0.25">
      <c r="A211" s="115" t="s">
        <v>693</v>
      </c>
      <c r="B211" s="104" t="s">
        <v>1112</v>
      </c>
      <c r="C211" s="120">
        <v>0.81</v>
      </c>
      <c r="D211" s="120"/>
      <c r="E211" s="120"/>
      <c r="F211" s="120"/>
      <c r="G211" s="96"/>
    </row>
    <row r="212" spans="1:7" x14ac:dyDescent="0.25">
      <c r="A212" s="2"/>
      <c r="B212" s="104"/>
      <c r="C212" s="114" t="s">
        <v>23</v>
      </c>
      <c r="D212" s="104" t="s">
        <v>863</v>
      </c>
      <c r="E212" s="105">
        <v>42632</v>
      </c>
      <c r="F212" s="106"/>
      <c r="G212" s="96">
        <v>121682.42</v>
      </c>
    </row>
    <row r="213" spans="1:7" x14ac:dyDescent="0.25">
      <c r="A213" s="2"/>
      <c r="B213" s="104"/>
      <c r="C213" s="114" t="s">
        <v>103</v>
      </c>
      <c r="D213" s="104" t="s">
        <v>863</v>
      </c>
      <c r="E213" s="105">
        <v>42664</v>
      </c>
      <c r="F213" s="106" t="s">
        <v>1276</v>
      </c>
      <c r="G213" s="96">
        <v>229340.94</v>
      </c>
    </row>
    <row r="214" spans="1:7" x14ac:dyDescent="0.25">
      <c r="A214" s="2"/>
      <c r="B214" s="104"/>
      <c r="C214" s="114" t="s">
        <v>221</v>
      </c>
      <c r="D214" s="104" t="s">
        <v>863</v>
      </c>
      <c r="E214" s="105">
        <v>42671</v>
      </c>
      <c r="F214" s="106" t="s">
        <v>1091</v>
      </c>
      <c r="G214" s="96">
        <v>218419.95</v>
      </c>
    </row>
    <row r="215" spans="1:7" x14ac:dyDescent="0.25">
      <c r="A215" s="2"/>
      <c r="B215" s="104"/>
      <c r="C215" s="114" t="s">
        <v>55</v>
      </c>
      <c r="D215" s="104" t="s">
        <v>863</v>
      </c>
      <c r="E215" s="105">
        <v>42697</v>
      </c>
      <c r="F215" s="106" t="s">
        <v>1091</v>
      </c>
      <c r="G215" s="96">
        <v>218419.95</v>
      </c>
    </row>
    <row r="216" spans="1:7" x14ac:dyDescent="0.25">
      <c r="A216" s="2"/>
      <c r="B216" s="104"/>
      <c r="C216" s="114" t="s">
        <v>215</v>
      </c>
      <c r="D216" s="104" t="s">
        <v>2238</v>
      </c>
      <c r="E216" s="105">
        <v>42664</v>
      </c>
      <c r="F216" s="106" t="s">
        <v>1091</v>
      </c>
      <c r="G216" s="96">
        <v>218419.95</v>
      </c>
    </row>
    <row r="217" spans="1:7" x14ac:dyDescent="0.25">
      <c r="A217" s="104" t="s">
        <v>1113</v>
      </c>
      <c r="G217" s="96">
        <v>1006283.21</v>
      </c>
    </row>
    <row r="218" spans="1:7" x14ac:dyDescent="0.25">
      <c r="A218" s="104"/>
      <c r="G218" s="96"/>
    </row>
    <row r="219" spans="1:7" x14ac:dyDescent="0.25">
      <c r="A219" s="104" t="s">
        <v>345</v>
      </c>
      <c r="G219" s="96"/>
    </row>
    <row r="220" spans="1:7" ht="120" x14ac:dyDescent="0.25">
      <c r="A220" s="107" t="s">
        <v>347</v>
      </c>
      <c r="B220" s="107"/>
      <c r="C220" s="107"/>
      <c r="D220" s="107"/>
      <c r="E220" s="107"/>
      <c r="F220" s="107"/>
      <c r="G220" s="96"/>
    </row>
    <row r="221" spans="1:7" x14ac:dyDescent="0.25">
      <c r="A221" s="115" t="s">
        <v>346</v>
      </c>
      <c r="B221" s="104" t="s">
        <v>1277</v>
      </c>
      <c r="C221" s="120">
        <v>1</v>
      </c>
      <c r="D221" s="120"/>
      <c r="E221" s="120"/>
      <c r="F221" s="120"/>
      <c r="G221" s="96"/>
    </row>
    <row r="222" spans="1:7" x14ac:dyDescent="0.25">
      <c r="A222" s="2"/>
      <c r="B222" s="104"/>
      <c r="C222" s="114" t="s">
        <v>103</v>
      </c>
      <c r="D222" s="104" t="s">
        <v>863</v>
      </c>
      <c r="E222" s="105">
        <v>42545</v>
      </c>
      <c r="F222" s="106" t="s">
        <v>1278</v>
      </c>
      <c r="G222" s="96">
        <v>99700.75</v>
      </c>
    </row>
    <row r="223" spans="1:7" x14ac:dyDescent="0.25">
      <c r="A223" s="2"/>
      <c r="B223" s="104"/>
      <c r="C223" s="114" t="s">
        <v>221</v>
      </c>
      <c r="D223" s="104" t="s">
        <v>863</v>
      </c>
      <c r="E223" s="105">
        <v>42632</v>
      </c>
      <c r="F223" s="106" t="s">
        <v>1278</v>
      </c>
      <c r="G223" s="96">
        <v>99700.75</v>
      </c>
    </row>
    <row r="224" spans="1:7" x14ac:dyDescent="0.25">
      <c r="A224" s="2"/>
      <c r="B224" s="104"/>
      <c r="C224" s="114" t="s">
        <v>55</v>
      </c>
      <c r="D224" s="104" t="s">
        <v>863</v>
      </c>
      <c r="E224" s="105">
        <v>42781</v>
      </c>
      <c r="F224" s="106" t="s">
        <v>1790</v>
      </c>
      <c r="G224" s="96">
        <v>76453.8</v>
      </c>
    </row>
    <row r="225" spans="1:7" x14ac:dyDescent="0.25">
      <c r="A225" s="2"/>
      <c r="B225" s="104"/>
      <c r="C225" s="114" t="s">
        <v>215</v>
      </c>
      <c r="D225" s="104" t="s">
        <v>863</v>
      </c>
      <c r="E225" s="105">
        <v>42781</v>
      </c>
      <c r="F225" s="106" t="s">
        <v>1791</v>
      </c>
      <c r="G225" s="96">
        <v>24354.75</v>
      </c>
    </row>
    <row r="226" spans="1:7" x14ac:dyDescent="0.25">
      <c r="A226" s="2"/>
      <c r="B226" s="104"/>
      <c r="C226" s="114" t="s">
        <v>15</v>
      </c>
      <c r="D226" s="104" t="s">
        <v>863</v>
      </c>
      <c r="E226" s="105">
        <v>42781</v>
      </c>
      <c r="F226" s="106" t="s">
        <v>1792</v>
      </c>
      <c r="G226" s="96">
        <v>32125.81</v>
      </c>
    </row>
    <row r="227" spans="1:7" x14ac:dyDescent="0.25">
      <c r="A227" s="104" t="s">
        <v>1279</v>
      </c>
      <c r="G227" s="96">
        <v>332335.86</v>
      </c>
    </row>
    <row r="228" spans="1:7" x14ac:dyDescent="0.25">
      <c r="A228" s="104"/>
      <c r="G228" s="96"/>
    </row>
    <row r="229" spans="1:7" x14ac:dyDescent="0.25">
      <c r="A229" s="104" t="s">
        <v>441</v>
      </c>
      <c r="G229" s="96"/>
    </row>
    <row r="230" spans="1:7" ht="45" x14ac:dyDescent="0.25">
      <c r="A230" s="107" t="s">
        <v>442</v>
      </c>
      <c r="B230" s="107"/>
      <c r="C230" s="107"/>
      <c r="D230" s="107"/>
      <c r="E230" s="107"/>
      <c r="F230" s="107"/>
      <c r="G230" s="96"/>
    </row>
    <row r="231" spans="1:7" x14ac:dyDescent="0.25">
      <c r="A231" s="115" t="s">
        <v>440</v>
      </c>
      <c r="B231" s="104" t="s">
        <v>1114</v>
      </c>
      <c r="C231" s="120">
        <v>1</v>
      </c>
      <c r="D231" s="120"/>
      <c r="E231" s="120"/>
      <c r="F231" s="120"/>
      <c r="G231" s="96"/>
    </row>
    <row r="232" spans="1:7" x14ac:dyDescent="0.25">
      <c r="A232" s="2"/>
      <c r="B232" s="104"/>
      <c r="C232" s="114" t="s">
        <v>23</v>
      </c>
      <c r="D232" s="104" t="s">
        <v>863</v>
      </c>
      <c r="E232" s="105">
        <v>42632</v>
      </c>
      <c r="F232" s="106"/>
      <c r="G232" s="96">
        <v>70680.960000000006</v>
      </c>
    </row>
    <row r="233" spans="1:7" x14ac:dyDescent="0.25">
      <c r="A233" s="2"/>
      <c r="B233" s="104"/>
      <c r="C233" s="114" t="s">
        <v>103</v>
      </c>
      <c r="D233" s="104" t="s">
        <v>863</v>
      </c>
      <c r="E233" s="105">
        <v>42671</v>
      </c>
      <c r="F233" s="106" t="s">
        <v>1078</v>
      </c>
      <c r="G233" s="96">
        <v>158590.39999999999</v>
      </c>
    </row>
    <row r="234" spans="1:7" x14ac:dyDescent="0.25">
      <c r="A234" s="2"/>
      <c r="B234" s="104"/>
      <c r="C234" s="114" t="s">
        <v>221</v>
      </c>
      <c r="D234" s="104" t="s">
        <v>863</v>
      </c>
      <c r="E234" s="105">
        <v>42697</v>
      </c>
      <c r="F234" s="106" t="s">
        <v>1078</v>
      </c>
      <c r="G234" s="96">
        <v>158590.39999999999</v>
      </c>
    </row>
    <row r="235" spans="1:7" x14ac:dyDescent="0.25">
      <c r="A235" s="2"/>
      <c r="B235" s="104"/>
      <c r="C235" s="114" t="s">
        <v>55</v>
      </c>
      <c r="D235" s="104" t="s">
        <v>863</v>
      </c>
      <c r="E235" s="105">
        <v>42697</v>
      </c>
      <c r="F235" s="106" t="s">
        <v>1078</v>
      </c>
      <c r="G235" s="96">
        <v>158590.39999999999</v>
      </c>
    </row>
    <row r="236" spans="1:7" x14ac:dyDescent="0.25">
      <c r="A236" s="2"/>
      <c r="B236" s="104"/>
      <c r="C236" s="114" t="s">
        <v>215</v>
      </c>
      <c r="D236" s="104" t="s">
        <v>863</v>
      </c>
      <c r="E236" s="105">
        <v>42723</v>
      </c>
      <c r="F236" s="106" t="s">
        <v>1078</v>
      </c>
      <c r="G236" s="96">
        <v>158590.39999999999</v>
      </c>
    </row>
    <row r="237" spans="1:7" x14ac:dyDescent="0.25">
      <c r="A237" s="104" t="s">
        <v>1115</v>
      </c>
      <c r="G237" s="96">
        <v>705042.56</v>
      </c>
    </row>
    <row r="238" spans="1:7" x14ac:dyDescent="0.25">
      <c r="A238" s="104"/>
      <c r="G238" s="96"/>
    </row>
    <row r="239" spans="1:7" x14ac:dyDescent="0.25">
      <c r="A239" s="104" t="s">
        <v>487</v>
      </c>
      <c r="G239" s="96"/>
    </row>
    <row r="240" spans="1:7" ht="45" x14ac:dyDescent="0.25">
      <c r="A240" s="107" t="s">
        <v>486</v>
      </c>
      <c r="B240" s="107"/>
      <c r="C240" s="107"/>
      <c r="D240" s="107"/>
      <c r="E240" s="107"/>
      <c r="F240" s="107"/>
      <c r="G240" s="96"/>
    </row>
    <row r="241" spans="1:7" ht="30" x14ac:dyDescent="0.25">
      <c r="A241" s="115" t="s">
        <v>33</v>
      </c>
      <c r="B241" s="104" t="s">
        <v>1116</v>
      </c>
      <c r="C241" s="120">
        <v>1</v>
      </c>
      <c r="D241" s="120"/>
      <c r="E241" s="120"/>
      <c r="F241" s="120"/>
      <c r="G241" s="96"/>
    </row>
    <row r="242" spans="1:7" x14ac:dyDescent="0.25">
      <c r="A242" s="2"/>
      <c r="B242" s="104"/>
      <c r="C242" s="114" t="s">
        <v>23</v>
      </c>
      <c r="D242" s="104" t="s">
        <v>863</v>
      </c>
      <c r="E242" s="105">
        <v>42632</v>
      </c>
      <c r="F242" s="106"/>
      <c r="G242" s="96">
        <v>79805.13</v>
      </c>
    </row>
    <row r="243" spans="1:7" x14ac:dyDescent="0.25">
      <c r="A243" s="2"/>
      <c r="B243" s="104"/>
      <c r="C243" s="114" t="s">
        <v>103</v>
      </c>
      <c r="D243" s="104" t="s">
        <v>863</v>
      </c>
      <c r="E243" s="105">
        <v>42705</v>
      </c>
      <c r="F243" s="106" t="s">
        <v>1117</v>
      </c>
      <c r="G243" s="96">
        <v>166746.32</v>
      </c>
    </row>
    <row r="244" spans="1:7" x14ac:dyDescent="0.25">
      <c r="A244" s="2"/>
      <c r="B244" s="104"/>
      <c r="C244" s="114" t="s">
        <v>221</v>
      </c>
      <c r="D244" s="104" t="s">
        <v>863</v>
      </c>
      <c r="E244" s="105">
        <v>42705</v>
      </c>
      <c r="F244" s="106" t="s">
        <v>1118</v>
      </c>
      <c r="G244" s="96">
        <v>178115.33</v>
      </c>
    </row>
    <row r="245" spans="1:7" x14ac:dyDescent="0.25">
      <c r="A245" s="2"/>
      <c r="B245" s="104"/>
      <c r="C245" s="114" t="s">
        <v>55</v>
      </c>
      <c r="D245" s="104" t="s">
        <v>863</v>
      </c>
      <c r="E245" s="105">
        <v>42705</v>
      </c>
      <c r="F245" s="106" t="s">
        <v>1119</v>
      </c>
      <c r="G245" s="96">
        <v>189484.41</v>
      </c>
    </row>
    <row r="246" spans="1:7" x14ac:dyDescent="0.25">
      <c r="A246" s="2"/>
      <c r="B246" s="104"/>
      <c r="C246" s="114" t="s">
        <v>215</v>
      </c>
      <c r="D246" s="104" t="s">
        <v>863</v>
      </c>
      <c r="E246" s="105">
        <v>42705</v>
      </c>
      <c r="F246" s="106" t="s">
        <v>1120</v>
      </c>
      <c r="G246" s="96">
        <v>181905.02</v>
      </c>
    </row>
    <row r="247" spans="1:7" x14ac:dyDescent="0.25">
      <c r="A247" s="104" t="s">
        <v>1121</v>
      </c>
      <c r="G247" s="96">
        <v>796056.21</v>
      </c>
    </row>
    <row r="248" spans="1:7" x14ac:dyDescent="0.25">
      <c r="A248" s="104"/>
      <c r="G248" s="96"/>
    </row>
    <row r="249" spans="1:7" x14ac:dyDescent="0.25">
      <c r="A249" s="104" t="s">
        <v>431</v>
      </c>
      <c r="G249" s="96"/>
    </row>
    <row r="250" spans="1:7" ht="75" x14ac:dyDescent="0.25">
      <c r="A250" s="107" t="s">
        <v>433</v>
      </c>
      <c r="B250" s="107"/>
      <c r="C250" s="107"/>
      <c r="D250" s="107"/>
      <c r="E250" s="107"/>
      <c r="F250" s="107"/>
      <c r="G250" s="96"/>
    </row>
    <row r="251" spans="1:7" ht="30" x14ac:dyDescent="0.25">
      <c r="A251" s="115" t="s">
        <v>432</v>
      </c>
      <c r="B251" s="104" t="s">
        <v>1280</v>
      </c>
      <c r="C251" s="120">
        <v>1</v>
      </c>
      <c r="D251" s="120"/>
      <c r="E251" s="120"/>
      <c r="F251" s="120"/>
      <c r="G251" s="96"/>
    </row>
    <row r="252" spans="1:7" x14ac:dyDescent="0.25">
      <c r="A252" s="2"/>
      <c r="B252" s="104"/>
      <c r="C252" s="114" t="s">
        <v>23</v>
      </c>
      <c r="D252" s="104" t="s">
        <v>863</v>
      </c>
      <c r="E252" s="105">
        <v>42551</v>
      </c>
      <c r="F252" s="106"/>
      <c r="G252" s="96">
        <v>77909.42</v>
      </c>
    </row>
    <row r="253" spans="1:7" x14ac:dyDescent="0.25">
      <c r="A253" s="2"/>
      <c r="B253" s="104"/>
      <c r="C253" s="114" t="s">
        <v>103</v>
      </c>
      <c r="D253" s="104" t="s">
        <v>863</v>
      </c>
      <c r="E253" s="105">
        <v>42697</v>
      </c>
      <c r="F253" s="106" t="s">
        <v>1122</v>
      </c>
      <c r="G253" s="96">
        <v>233079.02</v>
      </c>
    </row>
    <row r="254" spans="1:7" x14ac:dyDescent="0.25">
      <c r="A254" s="2"/>
      <c r="B254" s="104"/>
      <c r="C254" s="114" t="s">
        <v>221</v>
      </c>
      <c r="D254" s="104" t="s">
        <v>863</v>
      </c>
      <c r="E254" s="105">
        <v>42781</v>
      </c>
      <c r="F254" s="106" t="s">
        <v>1122</v>
      </c>
      <c r="G254" s="96">
        <v>233079.02</v>
      </c>
    </row>
    <row r="255" spans="1:7" x14ac:dyDescent="0.25">
      <c r="A255" s="2"/>
      <c r="B255" s="104"/>
      <c r="C255" s="114" t="s">
        <v>55</v>
      </c>
      <c r="D255" s="104" t="s">
        <v>2238</v>
      </c>
      <c r="E255" s="105">
        <v>42744</v>
      </c>
      <c r="F255" s="106" t="s">
        <v>1122</v>
      </c>
      <c r="G255" s="96">
        <v>233079.03</v>
      </c>
    </row>
    <row r="256" spans="1:7" x14ac:dyDescent="0.25">
      <c r="A256" s="104" t="s">
        <v>1281</v>
      </c>
      <c r="G256" s="96">
        <v>777146.49</v>
      </c>
    </row>
    <row r="257" spans="1:7" x14ac:dyDescent="0.25">
      <c r="A257" s="104"/>
      <c r="G257" s="96"/>
    </row>
    <row r="258" spans="1:7" x14ac:dyDescent="0.25">
      <c r="A258" s="104" t="s">
        <v>416</v>
      </c>
      <c r="G258" s="96"/>
    </row>
    <row r="259" spans="1:7" ht="75" x14ac:dyDescent="0.25">
      <c r="A259" s="107" t="s">
        <v>415</v>
      </c>
      <c r="B259" s="107"/>
      <c r="C259" s="107"/>
      <c r="D259" s="107"/>
      <c r="E259" s="107"/>
      <c r="F259" s="107"/>
      <c r="G259" s="96"/>
    </row>
    <row r="260" spans="1:7" x14ac:dyDescent="0.25">
      <c r="A260" s="115" t="s">
        <v>346</v>
      </c>
      <c r="B260" s="104" t="s">
        <v>1123</v>
      </c>
      <c r="C260" s="120">
        <v>1</v>
      </c>
      <c r="D260" s="120"/>
      <c r="E260" s="120"/>
      <c r="F260" s="120"/>
      <c r="G260" s="96"/>
    </row>
    <row r="261" spans="1:7" x14ac:dyDescent="0.25">
      <c r="A261" s="2"/>
      <c r="B261" s="104"/>
      <c r="C261" s="114" t="s">
        <v>23</v>
      </c>
      <c r="D261" s="104" t="s">
        <v>863</v>
      </c>
      <c r="E261" s="105">
        <v>42545</v>
      </c>
      <c r="F261" s="106"/>
      <c r="G261" s="96">
        <v>62362.27</v>
      </c>
    </row>
    <row r="262" spans="1:7" x14ac:dyDescent="0.25">
      <c r="A262" s="2"/>
      <c r="B262" s="104"/>
      <c r="C262" s="114" t="s">
        <v>103</v>
      </c>
      <c r="D262" s="104" t="s">
        <v>863</v>
      </c>
      <c r="E262" s="105">
        <v>42671</v>
      </c>
      <c r="F262" s="106" t="s">
        <v>1122</v>
      </c>
      <c r="G262" s="96">
        <v>186567.14</v>
      </c>
    </row>
    <row r="263" spans="1:7" x14ac:dyDescent="0.25">
      <c r="A263" s="2"/>
      <c r="B263" s="104"/>
      <c r="C263" s="114" t="s">
        <v>221</v>
      </c>
      <c r="D263" s="104" t="s">
        <v>863</v>
      </c>
      <c r="E263" s="105">
        <v>42781</v>
      </c>
      <c r="F263" s="106" t="s">
        <v>1795</v>
      </c>
      <c r="G263" s="96">
        <v>177238.78</v>
      </c>
    </row>
    <row r="264" spans="1:7" x14ac:dyDescent="0.25">
      <c r="A264" s="2"/>
      <c r="B264" s="104"/>
      <c r="C264" s="114" t="s">
        <v>55</v>
      </c>
      <c r="D264" s="104" t="s">
        <v>863</v>
      </c>
      <c r="E264" s="105">
        <v>42781</v>
      </c>
      <c r="F264" s="106" t="s">
        <v>1796</v>
      </c>
      <c r="G264" s="96">
        <v>74626.87</v>
      </c>
    </row>
    <row r="265" spans="1:7" x14ac:dyDescent="0.25">
      <c r="A265" s="2"/>
      <c r="B265" s="104"/>
      <c r="C265" s="114" t="s">
        <v>215</v>
      </c>
      <c r="D265" s="104" t="s">
        <v>2238</v>
      </c>
      <c r="E265" s="105">
        <v>42699</v>
      </c>
      <c r="F265" s="106" t="s">
        <v>1797</v>
      </c>
      <c r="G265" s="96">
        <v>121268.64</v>
      </c>
    </row>
    <row r="266" spans="1:7" x14ac:dyDescent="0.25">
      <c r="A266" s="104" t="s">
        <v>1124</v>
      </c>
      <c r="G266" s="96">
        <v>622063.69999999995</v>
      </c>
    </row>
    <row r="267" spans="1:7" x14ac:dyDescent="0.25">
      <c r="A267" s="104"/>
      <c r="G267" s="96"/>
    </row>
    <row r="268" spans="1:7" x14ac:dyDescent="0.25">
      <c r="A268" s="104" t="s">
        <v>414</v>
      </c>
      <c r="G268" s="96"/>
    </row>
    <row r="269" spans="1:7" ht="75" x14ac:dyDescent="0.25">
      <c r="A269" s="107" t="s">
        <v>413</v>
      </c>
      <c r="B269" s="107"/>
      <c r="C269" s="107"/>
      <c r="D269" s="107"/>
      <c r="E269" s="107"/>
      <c r="F269" s="107"/>
      <c r="G269" s="96"/>
    </row>
    <row r="270" spans="1:7" x14ac:dyDescent="0.25">
      <c r="A270" s="115" t="s">
        <v>346</v>
      </c>
      <c r="B270" s="104" t="s">
        <v>1282</v>
      </c>
      <c r="C270" s="120">
        <v>0.92</v>
      </c>
      <c r="D270" s="120"/>
      <c r="E270" s="120"/>
      <c r="F270" s="120"/>
      <c r="G270" s="96"/>
    </row>
    <row r="271" spans="1:7" x14ac:dyDescent="0.25">
      <c r="A271" s="2"/>
      <c r="B271" s="104"/>
      <c r="C271" s="114" t="s">
        <v>23</v>
      </c>
      <c r="D271" s="104" t="s">
        <v>863</v>
      </c>
      <c r="E271" s="105">
        <v>42545</v>
      </c>
      <c r="F271" s="106"/>
      <c r="G271" s="96">
        <v>44960.97</v>
      </c>
    </row>
    <row r="272" spans="1:7" x14ac:dyDescent="0.25">
      <c r="A272" s="2"/>
      <c r="B272" s="104"/>
      <c r="C272" s="114" t="s">
        <v>103</v>
      </c>
      <c r="D272" s="104" t="s">
        <v>863</v>
      </c>
      <c r="E272" s="105">
        <v>42632</v>
      </c>
      <c r="F272" s="106" t="s">
        <v>1122</v>
      </c>
      <c r="G272" s="96">
        <v>134508.28</v>
      </c>
    </row>
    <row r="273" spans="1:7" x14ac:dyDescent="0.25">
      <c r="A273" s="2"/>
      <c r="B273" s="104"/>
      <c r="C273" s="114" t="s">
        <v>221</v>
      </c>
      <c r="D273" s="104" t="s">
        <v>863</v>
      </c>
      <c r="E273" s="105">
        <v>42781</v>
      </c>
      <c r="F273" s="106" t="s">
        <v>1122</v>
      </c>
      <c r="G273" s="96">
        <v>134508.28</v>
      </c>
    </row>
    <row r="274" spans="1:7" x14ac:dyDescent="0.25">
      <c r="A274" s="2"/>
      <c r="B274" s="104"/>
      <c r="C274" s="114" t="s">
        <v>55</v>
      </c>
      <c r="D274" s="104" t="s">
        <v>863</v>
      </c>
      <c r="E274" s="105">
        <v>42781</v>
      </c>
      <c r="F274" s="106" t="s">
        <v>1101</v>
      </c>
      <c r="G274" s="96">
        <v>67254.17</v>
      </c>
    </row>
    <row r="275" spans="1:7" x14ac:dyDescent="0.25">
      <c r="A275" s="2"/>
      <c r="B275" s="104"/>
      <c r="C275" s="114" t="s">
        <v>215</v>
      </c>
      <c r="D275" s="104" t="s">
        <v>864</v>
      </c>
      <c r="E275" s="105">
        <v>42717</v>
      </c>
      <c r="F275" s="106" t="s">
        <v>1321</v>
      </c>
      <c r="G275" s="96">
        <v>33627.089999999997</v>
      </c>
    </row>
    <row r="276" spans="1:7" x14ac:dyDescent="0.25">
      <c r="A276" s="104" t="s">
        <v>1283</v>
      </c>
      <c r="G276" s="96">
        <v>414858.79</v>
      </c>
    </row>
    <row r="277" spans="1:7" x14ac:dyDescent="0.25">
      <c r="A277" s="104"/>
      <c r="G277" s="96"/>
    </row>
    <row r="278" spans="1:7" x14ac:dyDescent="0.25">
      <c r="A278" s="104" t="s">
        <v>424</v>
      </c>
      <c r="G278" s="96"/>
    </row>
    <row r="279" spans="1:7" ht="60" x14ac:dyDescent="0.25">
      <c r="A279" s="107" t="s">
        <v>423</v>
      </c>
      <c r="B279" s="107"/>
      <c r="C279" s="107"/>
      <c r="D279" s="107"/>
      <c r="E279" s="107"/>
      <c r="F279" s="107"/>
      <c r="G279" s="96"/>
    </row>
    <row r="280" spans="1:7" x14ac:dyDescent="0.25">
      <c r="A280" s="115" t="s">
        <v>418</v>
      </c>
      <c r="B280" s="104" t="s">
        <v>1125</v>
      </c>
      <c r="C280" s="120">
        <v>1</v>
      </c>
      <c r="D280" s="120"/>
      <c r="E280" s="120"/>
      <c r="F280" s="120"/>
      <c r="G280" s="96"/>
    </row>
    <row r="281" spans="1:7" x14ac:dyDescent="0.25">
      <c r="A281" s="2"/>
      <c r="B281" s="104"/>
      <c r="C281" s="114" t="s">
        <v>23</v>
      </c>
      <c r="D281" s="104" t="s">
        <v>863</v>
      </c>
      <c r="E281" s="105">
        <v>42545</v>
      </c>
      <c r="F281" s="106"/>
      <c r="G281" s="96">
        <v>73963.350000000006</v>
      </c>
    </row>
    <row r="282" spans="1:7" x14ac:dyDescent="0.25">
      <c r="A282" s="2"/>
      <c r="B282" s="104"/>
      <c r="C282" s="114" t="s">
        <v>103</v>
      </c>
      <c r="D282" s="104" t="s">
        <v>863</v>
      </c>
      <c r="E282" s="105">
        <v>42671</v>
      </c>
      <c r="F282" s="106" t="s">
        <v>1078</v>
      </c>
      <c r="G282" s="96">
        <v>165955.26999999999</v>
      </c>
    </row>
    <row r="283" spans="1:7" x14ac:dyDescent="0.25">
      <c r="A283" s="2"/>
      <c r="B283" s="104"/>
      <c r="C283" s="114" t="s">
        <v>221</v>
      </c>
      <c r="D283" s="104" t="s">
        <v>863</v>
      </c>
      <c r="E283" s="105">
        <v>42697</v>
      </c>
      <c r="F283" s="106" t="s">
        <v>1078</v>
      </c>
      <c r="G283" s="96">
        <v>165955.26999999999</v>
      </c>
    </row>
    <row r="284" spans="1:7" x14ac:dyDescent="0.25">
      <c r="A284" s="2"/>
      <c r="B284" s="104"/>
      <c r="C284" s="114" t="s">
        <v>55</v>
      </c>
      <c r="D284" s="104" t="s">
        <v>863</v>
      </c>
      <c r="E284" s="105">
        <v>42697</v>
      </c>
      <c r="F284" s="106" t="s">
        <v>1078</v>
      </c>
      <c r="G284" s="96">
        <v>165955.26999999999</v>
      </c>
    </row>
    <row r="285" spans="1:7" x14ac:dyDescent="0.25">
      <c r="A285" s="2"/>
      <c r="B285" s="104"/>
      <c r="C285" s="114" t="s">
        <v>215</v>
      </c>
      <c r="D285" s="104" t="s">
        <v>863</v>
      </c>
      <c r="E285" s="105">
        <v>42781</v>
      </c>
      <c r="F285" s="106" t="s">
        <v>1896</v>
      </c>
      <c r="G285" s="96">
        <v>154891.62</v>
      </c>
    </row>
    <row r="286" spans="1:7" x14ac:dyDescent="0.25">
      <c r="A286" s="2"/>
      <c r="B286" s="104"/>
      <c r="C286" s="114" t="s">
        <v>15</v>
      </c>
      <c r="D286" s="104" t="s">
        <v>863</v>
      </c>
      <c r="E286" s="105">
        <v>42781</v>
      </c>
      <c r="F286" s="106" t="s">
        <v>1314</v>
      </c>
      <c r="G286" s="96">
        <v>11063.66</v>
      </c>
    </row>
    <row r="287" spans="1:7" x14ac:dyDescent="0.25">
      <c r="A287" s="104" t="s">
        <v>1126</v>
      </c>
      <c r="G287" s="96">
        <v>737784.44</v>
      </c>
    </row>
    <row r="288" spans="1:7" x14ac:dyDescent="0.25">
      <c r="A288" s="104"/>
      <c r="G288" s="96"/>
    </row>
    <row r="289" spans="1:7" x14ac:dyDescent="0.25">
      <c r="A289" s="104" t="s">
        <v>465</v>
      </c>
      <c r="G289" s="96"/>
    </row>
    <row r="290" spans="1:7" ht="75" x14ac:dyDescent="0.25">
      <c r="A290" s="107" t="s">
        <v>464</v>
      </c>
      <c r="B290" s="107"/>
      <c r="C290" s="107"/>
      <c r="D290" s="107"/>
      <c r="E290" s="107"/>
      <c r="F290" s="107"/>
      <c r="G290" s="96"/>
    </row>
    <row r="291" spans="1:7" x14ac:dyDescent="0.25">
      <c r="A291" s="115" t="s">
        <v>346</v>
      </c>
      <c r="B291" s="104" t="s">
        <v>1284</v>
      </c>
      <c r="C291" s="120">
        <v>1</v>
      </c>
      <c r="D291" s="120"/>
      <c r="E291" s="120"/>
      <c r="F291" s="120"/>
      <c r="G291" s="96"/>
    </row>
    <row r="292" spans="1:7" x14ac:dyDescent="0.25">
      <c r="A292" s="2"/>
      <c r="B292" s="104"/>
      <c r="C292" s="114" t="s">
        <v>23</v>
      </c>
      <c r="D292" s="104" t="s">
        <v>863</v>
      </c>
      <c r="E292" s="105">
        <v>42573</v>
      </c>
      <c r="F292" s="106"/>
      <c r="G292" s="96">
        <v>83879.179999999993</v>
      </c>
    </row>
    <row r="293" spans="1:7" x14ac:dyDescent="0.25">
      <c r="A293" s="2"/>
      <c r="B293" s="104"/>
      <c r="C293" s="114" t="s">
        <v>103</v>
      </c>
      <c r="D293" s="104" t="s">
        <v>863</v>
      </c>
      <c r="E293" s="105">
        <v>42664</v>
      </c>
      <c r="F293" s="106" t="s">
        <v>1122</v>
      </c>
      <c r="G293" s="96">
        <v>250938.57</v>
      </c>
    </row>
    <row r="294" spans="1:7" x14ac:dyDescent="0.25">
      <c r="A294" s="2"/>
      <c r="B294" s="104"/>
      <c r="C294" s="114" t="s">
        <v>221</v>
      </c>
      <c r="D294" s="104" t="s">
        <v>863</v>
      </c>
      <c r="E294" s="105">
        <v>42781</v>
      </c>
      <c r="F294" s="106" t="s">
        <v>1122</v>
      </c>
      <c r="G294" s="96">
        <v>250938.55</v>
      </c>
    </row>
    <row r="295" spans="1:7" x14ac:dyDescent="0.25">
      <c r="A295" s="2"/>
      <c r="B295" s="104"/>
      <c r="C295" s="114" t="s">
        <v>55</v>
      </c>
      <c r="D295" s="104" t="s">
        <v>863</v>
      </c>
      <c r="E295" s="105">
        <v>42781</v>
      </c>
      <c r="F295" s="106" t="s">
        <v>1101</v>
      </c>
      <c r="G295" s="96">
        <v>125469.31</v>
      </c>
    </row>
    <row r="296" spans="1:7" x14ac:dyDescent="0.25">
      <c r="A296" s="2"/>
      <c r="B296" s="104"/>
      <c r="C296" s="114" t="s">
        <v>215</v>
      </c>
      <c r="D296" s="104" t="s">
        <v>864</v>
      </c>
      <c r="E296" s="105">
        <v>42717</v>
      </c>
      <c r="F296" s="106" t="s">
        <v>1101</v>
      </c>
      <c r="G296" s="96">
        <v>125469.31</v>
      </c>
    </row>
    <row r="297" spans="1:7" x14ac:dyDescent="0.25">
      <c r="A297" s="104" t="s">
        <v>1285</v>
      </c>
      <c r="G297" s="96">
        <v>836694.92</v>
      </c>
    </row>
    <row r="298" spans="1:7" x14ac:dyDescent="0.25">
      <c r="A298" s="104"/>
      <c r="G298" s="96"/>
    </row>
    <row r="299" spans="1:7" x14ac:dyDescent="0.25">
      <c r="A299" s="104" t="s">
        <v>490</v>
      </c>
      <c r="G299" s="96"/>
    </row>
    <row r="300" spans="1:7" ht="60" x14ac:dyDescent="0.25">
      <c r="A300" s="107" t="s">
        <v>488</v>
      </c>
      <c r="B300" s="107"/>
      <c r="C300" s="107"/>
      <c r="D300" s="107"/>
      <c r="E300" s="107"/>
      <c r="F300" s="107"/>
      <c r="G300" s="96"/>
    </row>
    <row r="301" spans="1:7" ht="30" x14ac:dyDescent="0.25">
      <c r="A301" s="115" t="s">
        <v>489</v>
      </c>
      <c r="B301" s="104" t="s">
        <v>1127</v>
      </c>
      <c r="C301" s="120">
        <v>0.67</v>
      </c>
      <c r="D301" s="120"/>
      <c r="E301" s="120"/>
      <c r="F301" s="120"/>
      <c r="G301" s="96"/>
    </row>
    <row r="302" spans="1:7" x14ac:dyDescent="0.25">
      <c r="A302" s="2"/>
      <c r="B302" s="104"/>
      <c r="C302" s="114" t="s">
        <v>103</v>
      </c>
      <c r="D302" s="104" t="s">
        <v>863</v>
      </c>
      <c r="E302" s="105">
        <v>42664</v>
      </c>
      <c r="F302" s="106" t="s">
        <v>1122</v>
      </c>
      <c r="G302" s="96">
        <v>156470.78</v>
      </c>
    </row>
    <row r="303" spans="1:7" x14ac:dyDescent="0.25">
      <c r="A303" s="2"/>
      <c r="B303" s="104"/>
      <c r="C303" s="114" t="s">
        <v>221</v>
      </c>
      <c r="D303" s="104" t="s">
        <v>863</v>
      </c>
      <c r="E303" s="105">
        <v>42781</v>
      </c>
      <c r="F303" s="106" t="s">
        <v>1122</v>
      </c>
      <c r="G303" s="96">
        <v>156470.78</v>
      </c>
    </row>
    <row r="304" spans="1:7" x14ac:dyDescent="0.25">
      <c r="A304" s="104" t="s">
        <v>1128</v>
      </c>
      <c r="G304" s="96">
        <v>312941.56</v>
      </c>
    </row>
    <row r="305" spans="1:7" x14ac:dyDescent="0.25">
      <c r="A305" s="104"/>
      <c r="G305" s="96"/>
    </row>
    <row r="306" spans="1:7" x14ac:dyDescent="0.25">
      <c r="A306" s="104" t="s">
        <v>492</v>
      </c>
      <c r="G306" s="96"/>
    </row>
    <row r="307" spans="1:7" ht="60" x14ac:dyDescent="0.25">
      <c r="A307" s="107" t="s">
        <v>491</v>
      </c>
      <c r="B307" s="107"/>
      <c r="C307" s="107"/>
      <c r="D307" s="107"/>
      <c r="E307" s="107"/>
      <c r="F307" s="107"/>
      <c r="G307" s="96"/>
    </row>
    <row r="308" spans="1:7" ht="30" x14ac:dyDescent="0.25">
      <c r="A308" s="115" t="s">
        <v>489</v>
      </c>
      <c r="B308" s="104" t="s">
        <v>1129</v>
      </c>
      <c r="C308" s="120">
        <v>0.67</v>
      </c>
      <c r="D308" s="120"/>
      <c r="E308" s="120"/>
      <c r="F308" s="120"/>
      <c r="G308" s="96"/>
    </row>
    <row r="309" spans="1:7" x14ac:dyDescent="0.25">
      <c r="A309" s="2"/>
      <c r="B309" s="104"/>
      <c r="C309" s="114" t="s">
        <v>103</v>
      </c>
      <c r="D309" s="104" t="s">
        <v>863</v>
      </c>
      <c r="E309" s="105">
        <v>42671</v>
      </c>
      <c r="F309" s="106" t="s">
        <v>1122</v>
      </c>
      <c r="G309" s="96">
        <v>273823.09999999998</v>
      </c>
    </row>
    <row r="310" spans="1:7" x14ac:dyDescent="0.25">
      <c r="A310" s="2"/>
      <c r="B310" s="104"/>
      <c r="C310" s="114" t="s">
        <v>221</v>
      </c>
      <c r="D310" s="104" t="s">
        <v>863</v>
      </c>
      <c r="E310" s="105">
        <v>42781</v>
      </c>
      <c r="F310" s="106" t="s">
        <v>1122</v>
      </c>
      <c r="G310" s="96">
        <v>273823.09999999998</v>
      </c>
    </row>
    <row r="311" spans="1:7" x14ac:dyDescent="0.25">
      <c r="A311" s="104" t="s">
        <v>1130</v>
      </c>
      <c r="G311" s="96">
        <v>547646.19999999995</v>
      </c>
    </row>
    <row r="312" spans="1:7" x14ac:dyDescent="0.25">
      <c r="A312" s="104"/>
      <c r="G312" s="96"/>
    </row>
    <row r="313" spans="1:7" x14ac:dyDescent="0.25">
      <c r="A313" s="104" t="s">
        <v>683</v>
      </c>
      <c r="G313" s="96"/>
    </row>
    <row r="314" spans="1:7" ht="45" x14ac:dyDescent="0.25">
      <c r="A314" s="107" t="s">
        <v>681</v>
      </c>
      <c r="B314" s="107"/>
      <c r="C314" s="107"/>
      <c r="D314" s="107"/>
      <c r="E314" s="107"/>
      <c r="F314" s="107"/>
      <c r="G314" s="96"/>
    </row>
    <row r="315" spans="1:7" x14ac:dyDescent="0.25">
      <c r="A315" s="115" t="s">
        <v>682</v>
      </c>
      <c r="B315" s="104" t="s">
        <v>1131</v>
      </c>
      <c r="C315" s="120">
        <v>1</v>
      </c>
      <c r="D315" s="120"/>
      <c r="E315" s="120"/>
      <c r="F315" s="120"/>
      <c r="G315" s="96"/>
    </row>
    <row r="316" spans="1:7" x14ac:dyDescent="0.25">
      <c r="A316" s="2"/>
      <c r="B316" s="104"/>
      <c r="C316" s="114" t="s">
        <v>23</v>
      </c>
      <c r="D316" s="104" t="s">
        <v>863</v>
      </c>
      <c r="E316" s="105">
        <v>42632</v>
      </c>
      <c r="F316" s="106"/>
      <c r="G316" s="96">
        <v>67401.460000000006</v>
      </c>
    </row>
    <row r="317" spans="1:7" x14ac:dyDescent="0.25">
      <c r="A317" s="2"/>
      <c r="B317" s="104"/>
      <c r="C317" s="114" t="s">
        <v>103</v>
      </c>
      <c r="D317" s="104" t="s">
        <v>863</v>
      </c>
      <c r="E317" s="105">
        <v>42781</v>
      </c>
      <c r="F317" s="106" t="s">
        <v>1132</v>
      </c>
      <c r="G317" s="96">
        <v>199626.31</v>
      </c>
    </row>
    <row r="318" spans="1:7" x14ac:dyDescent="0.25">
      <c r="A318" s="2"/>
      <c r="B318" s="104"/>
      <c r="C318" s="114" t="s">
        <v>221</v>
      </c>
      <c r="D318" s="104" t="s">
        <v>863</v>
      </c>
      <c r="E318" s="105">
        <v>42781</v>
      </c>
      <c r="F318" s="106" t="s">
        <v>1132</v>
      </c>
      <c r="G318" s="96">
        <v>199626.31</v>
      </c>
    </row>
    <row r="319" spans="1:7" x14ac:dyDescent="0.25">
      <c r="A319" s="2"/>
      <c r="B319" s="104"/>
      <c r="C319" s="114" t="s">
        <v>55</v>
      </c>
      <c r="D319" s="104" t="s">
        <v>863</v>
      </c>
      <c r="E319" s="105">
        <v>42781</v>
      </c>
      <c r="F319" s="106" t="s">
        <v>1897</v>
      </c>
      <c r="G319" s="96">
        <v>205675.57</v>
      </c>
    </row>
    <row r="320" spans="1:7" x14ac:dyDescent="0.25">
      <c r="A320" s="104" t="s">
        <v>1133</v>
      </c>
      <c r="G320" s="96">
        <v>672329.65</v>
      </c>
    </row>
    <row r="321" spans="1:7" x14ac:dyDescent="0.25">
      <c r="A321" s="104"/>
      <c r="G321" s="96"/>
    </row>
    <row r="322" spans="1:7" x14ac:dyDescent="0.25">
      <c r="A322" s="104" t="s">
        <v>648</v>
      </c>
      <c r="G322" s="96"/>
    </row>
    <row r="323" spans="1:7" ht="60" x14ac:dyDescent="0.25">
      <c r="A323" s="107" t="s">
        <v>647</v>
      </c>
      <c r="B323" s="107"/>
      <c r="C323" s="107"/>
      <c r="D323" s="107"/>
      <c r="E323" s="107"/>
      <c r="F323" s="107"/>
      <c r="G323" s="96"/>
    </row>
    <row r="324" spans="1:7" x14ac:dyDescent="0.25">
      <c r="A324" s="115" t="s">
        <v>649</v>
      </c>
      <c r="B324" s="104" t="s">
        <v>1286</v>
      </c>
      <c r="C324" s="120">
        <v>1</v>
      </c>
      <c r="D324" s="120"/>
      <c r="E324" s="120"/>
      <c r="F324" s="120"/>
      <c r="G324" s="96"/>
    </row>
    <row r="325" spans="1:7" x14ac:dyDescent="0.25">
      <c r="A325" s="2"/>
      <c r="B325" s="104"/>
      <c r="C325" s="114" t="s">
        <v>103</v>
      </c>
      <c r="D325" s="104" t="s">
        <v>863</v>
      </c>
      <c r="E325" s="105">
        <v>42662</v>
      </c>
      <c r="F325" s="106" t="s">
        <v>1287</v>
      </c>
      <c r="G325" s="96">
        <v>20992.39</v>
      </c>
    </row>
    <row r="326" spans="1:7" x14ac:dyDescent="0.25">
      <c r="A326" s="2"/>
      <c r="B326" s="104"/>
      <c r="C326" s="114" t="s">
        <v>221</v>
      </c>
      <c r="D326" s="104" t="s">
        <v>863</v>
      </c>
      <c r="E326" s="105">
        <v>42781</v>
      </c>
      <c r="F326" s="106" t="s">
        <v>1752</v>
      </c>
      <c r="G326" s="96">
        <v>15575.96</v>
      </c>
    </row>
    <row r="327" spans="1:7" x14ac:dyDescent="0.25">
      <c r="A327" s="104" t="s">
        <v>1288</v>
      </c>
      <c r="G327" s="96">
        <v>36568.35</v>
      </c>
    </row>
    <row r="328" spans="1:7" x14ac:dyDescent="0.25">
      <c r="A328" s="104"/>
      <c r="G328" s="96"/>
    </row>
    <row r="329" spans="1:7" x14ac:dyDescent="0.25">
      <c r="A329" s="104" t="s">
        <v>651</v>
      </c>
      <c r="G329" s="96"/>
    </row>
    <row r="330" spans="1:7" ht="60" x14ac:dyDescent="0.25">
      <c r="A330" s="107" t="s">
        <v>652</v>
      </c>
      <c r="B330" s="107"/>
      <c r="C330" s="107"/>
      <c r="D330" s="107"/>
      <c r="E330" s="107"/>
      <c r="F330" s="107"/>
      <c r="G330" s="96"/>
    </row>
    <row r="331" spans="1:7" x14ac:dyDescent="0.25">
      <c r="A331" s="115" t="s">
        <v>649</v>
      </c>
      <c r="B331" s="104" t="s">
        <v>1289</v>
      </c>
      <c r="C331" s="120">
        <v>1</v>
      </c>
      <c r="D331" s="120"/>
      <c r="E331" s="120"/>
      <c r="F331" s="120"/>
      <c r="G331" s="96"/>
    </row>
    <row r="332" spans="1:7" x14ac:dyDescent="0.25">
      <c r="A332" s="2"/>
      <c r="B332" s="104"/>
      <c r="C332" s="114" t="s">
        <v>103</v>
      </c>
      <c r="D332" s="104" t="s">
        <v>863</v>
      </c>
      <c r="E332" s="105">
        <v>42632</v>
      </c>
      <c r="F332" s="106" t="s">
        <v>1290</v>
      </c>
      <c r="G332" s="96">
        <v>38323.43</v>
      </c>
    </row>
    <row r="333" spans="1:7" x14ac:dyDescent="0.25">
      <c r="A333" s="2"/>
      <c r="B333" s="104"/>
      <c r="C333" s="114" t="s">
        <v>221</v>
      </c>
      <c r="D333" s="104" t="s">
        <v>863</v>
      </c>
      <c r="E333" s="105">
        <v>42781</v>
      </c>
      <c r="F333" s="106" t="s">
        <v>1753</v>
      </c>
      <c r="G333" s="96">
        <v>34164.879999999997</v>
      </c>
    </row>
    <row r="334" spans="1:7" x14ac:dyDescent="0.25">
      <c r="A334" s="104" t="s">
        <v>1291</v>
      </c>
      <c r="G334" s="96">
        <v>72488.31</v>
      </c>
    </row>
    <row r="335" spans="1:7" x14ac:dyDescent="0.25">
      <c r="A335" s="104"/>
      <c r="G335" s="96"/>
    </row>
    <row r="336" spans="1:7" x14ac:dyDescent="0.25">
      <c r="A336" s="104" t="s">
        <v>655</v>
      </c>
      <c r="G336" s="96"/>
    </row>
    <row r="337" spans="1:7" ht="60" x14ac:dyDescent="0.25">
      <c r="A337" s="107" t="s">
        <v>654</v>
      </c>
      <c r="B337" s="107"/>
      <c r="C337" s="107"/>
      <c r="D337" s="107"/>
      <c r="E337" s="107"/>
      <c r="F337" s="107"/>
      <c r="G337" s="96"/>
    </row>
    <row r="338" spans="1:7" x14ac:dyDescent="0.25">
      <c r="A338" s="115" t="s">
        <v>649</v>
      </c>
      <c r="B338" s="104" t="s">
        <v>1292</v>
      </c>
      <c r="C338" s="120">
        <v>1</v>
      </c>
      <c r="D338" s="120"/>
      <c r="E338" s="120"/>
      <c r="F338" s="120"/>
      <c r="G338" s="96"/>
    </row>
    <row r="339" spans="1:7" x14ac:dyDescent="0.25">
      <c r="A339" s="2"/>
      <c r="B339" s="104"/>
      <c r="C339" s="114" t="s">
        <v>103</v>
      </c>
      <c r="D339" s="104" t="s">
        <v>863</v>
      </c>
      <c r="E339" s="105">
        <v>42664</v>
      </c>
      <c r="F339" s="106" t="s">
        <v>1293</v>
      </c>
      <c r="G339" s="96">
        <v>28658.18</v>
      </c>
    </row>
    <row r="340" spans="1:7" x14ac:dyDescent="0.25">
      <c r="A340" s="2"/>
      <c r="B340" s="104"/>
      <c r="C340" s="114" t="s">
        <v>221</v>
      </c>
      <c r="D340" s="104" t="s">
        <v>863</v>
      </c>
      <c r="E340" s="105">
        <v>42781</v>
      </c>
      <c r="F340" s="106" t="s">
        <v>1293</v>
      </c>
      <c r="G340" s="96">
        <v>28658.18</v>
      </c>
    </row>
    <row r="341" spans="1:7" x14ac:dyDescent="0.25">
      <c r="A341" s="104" t="s">
        <v>1294</v>
      </c>
      <c r="G341" s="96">
        <v>57316.36</v>
      </c>
    </row>
    <row r="342" spans="1:7" x14ac:dyDescent="0.25">
      <c r="A342" s="104"/>
      <c r="G342" s="96"/>
    </row>
    <row r="343" spans="1:7" x14ac:dyDescent="0.25">
      <c r="A343" s="104" t="s">
        <v>658</v>
      </c>
      <c r="G343" s="96"/>
    </row>
    <row r="344" spans="1:7" ht="60" x14ac:dyDescent="0.25">
      <c r="A344" s="107" t="s">
        <v>657</v>
      </c>
      <c r="B344" s="107"/>
      <c r="C344" s="107"/>
      <c r="D344" s="107"/>
      <c r="E344" s="107"/>
      <c r="F344" s="107"/>
      <c r="G344" s="96"/>
    </row>
    <row r="345" spans="1:7" x14ac:dyDescent="0.25">
      <c r="A345" s="115" t="s">
        <v>649</v>
      </c>
      <c r="B345" s="104" t="s">
        <v>1134</v>
      </c>
      <c r="C345" s="120">
        <v>1</v>
      </c>
      <c r="D345" s="120"/>
      <c r="E345" s="120"/>
      <c r="F345" s="120"/>
      <c r="G345" s="96"/>
    </row>
    <row r="346" spans="1:7" x14ac:dyDescent="0.25">
      <c r="A346" s="2"/>
      <c r="B346" s="104"/>
      <c r="C346" s="114" t="s">
        <v>103</v>
      </c>
      <c r="D346" s="104" t="s">
        <v>863</v>
      </c>
      <c r="E346" s="105">
        <v>42697</v>
      </c>
      <c r="F346" s="106" t="s">
        <v>1293</v>
      </c>
      <c r="G346" s="96">
        <v>22174.42</v>
      </c>
    </row>
    <row r="347" spans="1:7" x14ac:dyDescent="0.25">
      <c r="A347" s="2"/>
      <c r="B347" s="104"/>
      <c r="C347" s="114" t="s">
        <v>221</v>
      </c>
      <c r="D347" s="104" t="s">
        <v>863</v>
      </c>
      <c r="E347" s="105">
        <v>42781</v>
      </c>
      <c r="F347" s="106" t="s">
        <v>1293</v>
      </c>
      <c r="G347" s="96">
        <v>22174.42</v>
      </c>
    </row>
    <row r="348" spans="1:7" x14ac:dyDescent="0.25">
      <c r="A348" s="104" t="s">
        <v>1135</v>
      </c>
      <c r="G348" s="96">
        <v>44348.84</v>
      </c>
    </row>
    <row r="349" spans="1:7" x14ac:dyDescent="0.25">
      <c r="A349" s="104"/>
      <c r="G349" s="96"/>
    </row>
    <row r="350" spans="1:7" x14ac:dyDescent="0.25">
      <c r="A350" s="104" t="s">
        <v>753</v>
      </c>
      <c r="G350" s="96"/>
    </row>
    <row r="351" spans="1:7" ht="45" x14ac:dyDescent="0.25">
      <c r="A351" s="107" t="s">
        <v>756</v>
      </c>
      <c r="B351" s="107"/>
      <c r="C351" s="107"/>
      <c r="D351" s="107"/>
      <c r="E351" s="107"/>
      <c r="F351" s="107"/>
      <c r="G351" s="96"/>
    </row>
    <row r="352" spans="1:7" x14ac:dyDescent="0.25">
      <c r="A352" s="115" t="s">
        <v>649</v>
      </c>
      <c r="B352" s="104" t="s">
        <v>1136</v>
      </c>
      <c r="C352" s="120">
        <v>0.56000000000000005</v>
      </c>
      <c r="D352" s="120"/>
      <c r="E352" s="120"/>
      <c r="F352" s="120"/>
      <c r="G352" s="96"/>
    </row>
    <row r="353" spans="1:7" x14ac:dyDescent="0.25">
      <c r="A353" s="2"/>
      <c r="B353" s="104"/>
      <c r="C353" s="114" t="s">
        <v>103</v>
      </c>
      <c r="D353" s="104" t="s">
        <v>863</v>
      </c>
      <c r="E353" s="105">
        <v>42697</v>
      </c>
      <c r="F353" s="106" t="s">
        <v>1717</v>
      </c>
      <c r="G353" s="96">
        <v>67781.119999999995</v>
      </c>
    </row>
    <row r="354" spans="1:7" x14ac:dyDescent="0.25">
      <c r="A354" s="104" t="s">
        <v>1137</v>
      </c>
      <c r="G354" s="96">
        <v>67781.119999999995</v>
      </c>
    </row>
    <row r="355" spans="1:7" x14ac:dyDescent="0.25">
      <c r="A355" s="104"/>
      <c r="G355" s="96"/>
    </row>
    <row r="356" spans="1:7" x14ac:dyDescent="0.25">
      <c r="A356" s="104" t="s">
        <v>661</v>
      </c>
      <c r="G356" s="96"/>
    </row>
    <row r="357" spans="1:7" ht="45" x14ac:dyDescent="0.25">
      <c r="A357" s="107" t="s">
        <v>660</v>
      </c>
      <c r="B357" s="107"/>
      <c r="C357" s="107"/>
      <c r="D357" s="107"/>
      <c r="E357" s="107"/>
      <c r="F357" s="107"/>
      <c r="G357" s="96"/>
    </row>
    <row r="358" spans="1:7" x14ac:dyDescent="0.25">
      <c r="A358" s="115" t="s">
        <v>649</v>
      </c>
      <c r="B358" s="104" t="s">
        <v>1292</v>
      </c>
      <c r="C358" s="120">
        <v>0.5</v>
      </c>
      <c r="D358" s="120"/>
      <c r="E358" s="120"/>
      <c r="F358" s="120"/>
      <c r="G358" s="96"/>
    </row>
    <row r="359" spans="1:7" x14ac:dyDescent="0.25">
      <c r="A359" s="2"/>
      <c r="B359" s="104"/>
      <c r="C359" s="114" t="s">
        <v>103</v>
      </c>
      <c r="D359" s="104" t="s">
        <v>863</v>
      </c>
      <c r="E359" s="105">
        <v>42632</v>
      </c>
      <c r="F359" s="106" t="s">
        <v>1293</v>
      </c>
      <c r="G359" s="96">
        <v>28658.18</v>
      </c>
    </row>
    <row r="360" spans="1:7" x14ac:dyDescent="0.25">
      <c r="A360" s="104" t="s">
        <v>1295</v>
      </c>
      <c r="G360" s="96">
        <v>28658.18</v>
      </c>
    </row>
    <row r="361" spans="1:7" x14ac:dyDescent="0.25">
      <c r="A361" s="104"/>
      <c r="G361" s="96"/>
    </row>
    <row r="362" spans="1:7" x14ac:dyDescent="0.25">
      <c r="A362" s="104" t="s">
        <v>664</v>
      </c>
      <c r="G362" s="96"/>
    </row>
    <row r="363" spans="1:7" ht="45" x14ac:dyDescent="0.25">
      <c r="A363" s="107" t="s">
        <v>663</v>
      </c>
      <c r="B363" s="107"/>
      <c r="C363" s="107"/>
      <c r="D363" s="107"/>
      <c r="E363" s="107"/>
      <c r="F363" s="107"/>
      <c r="G363" s="96"/>
    </row>
    <row r="364" spans="1:7" x14ac:dyDescent="0.25">
      <c r="A364" s="115" t="s">
        <v>649</v>
      </c>
      <c r="B364" s="104" t="s">
        <v>1296</v>
      </c>
      <c r="C364" s="120">
        <v>0.5</v>
      </c>
      <c r="D364" s="120"/>
      <c r="E364" s="120"/>
      <c r="F364" s="120"/>
      <c r="G364" s="96"/>
    </row>
    <row r="365" spans="1:7" x14ac:dyDescent="0.25">
      <c r="A365" s="2"/>
      <c r="B365" s="104"/>
      <c r="C365" s="114" t="s">
        <v>103</v>
      </c>
      <c r="D365" s="104" t="s">
        <v>863</v>
      </c>
      <c r="E365" s="105">
        <v>42632</v>
      </c>
      <c r="F365" s="106" t="s">
        <v>1293</v>
      </c>
      <c r="G365" s="96">
        <v>36503.53</v>
      </c>
    </row>
    <row r="366" spans="1:7" x14ac:dyDescent="0.25">
      <c r="A366" s="104" t="s">
        <v>1297</v>
      </c>
      <c r="G366" s="96">
        <v>36503.53</v>
      </c>
    </row>
    <row r="367" spans="1:7" x14ac:dyDescent="0.25">
      <c r="A367" s="104"/>
      <c r="G367" s="96"/>
    </row>
    <row r="368" spans="1:7" x14ac:dyDescent="0.25">
      <c r="A368" s="104" t="s">
        <v>667</v>
      </c>
      <c r="G368" s="96"/>
    </row>
    <row r="369" spans="1:7" ht="60" x14ac:dyDescent="0.25">
      <c r="A369" s="107" t="s">
        <v>666</v>
      </c>
      <c r="B369" s="107"/>
      <c r="C369" s="107"/>
      <c r="D369" s="107"/>
      <c r="E369" s="107"/>
      <c r="F369" s="107"/>
      <c r="G369" s="96"/>
    </row>
    <row r="370" spans="1:7" x14ac:dyDescent="0.25">
      <c r="A370" s="115" t="s">
        <v>649</v>
      </c>
      <c r="B370" s="104" t="s">
        <v>1298</v>
      </c>
      <c r="C370" s="120">
        <v>0.56999999999999995</v>
      </c>
      <c r="D370" s="120"/>
      <c r="E370" s="120"/>
      <c r="F370" s="120"/>
      <c r="G370" s="96"/>
    </row>
    <row r="371" spans="1:7" x14ac:dyDescent="0.25">
      <c r="A371" s="2"/>
      <c r="B371" s="104"/>
      <c r="C371" s="114" t="s">
        <v>103</v>
      </c>
      <c r="D371" s="104" t="s">
        <v>863</v>
      </c>
      <c r="E371" s="105">
        <v>42632</v>
      </c>
      <c r="F371" s="106" t="s">
        <v>1299</v>
      </c>
      <c r="G371" s="96">
        <v>129538.83</v>
      </c>
    </row>
    <row r="372" spans="1:7" x14ac:dyDescent="0.25">
      <c r="A372" s="104" t="s">
        <v>1300</v>
      </c>
      <c r="G372" s="96">
        <v>129538.83</v>
      </c>
    </row>
    <row r="373" spans="1:7" x14ac:dyDescent="0.25">
      <c r="A373" s="104"/>
      <c r="G373" s="96"/>
    </row>
    <row r="374" spans="1:7" x14ac:dyDescent="0.25">
      <c r="A374" s="104" t="s">
        <v>1734</v>
      </c>
      <c r="G374" s="96"/>
    </row>
    <row r="375" spans="1:7" ht="45" x14ac:dyDescent="0.25">
      <c r="A375" s="107" t="s">
        <v>1733</v>
      </c>
      <c r="B375" s="107"/>
      <c r="C375" s="107"/>
      <c r="D375" s="107"/>
      <c r="E375" s="107"/>
      <c r="F375" s="107"/>
      <c r="G375" s="96"/>
    </row>
    <row r="376" spans="1:7" x14ac:dyDescent="0.25">
      <c r="A376" s="115" t="s">
        <v>649</v>
      </c>
      <c r="B376" s="104" t="s">
        <v>1754</v>
      </c>
      <c r="C376" s="120">
        <v>1</v>
      </c>
      <c r="D376" s="120"/>
      <c r="E376" s="120"/>
      <c r="F376" s="120"/>
      <c r="G376" s="96"/>
    </row>
    <row r="377" spans="1:7" x14ac:dyDescent="0.25">
      <c r="A377" s="2"/>
      <c r="B377" s="104"/>
      <c r="C377" s="114" t="s">
        <v>103</v>
      </c>
      <c r="D377" s="104" t="s">
        <v>2238</v>
      </c>
      <c r="E377" s="105">
        <v>42690</v>
      </c>
      <c r="F377" s="106" t="s">
        <v>1324</v>
      </c>
      <c r="G377" s="96">
        <v>51999.99</v>
      </c>
    </row>
    <row r="378" spans="1:7" x14ac:dyDescent="0.25">
      <c r="A378" s="104" t="s">
        <v>1755</v>
      </c>
      <c r="G378" s="96">
        <v>51999.99</v>
      </c>
    </row>
    <row r="379" spans="1:7" x14ac:dyDescent="0.25">
      <c r="A379" s="104"/>
      <c r="G379" s="96"/>
    </row>
    <row r="380" spans="1:7" x14ac:dyDescent="0.25">
      <c r="A380" s="104" t="s">
        <v>670</v>
      </c>
      <c r="G380" s="96"/>
    </row>
    <row r="381" spans="1:7" ht="45" x14ac:dyDescent="0.25">
      <c r="A381" s="107" t="s">
        <v>669</v>
      </c>
      <c r="B381" s="107"/>
      <c r="C381" s="107"/>
      <c r="D381" s="107"/>
      <c r="E381" s="107"/>
      <c r="F381" s="107"/>
      <c r="G381" s="96"/>
    </row>
    <row r="382" spans="1:7" x14ac:dyDescent="0.25">
      <c r="A382" s="115" t="s">
        <v>649</v>
      </c>
      <c r="B382" s="104" t="s">
        <v>1298</v>
      </c>
      <c r="C382" s="120">
        <v>0.56999999999999995</v>
      </c>
      <c r="D382" s="120"/>
      <c r="E382" s="120"/>
      <c r="F382" s="120"/>
      <c r="G382" s="96"/>
    </row>
    <row r="383" spans="1:7" x14ac:dyDescent="0.25">
      <c r="A383" s="2"/>
      <c r="B383" s="104"/>
      <c r="C383" s="114" t="s">
        <v>103</v>
      </c>
      <c r="D383" s="104" t="s">
        <v>863</v>
      </c>
      <c r="E383" s="105">
        <v>42591</v>
      </c>
      <c r="F383" s="106" t="s">
        <v>1299</v>
      </c>
      <c r="G383" s="96">
        <v>129538.83</v>
      </c>
    </row>
    <row r="384" spans="1:7" x14ac:dyDescent="0.25">
      <c r="A384" s="104" t="s">
        <v>1301</v>
      </c>
      <c r="G384" s="96">
        <v>129538.83</v>
      </c>
    </row>
    <row r="385" spans="1:7" x14ac:dyDescent="0.25">
      <c r="A385" s="104"/>
      <c r="G385" s="96"/>
    </row>
    <row r="386" spans="1:7" x14ac:dyDescent="0.25">
      <c r="A386" s="104" t="s">
        <v>466</v>
      </c>
      <c r="G386" s="96"/>
    </row>
    <row r="387" spans="1:7" ht="45" x14ac:dyDescent="0.25">
      <c r="A387" s="107" t="s">
        <v>467</v>
      </c>
      <c r="B387" s="107"/>
      <c r="C387" s="107"/>
      <c r="D387" s="107"/>
      <c r="E387" s="107"/>
      <c r="F387" s="107"/>
      <c r="G387" s="96"/>
    </row>
    <row r="388" spans="1:7" ht="30" x14ac:dyDescent="0.25">
      <c r="A388" s="115" t="s">
        <v>468</v>
      </c>
      <c r="B388" s="104" t="s">
        <v>1138</v>
      </c>
      <c r="C388" s="120">
        <v>1</v>
      </c>
      <c r="D388" s="120"/>
      <c r="E388" s="120"/>
      <c r="F388" s="120"/>
      <c r="G388" s="96"/>
    </row>
    <row r="389" spans="1:7" x14ac:dyDescent="0.25">
      <c r="A389" s="2"/>
      <c r="B389" s="104"/>
      <c r="C389" s="114" t="s">
        <v>23</v>
      </c>
      <c r="D389" s="104" t="s">
        <v>863</v>
      </c>
      <c r="E389" s="105">
        <v>42573</v>
      </c>
      <c r="F389" s="106"/>
      <c r="G389" s="96">
        <v>87871.79</v>
      </c>
    </row>
    <row r="390" spans="1:7" x14ac:dyDescent="0.25">
      <c r="A390" s="2"/>
      <c r="B390" s="104"/>
      <c r="C390" s="114" t="s">
        <v>103</v>
      </c>
      <c r="D390" s="104" t="s">
        <v>863</v>
      </c>
      <c r="E390" s="105">
        <v>42663</v>
      </c>
      <c r="F390" s="106" t="s">
        <v>1302</v>
      </c>
      <c r="G390" s="96">
        <v>74133.039999999994</v>
      </c>
    </row>
    <row r="391" spans="1:7" x14ac:dyDescent="0.25">
      <c r="A391" s="2"/>
      <c r="B391" s="104"/>
      <c r="C391" s="114" t="s">
        <v>221</v>
      </c>
      <c r="D391" s="104" t="s">
        <v>863</v>
      </c>
      <c r="E391" s="105">
        <v>42663</v>
      </c>
      <c r="F391" s="106" t="s">
        <v>1139</v>
      </c>
      <c r="G391" s="96">
        <v>162461.74</v>
      </c>
    </row>
    <row r="392" spans="1:7" x14ac:dyDescent="0.25">
      <c r="A392" s="2"/>
      <c r="B392" s="104"/>
      <c r="C392" s="114" t="s">
        <v>55</v>
      </c>
      <c r="D392" s="104" t="s">
        <v>863</v>
      </c>
      <c r="E392" s="105">
        <v>42697</v>
      </c>
      <c r="F392" s="106" t="s">
        <v>1139</v>
      </c>
      <c r="G392" s="96">
        <v>162461.74</v>
      </c>
    </row>
    <row r="393" spans="1:7" x14ac:dyDescent="0.25">
      <c r="A393" s="2"/>
      <c r="B393" s="104"/>
      <c r="C393" s="114" t="s">
        <v>215</v>
      </c>
      <c r="D393" s="104" t="s">
        <v>863</v>
      </c>
      <c r="E393" s="105">
        <v>42781</v>
      </c>
      <c r="F393" s="106" t="s">
        <v>1091</v>
      </c>
      <c r="G393" s="96">
        <v>157729.85999999999</v>
      </c>
    </row>
    <row r="394" spans="1:7" x14ac:dyDescent="0.25">
      <c r="A394" s="2"/>
      <c r="B394" s="104"/>
      <c r="C394" s="114" t="s">
        <v>15</v>
      </c>
      <c r="D394" s="104" t="s">
        <v>863</v>
      </c>
      <c r="E394" s="105">
        <v>42781</v>
      </c>
      <c r="F394" s="106" t="s">
        <v>1139</v>
      </c>
      <c r="G394" s="96">
        <v>162461.76000000001</v>
      </c>
    </row>
    <row r="395" spans="1:7" x14ac:dyDescent="0.25">
      <c r="A395" s="2"/>
      <c r="B395" s="104"/>
      <c r="C395" s="114" t="s">
        <v>214</v>
      </c>
      <c r="D395" s="104" t="s">
        <v>863</v>
      </c>
      <c r="E395" s="105">
        <v>42781</v>
      </c>
      <c r="F395" s="106" t="s">
        <v>1898</v>
      </c>
      <c r="G395" s="96">
        <v>67648.13</v>
      </c>
    </row>
    <row r="396" spans="1:7" x14ac:dyDescent="0.25">
      <c r="A396" s="104" t="s">
        <v>1140</v>
      </c>
      <c r="G396" s="96">
        <v>874768.06</v>
      </c>
    </row>
    <row r="397" spans="1:7" x14ac:dyDescent="0.25">
      <c r="A397" s="104"/>
      <c r="G397" s="96"/>
    </row>
    <row r="398" spans="1:7" x14ac:dyDescent="0.25">
      <c r="A398" s="104" t="s">
        <v>476</v>
      </c>
      <c r="G398" s="96"/>
    </row>
    <row r="399" spans="1:7" ht="60" x14ac:dyDescent="0.25">
      <c r="A399" s="107" t="s">
        <v>475</v>
      </c>
      <c r="B399" s="107"/>
      <c r="C399" s="107"/>
      <c r="D399" s="107"/>
      <c r="E399" s="107"/>
      <c r="F399" s="107"/>
      <c r="G399" s="96"/>
    </row>
    <row r="400" spans="1:7" x14ac:dyDescent="0.25">
      <c r="A400" s="115" t="s">
        <v>444</v>
      </c>
      <c r="B400" s="104" t="s">
        <v>1833</v>
      </c>
      <c r="C400" s="120">
        <v>1</v>
      </c>
      <c r="D400" s="120"/>
      <c r="E400" s="120"/>
      <c r="F400" s="120"/>
      <c r="G400" s="96"/>
    </row>
    <row r="401" spans="1:7" x14ac:dyDescent="0.25">
      <c r="A401" s="2"/>
      <c r="B401" s="104"/>
      <c r="C401" s="114" t="s">
        <v>103</v>
      </c>
      <c r="D401" s="104" t="s">
        <v>863</v>
      </c>
      <c r="E401" s="105">
        <v>42781</v>
      </c>
      <c r="F401" s="106" t="s">
        <v>1078</v>
      </c>
      <c r="G401" s="96">
        <v>109522.39</v>
      </c>
    </row>
    <row r="402" spans="1:7" x14ac:dyDescent="0.25">
      <c r="A402" s="2"/>
      <c r="B402" s="104"/>
      <c r="C402" s="114" t="s">
        <v>221</v>
      </c>
      <c r="D402" s="104" t="s">
        <v>863</v>
      </c>
      <c r="E402" s="105">
        <v>42781</v>
      </c>
      <c r="F402" s="106" t="s">
        <v>1078</v>
      </c>
      <c r="G402" s="96">
        <v>109522.39</v>
      </c>
    </row>
    <row r="403" spans="1:7" x14ac:dyDescent="0.25">
      <c r="A403" s="2"/>
      <c r="B403" s="104"/>
      <c r="C403" s="114" t="s">
        <v>55</v>
      </c>
      <c r="D403" s="104" t="s">
        <v>863</v>
      </c>
      <c r="E403" s="105">
        <v>42781</v>
      </c>
      <c r="F403" s="106" t="s">
        <v>1078</v>
      </c>
      <c r="G403" s="96">
        <v>109522.39</v>
      </c>
    </row>
    <row r="404" spans="1:7" x14ac:dyDescent="0.25">
      <c r="A404" s="2"/>
      <c r="B404" s="104"/>
      <c r="C404" s="114" t="s">
        <v>215</v>
      </c>
      <c r="D404" s="104" t="s">
        <v>863</v>
      </c>
      <c r="E404" s="105">
        <v>42781</v>
      </c>
      <c r="F404" s="106" t="s">
        <v>1078</v>
      </c>
      <c r="G404" s="96">
        <v>109522.39</v>
      </c>
    </row>
    <row r="405" spans="1:7" x14ac:dyDescent="0.25">
      <c r="A405" s="104" t="s">
        <v>1834</v>
      </c>
      <c r="G405" s="96">
        <v>438089.56</v>
      </c>
    </row>
    <row r="406" spans="1:7" x14ac:dyDescent="0.25">
      <c r="A406" s="104"/>
      <c r="G406" s="96"/>
    </row>
    <row r="407" spans="1:7" x14ac:dyDescent="0.25">
      <c r="A407" s="104" t="s">
        <v>809</v>
      </c>
      <c r="G407" s="96"/>
    </row>
    <row r="408" spans="1:7" ht="60" x14ac:dyDescent="0.25">
      <c r="A408" s="107" t="s">
        <v>810</v>
      </c>
      <c r="B408" s="107"/>
      <c r="C408" s="107"/>
      <c r="D408" s="107"/>
      <c r="E408" s="107"/>
      <c r="F408" s="107"/>
      <c r="G408" s="96"/>
    </row>
    <row r="409" spans="1:7" x14ac:dyDescent="0.25">
      <c r="A409" s="115" t="s">
        <v>418</v>
      </c>
      <c r="B409" s="104" t="s">
        <v>1141</v>
      </c>
      <c r="C409" s="120">
        <v>1</v>
      </c>
      <c r="D409" s="120"/>
      <c r="E409" s="120"/>
      <c r="F409" s="120"/>
      <c r="G409" s="96"/>
    </row>
    <row r="410" spans="1:7" x14ac:dyDescent="0.25">
      <c r="A410" s="2"/>
      <c r="B410" s="104"/>
      <c r="C410" s="114" t="s">
        <v>23</v>
      </c>
      <c r="D410" s="104" t="s">
        <v>863</v>
      </c>
      <c r="E410" s="105">
        <v>42622</v>
      </c>
      <c r="F410" s="106"/>
      <c r="G410" s="96">
        <v>79096.86</v>
      </c>
    </row>
    <row r="411" spans="1:7" x14ac:dyDescent="0.25">
      <c r="A411" s="2"/>
      <c r="B411" s="104"/>
      <c r="C411" s="114" t="s">
        <v>103</v>
      </c>
      <c r="D411" s="104" t="s">
        <v>2238</v>
      </c>
      <c r="E411" s="105">
        <v>42713</v>
      </c>
      <c r="F411" s="106" t="s">
        <v>1899</v>
      </c>
      <c r="G411" s="96">
        <v>173529.72</v>
      </c>
    </row>
    <row r="412" spans="1:7" x14ac:dyDescent="0.25">
      <c r="A412" s="2"/>
      <c r="B412" s="104"/>
      <c r="C412" s="114" t="s">
        <v>221</v>
      </c>
      <c r="D412" s="104" t="s">
        <v>2238</v>
      </c>
      <c r="E412" s="105">
        <v>42713</v>
      </c>
      <c r="F412" s="106" t="s">
        <v>1900</v>
      </c>
      <c r="G412" s="96">
        <v>244519.16</v>
      </c>
    </row>
    <row r="413" spans="1:7" x14ac:dyDescent="0.25">
      <c r="A413" s="2"/>
      <c r="B413" s="104"/>
      <c r="C413" s="114" t="s">
        <v>55</v>
      </c>
      <c r="D413" s="104" t="s">
        <v>2238</v>
      </c>
      <c r="E413" s="105">
        <v>42713</v>
      </c>
      <c r="F413" s="106" t="s">
        <v>1122</v>
      </c>
      <c r="G413" s="96">
        <v>236631.44</v>
      </c>
    </row>
    <row r="414" spans="1:7" x14ac:dyDescent="0.25">
      <c r="A414" s="2"/>
      <c r="B414" s="104"/>
      <c r="C414" s="114" t="s">
        <v>215</v>
      </c>
      <c r="D414" s="104" t="s">
        <v>2238</v>
      </c>
      <c r="E414" s="105">
        <v>42713</v>
      </c>
      <c r="F414" s="106" t="s">
        <v>1901</v>
      </c>
      <c r="G414" s="96">
        <v>49692.58</v>
      </c>
    </row>
    <row r="415" spans="1:7" x14ac:dyDescent="0.25">
      <c r="A415" s="2"/>
      <c r="B415" s="104"/>
      <c r="C415" s="114" t="s">
        <v>15</v>
      </c>
      <c r="D415" s="104" t="s">
        <v>2238</v>
      </c>
      <c r="E415" s="105">
        <v>42713</v>
      </c>
      <c r="F415" s="106" t="s">
        <v>1902</v>
      </c>
      <c r="G415" s="96">
        <v>5521.43</v>
      </c>
    </row>
    <row r="416" spans="1:7" x14ac:dyDescent="0.25">
      <c r="A416" s="104" t="s">
        <v>1142</v>
      </c>
      <c r="G416" s="96">
        <v>788991.19</v>
      </c>
    </row>
    <row r="417" spans="1:7" x14ac:dyDescent="0.25">
      <c r="A417" s="104"/>
      <c r="G417" s="96"/>
    </row>
    <row r="418" spans="1:7" x14ac:dyDescent="0.25">
      <c r="A418" s="104" t="s">
        <v>797</v>
      </c>
      <c r="G418" s="96"/>
    </row>
    <row r="419" spans="1:7" ht="75" x14ac:dyDescent="0.25">
      <c r="A419" s="107" t="s">
        <v>795</v>
      </c>
      <c r="B419" s="107"/>
      <c r="C419" s="107"/>
      <c r="D419" s="107"/>
      <c r="E419" s="107"/>
      <c r="F419" s="107"/>
      <c r="G419" s="96"/>
    </row>
    <row r="420" spans="1:7" x14ac:dyDescent="0.25">
      <c r="A420" s="115" t="s">
        <v>796</v>
      </c>
      <c r="B420" s="104" t="s">
        <v>1303</v>
      </c>
      <c r="C420" s="120">
        <v>1</v>
      </c>
      <c r="D420" s="120"/>
      <c r="E420" s="120"/>
      <c r="F420" s="120"/>
      <c r="G420" s="96"/>
    </row>
    <row r="421" spans="1:7" x14ac:dyDescent="0.25">
      <c r="A421" s="2"/>
      <c r="B421" s="104"/>
      <c r="C421" s="114" t="s">
        <v>103</v>
      </c>
      <c r="D421" s="104" t="s">
        <v>863</v>
      </c>
      <c r="E421" s="105">
        <v>42664</v>
      </c>
      <c r="F421" s="106" t="s">
        <v>1304</v>
      </c>
      <c r="G421" s="96">
        <v>35843.89</v>
      </c>
    </row>
    <row r="422" spans="1:7" x14ac:dyDescent="0.25">
      <c r="A422" s="2"/>
      <c r="B422" s="104"/>
      <c r="C422" s="114" t="s">
        <v>221</v>
      </c>
      <c r="D422" s="104" t="s">
        <v>863</v>
      </c>
      <c r="E422" s="105">
        <v>42664</v>
      </c>
      <c r="F422" s="106" t="s">
        <v>1305</v>
      </c>
      <c r="G422" s="96">
        <v>86943.83</v>
      </c>
    </row>
    <row r="423" spans="1:7" x14ac:dyDescent="0.25">
      <c r="A423" s="2"/>
      <c r="B423" s="104"/>
      <c r="C423" s="114" t="s">
        <v>55</v>
      </c>
      <c r="D423" s="104" t="s">
        <v>863</v>
      </c>
      <c r="E423" s="105">
        <v>42781</v>
      </c>
      <c r="F423" s="106" t="s">
        <v>1260</v>
      </c>
      <c r="G423" s="96">
        <v>92486.68</v>
      </c>
    </row>
    <row r="424" spans="1:7" x14ac:dyDescent="0.25">
      <c r="A424" s="2"/>
      <c r="B424" s="104"/>
      <c r="C424" s="114" t="s">
        <v>215</v>
      </c>
      <c r="D424" s="104" t="s">
        <v>863</v>
      </c>
      <c r="E424" s="105">
        <v>42781</v>
      </c>
      <c r="F424" s="106" t="s">
        <v>1855</v>
      </c>
      <c r="G424" s="96">
        <v>88791.44</v>
      </c>
    </row>
    <row r="425" spans="1:7" x14ac:dyDescent="0.25">
      <c r="A425" s="2"/>
      <c r="B425" s="104"/>
      <c r="C425" s="114" t="s">
        <v>15</v>
      </c>
      <c r="D425" s="104" t="s">
        <v>863</v>
      </c>
      <c r="E425" s="105">
        <v>42781</v>
      </c>
      <c r="F425" s="106" t="s">
        <v>1305</v>
      </c>
      <c r="G425" s="96">
        <v>86943.83</v>
      </c>
    </row>
    <row r="426" spans="1:7" x14ac:dyDescent="0.25">
      <c r="A426" s="2"/>
      <c r="B426" s="104"/>
      <c r="C426" s="114" t="s">
        <v>214</v>
      </c>
      <c r="D426" s="104" t="s">
        <v>863</v>
      </c>
      <c r="E426" s="105">
        <v>42781</v>
      </c>
      <c r="F426" s="106" t="s">
        <v>1855</v>
      </c>
      <c r="G426" s="96">
        <v>88791.44</v>
      </c>
    </row>
    <row r="427" spans="1:7" x14ac:dyDescent="0.25">
      <c r="A427" s="2"/>
      <c r="B427" s="104"/>
      <c r="C427" s="114" t="s">
        <v>218</v>
      </c>
      <c r="D427" s="104" t="s">
        <v>2238</v>
      </c>
      <c r="E427" s="105">
        <v>42734</v>
      </c>
      <c r="F427" s="106" t="s">
        <v>1856</v>
      </c>
      <c r="G427" s="96">
        <v>48090.97</v>
      </c>
    </row>
    <row r="428" spans="1:7" x14ac:dyDescent="0.25">
      <c r="A428" s="104" t="s">
        <v>1306</v>
      </c>
      <c r="G428" s="96">
        <v>527892.07999999996</v>
      </c>
    </row>
    <row r="429" spans="1:7" x14ac:dyDescent="0.25">
      <c r="A429" s="104"/>
      <c r="G429" s="96"/>
    </row>
    <row r="430" spans="1:7" x14ac:dyDescent="0.25">
      <c r="A430" s="104" t="s">
        <v>687</v>
      </c>
      <c r="G430" s="96"/>
    </row>
    <row r="431" spans="1:7" ht="60" x14ac:dyDescent="0.25">
      <c r="A431" s="107" t="s">
        <v>685</v>
      </c>
      <c r="B431" s="107"/>
      <c r="C431" s="107"/>
      <c r="D431" s="107"/>
      <c r="E431" s="107"/>
      <c r="F431" s="107"/>
      <c r="G431" s="96"/>
    </row>
    <row r="432" spans="1:7" x14ac:dyDescent="0.25">
      <c r="A432" s="115" t="s">
        <v>686</v>
      </c>
      <c r="B432" s="104" t="s">
        <v>1307</v>
      </c>
      <c r="C432" s="120">
        <v>0.49</v>
      </c>
      <c r="D432" s="120"/>
      <c r="E432" s="120"/>
      <c r="F432" s="120"/>
      <c r="G432" s="96"/>
    </row>
    <row r="433" spans="1:7" x14ac:dyDescent="0.25">
      <c r="A433" s="2"/>
      <c r="B433" s="104"/>
      <c r="C433" s="114" t="s">
        <v>23</v>
      </c>
      <c r="D433" s="104" t="s">
        <v>863</v>
      </c>
      <c r="E433" s="105">
        <v>42632</v>
      </c>
      <c r="F433" s="106"/>
      <c r="G433" s="96">
        <v>65999.679999999993</v>
      </c>
    </row>
    <row r="434" spans="1:7" x14ac:dyDescent="0.25">
      <c r="A434" s="2"/>
      <c r="B434" s="104"/>
      <c r="C434" s="114" t="s">
        <v>103</v>
      </c>
      <c r="D434" s="104" t="s">
        <v>2238</v>
      </c>
      <c r="E434" s="105">
        <v>42741</v>
      </c>
      <c r="F434" s="106" t="s">
        <v>1903</v>
      </c>
      <c r="G434" s="96">
        <v>39489.81</v>
      </c>
    </row>
    <row r="435" spans="1:7" x14ac:dyDescent="0.25">
      <c r="A435" s="2"/>
      <c r="B435" s="104"/>
      <c r="C435" s="114" t="s">
        <v>221</v>
      </c>
      <c r="D435" s="104" t="s">
        <v>2238</v>
      </c>
      <c r="E435" s="105">
        <v>42741</v>
      </c>
      <c r="F435" s="106" t="s">
        <v>1904</v>
      </c>
      <c r="G435" s="96">
        <v>97685.33</v>
      </c>
    </row>
    <row r="436" spans="1:7" x14ac:dyDescent="0.25">
      <c r="A436" s="2"/>
      <c r="B436" s="104"/>
      <c r="C436" s="114" t="s">
        <v>55</v>
      </c>
      <c r="D436" s="104" t="s">
        <v>2238</v>
      </c>
      <c r="E436" s="105">
        <v>42741</v>
      </c>
      <c r="F436" s="106" t="s">
        <v>1905</v>
      </c>
      <c r="G436" s="96">
        <v>103920.53</v>
      </c>
    </row>
    <row r="437" spans="1:7" x14ac:dyDescent="0.25">
      <c r="A437" s="2"/>
      <c r="B437" s="104"/>
      <c r="C437" s="114" t="s">
        <v>218</v>
      </c>
      <c r="D437" s="104" t="s">
        <v>2238</v>
      </c>
      <c r="E437" s="105">
        <v>42812</v>
      </c>
      <c r="F437" s="106" t="s">
        <v>2536</v>
      </c>
      <c r="G437" s="96">
        <v>50722.06</v>
      </c>
    </row>
    <row r="438" spans="1:7" x14ac:dyDescent="0.25">
      <c r="A438" s="104" t="s">
        <v>1308</v>
      </c>
      <c r="G438" s="96">
        <v>357817.41</v>
      </c>
    </row>
    <row r="439" spans="1:7" x14ac:dyDescent="0.25">
      <c r="A439" s="104"/>
      <c r="G439" s="96"/>
    </row>
    <row r="440" spans="1:7" x14ac:dyDescent="0.25">
      <c r="A440" s="104" t="s">
        <v>628</v>
      </c>
      <c r="G440" s="96"/>
    </row>
    <row r="441" spans="1:7" ht="45" x14ac:dyDescent="0.25">
      <c r="A441" s="107" t="s">
        <v>627</v>
      </c>
      <c r="B441" s="107"/>
      <c r="C441" s="107"/>
      <c r="D441" s="107"/>
      <c r="E441" s="107"/>
      <c r="F441" s="107"/>
      <c r="G441" s="96"/>
    </row>
    <row r="442" spans="1:7" x14ac:dyDescent="0.25">
      <c r="A442" s="115" t="s">
        <v>478</v>
      </c>
      <c r="B442" s="104" t="s">
        <v>1309</v>
      </c>
      <c r="C442" s="120">
        <v>1</v>
      </c>
      <c r="D442" s="120"/>
      <c r="E442" s="120"/>
      <c r="F442" s="120"/>
      <c r="G442" s="96"/>
    </row>
    <row r="443" spans="1:7" x14ac:dyDescent="0.25">
      <c r="A443" s="2"/>
      <c r="B443" s="104"/>
      <c r="C443" s="114" t="s">
        <v>103</v>
      </c>
      <c r="D443" s="104" t="s">
        <v>863</v>
      </c>
      <c r="E443" s="105">
        <v>42573</v>
      </c>
      <c r="F443" s="106" t="s">
        <v>1078</v>
      </c>
      <c r="G443" s="96">
        <v>61798.69</v>
      </c>
    </row>
    <row r="444" spans="1:7" x14ac:dyDescent="0.25">
      <c r="A444" s="2"/>
      <c r="B444" s="104"/>
      <c r="C444" s="114" t="s">
        <v>221</v>
      </c>
      <c r="D444" s="104" t="s">
        <v>863</v>
      </c>
      <c r="E444" s="105">
        <v>42605</v>
      </c>
      <c r="F444" s="106" t="s">
        <v>1078</v>
      </c>
      <c r="G444" s="96">
        <v>61798.69</v>
      </c>
    </row>
    <row r="445" spans="1:7" x14ac:dyDescent="0.25">
      <c r="A445" s="2"/>
      <c r="B445" s="104"/>
      <c r="C445" s="114" t="s">
        <v>55</v>
      </c>
      <c r="D445" s="104" t="s">
        <v>863</v>
      </c>
      <c r="E445" s="105">
        <v>42660</v>
      </c>
      <c r="F445" s="106" t="s">
        <v>1078</v>
      </c>
      <c r="G445" s="96">
        <v>61798.69</v>
      </c>
    </row>
    <row r="446" spans="1:7" x14ac:dyDescent="0.25">
      <c r="A446" s="2"/>
      <c r="B446" s="104"/>
      <c r="C446" s="114" t="s">
        <v>215</v>
      </c>
      <c r="D446" s="104" t="s">
        <v>863</v>
      </c>
      <c r="E446" s="105">
        <v>42713</v>
      </c>
      <c r="F446" s="106" t="s">
        <v>1078</v>
      </c>
      <c r="G446" s="96">
        <v>61798.69</v>
      </c>
    </row>
    <row r="447" spans="1:7" x14ac:dyDescent="0.25">
      <c r="A447" s="104" t="s">
        <v>1310</v>
      </c>
      <c r="G447" s="96">
        <v>247194.76</v>
      </c>
    </row>
    <row r="448" spans="1:7" x14ac:dyDescent="0.25">
      <c r="A448" s="104"/>
      <c r="G448" s="96"/>
    </row>
    <row r="449" spans="1:7" x14ac:dyDescent="0.25">
      <c r="A449" s="104" t="s">
        <v>471</v>
      </c>
      <c r="G449" s="96"/>
    </row>
    <row r="450" spans="1:7" ht="60" x14ac:dyDescent="0.25">
      <c r="A450" s="107" t="s">
        <v>472</v>
      </c>
      <c r="B450" s="107"/>
      <c r="C450" s="107"/>
      <c r="D450" s="107"/>
      <c r="E450" s="107"/>
      <c r="F450" s="107"/>
      <c r="G450" s="96"/>
    </row>
    <row r="451" spans="1:7" x14ac:dyDescent="0.25">
      <c r="A451" s="115" t="s">
        <v>478</v>
      </c>
      <c r="B451" s="104" t="s">
        <v>1143</v>
      </c>
      <c r="C451" s="120">
        <v>1</v>
      </c>
      <c r="D451" s="120"/>
      <c r="E451" s="120"/>
      <c r="F451" s="120"/>
      <c r="G451" s="96"/>
    </row>
    <row r="452" spans="1:7" x14ac:dyDescent="0.25">
      <c r="A452" s="2"/>
      <c r="B452" s="104"/>
      <c r="C452" s="114" t="s">
        <v>103</v>
      </c>
      <c r="D452" s="104" t="s">
        <v>863</v>
      </c>
      <c r="E452" s="105">
        <v>42605</v>
      </c>
      <c r="F452" s="106" t="s">
        <v>1311</v>
      </c>
      <c r="G452" s="96">
        <v>20765.09</v>
      </c>
    </row>
    <row r="453" spans="1:7" x14ac:dyDescent="0.25">
      <c r="A453" s="2"/>
      <c r="B453" s="104"/>
      <c r="C453" s="114" t="s">
        <v>221</v>
      </c>
      <c r="D453" s="104" t="s">
        <v>863</v>
      </c>
      <c r="E453" s="105">
        <v>42671</v>
      </c>
      <c r="F453" s="106" t="s">
        <v>1320</v>
      </c>
      <c r="G453" s="96">
        <v>28316.01</v>
      </c>
    </row>
    <row r="454" spans="1:7" x14ac:dyDescent="0.25">
      <c r="A454" s="2"/>
      <c r="B454" s="104"/>
      <c r="C454" s="114" t="s">
        <v>55</v>
      </c>
      <c r="D454" s="104" t="s">
        <v>863</v>
      </c>
      <c r="E454" s="105">
        <v>42678</v>
      </c>
      <c r="F454" s="106" t="s">
        <v>1684</v>
      </c>
      <c r="G454" s="96">
        <v>21708.98</v>
      </c>
    </row>
    <row r="455" spans="1:7" x14ac:dyDescent="0.25">
      <c r="A455" s="104" t="s">
        <v>1144</v>
      </c>
      <c r="G455" s="96">
        <v>70790.080000000002</v>
      </c>
    </row>
    <row r="456" spans="1:7" x14ac:dyDescent="0.25">
      <c r="A456" s="104"/>
      <c r="G456" s="96"/>
    </row>
    <row r="457" spans="1:7" x14ac:dyDescent="0.25">
      <c r="A457" s="104" t="s">
        <v>495</v>
      </c>
      <c r="G457" s="96"/>
    </row>
    <row r="458" spans="1:7" ht="45" x14ac:dyDescent="0.25">
      <c r="A458" s="107" t="s">
        <v>493</v>
      </c>
      <c r="B458" s="107"/>
      <c r="C458" s="107"/>
      <c r="D458" s="107"/>
      <c r="E458" s="107"/>
      <c r="F458" s="107"/>
      <c r="G458" s="96"/>
    </row>
    <row r="459" spans="1:7" x14ac:dyDescent="0.25">
      <c r="A459" s="115" t="s">
        <v>494</v>
      </c>
      <c r="B459" s="104" t="s">
        <v>1145</v>
      </c>
      <c r="C459" s="120">
        <v>0.71</v>
      </c>
      <c r="D459" s="120"/>
      <c r="E459" s="120"/>
      <c r="F459" s="120"/>
      <c r="G459" s="96"/>
    </row>
    <row r="460" spans="1:7" x14ac:dyDescent="0.25">
      <c r="A460" s="2"/>
      <c r="B460" s="104"/>
      <c r="C460" s="114" t="s">
        <v>23</v>
      </c>
      <c r="D460" s="104" t="s">
        <v>863</v>
      </c>
      <c r="E460" s="105">
        <v>42632</v>
      </c>
      <c r="F460" s="106"/>
      <c r="G460" s="96">
        <v>458563.76</v>
      </c>
    </row>
    <row r="461" spans="1:7" x14ac:dyDescent="0.25">
      <c r="A461" s="2"/>
      <c r="B461" s="104"/>
      <c r="C461" s="114" t="s">
        <v>103</v>
      </c>
      <c r="D461" s="104" t="s">
        <v>863</v>
      </c>
      <c r="E461" s="105">
        <v>42781</v>
      </c>
      <c r="F461" s="106" t="s">
        <v>1146</v>
      </c>
      <c r="G461" s="96">
        <v>322792.92</v>
      </c>
    </row>
    <row r="462" spans="1:7" x14ac:dyDescent="0.25">
      <c r="A462" s="2"/>
      <c r="B462" s="104"/>
      <c r="C462" s="114" t="s">
        <v>221</v>
      </c>
      <c r="D462" s="104" t="s">
        <v>863</v>
      </c>
      <c r="E462" s="105">
        <v>42781</v>
      </c>
      <c r="F462" s="106" t="s">
        <v>1147</v>
      </c>
      <c r="G462" s="96">
        <v>632136.15</v>
      </c>
    </row>
    <row r="463" spans="1:7" x14ac:dyDescent="0.25">
      <c r="A463" s="2"/>
      <c r="B463" s="104"/>
      <c r="C463" s="114" t="s">
        <v>55</v>
      </c>
      <c r="D463" s="104" t="s">
        <v>863</v>
      </c>
      <c r="E463" s="105">
        <v>42781</v>
      </c>
      <c r="F463" s="106" t="s">
        <v>1148</v>
      </c>
      <c r="G463" s="96">
        <v>672485.24</v>
      </c>
    </row>
    <row r="464" spans="1:7" x14ac:dyDescent="0.25">
      <c r="A464" s="2"/>
      <c r="B464" s="104"/>
      <c r="C464" s="114" t="s">
        <v>215</v>
      </c>
      <c r="D464" s="104" t="s">
        <v>863</v>
      </c>
      <c r="E464" s="105">
        <v>42781</v>
      </c>
      <c r="F464" s="106" t="s">
        <v>1149</v>
      </c>
      <c r="G464" s="96">
        <v>645585.84</v>
      </c>
    </row>
    <row r="465" spans="1:7" x14ac:dyDescent="0.25">
      <c r="A465" s="2"/>
      <c r="B465" s="104"/>
      <c r="C465" s="114" t="s">
        <v>15</v>
      </c>
      <c r="D465" s="104" t="s">
        <v>863</v>
      </c>
      <c r="E465" s="105">
        <v>42781</v>
      </c>
      <c r="F465" s="106" t="s">
        <v>1147</v>
      </c>
      <c r="G465" s="96">
        <v>632136.15</v>
      </c>
    </row>
    <row r="466" spans="1:7" x14ac:dyDescent="0.25">
      <c r="A466" s="104" t="s">
        <v>1150</v>
      </c>
      <c r="G466" s="96">
        <v>3363700.06</v>
      </c>
    </row>
    <row r="467" spans="1:7" x14ac:dyDescent="0.25">
      <c r="A467" s="104"/>
      <c r="G467" s="96"/>
    </row>
    <row r="468" spans="1:7" x14ac:dyDescent="0.25">
      <c r="A468" s="104" t="s">
        <v>499</v>
      </c>
      <c r="G468" s="96"/>
    </row>
    <row r="469" spans="1:7" ht="60" x14ac:dyDescent="0.25">
      <c r="A469" s="107" t="s">
        <v>498</v>
      </c>
      <c r="B469" s="107"/>
      <c r="C469" s="107"/>
      <c r="D469" s="107"/>
      <c r="E469" s="107"/>
      <c r="F469" s="107"/>
      <c r="G469" s="96"/>
    </row>
    <row r="470" spans="1:7" x14ac:dyDescent="0.25">
      <c r="A470" s="115" t="s">
        <v>494</v>
      </c>
      <c r="B470" s="104" t="s">
        <v>1151</v>
      </c>
      <c r="C470" s="120">
        <v>0.92</v>
      </c>
      <c r="D470" s="120"/>
      <c r="E470" s="120"/>
      <c r="F470" s="120"/>
      <c r="G470" s="96"/>
    </row>
    <row r="471" spans="1:7" x14ac:dyDescent="0.25">
      <c r="A471" s="2"/>
      <c r="B471" s="104"/>
      <c r="C471" s="114" t="s">
        <v>23</v>
      </c>
      <c r="D471" s="104" t="s">
        <v>863</v>
      </c>
      <c r="E471" s="105">
        <v>42632</v>
      </c>
      <c r="F471" s="106"/>
      <c r="G471" s="96">
        <v>270674.14</v>
      </c>
    </row>
    <row r="472" spans="1:7" x14ac:dyDescent="0.25">
      <c r="A472" s="2"/>
      <c r="B472" s="104"/>
      <c r="C472" s="114" t="s">
        <v>103</v>
      </c>
      <c r="D472" s="104" t="s">
        <v>863</v>
      </c>
      <c r="E472" s="105">
        <v>42705</v>
      </c>
      <c r="F472" s="106" t="s">
        <v>1155</v>
      </c>
      <c r="G472" s="96">
        <v>247047.48</v>
      </c>
    </row>
    <row r="473" spans="1:7" x14ac:dyDescent="0.25">
      <c r="A473" s="2"/>
      <c r="B473" s="104"/>
      <c r="C473" s="114" t="s">
        <v>221</v>
      </c>
      <c r="D473" s="104" t="s">
        <v>863</v>
      </c>
      <c r="E473" s="105">
        <v>42705</v>
      </c>
      <c r="F473" s="106" t="s">
        <v>1152</v>
      </c>
      <c r="G473" s="96">
        <v>483801.35</v>
      </c>
    </row>
    <row r="474" spans="1:7" x14ac:dyDescent="0.25">
      <c r="A474" s="2"/>
      <c r="B474" s="104"/>
      <c r="C474" s="114" t="s">
        <v>55</v>
      </c>
      <c r="D474" s="104" t="s">
        <v>863</v>
      </c>
      <c r="E474" s="105">
        <v>42705</v>
      </c>
      <c r="F474" s="106" t="s">
        <v>1153</v>
      </c>
      <c r="G474" s="96">
        <v>514682.27</v>
      </c>
    </row>
    <row r="475" spans="1:7" x14ac:dyDescent="0.25">
      <c r="A475" s="2"/>
      <c r="B475" s="104"/>
      <c r="C475" s="114" t="s">
        <v>215</v>
      </c>
      <c r="D475" s="104" t="s">
        <v>863</v>
      </c>
      <c r="E475" s="105">
        <v>42781</v>
      </c>
      <c r="F475" s="106" t="s">
        <v>1154</v>
      </c>
      <c r="G475" s="96">
        <v>494094.99</v>
      </c>
    </row>
    <row r="476" spans="1:7" x14ac:dyDescent="0.25">
      <c r="A476" s="2"/>
      <c r="B476" s="104"/>
      <c r="C476" s="114" t="s">
        <v>15</v>
      </c>
      <c r="D476" s="104" t="s">
        <v>863</v>
      </c>
      <c r="E476" s="105">
        <v>42781</v>
      </c>
      <c r="F476" s="106" t="s">
        <v>1152</v>
      </c>
      <c r="G476" s="96">
        <v>483801.35</v>
      </c>
    </row>
    <row r="477" spans="1:7" x14ac:dyDescent="0.25">
      <c r="A477" s="104" t="s">
        <v>1156</v>
      </c>
      <c r="G477" s="96">
        <v>2494101.58</v>
      </c>
    </row>
    <row r="478" spans="1:7" x14ac:dyDescent="0.25">
      <c r="A478" s="104"/>
      <c r="G478" s="96"/>
    </row>
    <row r="479" spans="1:7" x14ac:dyDescent="0.25">
      <c r="A479" s="104" t="s">
        <v>732</v>
      </c>
      <c r="G479" s="96"/>
    </row>
    <row r="480" spans="1:7" ht="60" x14ac:dyDescent="0.25">
      <c r="A480" s="107" t="s">
        <v>733</v>
      </c>
      <c r="B480" s="107"/>
      <c r="C480" s="107"/>
      <c r="D480" s="107"/>
      <c r="E480" s="107"/>
      <c r="F480" s="107"/>
      <c r="G480" s="96"/>
    </row>
    <row r="481" spans="1:7" x14ac:dyDescent="0.25">
      <c r="A481" s="115" t="s">
        <v>734</v>
      </c>
      <c r="B481" s="104" t="s">
        <v>1157</v>
      </c>
      <c r="C481" s="120">
        <v>0.93</v>
      </c>
      <c r="D481" s="120"/>
      <c r="E481" s="120"/>
      <c r="F481" s="120"/>
      <c r="G481" s="96"/>
    </row>
    <row r="482" spans="1:7" x14ac:dyDescent="0.25">
      <c r="A482" s="2"/>
      <c r="B482" s="104"/>
      <c r="C482" s="114" t="s">
        <v>103</v>
      </c>
      <c r="D482" s="104" t="s">
        <v>863</v>
      </c>
      <c r="E482" s="105">
        <v>42632</v>
      </c>
      <c r="F482" s="106" t="s">
        <v>1158</v>
      </c>
      <c r="G482" s="96">
        <v>201392.2</v>
      </c>
    </row>
    <row r="483" spans="1:7" x14ac:dyDescent="0.25">
      <c r="A483" s="2"/>
      <c r="B483" s="104"/>
      <c r="C483" s="114" t="s">
        <v>221</v>
      </c>
      <c r="D483" s="104" t="s">
        <v>863</v>
      </c>
      <c r="E483" s="105">
        <v>42632</v>
      </c>
      <c r="F483" s="106" t="s">
        <v>1312</v>
      </c>
      <c r="G483" s="96">
        <v>185900.53</v>
      </c>
    </row>
    <row r="484" spans="1:7" x14ac:dyDescent="0.25">
      <c r="A484" s="2"/>
      <c r="B484" s="104"/>
      <c r="C484" s="114" t="s">
        <v>55</v>
      </c>
      <c r="D484" s="104" t="s">
        <v>863</v>
      </c>
      <c r="E484" s="105">
        <v>42671</v>
      </c>
      <c r="F484" s="106" t="s">
        <v>1321</v>
      </c>
      <c r="G484" s="96">
        <v>193646.4</v>
      </c>
    </row>
    <row r="485" spans="1:7" x14ac:dyDescent="0.25">
      <c r="A485" s="2"/>
      <c r="B485" s="104"/>
      <c r="C485" s="114" t="s">
        <v>215</v>
      </c>
      <c r="D485" s="104" t="s">
        <v>863</v>
      </c>
      <c r="E485" s="105">
        <v>42697</v>
      </c>
      <c r="F485" s="106" t="s">
        <v>1158</v>
      </c>
      <c r="G485" s="96">
        <v>201392.23</v>
      </c>
    </row>
    <row r="486" spans="1:7" x14ac:dyDescent="0.25">
      <c r="A486" s="2"/>
      <c r="B486" s="104"/>
      <c r="C486" s="114" t="s">
        <v>15</v>
      </c>
      <c r="D486" s="104" t="s">
        <v>863</v>
      </c>
      <c r="E486" s="105">
        <v>42697</v>
      </c>
      <c r="F486" s="106" t="s">
        <v>1159</v>
      </c>
      <c r="G486" s="96">
        <v>216883.94</v>
      </c>
    </row>
    <row r="487" spans="1:7" x14ac:dyDescent="0.25">
      <c r="A487" s="2"/>
      <c r="B487" s="104"/>
      <c r="C487" s="114" t="s">
        <v>214</v>
      </c>
      <c r="D487" s="104" t="s">
        <v>863</v>
      </c>
      <c r="E487" s="105">
        <v>42781</v>
      </c>
      <c r="F487" s="106" t="s">
        <v>1160</v>
      </c>
      <c r="G487" s="96">
        <v>197519.31</v>
      </c>
    </row>
    <row r="488" spans="1:7" x14ac:dyDescent="0.25">
      <c r="A488" s="2"/>
      <c r="B488" s="104"/>
      <c r="C488" s="114" t="s">
        <v>218</v>
      </c>
      <c r="D488" s="104" t="s">
        <v>863</v>
      </c>
      <c r="E488" s="105">
        <v>42781</v>
      </c>
      <c r="F488" s="106" t="s">
        <v>1158</v>
      </c>
      <c r="G488" s="96">
        <v>201392.23</v>
      </c>
    </row>
    <row r="489" spans="1:7" x14ac:dyDescent="0.25">
      <c r="A489" s="2"/>
      <c r="B489" s="104"/>
      <c r="C489" s="114" t="s">
        <v>220</v>
      </c>
      <c r="D489" s="104" t="s">
        <v>863</v>
      </c>
      <c r="E489" s="105">
        <v>42781</v>
      </c>
      <c r="F489" s="106" t="s">
        <v>1569</v>
      </c>
      <c r="G489" s="96">
        <v>189773.44</v>
      </c>
    </row>
    <row r="490" spans="1:7" x14ac:dyDescent="0.25">
      <c r="A490" s="2"/>
      <c r="B490" s="104"/>
      <c r="C490" s="114" t="s">
        <v>748</v>
      </c>
      <c r="D490" s="104" t="s">
        <v>2238</v>
      </c>
      <c r="E490" s="105">
        <v>42745</v>
      </c>
      <c r="F490" s="106" t="s">
        <v>2080</v>
      </c>
      <c r="G490" s="96">
        <v>364055.18</v>
      </c>
    </row>
    <row r="491" spans="1:7" x14ac:dyDescent="0.25">
      <c r="A491" s="2"/>
      <c r="B491" s="104"/>
      <c r="C491" s="114" t="s">
        <v>249</v>
      </c>
      <c r="D491" s="104" t="s">
        <v>2238</v>
      </c>
      <c r="E491" s="105">
        <v>42745</v>
      </c>
      <c r="F491" s="106" t="s">
        <v>1158</v>
      </c>
      <c r="G491" s="96">
        <v>201392.23</v>
      </c>
    </row>
    <row r="492" spans="1:7" x14ac:dyDescent="0.25">
      <c r="A492" s="104" t="s">
        <v>1161</v>
      </c>
      <c r="G492" s="96">
        <v>2153347.69</v>
      </c>
    </row>
    <row r="493" spans="1:7" x14ac:dyDescent="0.25">
      <c r="A493" s="104"/>
      <c r="G493" s="96"/>
    </row>
    <row r="494" spans="1:7" x14ac:dyDescent="0.25">
      <c r="A494" s="104" t="s">
        <v>749</v>
      </c>
      <c r="G494" s="96"/>
    </row>
    <row r="495" spans="1:7" ht="60" x14ac:dyDescent="0.25">
      <c r="A495" s="107" t="s">
        <v>750</v>
      </c>
      <c r="B495" s="107"/>
      <c r="C495" s="107"/>
      <c r="D495" s="107"/>
      <c r="E495" s="107"/>
      <c r="F495" s="107"/>
      <c r="G495" s="96"/>
    </row>
    <row r="496" spans="1:7" x14ac:dyDescent="0.25">
      <c r="A496" s="115" t="s">
        <v>734</v>
      </c>
      <c r="B496" s="104" t="s">
        <v>1162</v>
      </c>
      <c r="C496" s="120">
        <v>0.78</v>
      </c>
      <c r="D496" s="120"/>
      <c r="E496" s="120"/>
      <c r="F496" s="120"/>
      <c r="G496" s="96"/>
    </row>
    <row r="497" spans="1:7" x14ac:dyDescent="0.25">
      <c r="A497" s="2"/>
      <c r="B497" s="104"/>
      <c r="C497" s="114" t="s">
        <v>103</v>
      </c>
      <c r="D497" s="104" t="s">
        <v>863</v>
      </c>
      <c r="E497" s="105">
        <v>42671</v>
      </c>
      <c r="F497" s="106" t="s">
        <v>1158</v>
      </c>
      <c r="G497" s="96">
        <v>202820.98</v>
      </c>
    </row>
    <row r="498" spans="1:7" x14ac:dyDescent="0.25">
      <c r="A498" s="2"/>
      <c r="B498" s="104"/>
      <c r="C498" s="114" t="s">
        <v>221</v>
      </c>
      <c r="D498" s="104" t="s">
        <v>863</v>
      </c>
      <c r="E498" s="105">
        <v>42664</v>
      </c>
      <c r="F498" s="106" t="s">
        <v>1101</v>
      </c>
      <c r="G498" s="96">
        <v>390040.37</v>
      </c>
    </row>
    <row r="499" spans="1:7" x14ac:dyDescent="0.25">
      <c r="A499" s="2"/>
      <c r="B499" s="104"/>
      <c r="C499" s="114" t="s">
        <v>55</v>
      </c>
      <c r="D499" s="104" t="s">
        <v>863</v>
      </c>
      <c r="E499" s="105">
        <v>42781</v>
      </c>
      <c r="F499" s="106" t="s">
        <v>1020</v>
      </c>
      <c r="G499" s="96">
        <v>389964.66</v>
      </c>
    </row>
    <row r="500" spans="1:7" x14ac:dyDescent="0.25">
      <c r="A500" s="2"/>
      <c r="B500" s="104"/>
      <c r="C500" s="114" t="s">
        <v>215</v>
      </c>
      <c r="D500" s="104" t="s">
        <v>863</v>
      </c>
      <c r="E500" s="105">
        <v>42781</v>
      </c>
      <c r="F500" s="106" t="s">
        <v>1020</v>
      </c>
      <c r="G500" s="96">
        <v>389859.14</v>
      </c>
    </row>
    <row r="501" spans="1:7" x14ac:dyDescent="0.25">
      <c r="A501" s="2"/>
      <c r="B501" s="104"/>
      <c r="C501" s="114" t="s">
        <v>15</v>
      </c>
      <c r="D501" s="104" t="s">
        <v>863</v>
      </c>
      <c r="E501" s="105">
        <v>42781</v>
      </c>
      <c r="F501" s="106" t="s">
        <v>1906</v>
      </c>
      <c r="G501" s="96">
        <v>84531.54</v>
      </c>
    </row>
    <row r="502" spans="1:7" x14ac:dyDescent="0.25">
      <c r="A502" s="2"/>
      <c r="B502" s="104"/>
      <c r="C502" s="114" t="s">
        <v>214</v>
      </c>
      <c r="D502" s="104" t="s">
        <v>863</v>
      </c>
      <c r="E502" s="105">
        <v>42781</v>
      </c>
      <c r="F502" s="106" t="s">
        <v>1947</v>
      </c>
      <c r="G502" s="96">
        <v>374640.03</v>
      </c>
    </row>
    <row r="503" spans="1:7" x14ac:dyDescent="0.25">
      <c r="A503" s="104" t="s">
        <v>1163</v>
      </c>
      <c r="G503" s="96">
        <v>1831856.72</v>
      </c>
    </row>
    <row r="504" spans="1:7" x14ac:dyDescent="0.25">
      <c r="A504" s="104"/>
      <c r="G504" s="96"/>
    </row>
    <row r="505" spans="1:7" x14ac:dyDescent="0.25">
      <c r="A505" s="104" t="s">
        <v>678</v>
      </c>
      <c r="G505" s="96"/>
    </row>
    <row r="506" spans="1:7" ht="45" x14ac:dyDescent="0.25">
      <c r="A506" s="107" t="s">
        <v>677</v>
      </c>
      <c r="B506" s="107"/>
      <c r="C506" s="107"/>
      <c r="D506" s="107"/>
      <c r="E506" s="107"/>
      <c r="F506" s="107"/>
      <c r="G506" s="96"/>
    </row>
    <row r="507" spans="1:7" x14ac:dyDescent="0.25">
      <c r="A507" s="115" t="s">
        <v>679</v>
      </c>
      <c r="B507" s="104" t="s">
        <v>1164</v>
      </c>
      <c r="C507" s="120">
        <v>1.06</v>
      </c>
      <c r="D507" s="120"/>
      <c r="E507" s="120"/>
      <c r="F507" s="120"/>
      <c r="G507" s="96"/>
    </row>
    <row r="508" spans="1:7" x14ac:dyDescent="0.25">
      <c r="A508" s="2"/>
      <c r="B508" s="104"/>
      <c r="C508" s="114" t="s">
        <v>23</v>
      </c>
      <c r="D508" s="104" t="s">
        <v>863</v>
      </c>
      <c r="E508" s="105">
        <v>42627</v>
      </c>
      <c r="F508" s="106"/>
      <c r="G508" s="96">
        <v>136944.74</v>
      </c>
    </row>
    <row r="509" spans="1:7" x14ac:dyDescent="0.25">
      <c r="A509" s="2"/>
      <c r="B509" s="104"/>
      <c r="C509" s="114" t="s">
        <v>103</v>
      </c>
      <c r="D509" s="104" t="s">
        <v>863</v>
      </c>
      <c r="E509" s="105">
        <v>42664</v>
      </c>
      <c r="F509" s="106" t="s">
        <v>1313</v>
      </c>
      <c r="G509" s="96">
        <v>56659.56</v>
      </c>
    </row>
    <row r="510" spans="1:7" x14ac:dyDescent="0.25">
      <c r="A510" s="2"/>
      <c r="B510" s="104"/>
      <c r="C510" s="114" t="s">
        <v>221</v>
      </c>
      <c r="D510" s="104" t="s">
        <v>863</v>
      </c>
      <c r="E510" s="105">
        <v>42671</v>
      </c>
      <c r="F510" s="106" t="s">
        <v>1101</v>
      </c>
      <c r="G510" s="96">
        <v>204846.51</v>
      </c>
    </row>
    <row r="511" spans="1:7" x14ac:dyDescent="0.25">
      <c r="A511" s="2"/>
      <c r="B511" s="104"/>
      <c r="C511" s="114" t="s">
        <v>55</v>
      </c>
      <c r="D511" s="104" t="s">
        <v>863</v>
      </c>
      <c r="E511" s="105">
        <v>42697</v>
      </c>
      <c r="F511" s="106" t="s">
        <v>1716</v>
      </c>
      <c r="G511" s="96">
        <v>217921.82</v>
      </c>
    </row>
    <row r="512" spans="1:7" x14ac:dyDescent="0.25">
      <c r="A512" s="2"/>
      <c r="B512" s="104"/>
      <c r="C512" s="114" t="s">
        <v>215</v>
      </c>
      <c r="D512" s="104" t="s">
        <v>863</v>
      </c>
      <c r="E512" s="105">
        <v>42781</v>
      </c>
      <c r="F512" s="106" t="s">
        <v>1098</v>
      </c>
      <c r="G512" s="96">
        <v>209204.96</v>
      </c>
    </row>
    <row r="513" spans="1:7" x14ac:dyDescent="0.25">
      <c r="A513" s="2"/>
      <c r="B513" s="104"/>
      <c r="C513" s="114" t="s">
        <v>15</v>
      </c>
      <c r="D513" s="104" t="s">
        <v>863</v>
      </c>
      <c r="E513" s="105">
        <v>42781</v>
      </c>
      <c r="F513" s="106" t="s">
        <v>1101</v>
      </c>
      <c r="G513" s="96">
        <v>204846.51</v>
      </c>
    </row>
    <row r="514" spans="1:7" x14ac:dyDescent="0.25">
      <c r="A514" s="2"/>
      <c r="B514" s="104"/>
      <c r="C514" s="114" t="s">
        <v>214</v>
      </c>
      <c r="D514" s="104" t="s">
        <v>863</v>
      </c>
      <c r="E514" s="105">
        <v>42781</v>
      </c>
      <c r="F514" s="106" t="s">
        <v>1098</v>
      </c>
      <c r="G514" s="96">
        <v>209204.96</v>
      </c>
    </row>
    <row r="515" spans="1:7" x14ac:dyDescent="0.25">
      <c r="A515" s="2"/>
      <c r="B515" s="104"/>
      <c r="C515" s="114" t="s">
        <v>218</v>
      </c>
      <c r="D515" s="104" t="s">
        <v>2238</v>
      </c>
      <c r="E515" s="105">
        <v>42812</v>
      </c>
      <c r="F515" s="106" t="s">
        <v>1101</v>
      </c>
      <c r="G515" s="96">
        <v>213587.66</v>
      </c>
    </row>
    <row r="516" spans="1:7" x14ac:dyDescent="0.25">
      <c r="A516" s="104" t="s">
        <v>1165</v>
      </c>
      <c r="G516" s="96">
        <v>1453216.72</v>
      </c>
    </row>
    <row r="517" spans="1:7" x14ac:dyDescent="0.25">
      <c r="A517" s="104"/>
      <c r="G517" s="96"/>
    </row>
    <row r="518" spans="1:7" x14ac:dyDescent="0.25">
      <c r="A518" s="104" t="s">
        <v>675</v>
      </c>
      <c r="G518" s="96"/>
    </row>
    <row r="519" spans="1:7" ht="60" x14ac:dyDescent="0.25">
      <c r="A519" s="107" t="s">
        <v>673</v>
      </c>
      <c r="B519" s="107"/>
      <c r="C519" s="107"/>
      <c r="D519" s="107"/>
      <c r="E519" s="107"/>
      <c r="F519" s="107"/>
      <c r="G519" s="96"/>
    </row>
    <row r="520" spans="1:7" x14ac:dyDescent="0.25">
      <c r="A520" s="115" t="s">
        <v>674</v>
      </c>
      <c r="B520" s="104" t="s">
        <v>1171</v>
      </c>
      <c r="C520" s="120">
        <v>0.78</v>
      </c>
      <c r="D520" s="120"/>
      <c r="E520" s="120"/>
      <c r="F520" s="120"/>
      <c r="G520" s="96"/>
    </row>
    <row r="521" spans="1:7" x14ac:dyDescent="0.25">
      <c r="A521" s="2"/>
      <c r="B521" s="104"/>
      <c r="C521" s="114" t="s">
        <v>23</v>
      </c>
      <c r="D521" s="104" t="s">
        <v>863</v>
      </c>
      <c r="E521" s="105">
        <v>42627</v>
      </c>
      <c r="F521" s="106"/>
      <c r="G521" s="96">
        <v>60847.25</v>
      </c>
    </row>
    <row r="522" spans="1:7" x14ac:dyDescent="0.25">
      <c r="A522" s="2"/>
      <c r="B522" s="104"/>
      <c r="C522" s="114" t="s">
        <v>103</v>
      </c>
      <c r="D522" s="104" t="s">
        <v>863</v>
      </c>
      <c r="E522" s="105">
        <v>42664</v>
      </c>
      <c r="F522" s="106" t="s">
        <v>1314</v>
      </c>
      <c r="G522" s="96">
        <v>9101.75</v>
      </c>
    </row>
    <row r="523" spans="1:7" x14ac:dyDescent="0.25">
      <c r="A523" s="2"/>
      <c r="B523" s="104"/>
      <c r="C523" s="114" t="s">
        <v>221</v>
      </c>
      <c r="D523" s="104" t="s">
        <v>863</v>
      </c>
      <c r="E523" s="105">
        <v>42664</v>
      </c>
      <c r="F523" s="106" t="s">
        <v>1172</v>
      </c>
      <c r="G523" s="96">
        <v>94051.24</v>
      </c>
    </row>
    <row r="524" spans="1:7" x14ac:dyDescent="0.25">
      <c r="A524" s="2"/>
      <c r="B524" s="104"/>
      <c r="C524" s="114" t="s">
        <v>55</v>
      </c>
      <c r="D524" s="104" t="s">
        <v>863</v>
      </c>
      <c r="E524" s="105">
        <v>42781</v>
      </c>
      <c r="F524" s="106" t="s">
        <v>1172</v>
      </c>
      <c r="G524" s="96">
        <v>94051.24</v>
      </c>
    </row>
    <row r="525" spans="1:7" x14ac:dyDescent="0.25">
      <c r="A525" s="2"/>
      <c r="B525" s="104"/>
      <c r="C525" s="114" t="s">
        <v>215</v>
      </c>
      <c r="D525" s="104" t="s">
        <v>863</v>
      </c>
      <c r="E525" s="105">
        <v>42699</v>
      </c>
      <c r="F525" s="106" t="s">
        <v>1101</v>
      </c>
      <c r="G525" s="96">
        <v>91017.34</v>
      </c>
    </row>
    <row r="526" spans="1:7" x14ac:dyDescent="0.25">
      <c r="A526" s="2"/>
      <c r="B526" s="104"/>
      <c r="C526" s="114" t="s">
        <v>15</v>
      </c>
      <c r="D526" s="104" t="s">
        <v>863</v>
      </c>
      <c r="E526" s="105">
        <v>42781</v>
      </c>
      <c r="F526" s="106" t="s">
        <v>1101</v>
      </c>
      <c r="G526" s="96">
        <v>91017.34</v>
      </c>
    </row>
    <row r="527" spans="1:7" x14ac:dyDescent="0.25">
      <c r="A527" s="2"/>
      <c r="B527" s="104"/>
      <c r="C527" s="114" t="s">
        <v>214</v>
      </c>
      <c r="D527" s="104" t="s">
        <v>863</v>
      </c>
      <c r="E527" s="105">
        <v>42781</v>
      </c>
      <c r="F527" s="106" t="s">
        <v>1321</v>
      </c>
      <c r="G527" s="96">
        <v>45508.72</v>
      </c>
    </row>
    <row r="528" spans="1:7" x14ac:dyDescent="0.25">
      <c r="A528" s="104" t="s">
        <v>1173</v>
      </c>
      <c r="G528" s="96">
        <v>485594.88</v>
      </c>
    </row>
    <row r="529" spans="1:7" x14ac:dyDescent="0.25">
      <c r="A529" s="104"/>
      <c r="G529" s="96"/>
    </row>
    <row r="530" spans="1:7" x14ac:dyDescent="0.25">
      <c r="A530" s="104" t="s">
        <v>848</v>
      </c>
      <c r="G530" s="96"/>
    </row>
    <row r="531" spans="1:7" ht="75" x14ac:dyDescent="0.25">
      <c r="A531" s="107" t="s">
        <v>849</v>
      </c>
      <c r="B531" s="107"/>
      <c r="C531" s="107"/>
      <c r="D531" s="107"/>
      <c r="E531" s="107"/>
      <c r="F531" s="107"/>
      <c r="G531" s="96"/>
    </row>
    <row r="532" spans="1:7" x14ac:dyDescent="0.25">
      <c r="A532" s="115" t="s">
        <v>850</v>
      </c>
      <c r="B532" s="104" t="s">
        <v>1174</v>
      </c>
      <c r="C532" s="120">
        <v>0.71</v>
      </c>
      <c r="D532" s="120"/>
      <c r="E532" s="120"/>
      <c r="F532" s="120"/>
      <c r="G532" s="96"/>
    </row>
    <row r="533" spans="1:7" x14ac:dyDescent="0.25">
      <c r="A533" s="2"/>
      <c r="B533" s="104"/>
      <c r="C533" s="114" t="s">
        <v>103</v>
      </c>
      <c r="D533" s="104" t="s">
        <v>863</v>
      </c>
      <c r="E533" s="105">
        <v>42671</v>
      </c>
      <c r="F533" s="106" t="s">
        <v>1322</v>
      </c>
      <c r="G533" s="96">
        <v>24721.119999999999</v>
      </c>
    </row>
    <row r="534" spans="1:7" x14ac:dyDescent="0.25">
      <c r="A534" s="2"/>
      <c r="B534" s="104"/>
      <c r="C534" s="114" t="s">
        <v>221</v>
      </c>
      <c r="D534" s="104" t="s">
        <v>863</v>
      </c>
      <c r="E534" s="105">
        <v>42781</v>
      </c>
      <c r="F534" s="106" t="s">
        <v>1101</v>
      </c>
      <c r="G534" s="96">
        <v>95352.91</v>
      </c>
    </row>
    <row r="535" spans="1:7" x14ac:dyDescent="0.25">
      <c r="A535" s="2"/>
      <c r="B535" s="104"/>
      <c r="C535" s="114" t="s">
        <v>55</v>
      </c>
      <c r="D535" s="104" t="s">
        <v>863</v>
      </c>
      <c r="E535" s="105">
        <v>42781</v>
      </c>
      <c r="F535" s="106" t="s">
        <v>1101</v>
      </c>
      <c r="G535" s="96">
        <v>95352.91</v>
      </c>
    </row>
    <row r="536" spans="1:7" x14ac:dyDescent="0.25">
      <c r="A536" s="2"/>
      <c r="B536" s="104"/>
      <c r="C536" s="114" t="s">
        <v>215</v>
      </c>
      <c r="D536" s="104" t="s">
        <v>863</v>
      </c>
      <c r="E536" s="105">
        <v>42781</v>
      </c>
      <c r="F536" s="106" t="s">
        <v>1101</v>
      </c>
      <c r="G536" s="96">
        <v>95352.91</v>
      </c>
    </row>
    <row r="537" spans="1:7" x14ac:dyDescent="0.25">
      <c r="A537" s="2"/>
      <c r="B537" s="104"/>
      <c r="C537" s="114" t="s">
        <v>15</v>
      </c>
      <c r="D537" s="104" t="s">
        <v>2238</v>
      </c>
      <c r="E537" s="105">
        <v>42723</v>
      </c>
      <c r="F537" s="106" t="s">
        <v>1101</v>
      </c>
      <c r="G537" s="96">
        <v>95352.91</v>
      </c>
    </row>
    <row r="538" spans="1:7" x14ac:dyDescent="0.25">
      <c r="A538" s="104" t="s">
        <v>1175</v>
      </c>
      <c r="G538" s="96">
        <v>406132.76</v>
      </c>
    </row>
    <row r="539" spans="1:7" x14ac:dyDescent="0.25">
      <c r="A539" s="104"/>
      <c r="G539" s="96"/>
    </row>
    <row r="540" spans="1:7" x14ac:dyDescent="0.25">
      <c r="A540" s="104" t="s">
        <v>822</v>
      </c>
      <c r="G540" s="96"/>
    </row>
    <row r="541" spans="1:7" ht="60" x14ac:dyDescent="0.25">
      <c r="A541" s="107" t="s">
        <v>829</v>
      </c>
      <c r="B541" s="107"/>
      <c r="C541" s="107"/>
      <c r="D541" s="107"/>
      <c r="E541" s="107"/>
      <c r="F541" s="107"/>
      <c r="G541" s="96"/>
    </row>
    <row r="542" spans="1:7" ht="30" x14ac:dyDescent="0.25">
      <c r="A542" s="115" t="s">
        <v>821</v>
      </c>
      <c r="B542" s="104" t="s">
        <v>1176</v>
      </c>
      <c r="C542" s="120">
        <v>0.57999999999999996</v>
      </c>
      <c r="D542" s="120"/>
      <c r="E542" s="120"/>
      <c r="F542" s="120"/>
      <c r="G542" s="96"/>
    </row>
    <row r="543" spans="1:7" x14ac:dyDescent="0.25">
      <c r="A543" s="2"/>
      <c r="B543" s="104"/>
      <c r="C543" s="114" t="s">
        <v>23</v>
      </c>
      <c r="D543" s="104" t="s">
        <v>863</v>
      </c>
      <c r="E543" s="105">
        <v>42781</v>
      </c>
      <c r="F543" s="106"/>
      <c r="G543" s="96">
        <v>339866.91</v>
      </c>
    </row>
    <row r="544" spans="1:7" x14ac:dyDescent="0.25">
      <c r="A544" s="2"/>
      <c r="B544" s="104"/>
      <c r="C544" s="114" t="s">
        <v>103</v>
      </c>
      <c r="D544" s="104" t="s">
        <v>863</v>
      </c>
      <c r="E544" s="105">
        <v>42781</v>
      </c>
      <c r="F544" s="106" t="s">
        <v>1177</v>
      </c>
      <c r="G544" s="96">
        <v>492844.07</v>
      </c>
    </row>
    <row r="545" spans="1:7" x14ac:dyDescent="0.25">
      <c r="A545" s="2"/>
      <c r="B545" s="104"/>
      <c r="C545" s="114" t="s">
        <v>221</v>
      </c>
      <c r="D545" s="104" t="s">
        <v>863</v>
      </c>
      <c r="E545" s="105">
        <v>42781</v>
      </c>
      <c r="F545" s="106" t="s">
        <v>1178</v>
      </c>
      <c r="G545" s="96">
        <v>639365.34</v>
      </c>
    </row>
    <row r="546" spans="1:7" x14ac:dyDescent="0.25">
      <c r="A546" s="2"/>
      <c r="B546" s="104"/>
      <c r="C546" s="114" t="s">
        <v>55</v>
      </c>
      <c r="D546" s="104" t="s">
        <v>2238</v>
      </c>
      <c r="E546" s="105">
        <v>42741</v>
      </c>
      <c r="F546" s="106" t="s">
        <v>2081</v>
      </c>
      <c r="G546" s="96">
        <v>626045.23</v>
      </c>
    </row>
    <row r="547" spans="1:7" x14ac:dyDescent="0.25">
      <c r="A547" s="104" t="s">
        <v>1179</v>
      </c>
      <c r="G547" s="96">
        <v>2098121.5499999998</v>
      </c>
    </row>
    <row r="548" spans="1:7" x14ac:dyDescent="0.25">
      <c r="A548" s="104"/>
      <c r="G548" s="96"/>
    </row>
    <row r="549" spans="1:7" x14ac:dyDescent="0.25">
      <c r="A549" s="104" t="s">
        <v>838</v>
      </c>
      <c r="G549" s="96"/>
    </row>
    <row r="550" spans="1:7" ht="75" x14ac:dyDescent="0.25">
      <c r="A550" s="107" t="s">
        <v>876</v>
      </c>
      <c r="B550" s="107"/>
      <c r="C550" s="107"/>
      <c r="D550" s="107"/>
      <c r="E550" s="107"/>
      <c r="F550" s="107"/>
      <c r="G550" s="96"/>
    </row>
    <row r="551" spans="1:7" x14ac:dyDescent="0.25">
      <c r="A551" s="115" t="s">
        <v>877</v>
      </c>
      <c r="B551" s="104" t="s">
        <v>1315</v>
      </c>
      <c r="C551" s="120">
        <v>0.62</v>
      </c>
      <c r="D551" s="120"/>
      <c r="E551" s="120"/>
      <c r="F551" s="120"/>
      <c r="G551" s="96"/>
    </row>
    <row r="552" spans="1:7" x14ac:dyDescent="0.25">
      <c r="A552" s="2"/>
      <c r="B552" s="104"/>
      <c r="C552" s="114" t="s">
        <v>23</v>
      </c>
      <c r="D552" s="104" t="s">
        <v>863</v>
      </c>
      <c r="E552" s="105">
        <v>42635</v>
      </c>
      <c r="F552" s="106"/>
      <c r="G552" s="96">
        <v>113196.27</v>
      </c>
    </row>
    <row r="553" spans="1:7" x14ac:dyDescent="0.25">
      <c r="A553" s="2"/>
      <c r="B553" s="104"/>
      <c r="C553" s="114" t="s">
        <v>103</v>
      </c>
      <c r="D553" s="104" t="s">
        <v>2238</v>
      </c>
      <c r="E553" s="105">
        <v>42741</v>
      </c>
      <c r="F553" s="106" t="s">
        <v>1948</v>
      </c>
      <c r="G553" s="96">
        <v>210338.83</v>
      </c>
    </row>
    <row r="554" spans="1:7" x14ac:dyDescent="0.25">
      <c r="A554" s="2"/>
      <c r="B554" s="104"/>
      <c r="C554" s="114" t="s">
        <v>221</v>
      </c>
      <c r="D554" s="104" t="s">
        <v>2238</v>
      </c>
      <c r="E554" s="105">
        <v>42741</v>
      </c>
      <c r="F554" s="106" t="s">
        <v>1948</v>
      </c>
      <c r="G554" s="96">
        <v>210338.83</v>
      </c>
    </row>
    <row r="555" spans="1:7" x14ac:dyDescent="0.25">
      <c r="A555" s="2"/>
      <c r="B555" s="104"/>
      <c r="C555" s="114" t="s">
        <v>55</v>
      </c>
      <c r="D555" s="104" t="s">
        <v>2238</v>
      </c>
      <c r="E555" s="105">
        <v>42741</v>
      </c>
      <c r="F555" s="106" t="s">
        <v>1948</v>
      </c>
      <c r="G555" s="96">
        <v>210338.83</v>
      </c>
    </row>
    <row r="556" spans="1:7" x14ac:dyDescent="0.25">
      <c r="A556" s="104" t="s">
        <v>1316</v>
      </c>
      <c r="G556" s="96">
        <v>744212.76</v>
      </c>
    </row>
    <row r="557" spans="1:7" x14ac:dyDescent="0.25">
      <c r="A557" s="104"/>
      <c r="G557" s="96"/>
    </row>
    <row r="558" spans="1:7" x14ac:dyDescent="0.25">
      <c r="A558" s="104" t="s">
        <v>1842</v>
      </c>
      <c r="G558" s="96"/>
    </row>
    <row r="559" spans="1:7" ht="60" x14ac:dyDescent="0.25">
      <c r="A559" s="107" t="s">
        <v>1841</v>
      </c>
      <c r="B559" s="107"/>
      <c r="C559" s="107"/>
      <c r="D559" s="107"/>
      <c r="E559" s="107"/>
      <c r="F559" s="107"/>
      <c r="G559" s="96"/>
    </row>
    <row r="560" spans="1:7" x14ac:dyDescent="0.25">
      <c r="A560" s="115" t="s">
        <v>734</v>
      </c>
      <c r="B560" s="104" t="s">
        <v>1907</v>
      </c>
      <c r="C560" s="120">
        <v>0.23</v>
      </c>
      <c r="D560" s="120"/>
      <c r="E560" s="120"/>
      <c r="F560" s="120"/>
      <c r="G560" s="96"/>
    </row>
    <row r="561" spans="1:7" x14ac:dyDescent="0.25">
      <c r="A561" s="2"/>
      <c r="B561" s="104"/>
      <c r="C561" s="114" t="s">
        <v>23</v>
      </c>
      <c r="D561" s="104" t="s">
        <v>863</v>
      </c>
      <c r="E561" s="105">
        <v>42781</v>
      </c>
      <c r="F561" s="106"/>
      <c r="G561" s="96">
        <v>295847.12</v>
      </c>
    </row>
    <row r="562" spans="1:7" x14ac:dyDescent="0.25">
      <c r="A562" s="2"/>
      <c r="B562" s="104"/>
      <c r="C562" s="114" t="s">
        <v>103</v>
      </c>
      <c r="D562" s="104" t="s">
        <v>2238</v>
      </c>
      <c r="E562" s="105">
        <v>42773</v>
      </c>
      <c r="F562" s="106" t="s">
        <v>1983</v>
      </c>
      <c r="G562" s="96">
        <v>159958.26</v>
      </c>
    </row>
    <row r="563" spans="1:7" x14ac:dyDescent="0.25">
      <c r="A563" s="104" t="s">
        <v>1908</v>
      </c>
      <c r="G563" s="96">
        <v>455805.38</v>
      </c>
    </row>
    <row r="564" spans="1:7" x14ac:dyDescent="0.25">
      <c r="A564" s="104"/>
      <c r="G564" s="96"/>
    </row>
    <row r="565" spans="1:7" x14ac:dyDescent="0.25">
      <c r="A565" s="104" t="s">
        <v>1633</v>
      </c>
      <c r="G565" s="96"/>
    </row>
    <row r="566" spans="1:7" ht="75" x14ac:dyDescent="0.25">
      <c r="A566" s="107" t="s">
        <v>1634</v>
      </c>
      <c r="B566" s="107"/>
      <c r="C566" s="107"/>
      <c r="D566" s="107"/>
      <c r="E566" s="107"/>
      <c r="F566" s="107"/>
      <c r="G566" s="96"/>
    </row>
    <row r="567" spans="1:7" x14ac:dyDescent="0.25">
      <c r="A567" s="115" t="s">
        <v>1635</v>
      </c>
      <c r="B567" s="104" t="s">
        <v>1694</v>
      </c>
      <c r="C567" s="120">
        <v>0</v>
      </c>
      <c r="D567" s="120"/>
      <c r="E567" s="120"/>
      <c r="F567" s="120"/>
      <c r="G567" s="96"/>
    </row>
    <row r="568" spans="1:7" x14ac:dyDescent="0.25">
      <c r="A568" s="2"/>
      <c r="B568" s="104"/>
      <c r="C568" s="114" t="s">
        <v>23</v>
      </c>
      <c r="D568" s="104" t="s">
        <v>863</v>
      </c>
      <c r="E568" s="105">
        <v>42781</v>
      </c>
      <c r="F568" s="106"/>
      <c r="G568" s="96">
        <v>1017134.29</v>
      </c>
    </row>
    <row r="569" spans="1:7" x14ac:dyDescent="0.25">
      <c r="A569" s="104" t="s">
        <v>1695</v>
      </c>
      <c r="G569" s="96">
        <v>1017134.29</v>
      </c>
    </row>
    <row r="570" spans="1:7" x14ac:dyDescent="0.25">
      <c r="A570" s="104"/>
      <c r="G570" s="96"/>
    </row>
    <row r="571" spans="1:7" x14ac:dyDescent="0.25">
      <c r="A571" s="104" t="s">
        <v>1922</v>
      </c>
      <c r="G571" s="96"/>
    </row>
    <row r="572" spans="1:7" ht="60" x14ac:dyDescent="0.25">
      <c r="A572" s="107" t="s">
        <v>1929</v>
      </c>
      <c r="B572" s="107"/>
      <c r="C572" s="107"/>
      <c r="D572" s="107"/>
      <c r="E572" s="107"/>
      <c r="F572" s="107"/>
      <c r="G572" s="96"/>
    </row>
    <row r="573" spans="1:7" x14ac:dyDescent="0.25">
      <c r="A573" s="115" t="s">
        <v>649</v>
      </c>
      <c r="B573" s="104" t="s">
        <v>1986</v>
      </c>
      <c r="C573" s="120">
        <v>0.5</v>
      </c>
      <c r="D573" s="120"/>
      <c r="E573" s="120"/>
      <c r="F573" s="120"/>
      <c r="G573" s="96"/>
    </row>
    <row r="574" spans="1:7" x14ac:dyDescent="0.25">
      <c r="A574" s="2"/>
      <c r="B574" s="104"/>
      <c r="C574" s="114" t="s">
        <v>103</v>
      </c>
      <c r="D574" s="104" t="s">
        <v>2238</v>
      </c>
      <c r="E574" s="105">
        <v>42719</v>
      </c>
      <c r="F574" s="106" t="s">
        <v>1987</v>
      </c>
      <c r="G574" s="96">
        <v>148687.35</v>
      </c>
    </row>
    <row r="575" spans="1:7" x14ac:dyDescent="0.25">
      <c r="A575" s="104" t="s">
        <v>1988</v>
      </c>
      <c r="G575" s="96">
        <v>148687.35</v>
      </c>
    </row>
    <row r="576" spans="1:7" x14ac:dyDescent="0.25">
      <c r="A576" s="104"/>
      <c r="G576" s="96"/>
    </row>
    <row r="577" spans="1:7" x14ac:dyDescent="0.25">
      <c r="A577" s="104" t="s">
        <v>1930</v>
      </c>
      <c r="G577" s="96"/>
    </row>
    <row r="578" spans="1:7" ht="60" x14ac:dyDescent="0.25">
      <c r="A578" s="107" t="s">
        <v>1931</v>
      </c>
      <c r="B578" s="107"/>
      <c r="C578" s="107"/>
      <c r="D578" s="107"/>
      <c r="E578" s="107"/>
      <c r="F578" s="107"/>
      <c r="G578" s="96"/>
    </row>
    <row r="579" spans="1:7" x14ac:dyDescent="0.25">
      <c r="A579" s="115" t="s">
        <v>1932</v>
      </c>
      <c r="B579" s="104" t="s">
        <v>1989</v>
      </c>
      <c r="C579" s="120">
        <v>0</v>
      </c>
      <c r="D579" s="120"/>
      <c r="E579" s="120"/>
      <c r="F579" s="120"/>
      <c r="G579" s="96"/>
    </row>
    <row r="580" spans="1:7" x14ac:dyDescent="0.25">
      <c r="A580" s="2"/>
      <c r="B580" s="104"/>
      <c r="C580" s="114" t="s">
        <v>23</v>
      </c>
      <c r="D580" s="104" t="s">
        <v>863</v>
      </c>
      <c r="E580" s="105">
        <v>42727</v>
      </c>
      <c r="F580" s="106"/>
      <c r="G580" s="96">
        <v>96887.9</v>
      </c>
    </row>
    <row r="581" spans="1:7" x14ac:dyDescent="0.25">
      <c r="A581" s="104" t="s">
        <v>1990</v>
      </c>
      <c r="G581" s="96">
        <v>96887.9</v>
      </c>
    </row>
    <row r="582" spans="1:7" x14ac:dyDescent="0.25">
      <c r="A582" s="104"/>
      <c r="G582" s="96"/>
    </row>
    <row r="583" spans="1:7" x14ac:dyDescent="0.25">
      <c r="A583" s="104" t="s">
        <v>1923</v>
      </c>
      <c r="G583" s="96"/>
    </row>
    <row r="584" spans="1:7" ht="60" x14ac:dyDescent="0.25">
      <c r="A584" s="107" t="s">
        <v>1927</v>
      </c>
      <c r="B584" s="107"/>
      <c r="C584" s="107"/>
      <c r="D584" s="107"/>
      <c r="E584" s="107"/>
      <c r="F584" s="107"/>
      <c r="G584" s="96"/>
    </row>
    <row r="585" spans="1:7" x14ac:dyDescent="0.25">
      <c r="A585" s="115" t="s">
        <v>1926</v>
      </c>
      <c r="B585" s="104" t="s">
        <v>1991</v>
      </c>
      <c r="C585" s="120">
        <v>0.75</v>
      </c>
      <c r="D585" s="120"/>
      <c r="E585" s="120"/>
      <c r="F585" s="120"/>
      <c r="G585" s="96"/>
    </row>
    <row r="586" spans="1:7" x14ac:dyDescent="0.25">
      <c r="A586" s="2"/>
      <c r="B586" s="104"/>
      <c r="C586" s="114" t="s">
        <v>103</v>
      </c>
      <c r="D586" s="104" t="s">
        <v>863</v>
      </c>
      <c r="E586" s="105">
        <v>42733</v>
      </c>
      <c r="F586" s="106" t="s">
        <v>1078</v>
      </c>
      <c r="G586" s="96">
        <v>88351.52</v>
      </c>
    </row>
    <row r="587" spans="1:7" x14ac:dyDescent="0.25">
      <c r="A587" s="2"/>
      <c r="B587" s="104"/>
      <c r="C587" s="114" t="s">
        <v>221</v>
      </c>
      <c r="D587" s="104" t="s">
        <v>863</v>
      </c>
      <c r="E587" s="105">
        <v>42760</v>
      </c>
      <c r="F587" s="106" t="s">
        <v>1078</v>
      </c>
      <c r="G587" s="96">
        <v>88351.52</v>
      </c>
    </row>
    <row r="588" spans="1:7" x14ac:dyDescent="0.25">
      <c r="A588" s="2"/>
      <c r="B588" s="104"/>
      <c r="C588" s="114" t="s">
        <v>55</v>
      </c>
      <c r="D588" s="104" t="s">
        <v>2476</v>
      </c>
      <c r="E588" s="105">
        <v>42800</v>
      </c>
      <c r="F588" s="106" t="s">
        <v>1078</v>
      </c>
      <c r="G588" s="96">
        <v>88351.52</v>
      </c>
    </row>
    <row r="589" spans="1:7" x14ac:dyDescent="0.25">
      <c r="A589" s="104" t="s">
        <v>1992</v>
      </c>
      <c r="G589" s="96">
        <v>265054.56</v>
      </c>
    </row>
    <row r="590" spans="1:7" x14ac:dyDescent="0.25">
      <c r="A590" s="104"/>
      <c r="G590" s="96"/>
    </row>
    <row r="591" spans="1:7" x14ac:dyDescent="0.25">
      <c r="A591" s="104" t="s">
        <v>1914</v>
      </c>
      <c r="G591" s="96"/>
    </row>
    <row r="592" spans="1:7" ht="75" x14ac:dyDescent="0.25">
      <c r="A592" s="107" t="s">
        <v>1921</v>
      </c>
      <c r="B592" s="107"/>
      <c r="C592" s="107"/>
      <c r="D592" s="107"/>
      <c r="E592" s="107"/>
      <c r="F592" s="107"/>
      <c r="G592" s="96"/>
    </row>
    <row r="593" spans="1:7" x14ac:dyDescent="0.25">
      <c r="A593" s="115" t="s">
        <v>796</v>
      </c>
      <c r="B593" s="104" t="s">
        <v>1993</v>
      </c>
      <c r="C593" s="120">
        <v>0.75</v>
      </c>
      <c r="D593" s="120"/>
      <c r="E593" s="120"/>
      <c r="F593" s="120"/>
      <c r="G593" s="96"/>
    </row>
    <row r="594" spans="1:7" x14ac:dyDescent="0.25">
      <c r="A594" s="2"/>
      <c r="B594" s="104"/>
      <c r="C594" s="114" t="s">
        <v>103</v>
      </c>
      <c r="D594" s="104" t="s">
        <v>863</v>
      </c>
      <c r="E594" s="105">
        <v>42733</v>
      </c>
      <c r="F594" s="106" t="s">
        <v>1078</v>
      </c>
      <c r="G594" s="96">
        <v>124489.16</v>
      </c>
    </row>
    <row r="595" spans="1:7" x14ac:dyDescent="0.25">
      <c r="A595" s="2"/>
      <c r="B595" s="104"/>
      <c r="C595" s="114" t="s">
        <v>221</v>
      </c>
      <c r="D595" s="104" t="s">
        <v>863</v>
      </c>
      <c r="E595" s="105">
        <v>42733</v>
      </c>
      <c r="F595" s="106" t="s">
        <v>1078</v>
      </c>
      <c r="G595" s="96">
        <v>124489.16</v>
      </c>
    </row>
    <row r="596" spans="1:7" x14ac:dyDescent="0.25">
      <c r="A596" s="2"/>
      <c r="B596" s="104"/>
      <c r="C596" s="114" t="s">
        <v>55</v>
      </c>
      <c r="D596" s="104" t="s">
        <v>2476</v>
      </c>
      <c r="E596" s="105">
        <v>42800</v>
      </c>
      <c r="F596" s="106" t="s">
        <v>1078</v>
      </c>
      <c r="G596" s="96">
        <v>124489.16</v>
      </c>
    </row>
    <row r="597" spans="1:7" x14ac:dyDescent="0.25">
      <c r="A597" s="104" t="s">
        <v>1994</v>
      </c>
      <c r="G597" s="96">
        <v>373467.48</v>
      </c>
    </row>
    <row r="598" spans="1:7" x14ac:dyDescent="0.25">
      <c r="A598" s="104"/>
      <c r="G598" s="96"/>
    </row>
    <row r="599" spans="1:7" x14ac:dyDescent="0.25">
      <c r="A599" s="104" t="s">
        <v>1924</v>
      </c>
      <c r="G599" s="96"/>
    </row>
    <row r="600" spans="1:7" ht="60" x14ac:dyDescent="0.25">
      <c r="A600" s="107" t="s">
        <v>1925</v>
      </c>
      <c r="B600" s="107"/>
      <c r="C600" s="107"/>
      <c r="D600" s="107"/>
      <c r="E600" s="107"/>
      <c r="F600" s="107"/>
      <c r="G600" s="96"/>
    </row>
    <row r="601" spans="1:7" x14ac:dyDescent="0.25">
      <c r="A601" s="115" t="s">
        <v>1926</v>
      </c>
      <c r="B601" s="104" t="s">
        <v>1995</v>
      </c>
      <c r="C601" s="120">
        <v>0.75</v>
      </c>
      <c r="D601" s="120"/>
      <c r="E601" s="120"/>
      <c r="F601" s="120"/>
      <c r="G601" s="96"/>
    </row>
    <row r="602" spans="1:7" x14ac:dyDescent="0.25">
      <c r="A602" s="2"/>
      <c r="B602" s="104"/>
      <c r="C602" s="114" t="s">
        <v>103</v>
      </c>
      <c r="D602" s="104" t="s">
        <v>866</v>
      </c>
      <c r="E602" s="105">
        <v>42797</v>
      </c>
      <c r="F602" s="106" t="s">
        <v>1078</v>
      </c>
      <c r="G602" s="96">
        <v>99906.83</v>
      </c>
    </row>
    <row r="603" spans="1:7" x14ac:dyDescent="0.25">
      <c r="A603" s="2"/>
      <c r="B603" s="104"/>
      <c r="C603" s="114" t="s">
        <v>221</v>
      </c>
      <c r="D603" s="104" t="s">
        <v>863</v>
      </c>
      <c r="E603" s="105">
        <v>42734</v>
      </c>
      <c r="F603" s="106" t="s">
        <v>1078</v>
      </c>
      <c r="G603" s="96">
        <v>99906.83</v>
      </c>
    </row>
    <row r="604" spans="1:7" x14ac:dyDescent="0.25">
      <c r="A604" s="2"/>
      <c r="B604" s="104"/>
      <c r="C604" s="114" t="s">
        <v>55</v>
      </c>
      <c r="D604" s="104" t="s">
        <v>2476</v>
      </c>
      <c r="E604" s="105">
        <v>42800</v>
      </c>
      <c r="F604" s="106" t="s">
        <v>1078</v>
      </c>
      <c r="G604" s="96">
        <v>99906.83</v>
      </c>
    </row>
    <row r="605" spans="1:7" x14ac:dyDescent="0.25">
      <c r="A605" s="104" t="s">
        <v>1996</v>
      </c>
      <c r="G605" s="96">
        <v>299720.49</v>
      </c>
    </row>
    <row r="606" spans="1:7" x14ac:dyDescent="0.25">
      <c r="A606" s="104"/>
      <c r="G606" s="96"/>
    </row>
    <row r="607" spans="1:7" x14ac:dyDescent="0.25">
      <c r="A607" s="104" t="s">
        <v>1916</v>
      </c>
      <c r="G607" s="96"/>
    </row>
    <row r="608" spans="1:7" ht="60" x14ac:dyDescent="0.25">
      <c r="A608" s="107" t="s">
        <v>1917</v>
      </c>
      <c r="B608" s="107"/>
      <c r="C608" s="107"/>
      <c r="D608" s="107"/>
      <c r="E608" s="107"/>
      <c r="F608" s="107"/>
      <c r="G608" s="96"/>
    </row>
    <row r="609" spans="1:7" x14ac:dyDescent="0.25">
      <c r="A609" s="115" t="s">
        <v>796</v>
      </c>
      <c r="B609" s="104" t="s">
        <v>1997</v>
      </c>
      <c r="C609" s="120">
        <v>1</v>
      </c>
      <c r="D609" s="120"/>
      <c r="E609" s="120"/>
      <c r="F609" s="120"/>
      <c r="G609" s="96"/>
    </row>
    <row r="610" spans="1:7" x14ac:dyDescent="0.25">
      <c r="A610" s="2"/>
      <c r="B610" s="104"/>
      <c r="C610" s="114" t="s">
        <v>103</v>
      </c>
      <c r="D610" s="104" t="s">
        <v>863</v>
      </c>
      <c r="E610" s="105">
        <v>42734</v>
      </c>
      <c r="F610" s="106" t="s">
        <v>1078</v>
      </c>
      <c r="G610" s="96">
        <v>91052.66</v>
      </c>
    </row>
    <row r="611" spans="1:7" x14ac:dyDescent="0.25">
      <c r="A611" s="2"/>
      <c r="B611" s="104"/>
      <c r="C611" s="114" t="s">
        <v>221</v>
      </c>
      <c r="D611" s="104" t="s">
        <v>2476</v>
      </c>
      <c r="E611" s="105">
        <v>42810</v>
      </c>
      <c r="F611" s="106" t="s">
        <v>1078</v>
      </c>
      <c r="G611" s="96">
        <v>91052.66</v>
      </c>
    </row>
    <row r="612" spans="1:7" x14ac:dyDescent="0.25">
      <c r="A612" s="2"/>
      <c r="B612" s="104"/>
      <c r="C612" s="114" t="s">
        <v>55</v>
      </c>
      <c r="D612" s="104" t="s">
        <v>2476</v>
      </c>
      <c r="E612" s="105">
        <v>42809</v>
      </c>
      <c r="F612" s="106" t="s">
        <v>1078</v>
      </c>
      <c r="G612" s="96">
        <v>91052.66</v>
      </c>
    </row>
    <row r="613" spans="1:7" x14ac:dyDescent="0.25">
      <c r="A613" s="2"/>
      <c r="B613" s="104"/>
      <c r="C613" s="114" t="s">
        <v>215</v>
      </c>
      <c r="D613" s="104" t="s">
        <v>774</v>
      </c>
      <c r="E613" s="105">
        <v>42811</v>
      </c>
      <c r="F613" s="106" t="s">
        <v>1078</v>
      </c>
      <c r="G613" s="96">
        <v>91052.66</v>
      </c>
    </row>
    <row r="614" spans="1:7" x14ac:dyDescent="0.25">
      <c r="A614" s="104" t="s">
        <v>1998</v>
      </c>
      <c r="G614" s="96">
        <v>364210.64</v>
      </c>
    </row>
    <row r="615" spans="1:7" x14ac:dyDescent="0.25">
      <c r="A615" s="104"/>
      <c r="G615" s="96"/>
    </row>
    <row r="616" spans="1:7" x14ac:dyDescent="0.25">
      <c r="A616" s="104" t="s">
        <v>2074</v>
      </c>
      <c r="G616" s="96"/>
    </row>
    <row r="617" spans="1:7" ht="45" x14ac:dyDescent="0.25">
      <c r="A617" s="107" t="s">
        <v>2073</v>
      </c>
      <c r="B617" s="107"/>
      <c r="C617" s="107"/>
      <c r="D617" s="107"/>
      <c r="E617" s="107"/>
      <c r="F617" s="107"/>
      <c r="G617" s="96"/>
    </row>
    <row r="618" spans="1:7" x14ac:dyDescent="0.25">
      <c r="A618" s="115" t="s">
        <v>2072</v>
      </c>
      <c r="B618" s="104" t="s">
        <v>2157</v>
      </c>
      <c r="C618" s="120">
        <v>1</v>
      </c>
      <c r="D618" s="120"/>
      <c r="E618" s="120"/>
      <c r="F618" s="120"/>
      <c r="G618" s="96"/>
    </row>
    <row r="619" spans="1:7" x14ac:dyDescent="0.25">
      <c r="A619" s="2"/>
      <c r="B619" s="104"/>
      <c r="C619" s="114" t="s">
        <v>103</v>
      </c>
      <c r="D619" s="104" t="s">
        <v>863</v>
      </c>
      <c r="E619" s="105">
        <v>42734</v>
      </c>
      <c r="F619" s="106" t="s">
        <v>1324</v>
      </c>
      <c r="G619" s="96">
        <v>635250</v>
      </c>
    </row>
    <row r="620" spans="1:7" x14ac:dyDescent="0.25">
      <c r="A620" s="104" t="s">
        <v>2158</v>
      </c>
      <c r="G620" s="96">
        <v>635250</v>
      </c>
    </row>
    <row r="621" spans="1:7" x14ac:dyDescent="0.25">
      <c r="A621" s="104"/>
      <c r="G621" s="96"/>
    </row>
    <row r="622" spans="1:7" x14ac:dyDescent="0.25">
      <c r="A622" s="104" t="s">
        <v>2058</v>
      </c>
      <c r="G622" s="96"/>
    </row>
    <row r="623" spans="1:7" ht="60" x14ac:dyDescent="0.25">
      <c r="A623" s="107" t="s">
        <v>2060</v>
      </c>
      <c r="B623" s="107"/>
      <c r="C623" s="107"/>
      <c r="D623" s="107"/>
      <c r="E623" s="107"/>
      <c r="F623" s="107"/>
      <c r="G623" s="96"/>
    </row>
    <row r="624" spans="1:7" x14ac:dyDescent="0.25">
      <c r="A624" s="115" t="s">
        <v>2059</v>
      </c>
      <c r="B624" s="104" t="s">
        <v>2159</v>
      </c>
      <c r="C624" s="120">
        <v>1</v>
      </c>
      <c r="D624" s="120"/>
      <c r="E624" s="120"/>
      <c r="F624" s="120"/>
      <c r="G624" s="96"/>
    </row>
    <row r="625" spans="1:7" x14ac:dyDescent="0.25">
      <c r="A625" s="2"/>
      <c r="B625" s="104"/>
      <c r="C625" s="114" t="s">
        <v>103</v>
      </c>
      <c r="D625" s="104" t="s">
        <v>863</v>
      </c>
      <c r="E625" s="105">
        <v>42734</v>
      </c>
      <c r="F625" s="106" t="s">
        <v>1324</v>
      </c>
      <c r="G625" s="96">
        <v>232552.19</v>
      </c>
    </row>
    <row r="626" spans="1:7" x14ac:dyDescent="0.25">
      <c r="A626" s="104" t="s">
        <v>2160</v>
      </c>
      <c r="G626" s="96">
        <v>232552.19</v>
      </c>
    </row>
    <row r="627" spans="1:7" x14ac:dyDescent="0.25">
      <c r="A627" s="104"/>
      <c r="G627" s="96"/>
    </row>
    <row r="628" spans="1:7" x14ac:dyDescent="0.25">
      <c r="A628" s="104" t="s">
        <v>800</v>
      </c>
      <c r="G628" s="96">
        <v>51465259.899999902</v>
      </c>
    </row>
  </sheetData>
  <printOptions horizontalCentered="1"/>
  <pageMargins left="0.55118110236220474" right="0.55118110236220474" top="1.1023622047244095" bottom="0.62992125984251968" header="0.51181102362204722" footer="0.35433070866141736"/>
  <pageSetup scale="70" fitToHeight="0" orientation="portrait" r:id="rId2"/>
  <headerFooter>
    <oddHeader>&amp;L&amp;G&amp;R&amp;12
&amp;"Calibri,Negrita"&amp;16DGEO&amp;"Calibri,Normal"&amp;12
SERVICIOS DE OBRAS 2016</oddHeader>
    <oddFooter>&amp;R&amp;D</oddFooter>
  </headerFooter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view="pageBreakPreview" topLeftCell="A7" zoomScaleNormal="70" zoomScaleSheetLayoutView="100" workbookViewId="0">
      <selection activeCell="F13" sqref="F13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6.85546875" bestFit="1" customWidth="1"/>
    <col min="5" max="6" width="11" bestFit="1" customWidth="1"/>
    <col min="7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7" ht="30" x14ac:dyDescent="0.25">
      <c r="A3" s="94" t="s">
        <v>3</v>
      </c>
      <c r="B3" s="94" t="s">
        <v>890</v>
      </c>
      <c r="C3" s="94" t="s">
        <v>624</v>
      </c>
      <c r="D3" s="94" t="s">
        <v>46</v>
      </c>
      <c r="E3" s="94" t="s">
        <v>47</v>
      </c>
      <c r="F3" s="110" t="s">
        <v>892</v>
      </c>
      <c r="G3" s="102" t="s">
        <v>43</v>
      </c>
    </row>
    <row r="4" spans="1:7" x14ac:dyDescent="0.25">
      <c r="A4" s="104" t="s">
        <v>707</v>
      </c>
      <c r="G4" s="96"/>
    </row>
    <row r="5" spans="1:7" ht="75" x14ac:dyDescent="0.25">
      <c r="A5" s="107" t="s">
        <v>706</v>
      </c>
      <c r="B5" s="107"/>
      <c r="C5" s="107"/>
      <c r="D5" s="107"/>
      <c r="E5" s="107"/>
      <c r="F5" s="107"/>
      <c r="G5" s="96"/>
    </row>
    <row r="6" spans="1:7" ht="30" x14ac:dyDescent="0.25">
      <c r="A6" s="115" t="s">
        <v>708</v>
      </c>
      <c r="B6" s="104" t="s">
        <v>1524</v>
      </c>
      <c r="C6" s="104" t="s">
        <v>23</v>
      </c>
      <c r="D6" s="104" t="s">
        <v>863</v>
      </c>
      <c r="E6" s="105">
        <v>42604</v>
      </c>
      <c r="F6" s="106"/>
      <c r="G6" s="96">
        <v>643753.89</v>
      </c>
    </row>
    <row r="7" spans="1:7" x14ac:dyDescent="0.25">
      <c r="A7" s="2"/>
      <c r="B7" s="104"/>
      <c r="C7" s="104" t="s">
        <v>103</v>
      </c>
      <c r="D7" s="104" t="s">
        <v>863</v>
      </c>
      <c r="E7" s="105">
        <v>42710</v>
      </c>
      <c r="F7" s="106" t="s">
        <v>1568</v>
      </c>
      <c r="G7" s="96">
        <v>161469.32</v>
      </c>
    </row>
    <row r="8" spans="1:7" x14ac:dyDescent="0.25">
      <c r="A8" s="2"/>
      <c r="B8" s="104"/>
      <c r="C8" s="104" t="s">
        <v>221</v>
      </c>
      <c r="D8" s="104" t="s">
        <v>863</v>
      </c>
      <c r="E8" s="105">
        <v>42734</v>
      </c>
      <c r="F8" s="106" t="s">
        <v>1980</v>
      </c>
      <c r="G8" s="96">
        <v>169137.96</v>
      </c>
    </row>
    <row r="9" spans="1:7" x14ac:dyDescent="0.25">
      <c r="A9" s="2"/>
      <c r="B9" s="104"/>
      <c r="C9" s="104" t="s">
        <v>55</v>
      </c>
      <c r="D9" s="104" t="s">
        <v>863</v>
      </c>
      <c r="E9" s="105">
        <v>42734</v>
      </c>
      <c r="F9" s="106" t="s">
        <v>2134</v>
      </c>
      <c r="G9" s="96">
        <v>466190.85</v>
      </c>
    </row>
    <row r="10" spans="1:7" x14ac:dyDescent="0.25">
      <c r="A10" s="2"/>
      <c r="B10" s="104"/>
      <c r="C10" s="104" t="s">
        <v>215</v>
      </c>
      <c r="D10" s="104" t="s">
        <v>774</v>
      </c>
      <c r="E10" s="105">
        <v>42810</v>
      </c>
      <c r="F10" s="106" t="s">
        <v>2518</v>
      </c>
      <c r="G10" s="96">
        <v>0.01</v>
      </c>
    </row>
    <row r="11" spans="1:7" x14ac:dyDescent="0.25">
      <c r="A11" s="2"/>
      <c r="B11" s="104"/>
      <c r="D11" s="104" t="s">
        <v>869</v>
      </c>
      <c r="E11" s="105">
        <v>42748</v>
      </c>
      <c r="F11" s="106" t="s">
        <v>2190</v>
      </c>
      <c r="G11" s="96">
        <v>696229.93</v>
      </c>
    </row>
    <row r="12" spans="1:7" x14ac:dyDescent="0.25">
      <c r="A12" s="104" t="s">
        <v>1525</v>
      </c>
      <c r="G12" s="96">
        <v>2136781.96</v>
      </c>
    </row>
    <row r="13" spans="1:7" x14ac:dyDescent="0.25">
      <c r="A13" s="104"/>
      <c r="G13" s="96"/>
    </row>
    <row r="14" spans="1:7" x14ac:dyDescent="0.25">
      <c r="A14" s="104" t="s">
        <v>1859</v>
      </c>
      <c r="G14" s="96"/>
    </row>
    <row r="15" spans="1:7" ht="60" x14ac:dyDescent="0.25">
      <c r="A15" s="107" t="s">
        <v>1860</v>
      </c>
      <c r="B15" s="107"/>
      <c r="C15" s="107"/>
      <c r="D15" s="107"/>
      <c r="E15" s="107"/>
      <c r="F15" s="107"/>
      <c r="G15" s="96"/>
    </row>
    <row r="16" spans="1:7" x14ac:dyDescent="0.25">
      <c r="A16" s="115" t="s">
        <v>1861</v>
      </c>
      <c r="B16" s="104" t="s">
        <v>2467</v>
      </c>
      <c r="C16" s="104" t="s">
        <v>23</v>
      </c>
      <c r="D16" s="104" t="s">
        <v>2476</v>
      </c>
      <c r="E16" s="105">
        <v>42800</v>
      </c>
      <c r="F16" s="106"/>
      <c r="G16" s="96">
        <v>5639399.0800000001</v>
      </c>
    </row>
    <row r="17" spans="1:7" x14ac:dyDescent="0.25">
      <c r="A17" s="104" t="s">
        <v>2468</v>
      </c>
      <c r="G17" s="96">
        <v>5639399.0800000001</v>
      </c>
    </row>
    <row r="18" spans="1:7" x14ac:dyDescent="0.25">
      <c r="A18" s="104"/>
      <c r="G18" s="96"/>
    </row>
    <row r="19" spans="1:7" x14ac:dyDescent="0.25">
      <c r="A19" s="104" t="s">
        <v>2068</v>
      </c>
      <c r="G19" s="96"/>
    </row>
    <row r="20" spans="1:7" ht="45" x14ac:dyDescent="0.25">
      <c r="A20" s="107" t="s">
        <v>2069</v>
      </c>
      <c r="B20" s="107"/>
      <c r="C20" s="107"/>
      <c r="D20" s="107"/>
      <c r="E20" s="107"/>
      <c r="F20" s="107"/>
      <c r="G20" s="96"/>
    </row>
    <row r="21" spans="1:7" x14ac:dyDescent="0.25">
      <c r="A21" s="115" t="s">
        <v>2070</v>
      </c>
      <c r="B21" s="104" t="s">
        <v>2465</v>
      </c>
      <c r="C21" s="104" t="s">
        <v>23</v>
      </c>
      <c r="D21" s="104" t="s">
        <v>864</v>
      </c>
      <c r="E21" s="105">
        <v>42810</v>
      </c>
      <c r="F21" s="106"/>
      <c r="G21" s="96">
        <v>8587084.0600000005</v>
      </c>
    </row>
    <row r="22" spans="1:7" x14ac:dyDescent="0.25">
      <c r="A22" s="104" t="s">
        <v>2466</v>
      </c>
      <c r="G22" s="96">
        <v>8587084.0600000005</v>
      </c>
    </row>
    <row r="23" spans="1:7" x14ac:dyDescent="0.25">
      <c r="A23" s="104"/>
      <c r="G23" s="96"/>
    </row>
    <row r="24" spans="1:7" x14ac:dyDescent="0.25">
      <c r="A24" s="104" t="s">
        <v>800</v>
      </c>
      <c r="G24" s="96">
        <v>16363265.1</v>
      </c>
    </row>
  </sheetData>
  <printOptions horizontalCentered="1"/>
  <pageMargins left="0.55118110236220474" right="0.55118110236220474" top="1.1023622047244095" bottom="0.62992125984251968" header="0.51181102362204722" footer="0.35433070866141736"/>
  <pageSetup scale="70" fitToHeight="0" orientation="portrait" r:id="rId2"/>
  <headerFooter>
    <oddHeader>&amp;L&amp;G&amp;R&amp;12
&amp;"Calibri,Negrita"&amp;16DGEO&amp;"Calibri,Normal"&amp;12
JUZGADOS  TRAMITADOS POR HACIENDA</oddHeader>
    <oddFooter>&amp;R&amp;D</oddFooter>
  </headerFooter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2"/>
  <sheetViews>
    <sheetView view="pageBreakPreview" zoomScaleNormal="70" zoomScaleSheetLayoutView="100" workbookViewId="0">
      <selection activeCell="A53" sqref="A53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6.85546875" bestFit="1" customWidth="1"/>
    <col min="5" max="6" width="11" bestFit="1" customWidth="1"/>
    <col min="7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7" ht="30" x14ac:dyDescent="0.25">
      <c r="A3" s="94" t="s">
        <v>3</v>
      </c>
      <c r="B3" s="94" t="s">
        <v>890</v>
      </c>
      <c r="C3" s="94" t="s">
        <v>1325</v>
      </c>
      <c r="D3" s="94" t="s">
        <v>46</v>
      </c>
      <c r="E3" s="94" t="s">
        <v>47</v>
      </c>
      <c r="F3" s="110" t="s">
        <v>892</v>
      </c>
      <c r="G3" s="102" t="s">
        <v>43</v>
      </c>
    </row>
    <row r="4" spans="1:7" x14ac:dyDescent="0.25">
      <c r="A4" s="104" t="s">
        <v>777</v>
      </c>
      <c r="G4" s="96"/>
    </row>
    <row r="5" spans="1:7" ht="60" x14ac:dyDescent="0.25">
      <c r="A5" s="107" t="s">
        <v>778</v>
      </c>
      <c r="B5" s="107"/>
      <c r="C5" s="107"/>
      <c r="D5" s="107"/>
      <c r="E5" s="107"/>
      <c r="F5" s="107"/>
      <c r="G5" s="96"/>
    </row>
    <row r="6" spans="1:7" ht="30" x14ac:dyDescent="0.25">
      <c r="A6" s="115" t="s">
        <v>779</v>
      </c>
      <c r="B6" s="104" t="s">
        <v>1546</v>
      </c>
      <c r="C6" s="104" t="s">
        <v>2100</v>
      </c>
      <c r="G6" s="96">
        <v>19080629.43</v>
      </c>
    </row>
    <row r="7" spans="1:7" x14ac:dyDescent="0.25">
      <c r="A7" s="2"/>
      <c r="B7" s="104"/>
      <c r="C7" s="114" t="s">
        <v>23</v>
      </c>
      <c r="D7" s="104" t="s">
        <v>863</v>
      </c>
      <c r="E7" s="105">
        <v>42614</v>
      </c>
      <c r="F7" s="106"/>
      <c r="G7" s="96">
        <v>5861825.5800000001</v>
      </c>
    </row>
    <row r="8" spans="1:7" x14ac:dyDescent="0.25">
      <c r="A8" s="2"/>
      <c r="B8" s="104"/>
      <c r="C8" s="114" t="s">
        <v>103</v>
      </c>
      <c r="D8" s="104" t="s">
        <v>863</v>
      </c>
      <c r="E8" s="105">
        <v>42702</v>
      </c>
      <c r="F8" s="106" t="s">
        <v>1334</v>
      </c>
      <c r="G8" s="96">
        <v>1658085.05</v>
      </c>
    </row>
    <row r="9" spans="1:7" x14ac:dyDescent="0.25">
      <c r="A9" s="2"/>
      <c r="B9" s="104"/>
      <c r="C9" s="114" t="s">
        <v>221</v>
      </c>
      <c r="D9" s="104" t="s">
        <v>863</v>
      </c>
      <c r="E9" s="105">
        <v>42710</v>
      </c>
      <c r="F9" s="106" t="s">
        <v>1676</v>
      </c>
      <c r="G9" s="96">
        <v>5099524.07</v>
      </c>
    </row>
    <row r="10" spans="1:7" x14ac:dyDescent="0.25">
      <c r="A10" s="2"/>
      <c r="B10" s="104"/>
      <c r="C10" s="114" t="s">
        <v>55</v>
      </c>
      <c r="D10" s="104" t="s">
        <v>864</v>
      </c>
      <c r="E10" s="105">
        <v>42811</v>
      </c>
      <c r="F10" s="106" t="s">
        <v>1892</v>
      </c>
      <c r="G10" s="96">
        <v>5177621.22</v>
      </c>
    </row>
    <row r="11" spans="1:7" x14ac:dyDescent="0.25">
      <c r="A11" s="2"/>
      <c r="B11" s="104"/>
      <c r="C11" s="114" t="s">
        <v>215</v>
      </c>
      <c r="D11" s="104" t="s">
        <v>864</v>
      </c>
      <c r="E11" s="105">
        <v>42811</v>
      </c>
      <c r="F11" s="106" t="s">
        <v>2101</v>
      </c>
      <c r="G11" s="96">
        <v>1283573.51</v>
      </c>
    </row>
    <row r="12" spans="1:7" x14ac:dyDescent="0.25">
      <c r="A12" s="104" t="s">
        <v>1547</v>
      </c>
      <c r="G12" s="96">
        <v>19080629.43</v>
      </c>
    </row>
    <row r="13" spans="1:7" x14ac:dyDescent="0.25">
      <c r="A13" s="104"/>
      <c r="G13" s="96"/>
    </row>
    <row r="14" spans="1:7" x14ac:dyDescent="0.25">
      <c r="A14" s="104" t="s">
        <v>824</v>
      </c>
      <c r="G14" s="96"/>
    </row>
    <row r="15" spans="1:7" ht="75" x14ac:dyDescent="0.25">
      <c r="A15" s="107" t="s">
        <v>826</v>
      </c>
      <c r="B15" s="107"/>
      <c r="C15" s="107"/>
      <c r="D15" s="107"/>
      <c r="E15" s="107"/>
      <c r="F15" s="107"/>
      <c r="G15" s="96"/>
    </row>
    <row r="16" spans="1:7" x14ac:dyDescent="0.25">
      <c r="A16" s="115" t="s">
        <v>823</v>
      </c>
      <c r="B16" s="104" t="s">
        <v>1548</v>
      </c>
      <c r="C16" s="104" t="s">
        <v>2314</v>
      </c>
      <c r="G16" s="96">
        <v>14998296.880000001</v>
      </c>
    </row>
    <row r="17" spans="1:7" x14ac:dyDescent="0.25">
      <c r="A17" s="2"/>
      <c r="B17" s="104"/>
      <c r="C17" s="114" t="s">
        <v>23</v>
      </c>
      <c r="D17" s="104" t="s">
        <v>863</v>
      </c>
      <c r="E17" s="105">
        <v>42619</v>
      </c>
      <c r="F17" s="106"/>
      <c r="G17" s="96">
        <v>6861945.5199999996</v>
      </c>
    </row>
    <row r="18" spans="1:7" x14ac:dyDescent="0.25">
      <c r="A18" s="2"/>
      <c r="B18" s="104"/>
      <c r="C18" s="114" t="s">
        <v>103</v>
      </c>
      <c r="D18" s="104" t="s">
        <v>863</v>
      </c>
      <c r="E18" s="105">
        <v>42727</v>
      </c>
      <c r="F18" s="106" t="s">
        <v>1893</v>
      </c>
      <c r="G18" s="96">
        <v>1412254.15</v>
      </c>
    </row>
    <row r="19" spans="1:7" x14ac:dyDescent="0.25">
      <c r="A19" s="2"/>
      <c r="B19" s="104"/>
      <c r="C19" s="114" t="s">
        <v>221</v>
      </c>
      <c r="D19" s="104" t="s">
        <v>863</v>
      </c>
      <c r="E19" s="105">
        <v>42733</v>
      </c>
      <c r="F19" s="106" t="s">
        <v>1968</v>
      </c>
      <c r="G19" s="96">
        <v>2868756.65</v>
      </c>
    </row>
    <row r="20" spans="1:7" x14ac:dyDescent="0.25">
      <c r="A20" s="2"/>
      <c r="B20" s="104"/>
      <c r="C20" s="114" t="s">
        <v>55</v>
      </c>
      <c r="D20" s="104" t="s">
        <v>863</v>
      </c>
      <c r="E20" s="105">
        <v>42804</v>
      </c>
      <c r="F20" s="106" t="s">
        <v>2315</v>
      </c>
      <c r="G20" s="96">
        <v>3855340.56</v>
      </c>
    </row>
    <row r="21" spans="1:7" x14ac:dyDescent="0.25">
      <c r="A21" s="104" t="s">
        <v>1549</v>
      </c>
      <c r="G21" s="96">
        <v>14998296.880000001</v>
      </c>
    </row>
    <row r="22" spans="1:7" x14ac:dyDescent="0.25">
      <c r="A22" s="104"/>
      <c r="G22" s="96"/>
    </row>
    <row r="23" spans="1:7" x14ac:dyDescent="0.25">
      <c r="A23" s="104" t="s">
        <v>872</v>
      </c>
      <c r="G23" s="96"/>
    </row>
    <row r="24" spans="1:7" ht="45" x14ac:dyDescent="0.25">
      <c r="A24" s="107" t="s">
        <v>874</v>
      </c>
      <c r="B24" s="107"/>
      <c r="C24" s="107"/>
      <c r="D24" s="107"/>
      <c r="E24" s="107"/>
      <c r="F24" s="107"/>
      <c r="G24" s="96"/>
    </row>
    <row r="25" spans="1:7" ht="30" x14ac:dyDescent="0.25">
      <c r="A25" s="115" t="s">
        <v>873</v>
      </c>
      <c r="B25" s="104" t="s">
        <v>1550</v>
      </c>
      <c r="C25" s="104" t="s">
        <v>2482</v>
      </c>
      <c r="G25" s="96">
        <v>25036818.289999999</v>
      </c>
    </row>
    <row r="26" spans="1:7" x14ac:dyDescent="0.25">
      <c r="A26" s="2"/>
      <c r="B26" s="104"/>
      <c r="C26" s="114" t="s">
        <v>23</v>
      </c>
      <c r="D26" s="104" t="s">
        <v>863</v>
      </c>
      <c r="E26" s="105">
        <v>42626</v>
      </c>
      <c r="F26" s="106"/>
      <c r="G26" s="96">
        <v>7846191.1100000003</v>
      </c>
    </row>
    <row r="27" spans="1:7" x14ac:dyDescent="0.25">
      <c r="A27" s="2"/>
      <c r="B27" s="104"/>
      <c r="C27" s="114" t="s">
        <v>103</v>
      </c>
      <c r="D27" s="104" t="s">
        <v>863</v>
      </c>
      <c r="E27" s="105">
        <v>42733</v>
      </c>
      <c r="F27" s="106" t="s">
        <v>1969</v>
      </c>
      <c r="G27" s="96">
        <v>2128192.44</v>
      </c>
    </row>
    <row r="28" spans="1:7" x14ac:dyDescent="0.25">
      <c r="A28" s="2"/>
      <c r="B28" s="104"/>
      <c r="C28" s="114" t="s">
        <v>221</v>
      </c>
      <c r="D28" s="104" t="s">
        <v>863</v>
      </c>
      <c r="E28" s="105">
        <v>42733</v>
      </c>
      <c r="F28" s="106" t="s">
        <v>1970</v>
      </c>
      <c r="G28" s="96">
        <v>3569902.12</v>
      </c>
    </row>
    <row r="29" spans="1:7" x14ac:dyDescent="0.25">
      <c r="A29" s="2"/>
      <c r="B29" s="104"/>
      <c r="C29" s="114" t="s">
        <v>55</v>
      </c>
      <c r="D29" s="104" t="s">
        <v>863</v>
      </c>
      <c r="E29" s="105">
        <v>42759</v>
      </c>
      <c r="F29" s="106" t="s">
        <v>2102</v>
      </c>
      <c r="G29" s="96">
        <v>7403625.0700000003</v>
      </c>
    </row>
    <row r="30" spans="1:7" x14ac:dyDescent="0.25">
      <c r="A30" s="2"/>
      <c r="B30" s="104"/>
      <c r="C30" s="114" t="s">
        <v>215</v>
      </c>
      <c r="D30" s="104" t="s">
        <v>866</v>
      </c>
      <c r="E30" s="105">
        <v>42807</v>
      </c>
      <c r="F30" s="106" t="s">
        <v>2483</v>
      </c>
      <c r="G30" s="96">
        <v>4088907.55</v>
      </c>
    </row>
    <row r="31" spans="1:7" x14ac:dyDescent="0.25">
      <c r="A31" s="104" t="s">
        <v>1551</v>
      </c>
      <c r="G31" s="96">
        <v>25036818.289999999</v>
      </c>
    </row>
    <row r="32" spans="1:7" x14ac:dyDescent="0.25">
      <c r="A32" s="104"/>
      <c r="G32" s="96"/>
    </row>
    <row r="33" spans="1:7" x14ac:dyDescent="0.25">
      <c r="A33" s="104" t="s">
        <v>835</v>
      </c>
      <c r="G33" s="96"/>
    </row>
    <row r="34" spans="1:7" ht="75" x14ac:dyDescent="0.25">
      <c r="A34" s="107" t="s">
        <v>836</v>
      </c>
      <c r="B34" s="107"/>
      <c r="C34" s="107"/>
      <c r="D34" s="107"/>
      <c r="E34" s="107"/>
      <c r="F34" s="107"/>
      <c r="G34" s="96"/>
    </row>
    <row r="35" spans="1:7" x14ac:dyDescent="0.25">
      <c r="A35" s="115" t="s">
        <v>834</v>
      </c>
      <c r="B35" s="104" t="s">
        <v>1182</v>
      </c>
      <c r="C35" s="104" t="s">
        <v>2103</v>
      </c>
      <c r="G35" s="96">
        <v>18662336.600000001</v>
      </c>
    </row>
    <row r="36" spans="1:7" x14ac:dyDescent="0.25">
      <c r="A36" s="2"/>
      <c r="B36" s="104"/>
      <c r="C36" s="114" t="s">
        <v>23</v>
      </c>
      <c r="D36" s="104" t="s">
        <v>863</v>
      </c>
      <c r="E36" s="105">
        <v>42646</v>
      </c>
      <c r="F36" s="106"/>
      <c r="G36" s="96">
        <v>5720997.1399999997</v>
      </c>
    </row>
    <row r="37" spans="1:7" x14ac:dyDescent="0.25">
      <c r="A37" s="2"/>
      <c r="B37" s="104"/>
      <c r="C37" s="114" t="s">
        <v>103</v>
      </c>
      <c r="D37" s="104" t="s">
        <v>863</v>
      </c>
      <c r="E37" s="105">
        <v>42734</v>
      </c>
      <c r="F37" s="106" t="s">
        <v>1849</v>
      </c>
      <c r="G37" s="96">
        <v>2995461.01</v>
      </c>
    </row>
    <row r="38" spans="1:7" x14ac:dyDescent="0.25">
      <c r="A38" s="2"/>
      <c r="B38" s="104"/>
      <c r="C38" s="114" t="s">
        <v>221</v>
      </c>
      <c r="D38" s="104" t="s">
        <v>863</v>
      </c>
      <c r="E38" s="105">
        <v>42734</v>
      </c>
      <c r="F38" s="106" t="s">
        <v>1971</v>
      </c>
      <c r="G38" s="96">
        <v>2382064.54</v>
      </c>
    </row>
    <row r="39" spans="1:7" x14ac:dyDescent="0.25">
      <c r="A39" s="2"/>
      <c r="B39" s="104"/>
      <c r="C39" s="114" t="s">
        <v>55</v>
      </c>
      <c r="D39" s="104" t="s">
        <v>863</v>
      </c>
      <c r="E39" s="105">
        <v>42732</v>
      </c>
      <c r="F39" s="106" t="s">
        <v>2104</v>
      </c>
      <c r="G39" s="96">
        <v>2054975.73</v>
      </c>
    </row>
    <row r="40" spans="1:7" x14ac:dyDescent="0.25">
      <c r="A40" s="2"/>
      <c r="B40" s="104"/>
      <c r="C40" s="114" t="s">
        <v>215</v>
      </c>
      <c r="D40" s="104" t="s">
        <v>863</v>
      </c>
      <c r="E40" s="105">
        <v>42759</v>
      </c>
      <c r="F40" s="106" t="s">
        <v>2105</v>
      </c>
      <c r="G40" s="96">
        <v>829891.59</v>
      </c>
    </row>
    <row r="41" spans="1:7" x14ac:dyDescent="0.25">
      <c r="A41" s="2"/>
      <c r="B41" s="104"/>
      <c r="C41" s="114" t="s">
        <v>15</v>
      </c>
      <c r="D41" s="104" t="s">
        <v>863</v>
      </c>
      <c r="E41" s="105">
        <v>42810</v>
      </c>
      <c r="F41" s="106" t="s">
        <v>1342</v>
      </c>
      <c r="G41" s="96">
        <v>2450173.0299999998</v>
      </c>
    </row>
    <row r="42" spans="1:7" x14ac:dyDescent="0.25">
      <c r="A42" s="2"/>
      <c r="B42" s="104"/>
      <c r="C42" s="114" t="s">
        <v>214</v>
      </c>
      <c r="D42" s="104" t="s">
        <v>863</v>
      </c>
      <c r="E42" s="105">
        <v>42810</v>
      </c>
      <c r="F42" s="106" t="s">
        <v>2106</v>
      </c>
      <c r="G42" s="96">
        <v>2228773.56</v>
      </c>
    </row>
    <row r="43" spans="1:7" x14ac:dyDescent="0.25">
      <c r="A43" s="104" t="s">
        <v>1183</v>
      </c>
      <c r="G43" s="96">
        <v>18662336.600000001</v>
      </c>
    </row>
    <row r="44" spans="1:7" x14ac:dyDescent="0.25">
      <c r="A44" s="104"/>
      <c r="G44" s="96"/>
    </row>
    <row r="45" spans="1:7" x14ac:dyDescent="0.25">
      <c r="A45" s="104" t="s">
        <v>937</v>
      </c>
      <c r="G45" s="96"/>
    </row>
    <row r="46" spans="1:7" ht="45" x14ac:dyDescent="0.25">
      <c r="A46" s="107" t="s">
        <v>938</v>
      </c>
      <c r="B46" s="107"/>
      <c r="C46" s="107"/>
      <c r="D46" s="107"/>
      <c r="E46" s="107"/>
      <c r="F46" s="107"/>
      <c r="G46" s="96"/>
    </row>
    <row r="47" spans="1:7" ht="30" x14ac:dyDescent="0.25">
      <c r="A47" s="115" t="s">
        <v>932</v>
      </c>
      <c r="B47" s="104" t="s">
        <v>1186</v>
      </c>
      <c r="C47" s="104" t="s">
        <v>2109</v>
      </c>
      <c r="G47" s="96">
        <v>1263698.32</v>
      </c>
    </row>
    <row r="48" spans="1:7" x14ac:dyDescent="0.25">
      <c r="A48" s="2"/>
      <c r="B48" s="104"/>
      <c r="C48" s="114" t="s">
        <v>23</v>
      </c>
      <c r="D48" s="104" t="s">
        <v>863</v>
      </c>
      <c r="E48" s="105">
        <v>42677</v>
      </c>
      <c r="F48" s="106"/>
      <c r="G48" s="96">
        <v>966976.81</v>
      </c>
    </row>
    <row r="49" spans="1:7" x14ac:dyDescent="0.25">
      <c r="A49" s="2"/>
      <c r="B49" s="104"/>
      <c r="C49" s="114" t="s">
        <v>103</v>
      </c>
      <c r="D49" s="104" t="s">
        <v>863</v>
      </c>
      <c r="E49" s="105">
        <v>42794</v>
      </c>
      <c r="F49" s="106" t="s">
        <v>2110</v>
      </c>
      <c r="G49" s="96">
        <v>296721.51</v>
      </c>
    </row>
    <row r="50" spans="1:7" x14ac:dyDescent="0.25">
      <c r="A50" s="104" t="s">
        <v>1187</v>
      </c>
      <c r="G50" s="96">
        <v>1263698.32</v>
      </c>
    </row>
    <row r="51" spans="1:7" x14ac:dyDescent="0.25">
      <c r="A51" s="104"/>
      <c r="G51" s="96"/>
    </row>
    <row r="52" spans="1:7" x14ac:dyDescent="0.25">
      <c r="A52" s="104" t="s">
        <v>1814</v>
      </c>
      <c r="G52" s="96"/>
    </row>
    <row r="53" spans="1:7" ht="60" x14ac:dyDescent="0.25">
      <c r="A53" s="107" t="s">
        <v>1815</v>
      </c>
      <c r="B53" s="107"/>
      <c r="C53" s="107"/>
      <c r="D53" s="107"/>
      <c r="E53" s="107"/>
      <c r="F53" s="107"/>
      <c r="G53" s="96"/>
    </row>
    <row r="54" spans="1:7" x14ac:dyDescent="0.25">
      <c r="A54" s="115" t="s">
        <v>75</v>
      </c>
      <c r="B54" s="104" t="s">
        <v>1835</v>
      </c>
      <c r="C54" s="104" t="s">
        <v>1278</v>
      </c>
      <c r="G54" s="96">
        <v>1856865.77</v>
      </c>
    </row>
    <row r="55" spans="1:7" x14ac:dyDescent="0.25">
      <c r="A55" s="2"/>
      <c r="B55" s="104"/>
      <c r="C55" s="114" t="s">
        <v>23</v>
      </c>
      <c r="D55" s="104" t="s">
        <v>863</v>
      </c>
      <c r="E55" s="105">
        <v>42702</v>
      </c>
      <c r="F55" s="106"/>
      <c r="G55" s="96">
        <v>1856865.77</v>
      </c>
    </row>
    <row r="56" spans="1:7" x14ac:dyDescent="0.25">
      <c r="A56" s="104" t="s">
        <v>1836</v>
      </c>
      <c r="G56" s="96">
        <v>1856865.77</v>
      </c>
    </row>
    <row r="57" spans="1:7" x14ac:dyDescent="0.25">
      <c r="A57" s="104"/>
      <c r="G57" s="96"/>
    </row>
    <row r="58" spans="1:7" x14ac:dyDescent="0.25">
      <c r="A58" s="104" t="s">
        <v>1923</v>
      </c>
      <c r="G58" s="96"/>
    </row>
    <row r="59" spans="1:7" ht="60" x14ac:dyDescent="0.25">
      <c r="A59" s="107" t="s">
        <v>1927</v>
      </c>
      <c r="B59" s="107"/>
      <c r="C59" s="107"/>
      <c r="D59" s="107"/>
      <c r="E59" s="107"/>
      <c r="F59" s="107"/>
      <c r="G59" s="96"/>
    </row>
    <row r="60" spans="1:7" x14ac:dyDescent="0.25">
      <c r="A60" s="115" t="s">
        <v>1926</v>
      </c>
      <c r="B60" s="104" t="s">
        <v>1991</v>
      </c>
      <c r="C60" s="104" t="s">
        <v>2414</v>
      </c>
      <c r="G60" s="96">
        <v>265054.56</v>
      </c>
    </row>
    <row r="61" spans="1:7" x14ac:dyDescent="0.25">
      <c r="A61" s="2"/>
      <c r="B61" s="104"/>
      <c r="C61" s="114" t="s">
        <v>103</v>
      </c>
      <c r="D61" s="104" t="s">
        <v>863</v>
      </c>
      <c r="E61" s="105">
        <v>42733</v>
      </c>
      <c r="F61" s="106" t="s">
        <v>1078</v>
      </c>
      <c r="G61" s="96">
        <v>88351.52</v>
      </c>
    </row>
    <row r="62" spans="1:7" x14ac:dyDescent="0.25">
      <c r="A62" s="2"/>
      <c r="B62" s="104"/>
      <c r="C62" s="114" t="s">
        <v>221</v>
      </c>
      <c r="D62" s="104" t="s">
        <v>863</v>
      </c>
      <c r="E62" s="105">
        <v>42760</v>
      </c>
      <c r="F62" s="106" t="s">
        <v>1078</v>
      </c>
      <c r="G62" s="96">
        <v>88351.52</v>
      </c>
    </row>
    <row r="63" spans="1:7" x14ac:dyDescent="0.25">
      <c r="A63" s="2"/>
      <c r="B63" s="104"/>
      <c r="C63" s="114" t="s">
        <v>55</v>
      </c>
      <c r="D63" s="104" t="s">
        <v>2476</v>
      </c>
      <c r="E63" s="105">
        <v>42800</v>
      </c>
      <c r="F63" s="106" t="s">
        <v>1078</v>
      </c>
      <c r="G63" s="96">
        <v>88351.52</v>
      </c>
    </row>
    <row r="64" spans="1:7" x14ac:dyDescent="0.25">
      <c r="A64" s="104" t="s">
        <v>1992</v>
      </c>
      <c r="G64" s="96">
        <v>265054.56</v>
      </c>
    </row>
    <row r="65" spans="1:7" x14ac:dyDescent="0.25">
      <c r="A65" s="104"/>
      <c r="G65" s="96"/>
    </row>
    <row r="66" spans="1:7" x14ac:dyDescent="0.25">
      <c r="A66" s="104" t="s">
        <v>1914</v>
      </c>
      <c r="G66" s="96"/>
    </row>
    <row r="67" spans="1:7" ht="75" x14ac:dyDescent="0.25">
      <c r="A67" s="107" t="s">
        <v>1921</v>
      </c>
      <c r="B67" s="107"/>
      <c r="C67" s="107"/>
      <c r="D67" s="107"/>
      <c r="E67" s="107"/>
      <c r="F67" s="107"/>
      <c r="G67" s="96"/>
    </row>
    <row r="68" spans="1:7" x14ac:dyDescent="0.25">
      <c r="A68" s="115" t="s">
        <v>796</v>
      </c>
      <c r="B68" s="104" t="s">
        <v>1993</v>
      </c>
      <c r="C68" s="104" t="s">
        <v>2414</v>
      </c>
      <c r="G68" s="96">
        <v>373467.48</v>
      </c>
    </row>
    <row r="69" spans="1:7" x14ac:dyDescent="0.25">
      <c r="A69" s="2"/>
      <c r="B69" s="104"/>
      <c r="C69" s="114" t="s">
        <v>103</v>
      </c>
      <c r="D69" s="104" t="s">
        <v>863</v>
      </c>
      <c r="E69" s="105">
        <v>42733</v>
      </c>
      <c r="F69" s="106" t="s">
        <v>1078</v>
      </c>
      <c r="G69" s="96">
        <v>124489.16</v>
      </c>
    </row>
    <row r="70" spans="1:7" x14ac:dyDescent="0.25">
      <c r="A70" s="2"/>
      <c r="B70" s="104"/>
      <c r="C70" s="114" t="s">
        <v>221</v>
      </c>
      <c r="D70" s="104" t="s">
        <v>863</v>
      </c>
      <c r="E70" s="105">
        <v>42733</v>
      </c>
      <c r="F70" s="106" t="s">
        <v>1078</v>
      </c>
      <c r="G70" s="96">
        <v>124489.16</v>
      </c>
    </row>
    <row r="71" spans="1:7" x14ac:dyDescent="0.25">
      <c r="A71" s="2"/>
      <c r="B71" s="104"/>
      <c r="C71" s="114" t="s">
        <v>55</v>
      </c>
      <c r="D71" s="104" t="s">
        <v>2476</v>
      </c>
      <c r="E71" s="105">
        <v>42800</v>
      </c>
      <c r="F71" s="106" t="s">
        <v>1078</v>
      </c>
      <c r="G71" s="96">
        <v>124489.16</v>
      </c>
    </row>
    <row r="72" spans="1:7" x14ac:dyDescent="0.25">
      <c r="A72" s="104" t="s">
        <v>1994</v>
      </c>
      <c r="G72" s="96">
        <v>373467.48</v>
      </c>
    </row>
    <row r="73" spans="1:7" x14ac:dyDescent="0.25">
      <c r="A73" s="104"/>
      <c r="G73" s="96"/>
    </row>
    <row r="74" spans="1:7" x14ac:dyDescent="0.25">
      <c r="A74" s="104" t="s">
        <v>1924</v>
      </c>
      <c r="G74" s="96"/>
    </row>
    <row r="75" spans="1:7" ht="60" x14ac:dyDescent="0.25">
      <c r="A75" s="107" t="s">
        <v>1925</v>
      </c>
      <c r="B75" s="107"/>
      <c r="C75" s="107"/>
      <c r="D75" s="107"/>
      <c r="E75" s="107"/>
      <c r="F75" s="107"/>
      <c r="G75" s="96"/>
    </row>
    <row r="76" spans="1:7" x14ac:dyDescent="0.25">
      <c r="A76" s="115" t="s">
        <v>1926</v>
      </c>
      <c r="B76" s="104" t="s">
        <v>1995</v>
      </c>
      <c r="C76" s="104" t="s">
        <v>2414</v>
      </c>
      <c r="G76" s="96">
        <v>299720.49</v>
      </c>
    </row>
    <row r="77" spans="1:7" x14ac:dyDescent="0.25">
      <c r="A77" s="2"/>
      <c r="B77" s="104"/>
      <c r="C77" s="114" t="s">
        <v>103</v>
      </c>
      <c r="D77" s="104" t="s">
        <v>866</v>
      </c>
      <c r="E77" s="105">
        <v>42797</v>
      </c>
      <c r="F77" s="106" t="s">
        <v>1078</v>
      </c>
      <c r="G77" s="96">
        <v>99906.83</v>
      </c>
    </row>
    <row r="78" spans="1:7" x14ac:dyDescent="0.25">
      <c r="A78" s="2"/>
      <c r="B78" s="104"/>
      <c r="C78" s="114" t="s">
        <v>221</v>
      </c>
      <c r="D78" s="104" t="s">
        <v>863</v>
      </c>
      <c r="E78" s="105">
        <v>42734</v>
      </c>
      <c r="F78" s="106" t="s">
        <v>1078</v>
      </c>
      <c r="G78" s="96">
        <v>99906.83</v>
      </c>
    </row>
    <row r="79" spans="1:7" x14ac:dyDescent="0.25">
      <c r="A79" s="2"/>
      <c r="B79" s="104"/>
      <c r="C79" s="114" t="s">
        <v>55</v>
      </c>
      <c r="D79" s="104" t="s">
        <v>2476</v>
      </c>
      <c r="E79" s="105">
        <v>42800</v>
      </c>
      <c r="F79" s="106" t="s">
        <v>1078</v>
      </c>
      <c r="G79" s="96">
        <v>99906.83</v>
      </c>
    </row>
    <row r="80" spans="1:7" x14ac:dyDescent="0.25">
      <c r="A80" s="104" t="s">
        <v>1996</v>
      </c>
      <c r="G80" s="96">
        <v>299720.49</v>
      </c>
    </row>
    <row r="81" spans="1:7" x14ac:dyDescent="0.25">
      <c r="A81" s="104"/>
      <c r="G81" s="96"/>
    </row>
    <row r="82" spans="1:7" x14ac:dyDescent="0.25">
      <c r="A82" s="104" t="s">
        <v>1916</v>
      </c>
      <c r="G82" s="96"/>
    </row>
    <row r="83" spans="1:7" ht="60" x14ac:dyDescent="0.25">
      <c r="A83" s="107" t="s">
        <v>1917</v>
      </c>
      <c r="B83" s="107"/>
      <c r="C83" s="107"/>
      <c r="D83" s="107"/>
      <c r="E83" s="107"/>
      <c r="F83" s="107"/>
      <c r="G83" s="96"/>
    </row>
    <row r="84" spans="1:7" x14ac:dyDescent="0.25">
      <c r="A84" s="115" t="s">
        <v>796</v>
      </c>
      <c r="B84" s="104" t="s">
        <v>1997</v>
      </c>
      <c r="C84" s="104" t="s">
        <v>1324</v>
      </c>
      <c r="G84" s="96">
        <v>364210.64</v>
      </c>
    </row>
    <row r="85" spans="1:7" x14ac:dyDescent="0.25">
      <c r="A85" s="2"/>
      <c r="B85" s="104"/>
      <c r="C85" s="114" t="s">
        <v>103</v>
      </c>
      <c r="D85" s="104" t="s">
        <v>863</v>
      </c>
      <c r="E85" s="105">
        <v>42734</v>
      </c>
      <c r="F85" s="106" t="s">
        <v>1078</v>
      </c>
      <c r="G85" s="96">
        <v>91052.66</v>
      </c>
    </row>
    <row r="86" spans="1:7" x14ac:dyDescent="0.25">
      <c r="A86" s="2"/>
      <c r="B86" s="104"/>
      <c r="C86" s="114" t="s">
        <v>221</v>
      </c>
      <c r="D86" s="104" t="s">
        <v>2476</v>
      </c>
      <c r="E86" s="105">
        <v>42810</v>
      </c>
      <c r="F86" s="106" t="s">
        <v>1078</v>
      </c>
      <c r="G86" s="96">
        <v>91052.66</v>
      </c>
    </row>
    <row r="87" spans="1:7" x14ac:dyDescent="0.25">
      <c r="A87" s="2"/>
      <c r="B87" s="104"/>
      <c r="C87" s="114" t="s">
        <v>55</v>
      </c>
      <c r="D87" s="104" t="s">
        <v>2476</v>
      </c>
      <c r="E87" s="105">
        <v>42809</v>
      </c>
      <c r="F87" s="106" t="s">
        <v>1078</v>
      </c>
      <c r="G87" s="96">
        <v>91052.66</v>
      </c>
    </row>
    <row r="88" spans="1:7" x14ac:dyDescent="0.25">
      <c r="A88" s="2"/>
      <c r="B88" s="104"/>
      <c r="C88" s="114" t="s">
        <v>215</v>
      </c>
      <c r="D88" s="104" t="s">
        <v>774</v>
      </c>
      <c r="E88" s="105">
        <v>42811</v>
      </c>
      <c r="F88" s="106" t="s">
        <v>1078</v>
      </c>
      <c r="G88" s="96">
        <v>91052.66</v>
      </c>
    </row>
    <row r="89" spans="1:7" x14ac:dyDescent="0.25">
      <c r="A89" s="104" t="s">
        <v>1998</v>
      </c>
      <c r="G89" s="96">
        <v>364210.64</v>
      </c>
    </row>
    <row r="90" spans="1:7" x14ac:dyDescent="0.25">
      <c r="A90" s="104"/>
      <c r="G90" s="96"/>
    </row>
    <row r="91" spans="1:7" x14ac:dyDescent="0.25">
      <c r="A91" s="104" t="s">
        <v>1770</v>
      </c>
      <c r="G91" s="96"/>
    </row>
    <row r="92" spans="1:7" ht="45" x14ac:dyDescent="0.25">
      <c r="A92" s="107" t="s">
        <v>1772</v>
      </c>
      <c r="B92" s="107"/>
      <c r="C92" s="107"/>
      <c r="D92" s="107"/>
      <c r="E92" s="107"/>
      <c r="F92" s="107"/>
      <c r="G92" s="96"/>
    </row>
    <row r="93" spans="1:7" ht="30" x14ac:dyDescent="0.25">
      <c r="A93" s="115" t="s">
        <v>1771</v>
      </c>
      <c r="B93" s="104" t="s">
        <v>1803</v>
      </c>
      <c r="C93" s="104" t="s">
        <v>2519</v>
      </c>
      <c r="G93" s="96">
        <v>4619065.8</v>
      </c>
    </row>
    <row r="94" spans="1:7" x14ac:dyDescent="0.25">
      <c r="A94" s="2"/>
      <c r="B94" s="104"/>
      <c r="C94" s="114" t="s">
        <v>23</v>
      </c>
      <c r="D94" s="104" t="s">
        <v>863</v>
      </c>
      <c r="E94" s="105">
        <v>42699</v>
      </c>
      <c r="F94" s="106"/>
      <c r="G94" s="96">
        <v>1549584.03</v>
      </c>
    </row>
    <row r="95" spans="1:7" x14ac:dyDescent="0.25">
      <c r="A95" s="2"/>
      <c r="B95" s="104"/>
      <c r="C95" s="114" t="s">
        <v>103</v>
      </c>
      <c r="D95" s="104" t="s">
        <v>864</v>
      </c>
      <c r="E95" s="105">
        <v>42802</v>
      </c>
      <c r="F95" s="106" t="s">
        <v>1503</v>
      </c>
      <c r="G95" s="96">
        <v>306152.98</v>
      </c>
    </row>
    <row r="96" spans="1:7" x14ac:dyDescent="0.25">
      <c r="A96" s="2"/>
      <c r="B96" s="104"/>
      <c r="C96" s="114" t="s">
        <v>221</v>
      </c>
      <c r="D96" s="104" t="s">
        <v>863</v>
      </c>
      <c r="E96" s="105">
        <v>42804</v>
      </c>
      <c r="F96" s="106" t="s">
        <v>2329</v>
      </c>
      <c r="G96" s="96">
        <v>262727.09000000003</v>
      </c>
    </row>
    <row r="97" spans="1:7" x14ac:dyDescent="0.25">
      <c r="A97" s="2"/>
      <c r="B97" s="104"/>
      <c r="C97" s="114" t="s">
        <v>55</v>
      </c>
      <c r="D97" s="104" t="s">
        <v>863</v>
      </c>
      <c r="E97" s="105">
        <v>42804</v>
      </c>
      <c r="F97" s="106" t="s">
        <v>2330</v>
      </c>
      <c r="G97" s="96">
        <v>876185.34</v>
      </c>
    </row>
    <row r="98" spans="1:7" x14ac:dyDescent="0.25">
      <c r="A98" s="2"/>
      <c r="B98" s="104"/>
      <c r="C98" s="114" t="s">
        <v>215</v>
      </c>
      <c r="D98" s="104" t="s">
        <v>866</v>
      </c>
      <c r="E98" s="105">
        <v>42810</v>
      </c>
      <c r="F98" s="106" t="s">
        <v>2520</v>
      </c>
      <c r="G98" s="96">
        <v>383339.86</v>
      </c>
    </row>
    <row r="99" spans="1:7" x14ac:dyDescent="0.25">
      <c r="A99" s="2"/>
      <c r="B99" s="104"/>
      <c r="C99" s="114" t="s">
        <v>15</v>
      </c>
      <c r="D99" s="104" t="s">
        <v>866</v>
      </c>
      <c r="E99" s="105">
        <v>42810</v>
      </c>
      <c r="F99" s="106" t="s">
        <v>2521</v>
      </c>
      <c r="G99" s="96">
        <v>1241076.5</v>
      </c>
    </row>
    <row r="100" spans="1:7" x14ac:dyDescent="0.25">
      <c r="A100" s="104" t="s">
        <v>1804</v>
      </c>
      <c r="G100" s="96">
        <v>4619065.8</v>
      </c>
    </row>
    <row r="101" spans="1:7" x14ac:dyDescent="0.25">
      <c r="A101" s="104"/>
      <c r="G101" s="96"/>
    </row>
    <row r="102" spans="1:7" x14ac:dyDescent="0.25">
      <c r="A102" s="104" t="s">
        <v>800</v>
      </c>
      <c r="G102" s="96">
        <v>86820164.260000005</v>
      </c>
    </row>
  </sheetData>
  <printOptions horizontalCentered="1"/>
  <pageMargins left="0.55118110236220474" right="0.55118110236220474" top="1.2204724409448819" bottom="0.78740157480314965" header="0.51181102362204722" footer="0.47244094488188981"/>
  <pageSetup scale="70" fitToHeight="0" orientation="portrait" r:id="rId2"/>
  <headerFooter>
    <oddHeader>&amp;L&amp;G&amp;R&amp;12
&amp;"Calibri,Negrita"&amp;16DGEO
&amp;"Calibri,Normal"&amp;12PAV. PROG. FEDERAL 
VIGENCIA MAR-2017</oddHeader>
    <oddFooter>&amp;R&amp;D
 PÁGINA &amp;P DE &amp;N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1"/>
  <sheetViews>
    <sheetView zoomScaleNormal="100" workbookViewId="0">
      <pane ySplit="1" topLeftCell="A1194" activePane="bottomLeft" state="frozen"/>
      <selection activeCell="E1" sqref="E1"/>
      <selection pane="bottomLeft" activeCell="E1201" sqref="E1201"/>
    </sheetView>
  </sheetViews>
  <sheetFormatPr baseColWidth="10" defaultColWidth="10.7109375" defaultRowHeight="15" x14ac:dyDescent="0.25"/>
  <cols>
    <col min="1" max="1" width="9.5703125" style="2" customWidth="1"/>
    <col min="2" max="2" width="6.85546875" style="56" bestFit="1" customWidth="1"/>
    <col min="3" max="3" width="5.85546875" style="2" bestFit="1" customWidth="1"/>
    <col min="4" max="4" width="46.140625" style="2" bestFit="1" customWidth="1"/>
    <col min="5" max="5" width="16.28515625" style="2" customWidth="1"/>
    <col min="6" max="6" width="9.140625" style="2" bestFit="1" customWidth="1"/>
    <col min="7" max="7" width="13.42578125" style="2" bestFit="1" customWidth="1"/>
    <col min="8" max="8" width="11.42578125" style="82" bestFit="1" customWidth="1"/>
    <col min="9" max="9" width="13.5703125" style="3" customWidth="1"/>
    <col min="10" max="10" width="13.5703125" style="3" hidden="1" customWidth="1"/>
    <col min="11" max="11" width="17.7109375" style="3" customWidth="1"/>
    <col min="12" max="12" width="13.5703125" style="3" customWidth="1"/>
    <col min="13" max="13" width="12.5703125" style="3" customWidth="1"/>
    <col min="14" max="14" width="15.7109375" style="3" customWidth="1"/>
    <col min="15" max="15" width="12.5703125" style="3" bestFit="1" customWidth="1"/>
    <col min="16" max="16" width="13.5703125" style="3" bestFit="1" customWidth="1"/>
    <col min="17" max="17" width="29" style="2" bestFit="1" customWidth="1"/>
    <col min="18" max="18" width="17" style="2" bestFit="1" customWidth="1"/>
    <col min="19" max="19" width="25.85546875" style="2" hidden="1" customWidth="1"/>
    <col min="20" max="20" width="19" style="2" hidden="1" customWidth="1"/>
    <col min="21" max="21" width="11.85546875" style="2" bestFit="1" customWidth="1"/>
    <col min="22" max="22" width="10.7109375" style="2" bestFit="1" customWidth="1"/>
    <col min="23" max="23" width="14.5703125" style="2" bestFit="1" customWidth="1"/>
    <col min="24" max="24" width="14.85546875" style="2" hidden="1" customWidth="1"/>
    <col min="25" max="25" width="13.28515625" style="2" customWidth="1"/>
    <col min="26" max="26" width="12.85546875" style="2" customWidth="1"/>
    <col min="27" max="27" width="17.7109375" style="2" bestFit="1" customWidth="1"/>
    <col min="28" max="28" width="12.5703125" style="2" bestFit="1" customWidth="1"/>
    <col min="29" max="29" width="11" style="2" bestFit="1" customWidth="1"/>
    <col min="30" max="16384" width="10.7109375" style="2"/>
  </cols>
  <sheetData>
    <row r="1" spans="1:27" ht="45.75" thickBot="1" x14ac:dyDescent="0.3">
      <c r="A1" s="2" t="s">
        <v>775</v>
      </c>
      <c r="B1" s="56" t="s">
        <v>374</v>
      </c>
      <c r="C1" s="9" t="s">
        <v>37</v>
      </c>
      <c r="D1" s="10" t="s">
        <v>2</v>
      </c>
      <c r="E1" s="10" t="s">
        <v>3</v>
      </c>
      <c r="F1" s="10" t="s">
        <v>355</v>
      </c>
      <c r="G1" s="10" t="s">
        <v>44</v>
      </c>
      <c r="H1" s="78" t="s">
        <v>624</v>
      </c>
      <c r="I1" s="11" t="s">
        <v>38</v>
      </c>
      <c r="J1" s="11" t="s">
        <v>2192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893</v>
      </c>
      <c r="P1" s="11" t="s">
        <v>43</v>
      </c>
      <c r="Q1" s="10" t="s">
        <v>1</v>
      </c>
      <c r="R1" s="10" t="s">
        <v>0</v>
      </c>
      <c r="S1" s="10" t="s">
        <v>4</v>
      </c>
      <c r="T1" s="10" t="s">
        <v>6</v>
      </c>
      <c r="U1" s="10" t="s">
        <v>46</v>
      </c>
      <c r="V1" s="10" t="s">
        <v>47</v>
      </c>
      <c r="W1" s="10" t="s">
        <v>754</v>
      </c>
      <c r="X1" s="108" t="s">
        <v>891</v>
      </c>
      <c r="Y1" s="108" t="s">
        <v>894</v>
      </c>
      <c r="Z1" s="108" t="s">
        <v>1323</v>
      </c>
      <c r="AA1" s="12" t="s">
        <v>615</v>
      </c>
    </row>
    <row r="2" spans="1:27" x14ac:dyDescent="0.25">
      <c r="C2" s="123"/>
      <c r="D2" s="124"/>
      <c r="E2" s="124"/>
      <c r="F2" s="124"/>
      <c r="G2" s="124"/>
      <c r="H2" s="125"/>
      <c r="I2" s="126"/>
      <c r="J2" s="126"/>
      <c r="K2" s="126"/>
      <c r="L2" s="126"/>
      <c r="M2" s="126"/>
      <c r="N2" s="126"/>
      <c r="O2" s="126"/>
      <c r="P2" s="126"/>
      <c r="Q2" s="124"/>
      <c r="R2" s="124"/>
      <c r="S2" s="124"/>
      <c r="T2" s="124"/>
      <c r="U2" s="124"/>
      <c r="V2" s="124"/>
      <c r="W2" s="124"/>
      <c r="X2" s="127"/>
      <c r="Y2" s="127"/>
      <c r="Z2" s="127"/>
      <c r="AA2" s="128"/>
    </row>
    <row r="3" spans="1:27" ht="45" x14ac:dyDescent="0.25">
      <c r="C3" s="97">
        <v>1</v>
      </c>
      <c r="D3" s="7" t="str">
        <f>LOOKUP($E3,OBRAS!$D:$D,OBRAS!C:C)</f>
        <v>REMODELACION DEL PARQUE INFANTIL EN LA LOCALIDAD Y MUNICIPIO DE HERMOSILLO, SONORA</v>
      </c>
      <c r="E3" s="7" t="s">
        <v>45</v>
      </c>
      <c r="F3" s="7"/>
      <c r="G3" s="7" t="str">
        <f>LOOKUP($E3,OBRAS!$D:$D,OBRAS!E:E)</f>
        <v>C-00093/0004</v>
      </c>
      <c r="H3" s="79" t="s">
        <v>15</v>
      </c>
      <c r="I3" s="8">
        <v>1381187.83</v>
      </c>
      <c r="J3" s="8"/>
      <c r="K3" s="8">
        <f>ROUND(I3*0.4,2)</f>
        <v>552475.13</v>
      </c>
      <c r="L3" s="8">
        <f t="shared" ref="L3:L34" si="0">I3-K3</f>
        <v>828712.7</v>
      </c>
      <c r="M3" s="8">
        <f t="shared" ref="M3:M34" si="1">ROUND(L3*0.16,2)</f>
        <v>132594.03</v>
      </c>
      <c r="N3" s="8">
        <f t="shared" ref="N3:N34" si="2">L3+M3</f>
        <v>961306.73</v>
      </c>
      <c r="O3" s="8">
        <f>ROUND(I3*0.005,2)</f>
        <v>6905.94</v>
      </c>
      <c r="P3" s="8">
        <f t="shared" ref="P3:P34" si="3">N3-O3</f>
        <v>954400.79</v>
      </c>
      <c r="Q3" s="7" t="str">
        <f>LOOKUP($E3,OBRAS!$D:$D,OBRAS!B:B)</f>
        <v>GYCR SOLUCIONES INTEGRALES PARA LA CONSTRUCCION, S.A. DE C.V.</v>
      </c>
      <c r="R3" s="7" t="str">
        <f>LOOKUP($E3,OBRAS!$D:$D,OBRAS!A:A)</f>
        <v>HERMOSILLO</v>
      </c>
      <c r="S3" s="7" t="str">
        <f>LOOKUP($E3,OBRAS!$D:$D,OBRAS!F:F)</f>
        <v>11000002002202E406K17104A622202155GL07</v>
      </c>
      <c r="T3" s="7" t="str">
        <f>LOOKUP($E3,OBRAS!$D:$D,OBRAS!G:G)</f>
        <v>LO-926006995-N12-2015</v>
      </c>
      <c r="U3" s="7" t="s">
        <v>863</v>
      </c>
      <c r="V3" s="50">
        <v>42426</v>
      </c>
      <c r="W3" s="6">
        <f>LOOKUP($E3,OBRAS!$D:$D,OBRAS!K:K)</f>
        <v>53569288.82</v>
      </c>
      <c r="X3" s="109">
        <f t="shared" ref="X3:X34" si="4">IF(H3&lt;&gt;"ANTICIPO",I3/(W3/1.16),"")</f>
        <v>2.9899999999999999E-2</v>
      </c>
      <c r="Y3" s="109">
        <f t="shared" ref="Y3:Y13" si="5">SUMIF(E:E,E3,X:X)</f>
        <v>0.85470000000000002</v>
      </c>
      <c r="Z3" s="109">
        <f t="shared" ref="Z3:Z34" si="6">SUMIF(E:E,E3,N:N)/W3</f>
        <v>0.55269999999999997</v>
      </c>
      <c r="AA3" s="4" t="str">
        <f>LOOKUP($E3,OBRAS!$D:$D,OBRAS!H:H)</f>
        <v>SH-NC-16-R-003</v>
      </c>
    </row>
    <row r="4" spans="1:27" ht="45" x14ac:dyDescent="0.25">
      <c r="C4" s="49">
        <v>2</v>
      </c>
      <c r="D4" s="4" t="str">
        <f>LOOKUP($E4,OBRAS!$D:$D,OBRAS!C:C)</f>
        <v>REMODELACION DEL PARQUE INFANTIL EN LA LOCALIDAD Y MUNICIPIO DE HERMOSILLO, SONORA</v>
      </c>
      <c r="E4" s="4" t="s">
        <v>45</v>
      </c>
      <c r="F4" s="4"/>
      <c r="G4" s="4" t="str">
        <f>LOOKUP($E4,OBRAS!$D:$D,OBRAS!E:E)</f>
        <v>C-00093/0004</v>
      </c>
      <c r="H4" s="79" t="s">
        <v>214</v>
      </c>
      <c r="I4" s="6">
        <v>1127247.1100000001</v>
      </c>
      <c r="J4" s="6"/>
      <c r="K4" s="6">
        <f>ROUND(I4*0.4,2)</f>
        <v>450898.84</v>
      </c>
      <c r="L4" s="6">
        <f t="shared" si="0"/>
        <v>676348.27</v>
      </c>
      <c r="M4" s="6">
        <f t="shared" si="1"/>
        <v>108215.72</v>
      </c>
      <c r="N4" s="6">
        <f t="shared" si="2"/>
        <v>784563.99</v>
      </c>
      <c r="O4" s="6">
        <f>ROUND(I4*0.005,2)</f>
        <v>5636.24</v>
      </c>
      <c r="P4" s="6">
        <f t="shared" si="3"/>
        <v>778927.75</v>
      </c>
      <c r="Q4" s="4" t="str">
        <f>LOOKUP($E4,OBRAS!$D:$D,OBRAS!B:B)</f>
        <v>GYCR SOLUCIONES INTEGRALES PARA LA CONSTRUCCION, S.A. DE C.V.</v>
      </c>
      <c r="R4" s="4" t="str">
        <f>LOOKUP($E4,OBRAS!$D:$D,OBRAS!A:A)</f>
        <v>HERMOSILLO</v>
      </c>
      <c r="S4" s="4" t="str">
        <f>LOOKUP($E4,OBRAS!$D:$D,OBRAS!F:F)</f>
        <v>11000002002202E406K17104A622202155GL07</v>
      </c>
      <c r="T4" s="4" t="str">
        <f>LOOKUP($E4,OBRAS!$D:$D,OBRAS!G:G)</f>
        <v>LO-926006995-N12-2015</v>
      </c>
      <c r="U4" s="7" t="s">
        <v>863</v>
      </c>
      <c r="V4" s="50">
        <v>42426</v>
      </c>
      <c r="W4" s="6">
        <f>LOOKUP($E4,OBRAS!$D:$D,OBRAS!K:K)</f>
        <v>53569288.82</v>
      </c>
      <c r="X4" s="109">
        <f t="shared" si="4"/>
        <v>2.4400000000000002E-2</v>
      </c>
      <c r="Y4" s="109">
        <f t="shared" si="5"/>
        <v>0.85470000000000002</v>
      </c>
      <c r="Z4" s="109">
        <f t="shared" si="6"/>
        <v>0.55269999999999997</v>
      </c>
      <c r="AA4" s="4" t="str">
        <f>LOOKUP($E4,OBRAS!$D:$D,OBRAS!H:H)</f>
        <v>SH-NC-16-R-003</v>
      </c>
    </row>
    <row r="5" spans="1:27" ht="30" x14ac:dyDescent="0.25">
      <c r="C5" s="49">
        <v>3</v>
      </c>
      <c r="D5" s="4" t="str">
        <f>LOOKUP($E5,OBRAS!$D:$D,OBRAS!C:C)</f>
        <v>RECONSTRUCCION DE LA CALLE GUERRERO DEL KM 0+000 AL KM 6+020</v>
      </c>
      <c r="E5" s="4" t="s">
        <v>300</v>
      </c>
      <c r="F5" s="4"/>
      <c r="G5" s="4" t="str">
        <f>LOOKUP($E5,OBRAS!$D:$D,OBRAS!E:E)</f>
        <v>C-00054/0074</v>
      </c>
      <c r="H5" s="79" t="s">
        <v>23</v>
      </c>
      <c r="I5" s="6">
        <v>4525294.3099999996</v>
      </c>
      <c r="J5" s="6"/>
      <c r="K5" s="6"/>
      <c r="L5" s="6">
        <f t="shared" si="0"/>
        <v>4525294.3099999996</v>
      </c>
      <c r="M5" s="6">
        <f t="shared" si="1"/>
        <v>724047.09</v>
      </c>
      <c r="N5" s="6">
        <f t="shared" si="2"/>
        <v>5249341.4000000004</v>
      </c>
      <c r="O5" s="6"/>
      <c r="P5" s="6">
        <f t="shared" si="3"/>
        <v>5249341.4000000004</v>
      </c>
      <c r="Q5" s="4" t="str">
        <f>LOOKUP($E5,OBRAS!$D:$D,OBRAS!B:B)</f>
        <v>ZERO EDIFICACIONES,S.A. DE C.V.</v>
      </c>
      <c r="R5" s="4" t="str">
        <f>LOOKUP($E5,OBRAS!$D:$D,OBRAS!A:A)</f>
        <v>HERMOSILLO</v>
      </c>
      <c r="S5" s="4" t="str">
        <f>LOOKUP($E5,OBRAS!$D:$D,OBRAS!F:F)</f>
        <v>11000002003501E204K08063A625012162A207</v>
      </c>
      <c r="T5" s="4" t="str">
        <f>LOOKUP($E5,OBRAS!$D:$D,OBRAS!G:G)</f>
        <v>CE-926006995-E41-2016</v>
      </c>
      <c r="U5" s="7" t="s">
        <v>863</v>
      </c>
      <c r="V5" s="88">
        <v>42515</v>
      </c>
      <c r="W5" s="6">
        <f>LOOKUP($E5,OBRAS!$D:$D,OBRAS!K:K)</f>
        <v>18289741.390000001</v>
      </c>
      <c r="X5" s="109" t="str">
        <f t="shared" si="4"/>
        <v/>
      </c>
      <c r="Y5" s="109">
        <f t="shared" si="5"/>
        <v>1</v>
      </c>
      <c r="Z5" s="109">
        <f t="shared" si="6"/>
        <v>1</v>
      </c>
      <c r="AA5" s="4" t="str">
        <f>LOOKUP($E5,OBRAS!$D:$D,OBRAS!H:H)</f>
        <v>SH-ED-17-R-013</v>
      </c>
    </row>
    <row r="6" spans="1:27" ht="45" x14ac:dyDescent="0.25">
      <c r="C6" s="49">
        <v>4</v>
      </c>
      <c r="D6" s="4" t="str">
        <f>LOOKUP($E6,OBRAS!$D:$D,OBRAS!C:C)</f>
        <v>REMODELACION DEL PARQUE INFANTIL EN LA LOCALIDAD Y MUNICIPIO DE HERMOSILLO, SONORA</v>
      </c>
      <c r="E6" s="4" t="s">
        <v>871</v>
      </c>
      <c r="F6" s="4"/>
      <c r="G6" s="4" t="str">
        <f>LOOKUP($E6,OBRAS!$D:$D,OBRAS!E:E)</f>
        <v>C-00093/0004</v>
      </c>
      <c r="H6" s="79" t="s">
        <v>220</v>
      </c>
      <c r="I6" s="6">
        <v>667620.48</v>
      </c>
      <c r="J6" s="6"/>
      <c r="K6" s="6">
        <f>ROUND(I6*0.4,2)</f>
        <v>267048.19</v>
      </c>
      <c r="L6" s="6">
        <f t="shared" si="0"/>
        <v>400572.29</v>
      </c>
      <c r="M6" s="6">
        <f t="shared" si="1"/>
        <v>64091.57</v>
      </c>
      <c r="N6" s="6">
        <f t="shared" si="2"/>
        <v>464663.86</v>
      </c>
      <c r="O6" s="6">
        <f>ROUND(I6*0.005,2)</f>
        <v>3338.1</v>
      </c>
      <c r="P6" s="6">
        <f t="shared" si="3"/>
        <v>461325.76</v>
      </c>
      <c r="Q6" s="4" t="str">
        <f>LOOKUP($E6,OBRAS!$D:$D,OBRAS!B:B)</f>
        <v>GYCR SOLUCIONES INTEGRALES PARA LA CONSTRUCCION, S.A. DE C.V.</v>
      </c>
      <c r="R6" s="4" t="str">
        <f>LOOKUP($E6,OBRAS!$D:$D,OBRAS!A:A)</f>
        <v>HERMOSILLO</v>
      </c>
      <c r="S6" s="4" t="str">
        <f>LOOKUP($E6,OBRAS!$D:$D,OBRAS!F:F)</f>
        <v>11000002002202E406K17104A622202155GL07</v>
      </c>
      <c r="T6" s="4" t="str">
        <f>LOOKUP($E6,OBRAS!$D:$D,OBRAS!G:G)</f>
        <v>LO-926006995-N12-2015</v>
      </c>
      <c r="U6" s="7" t="s">
        <v>863</v>
      </c>
      <c r="V6" s="50">
        <v>42426</v>
      </c>
      <c r="W6" s="6">
        <f>LOOKUP($E6,OBRAS!$D:$D,OBRAS!K:K)</f>
        <v>53569288.82</v>
      </c>
      <c r="X6" s="109">
        <f t="shared" si="4"/>
        <v>1.4500000000000001E-2</v>
      </c>
      <c r="Y6" s="109">
        <f t="shared" si="5"/>
        <v>1.4500000000000001E-2</v>
      </c>
      <c r="Z6" s="109">
        <f t="shared" si="6"/>
        <v>8.6999999999999994E-3</v>
      </c>
      <c r="AA6" s="4" t="str">
        <f>LOOKUP($E6,OBRAS!$D:$D,OBRAS!H:H)</f>
        <v>SH-NC-16-R-003</v>
      </c>
    </row>
    <row r="7" spans="1:27" ht="45" x14ac:dyDescent="0.25">
      <c r="C7" s="49">
        <v>5</v>
      </c>
      <c r="D7" s="4" t="str">
        <f>LOOKUP($E7,OBRAS!$D:$D,OBRAS!C:C)</f>
        <v>REMODELACION DEL PARQUE INFANTIL EN LA LOCALIDAD Y MUNICIPIO DE HERMOSILLO, SONORA</v>
      </c>
      <c r="E7" s="4" t="s">
        <v>45</v>
      </c>
      <c r="F7" s="4"/>
      <c r="G7" s="4" t="str">
        <f>LOOKUP($E7,OBRAS!$D:$D,OBRAS!E:E)</f>
        <v>C-00093/0004</v>
      </c>
      <c r="H7" s="79" t="s">
        <v>220</v>
      </c>
      <c r="I7" s="6">
        <v>3733051.03</v>
      </c>
      <c r="J7" s="6"/>
      <c r="K7" s="6">
        <f>ROUND(I7*0.4,2)</f>
        <v>1493220.41</v>
      </c>
      <c r="L7" s="6">
        <f t="shared" si="0"/>
        <v>2239830.62</v>
      </c>
      <c r="M7" s="6">
        <f t="shared" si="1"/>
        <v>358372.9</v>
      </c>
      <c r="N7" s="6">
        <f t="shared" si="2"/>
        <v>2598203.52</v>
      </c>
      <c r="O7" s="6">
        <f>ROUND(I7*0.005,2)</f>
        <v>18665.259999999998</v>
      </c>
      <c r="P7" s="6">
        <f t="shared" si="3"/>
        <v>2579538.2599999998</v>
      </c>
      <c r="Q7" s="4" t="str">
        <f>LOOKUP($E7,OBRAS!$D:$D,OBRAS!B:B)</f>
        <v>GYCR SOLUCIONES INTEGRALES PARA LA CONSTRUCCION, S.A. DE C.V.</v>
      </c>
      <c r="R7" s="4" t="str">
        <f>LOOKUP($E7,OBRAS!$D:$D,OBRAS!A:A)</f>
        <v>HERMOSILLO</v>
      </c>
      <c r="S7" s="4" t="str">
        <f>LOOKUP($E7,OBRAS!$D:$D,OBRAS!F:F)</f>
        <v>11000002002202E406K17104A622202155GL07</v>
      </c>
      <c r="T7" s="4" t="str">
        <f>LOOKUP($E7,OBRAS!$D:$D,OBRAS!G:G)</f>
        <v>LO-926006995-N12-2015</v>
      </c>
      <c r="U7" s="7" t="s">
        <v>863</v>
      </c>
      <c r="V7" s="50">
        <v>42426</v>
      </c>
      <c r="W7" s="6">
        <f>LOOKUP($E7,OBRAS!$D:$D,OBRAS!K:K)</f>
        <v>53569288.82</v>
      </c>
      <c r="X7" s="109">
        <f t="shared" si="4"/>
        <v>8.0799999999999997E-2</v>
      </c>
      <c r="Y7" s="109">
        <f t="shared" si="5"/>
        <v>0.85470000000000002</v>
      </c>
      <c r="Z7" s="109">
        <f t="shared" si="6"/>
        <v>0.55269999999999997</v>
      </c>
      <c r="AA7" s="4" t="str">
        <f>LOOKUP($E7,OBRAS!$D:$D,OBRAS!H:H)</f>
        <v>SH-NC-16-R-003</v>
      </c>
    </row>
    <row r="8" spans="1:27" ht="45" x14ac:dyDescent="0.25">
      <c r="C8" s="49">
        <v>6</v>
      </c>
      <c r="D8" s="4" t="str">
        <f>LOOKUP($E8,OBRAS!$D:$D,OBRAS!C:C)</f>
        <v>REMODELACION DEL PARQUE INFANTIL EN LA LOCALIDAD Y MUNICIPIO DE HERMOSILLO, SONORA</v>
      </c>
      <c r="E8" s="4" t="s">
        <v>45</v>
      </c>
      <c r="F8" s="4"/>
      <c r="G8" s="4" t="str">
        <f>LOOKUP($E8,OBRAS!$D:$D,OBRAS!E:E)</f>
        <v>C-00093/0004</v>
      </c>
      <c r="H8" s="79" t="s">
        <v>748</v>
      </c>
      <c r="I8" s="6">
        <v>7265706.1900000004</v>
      </c>
      <c r="J8" s="6"/>
      <c r="K8" s="6">
        <f>ROUND(I8*0.4,2)</f>
        <v>2906282.48</v>
      </c>
      <c r="L8" s="6">
        <f t="shared" si="0"/>
        <v>4359423.71</v>
      </c>
      <c r="M8" s="6">
        <f t="shared" si="1"/>
        <v>697507.79</v>
      </c>
      <c r="N8" s="6">
        <f t="shared" si="2"/>
        <v>5056931.5</v>
      </c>
      <c r="O8" s="6">
        <f>ROUND(I8*0.005,2)</f>
        <v>36328.53</v>
      </c>
      <c r="P8" s="6">
        <f t="shared" si="3"/>
        <v>5020602.97</v>
      </c>
      <c r="Q8" s="4" t="str">
        <f>LOOKUP($E8,OBRAS!$D:$D,OBRAS!B:B)</f>
        <v>GYCR SOLUCIONES INTEGRALES PARA LA CONSTRUCCION, S.A. DE C.V.</v>
      </c>
      <c r="R8" s="4" t="str">
        <f>LOOKUP($E8,OBRAS!$D:$D,OBRAS!A:A)</f>
        <v>HERMOSILLO</v>
      </c>
      <c r="S8" s="4" t="str">
        <f>LOOKUP($E8,OBRAS!$D:$D,OBRAS!F:F)</f>
        <v>11000002002202E406K17104A622202155GL07</v>
      </c>
      <c r="T8" s="4" t="str">
        <f>LOOKUP($E8,OBRAS!$D:$D,OBRAS!G:G)</f>
        <v>LO-926006995-N12-2015</v>
      </c>
      <c r="U8" s="7" t="s">
        <v>863</v>
      </c>
      <c r="V8" s="50">
        <v>42426</v>
      </c>
      <c r="W8" s="6">
        <f>LOOKUP($E8,OBRAS!$D:$D,OBRAS!K:K)</f>
        <v>53569288.82</v>
      </c>
      <c r="X8" s="109">
        <f t="shared" si="4"/>
        <v>0.1573</v>
      </c>
      <c r="Y8" s="109">
        <f t="shared" si="5"/>
        <v>0.85470000000000002</v>
      </c>
      <c r="Z8" s="109">
        <f t="shared" si="6"/>
        <v>0.55269999999999997</v>
      </c>
      <c r="AA8" s="4" t="str">
        <f>LOOKUP($E8,OBRAS!$D:$D,OBRAS!H:H)</f>
        <v>SH-NC-16-R-003</v>
      </c>
    </row>
    <row r="9" spans="1:27" ht="60" x14ac:dyDescent="0.25">
      <c r="C9" s="4">
        <v>7</v>
      </c>
      <c r="D9" s="4" t="str">
        <f>LOOKUP($E9,OBRAS!$D:$D,OBRAS!C:C)</f>
        <v>PROYECTO DE DESARROLLO TURISTICO PARA EL ESTADO DE SONORA( REHABILITACION DE PLAYA PUBLICA MIRAMAR) EN LA LOCALIDAD Y MUNICIPIO DE GUAYMAS, SONORA</v>
      </c>
      <c r="E9" s="4" t="s">
        <v>51</v>
      </c>
      <c r="F9" s="4"/>
      <c r="G9" s="4" t="str">
        <f>LOOKUP($E9,OBRAS!$D:$D,OBRAS!E:E)</f>
        <v>C-00053/0001</v>
      </c>
      <c r="H9" s="80" t="s">
        <v>55</v>
      </c>
      <c r="I9" s="6">
        <v>2500647.37</v>
      </c>
      <c r="J9" s="6"/>
      <c r="K9" s="6">
        <f>ROUND(I9*0.4,2)</f>
        <v>1000258.95</v>
      </c>
      <c r="L9" s="6">
        <f t="shared" si="0"/>
        <v>1500388.42</v>
      </c>
      <c r="M9" s="6">
        <f t="shared" si="1"/>
        <v>240062.15</v>
      </c>
      <c r="N9" s="6">
        <f t="shared" si="2"/>
        <v>1740450.57</v>
      </c>
      <c r="O9" s="6">
        <f>ROUND(I9*0.005,2)</f>
        <v>12503.24</v>
      </c>
      <c r="P9" s="6">
        <f t="shared" si="3"/>
        <v>1727947.33</v>
      </c>
      <c r="Q9" s="4" t="str">
        <f>LOOKUP($E9,OBRAS!$D:$D,OBRAS!B:B)</f>
        <v>HEMONT CONSTRUCTORA S.A. DE C.V.</v>
      </c>
      <c r="R9" s="4" t="str">
        <f>LOOKUP($E9,OBRAS!$D:$D,OBRAS!A:A)</f>
        <v>GUAYMAS</v>
      </c>
      <c r="S9" s="4" t="str">
        <f>LOOKUP($E9,OBRAS!$D:$D,OBRAS!F:F)</f>
        <v>11000002003701E306K05101A612092161A010</v>
      </c>
      <c r="T9" s="4" t="str">
        <f>LOOKUP($E9,OBRAS!$D:$D,OBRAS!G:G)</f>
        <v>LO-926006995-N145-2014</v>
      </c>
      <c r="U9" s="4" t="s">
        <v>863</v>
      </c>
      <c r="V9" s="89">
        <v>42446</v>
      </c>
      <c r="W9" s="6">
        <f>LOOKUP($E9,OBRAS!$D:$D,OBRAS!K:K)</f>
        <v>24243908.91</v>
      </c>
      <c r="X9" s="109">
        <f t="shared" si="4"/>
        <v>0.1196</v>
      </c>
      <c r="Y9" s="109">
        <f t="shared" si="5"/>
        <v>0.1794</v>
      </c>
      <c r="Z9" s="109">
        <f t="shared" si="6"/>
        <v>0.1076</v>
      </c>
      <c r="AA9" s="4" t="str">
        <f>LOOKUP($E9,OBRAS!$D:$D,OBRAS!H:H)</f>
        <v>SH-ED-16-R-005</v>
      </c>
    </row>
    <row r="10" spans="1:27" ht="60" x14ac:dyDescent="0.25">
      <c r="C10" s="4">
        <v>8</v>
      </c>
      <c r="D10" s="4" t="str">
        <f>LOOKUP($E10,OBRAS!$D:$D,OBRAS!C:C)</f>
        <v>REMODELACION DE EDIFICIO PARA ADECUACION DE SALA DE JUICIOS ORALES EN HERMOSILLO, EN LA LOCALIDAD Y MUNICIPIO DE HERMOSILLO SONORA.</v>
      </c>
      <c r="E10" s="4" t="s">
        <v>60</v>
      </c>
      <c r="F10" s="4"/>
      <c r="G10" s="4" t="str">
        <f>LOOKUP($E10,OBRAS!$D:$D,OBRAS!E:E)</f>
        <v>C-00058/0006</v>
      </c>
      <c r="H10" s="80" t="s">
        <v>221</v>
      </c>
      <c r="I10" s="6">
        <v>3363165.72</v>
      </c>
      <c r="J10" s="6"/>
      <c r="K10" s="6">
        <v>0</v>
      </c>
      <c r="L10" s="6">
        <f t="shared" si="0"/>
        <v>3363165.72</v>
      </c>
      <c r="M10" s="6">
        <f t="shared" si="1"/>
        <v>538106.52</v>
      </c>
      <c r="N10" s="6">
        <f t="shared" si="2"/>
        <v>3901272.24</v>
      </c>
      <c r="O10" s="6">
        <v>16479.509999999998</v>
      </c>
      <c r="P10" s="6">
        <f t="shared" si="3"/>
        <v>3884792.73</v>
      </c>
      <c r="Q10" s="4" t="str">
        <f>LOOKUP($E10,OBRAS!$D:$D,OBRAS!B:B)</f>
        <v>CONSTRUMIL, S.A. DE C.V.</v>
      </c>
      <c r="R10" s="4" t="str">
        <f>LOOKUP($E10,OBRAS!$D:$D,OBRAS!A:A)</f>
        <v>HERMOSILLO</v>
      </c>
      <c r="S10" s="4" t="str">
        <f>LOOKUP($E10,OBRAS!$D:$D,OBRAS!F:F)</f>
        <v>11000002001202E104K06104A622032135DM07</v>
      </c>
      <c r="T10" s="4" t="str">
        <f>LOOKUP($E10,OBRAS!$D:$D,OBRAS!G:G)</f>
        <v>ADJUDICACIÓN DIRECTA</v>
      </c>
      <c r="U10" s="4" t="s">
        <v>863</v>
      </c>
      <c r="V10" s="89">
        <v>42433</v>
      </c>
      <c r="W10" s="6">
        <f>LOOKUP($E10,OBRAS!$D:$D,OBRAS!K:K)</f>
        <v>7123210.2300000004</v>
      </c>
      <c r="X10" s="109">
        <f t="shared" si="4"/>
        <v>0.54769999999999996</v>
      </c>
      <c r="Y10" s="109">
        <f t="shared" si="5"/>
        <v>0.61019999999999996</v>
      </c>
      <c r="Z10" s="109">
        <f t="shared" si="6"/>
        <v>0.61019999999999996</v>
      </c>
      <c r="AA10" s="4" t="str">
        <f>LOOKUP($E10,OBRAS!$D:$D,OBRAS!H:H)</f>
        <v>SH-FAFEF-16-R-006</v>
      </c>
    </row>
    <row r="11" spans="1:27" ht="90" x14ac:dyDescent="0.25">
      <c r="C11" s="4">
        <v>9</v>
      </c>
      <c r="D11" s="4" t="str">
        <f>LOOKUP($E11,OBRAS!$D:$D,OBRAS!C:C)</f>
        <v>PAVIMENTACION CON CARPETA ASFALTICA DE AVENIDA INDEPENDENCIA ENTRE CALLE 5 DE MAYO Y BLVD. LUIS DONALDO COLOSIO, AVENIDA LOPEZ RAYON ENTRE AGUSTIN RODRIGUEZ Y CALLE 15 Y AVENIDA ABASOLO ENTRE AGUSTIN RODRIGUEZ Y CALLE 15</v>
      </c>
      <c r="E11" s="4" t="s">
        <v>67</v>
      </c>
      <c r="F11" s="4"/>
      <c r="G11" s="4" t="str">
        <f>LOOKUP($E11,OBRAS!$D:$D,OBRAS!E:E)</f>
        <v>C-00052/0065</v>
      </c>
      <c r="H11" s="80" t="s">
        <v>221</v>
      </c>
      <c r="I11" s="6">
        <v>3740164.46</v>
      </c>
      <c r="J11" s="6"/>
      <c r="K11" s="6">
        <v>1496065.78</v>
      </c>
      <c r="L11" s="6">
        <f t="shared" si="0"/>
        <v>2244098.6800000002</v>
      </c>
      <c r="M11" s="6">
        <f t="shared" si="1"/>
        <v>359055.79</v>
      </c>
      <c r="N11" s="6">
        <f t="shared" si="2"/>
        <v>2603154.4700000002</v>
      </c>
      <c r="O11" s="6">
        <f>ROUND(I11*0.005,2)</f>
        <v>18700.82</v>
      </c>
      <c r="P11" s="6">
        <f t="shared" si="3"/>
        <v>2584453.65</v>
      </c>
      <c r="Q11" s="4" t="str">
        <f>LOOKUP($E11,OBRAS!$D:$D,OBRAS!B:B)</f>
        <v>EDIFICACIONES Y PROYECTOS MOCELIK, S.A. DE C.V.</v>
      </c>
      <c r="R11" s="4" t="str">
        <f>LOOKUP($E11,OBRAS!$D:$D,OBRAS!A:A)</f>
        <v>SANTA ANA</v>
      </c>
      <c r="S11" s="4" t="str">
        <f>LOOKUP($E11,OBRAS!$D:$D,OBRAS!F:F)</f>
        <v>11000002002201E201K02203A614222155DM03</v>
      </c>
      <c r="T11" s="4" t="str">
        <f>LOOKUP($E11,OBRAS!$D:$D,OBRAS!G:G)</f>
        <v>IO-926006995-N141-2014</v>
      </c>
      <c r="U11" s="4" t="s">
        <v>863</v>
      </c>
      <c r="V11" s="89">
        <v>42433</v>
      </c>
      <c r="W11" s="6">
        <f>LOOKUP($E11,OBRAS!$D:$D,OBRAS!K:K)</f>
        <v>9599055.3300000001</v>
      </c>
      <c r="X11" s="109">
        <f t="shared" si="4"/>
        <v>0.45200000000000001</v>
      </c>
      <c r="Y11" s="109">
        <f t="shared" si="5"/>
        <v>0.62329999999999997</v>
      </c>
      <c r="Z11" s="109">
        <f t="shared" si="6"/>
        <v>0.374</v>
      </c>
      <c r="AA11" s="4" t="str">
        <f>LOOKUP($E11,OBRAS!$D:$D,OBRAS!H:H)</f>
        <v>SH-FAFEF-15-R-005</v>
      </c>
    </row>
    <row r="12" spans="1:27" ht="60" x14ac:dyDescent="0.25">
      <c r="C12" s="4">
        <v>10</v>
      </c>
      <c r="D12" s="4" t="str">
        <f>LOOKUP($E12,OBRAS!$D:$D,OBRAS!C:C)</f>
        <v>PAVIMENTACION CON CARPETA ASFALTICA EN AVENIDA VENUSTIANO CARRANZA ENTRE 40 Y 43 EN LA LOCALIDAD Y MUNICIPIO DE SAN LUIS RIO COLORADO, SONORA</v>
      </c>
      <c r="E12" s="4" t="s">
        <v>72</v>
      </c>
      <c r="F12" s="4"/>
      <c r="G12" s="4" t="str">
        <f>LOOKUP($E12,OBRAS!$D:$D,OBRAS!E:E)</f>
        <v>C-00052/0063</v>
      </c>
      <c r="H12" s="80" t="s">
        <v>103</v>
      </c>
      <c r="I12" s="6">
        <v>2482950.9300000002</v>
      </c>
      <c r="J12" s="6"/>
      <c r="K12" s="6">
        <v>909699.97</v>
      </c>
      <c r="L12" s="6">
        <f t="shared" si="0"/>
        <v>1573250.96</v>
      </c>
      <c r="M12" s="6">
        <f t="shared" si="1"/>
        <v>251720.15</v>
      </c>
      <c r="N12" s="6">
        <f t="shared" si="2"/>
        <v>1824971.11</v>
      </c>
      <c r="O12" s="6">
        <f>ROUND(I12*0.005,2)</f>
        <v>12414.75</v>
      </c>
      <c r="P12" s="6">
        <f t="shared" si="3"/>
        <v>1812556.36</v>
      </c>
      <c r="Q12" s="4" t="str">
        <f>LOOKUP($E12,OBRAS!$D:$D,OBRAS!B:B)</f>
        <v>INMOBILIARIA SOCE, S.A. DE C.V.</v>
      </c>
      <c r="R12" s="4" t="str">
        <f>LOOKUP($E12,OBRAS!$D:$D,OBRAS!A:A)</f>
        <v>S.L.R.C.</v>
      </c>
      <c r="S12" s="4" t="str">
        <f>LOOKUP($E12,OBRAS!$D:$D,OBRAS!F:F)</f>
        <v>11000002002201E201K02203A614222155DM01</v>
      </c>
      <c r="T12" s="4" t="str">
        <f>LOOKUP($E12,OBRAS!$D:$D,OBRAS!G:G)</f>
        <v>IO-926006995-N142-2014</v>
      </c>
      <c r="U12" s="4" t="s">
        <v>863</v>
      </c>
      <c r="V12" s="89">
        <v>42433</v>
      </c>
      <c r="W12" s="6">
        <f>LOOKUP($E12,OBRAS!$D:$D,OBRAS!K:K)</f>
        <v>3300120.44</v>
      </c>
      <c r="X12" s="109">
        <f t="shared" si="4"/>
        <v>0.87280000000000002</v>
      </c>
      <c r="Y12" s="109">
        <f t="shared" si="5"/>
        <v>1</v>
      </c>
      <c r="Z12" s="109">
        <f t="shared" si="6"/>
        <v>0.68020000000000003</v>
      </c>
      <c r="AA12" s="4" t="str">
        <f>LOOKUP($E12,OBRAS!$D:$D,OBRAS!H:H)</f>
        <v>SH-FAFEF-16-R-004</v>
      </c>
    </row>
    <row r="13" spans="1:27" ht="45" x14ac:dyDescent="0.25">
      <c r="C13" s="4">
        <v>11</v>
      </c>
      <c r="D13" s="4" t="str">
        <f>LOOKUP($E13,OBRAS!$D:$D,OBRAS!C:C)</f>
        <v>RECONSTRUCCIÓN DEL CAMINO CALLE 16 EN VARIAS LOCALIDADES DEL MUNICIPIO DE CAJEME, SONORA.</v>
      </c>
      <c r="E13" s="4" t="s">
        <v>394</v>
      </c>
      <c r="F13" s="4"/>
      <c r="G13" s="4" t="str">
        <f>LOOKUP($E13,OBRAS!$D:$D,OBRAS!E:E)</f>
        <v>C-00054/0021</v>
      </c>
      <c r="H13" s="80" t="s">
        <v>23</v>
      </c>
      <c r="I13" s="6">
        <v>6844500</v>
      </c>
      <c r="J13" s="6"/>
      <c r="K13" s="6"/>
      <c r="L13" s="6">
        <f t="shared" si="0"/>
        <v>6844500</v>
      </c>
      <c r="M13" s="6">
        <f t="shared" si="1"/>
        <v>1095120</v>
      </c>
      <c r="N13" s="6">
        <f t="shared" si="2"/>
        <v>7939620</v>
      </c>
      <c r="O13" s="6"/>
      <c r="P13" s="6">
        <f t="shared" si="3"/>
        <v>7939620</v>
      </c>
      <c r="Q13" s="4" t="str">
        <f>LOOKUP($E13,OBRAS!$D:$D,OBRAS!B:B)</f>
        <v>TEKTON INGENIERIA, S.A. DE C.V.</v>
      </c>
      <c r="R13" s="4" t="str">
        <f>LOOKUP($E13,OBRAS!$D:$D,OBRAS!A:A)</f>
        <v>CAJEME</v>
      </c>
      <c r="S13" s="4" t="str">
        <f>LOOKUP($E13,OBRAS!$D:$D,OBRAS!F:F)</f>
        <v>11000002003501E203K03203A625012162A211</v>
      </c>
      <c r="T13" s="4" t="str">
        <f>LOOKUP($E13,OBRAS!$D:$D,OBRAS!G:G)</f>
        <v>CE-926006995-E3-2016</v>
      </c>
      <c r="U13" s="4" t="s">
        <v>863</v>
      </c>
      <c r="V13" s="89">
        <v>42445</v>
      </c>
      <c r="W13" s="6">
        <f>LOOKUP($E13,OBRAS!$D:$D,OBRAS!K:K)</f>
        <v>26465400</v>
      </c>
      <c r="X13" s="109" t="str">
        <f t="shared" si="4"/>
        <v/>
      </c>
      <c r="Y13" s="109">
        <f t="shared" si="5"/>
        <v>1</v>
      </c>
      <c r="Z13" s="109">
        <f t="shared" si="6"/>
        <v>1</v>
      </c>
      <c r="AA13" s="4" t="str">
        <f>LOOKUP($E13,OBRAS!$D:$D,OBRAS!H:H)</f>
        <v>SH-ED-17-R-013</v>
      </c>
    </row>
    <row r="14" spans="1:27" ht="45" x14ac:dyDescent="0.25">
      <c r="C14" s="4">
        <v>12</v>
      </c>
      <c r="D14" s="4" t="str">
        <f>LOOKUP($E14,OBRAS!$D:$D,OBRAS!C:C)</f>
        <v>RECONSTRUCCION DEL CAMINO E.C. FEDERAL- LAS BOCAS EN VARIAS LOCALIDADES DEL MUNICIPIO DE HUATABAMPO, SONORA.</v>
      </c>
      <c r="E14" s="4" t="s">
        <v>279</v>
      </c>
      <c r="F14" s="4"/>
      <c r="G14" s="4" t="str">
        <f>LOOKUP($E14,OBRAS!$D:$D,OBRAS!E:E)</f>
        <v>C-00054/0020</v>
      </c>
      <c r="H14" s="80" t="s">
        <v>23</v>
      </c>
      <c r="I14" s="6">
        <v>5943110.4199999999</v>
      </c>
      <c r="J14" s="6"/>
      <c r="K14" s="6"/>
      <c r="L14" s="6">
        <f t="shared" si="0"/>
        <v>5943110.4199999999</v>
      </c>
      <c r="M14" s="6">
        <f t="shared" si="1"/>
        <v>950897.67</v>
      </c>
      <c r="N14" s="6">
        <f t="shared" si="2"/>
        <v>6894008.0899999999</v>
      </c>
      <c r="O14" s="6"/>
      <c r="P14" s="6">
        <f t="shared" si="3"/>
        <v>6894008.0899999999</v>
      </c>
      <c r="Q14" s="4" t="str">
        <f>LOOKUP($E14,OBRAS!$D:$D,OBRAS!B:B)</f>
        <v>EDIFICACIÓN INTEGRAL DEL NOROESTE, S.A. DE C.V.</v>
      </c>
      <c r="R14" s="4" t="str">
        <f>LOOKUP($E14,OBRAS!$D:$D,OBRAS!A:A)</f>
        <v>HUATABAMPO</v>
      </c>
      <c r="S14" s="4" t="str">
        <f>LOOKUP($E14,OBRAS!$D:$D,OBRAS!F:F)</f>
        <v>11000002003501E203K03203A625012162A212</v>
      </c>
      <c r="T14" s="4" t="str">
        <f>LOOKUP($E14,OBRAS!$D:$D,OBRAS!G:G)</f>
        <v>CE-926006995-E2-2016</v>
      </c>
      <c r="U14" s="4" t="s">
        <v>863</v>
      </c>
      <c r="V14" s="89">
        <v>42446</v>
      </c>
      <c r="W14" s="6">
        <f>LOOKUP($E14,OBRAS!$D:$D,OBRAS!K:K)</f>
        <v>22980026.969999999</v>
      </c>
      <c r="X14" s="109" t="str">
        <f t="shared" si="4"/>
        <v/>
      </c>
      <c r="Y14" s="109">
        <f>ROUND(SUMIF(E:E,E14,X:X),2)</f>
        <v>1</v>
      </c>
      <c r="Z14" s="109">
        <f t="shared" si="6"/>
        <v>1</v>
      </c>
      <c r="AA14" s="4" t="str">
        <f>LOOKUP($E14,OBRAS!$D:$D,OBRAS!H:H)</f>
        <v>OM-ED-16-002</v>
      </c>
    </row>
    <row r="15" spans="1:27" ht="60" x14ac:dyDescent="0.25">
      <c r="C15" s="4">
        <v>13</v>
      </c>
      <c r="D15" s="4" t="str">
        <f>LOOKUP($E15,OBRAS!$D:$D,OBRAS!C:C)</f>
        <v>RECARPETEO CON MICROCARPETA ASFALTICA DE 3 CM DE ESPESOR EN VARIAS CALLES Y AVENIDAS DE LA LOCALIDAD Y MUNICIPIO DE HUATABAMPO, SONORA.</v>
      </c>
      <c r="E15" s="4" t="s">
        <v>27</v>
      </c>
      <c r="F15" s="4"/>
      <c r="G15" s="4" t="str">
        <f>LOOKUP($E15,OBRAS!$D:$D,OBRAS!E:E)</f>
        <v>C-00093/0047</v>
      </c>
      <c r="H15" s="80" t="s">
        <v>23</v>
      </c>
      <c r="I15" s="6">
        <v>1178304.06</v>
      </c>
      <c r="J15" s="6"/>
      <c r="K15" s="6"/>
      <c r="L15" s="6">
        <f t="shared" si="0"/>
        <v>1178304.06</v>
      </c>
      <c r="M15" s="6">
        <f t="shared" si="1"/>
        <v>188528.65</v>
      </c>
      <c r="N15" s="6">
        <f t="shared" si="2"/>
        <v>1366832.71</v>
      </c>
      <c r="O15" s="6"/>
      <c r="P15" s="6">
        <f t="shared" si="3"/>
        <v>1366832.71</v>
      </c>
      <c r="Q15" s="4" t="str">
        <f>LOOKUP($E15,OBRAS!$D:$D,OBRAS!B:B)</f>
        <v>TESIA CONSTRUCCIONES, S.A. DE C.V.</v>
      </c>
      <c r="R15" s="4" t="str">
        <f>LOOKUP($E15,OBRAS!$D:$D,OBRAS!A:A)</f>
        <v>HUATABAMPO</v>
      </c>
      <c r="S15" s="4" t="str">
        <f>LOOKUP($E15,OBRAS!$D:$D,OBRAS!F:F)</f>
        <v>11000002002201E201K02203A614202155GL12</v>
      </c>
      <c r="T15" s="4" t="str">
        <f>LOOKUP($E15,OBRAS!$D:$D,OBRAS!G:G)</f>
        <v>IO-926006995-E70-2015</v>
      </c>
      <c r="U15" s="4" t="s">
        <v>863</v>
      </c>
      <c r="V15" s="89">
        <v>42468</v>
      </c>
      <c r="W15" s="6">
        <f>LOOKUP($E15,OBRAS!$D:$D,OBRAS!K:K)</f>
        <v>4556109.0199999996</v>
      </c>
      <c r="X15" s="109" t="str">
        <f t="shared" si="4"/>
        <v/>
      </c>
      <c r="Y15" s="109">
        <f t="shared" ref="Y15:Y56" si="7">SUMIF(E:E,E15,X:X)</f>
        <v>1</v>
      </c>
      <c r="Z15" s="109">
        <f t="shared" si="6"/>
        <v>1</v>
      </c>
      <c r="AA15" s="4" t="str">
        <f>LOOKUP($E15,OBRAS!$D:$D,OBRAS!H:H)</f>
        <v>SH-NC-16-R-003</v>
      </c>
    </row>
    <row r="16" spans="1:27" ht="45" x14ac:dyDescent="0.25">
      <c r="C16" s="4">
        <v>14</v>
      </c>
      <c r="D16" s="4" t="str">
        <f>LOOKUP($E16,OBRAS!$D:$D,OBRAS!C:C)</f>
        <v>RECONSTRUCCION DEL CAMINO CALLE 12 SUR EN VARIAS LOCALIDADES, MUNICIPIO DE HERMOSILLO, SONORA</v>
      </c>
      <c r="E16" s="4" t="s">
        <v>524</v>
      </c>
      <c r="F16" s="4"/>
      <c r="G16" s="4" t="str">
        <f>LOOKUP($E16,OBRAS!$D:$D,OBRAS!E:E)</f>
        <v>C-00054/0025</v>
      </c>
      <c r="H16" s="80" t="s">
        <v>23</v>
      </c>
      <c r="I16" s="6">
        <v>5936641.7199999997</v>
      </c>
      <c r="J16" s="6"/>
      <c r="K16" s="6"/>
      <c r="L16" s="6">
        <f t="shared" si="0"/>
        <v>5936641.7199999997</v>
      </c>
      <c r="M16" s="6">
        <f t="shared" si="1"/>
        <v>949862.68</v>
      </c>
      <c r="N16" s="6">
        <f t="shared" si="2"/>
        <v>6886504.4000000004</v>
      </c>
      <c r="O16" s="6"/>
      <c r="P16" s="6">
        <f t="shared" si="3"/>
        <v>6886504.4000000004</v>
      </c>
      <c r="Q16" s="4" t="str">
        <f>LOOKUP($E16,OBRAS!$D:$D,OBRAS!B:B)</f>
        <v>GALEONEZS LM CONSTRUCCIONES, S. A. DE C. V.</v>
      </c>
      <c r="R16" s="4" t="str">
        <f>LOOKUP($E16,OBRAS!$D:$D,OBRAS!A:A)</f>
        <v>HERMOSILLO</v>
      </c>
      <c r="S16" s="4" t="str">
        <f>LOOKUP($E16,OBRAS!$D:$D,OBRAS!F:F)</f>
        <v>11000002003501E204K08063A625012162A207</v>
      </c>
      <c r="T16" s="4" t="str">
        <f>LOOKUP($E16,OBRAS!$D:$D,OBRAS!G:G)</f>
        <v>CE-926006995-E6-2016</v>
      </c>
      <c r="U16" s="4" t="s">
        <v>863</v>
      </c>
      <c r="V16" s="89">
        <v>42467</v>
      </c>
      <c r="W16" s="6">
        <f>LOOKUP($E16,OBRAS!$D:$D,OBRAS!K:K)</f>
        <v>22955014.68</v>
      </c>
      <c r="X16" s="109" t="str">
        <f t="shared" si="4"/>
        <v/>
      </c>
      <c r="Y16" s="109">
        <f t="shared" si="7"/>
        <v>0.98119999999999996</v>
      </c>
      <c r="Z16" s="109">
        <f t="shared" si="6"/>
        <v>0.9869</v>
      </c>
      <c r="AA16" s="4" t="str">
        <f>LOOKUP($E16,OBRAS!$D:$D,OBRAS!H:H)</f>
        <v>SH-ED-17-R-013</v>
      </c>
    </row>
    <row r="17" spans="3:27" ht="30" x14ac:dyDescent="0.25">
      <c r="C17" s="4">
        <v>15</v>
      </c>
      <c r="D17" s="4" t="str">
        <f>LOOKUP($E17,OBRAS!$D:$D,OBRAS!C:C)</f>
        <v>RECARPETEO CON MICROCARPETA ASFALTICA DE 3.0 CM DE ESPESOR EN VARIAS CALLES Y AVENIDAS</v>
      </c>
      <c r="E17" s="4" t="s">
        <v>528</v>
      </c>
      <c r="F17" s="4"/>
      <c r="G17" s="4" t="str">
        <f>LOOKUP($E17,OBRAS!$D:$D,OBRAS!E:E)</f>
        <v>C-00052/0170</v>
      </c>
      <c r="H17" s="80" t="s">
        <v>23</v>
      </c>
      <c r="I17" s="6">
        <v>7381752.0899999999</v>
      </c>
      <c r="J17" s="6"/>
      <c r="K17" s="6"/>
      <c r="L17" s="6">
        <f t="shared" si="0"/>
        <v>7381752.0899999999</v>
      </c>
      <c r="M17" s="6">
        <f t="shared" si="1"/>
        <v>1181080.33</v>
      </c>
      <c r="N17" s="6">
        <f t="shared" si="2"/>
        <v>8562832.4199999999</v>
      </c>
      <c r="O17" s="6"/>
      <c r="P17" s="6">
        <f t="shared" si="3"/>
        <v>8562832.4199999999</v>
      </c>
      <c r="Q17" s="4" t="str">
        <f>LOOKUP($E17,OBRAS!$D:$D,OBRAS!B:B)</f>
        <v>D'MARSELLA TERRACERIAS, S.A. DE C.V.</v>
      </c>
      <c r="R17" s="4" t="str">
        <f>LOOKUP($E17,OBRAS!$D:$D,OBRAS!A:A)</f>
        <v>CABORCA</v>
      </c>
      <c r="S17" s="4" t="str">
        <f>LOOKUP($E17,OBRAS!$D:$D,OBRAS!F:F)</f>
        <v>11000002002201E202K05186A614202162A203</v>
      </c>
      <c r="T17" s="4" t="str">
        <f>LOOKUP($E17,OBRAS!$D:$D,OBRAS!G:G)</f>
        <v>CE-926006995-E8-2016</v>
      </c>
      <c r="U17" s="4" t="s">
        <v>863</v>
      </c>
      <c r="V17" s="89">
        <v>42468</v>
      </c>
      <c r="W17" s="6">
        <f>LOOKUP($E17,OBRAS!$D:$D,OBRAS!K:K)</f>
        <v>28542774.780000001</v>
      </c>
      <c r="X17" s="109" t="str">
        <f t="shared" si="4"/>
        <v/>
      </c>
      <c r="Y17" s="109">
        <f t="shared" si="7"/>
        <v>0.84140000000000004</v>
      </c>
      <c r="Z17" s="109">
        <f t="shared" si="6"/>
        <v>0.84140000000000004</v>
      </c>
      <c r="AA17" s="4" t="str">
        <f>LOOKUP($E17,OBRAS!$D:$D,OBRAS!H:H)</f>
        <v>SH-ED-17-R-013</v>
      </c>
    </row>
    <row r="18" spans="3:27" ht="30" x14ac:dyDescent="0.25">
      <c r="C18" s="4">
        <v>16</v>
      </c>
      <c r="D18" s="4" t="str">
        <f>LOOKUP($E18,OBRAS!$D:$D,OBRAS!C:C)</f>
        <v>RECONSTRUCCIÓN DE CAMINO HORNOS-ROSARIO</v>
      </c>
      <c r="E18" s="4" t="s">
        <v>532</v>
      </c>
      <c r="F18" s="4"/>
      <c r="G18" s="4" t="str">
        <f>LOOKUP($E18,OBRAS!$D:$D,OBRAS!E:E)</f>
        <v>C-00054/0024</v>
      </c>
      <c r="H18" s="80" t="s">
        <v>23</v>
      </c>
      <c r="I18" s="6">
        <v>21551726.120000001</v>
      </c>
      <c r="J18" s="6"/>
      <c r="K18" s="6"/>
      <c r="L18" s="6">
        <f t="shared" si="0"/>
        <v>21551726.120000001</v>
      </c>
      <c r="M18" s="6">
        <f t="shared" si="1"/>
        <v>3448276.18</v>
      </c>
      <c r="N18" s="6">
        <f t="shared" si="2"/>
        <v>25000002.300000001</v>
      </c>
      <c r="O18" s="6"/>
      <c r="P18" s="6">
        <f t="shared" si="3"/>
        <v>25000002.300000001</v>
      </c>
      <c r="Q18" s="4" t="str">
        <f>LOOKUP($E18,OBRAS!$D:$D,OBRAS!B:B)</f>
        <v>ADMINISTRADORA DE OBRAS OACSA, S.A. DE C.V.</v>
      </c>
      <c r="R18" s="4" t="str">
        <f>LOOKUP($E18,OBRAS!$D:$D,OBRAS!A:A)</f>
        <v>VARIOS</v>
      </c>
      <c r="S18" s="4" t="str">
        <f>LOOKUP($E18,OBRAS!$D:$D,OBRAS!F:F)</f>
        <v>11000002003501E204K08063A625012162A213</v>
      </c>
      <c r="T18" s="4" t="str">
        <f>LOOKUP($E18,OBRAS!$D:$D,OBRAS!G:G)</f>
        <v>CE-926006995-E7-2016</v>
      </c>
      <c r="U18" s="4" t="s">
        <v>863</v>
      </c>
      <c r="V18" s="89">
        <v>42472</v>
      </c>
      <c r="W18" s="6">
        <f>LOOKUP($E18,OBRAS!$D:$D,OBRAS!K:K)</f>
        <v>83353232.650000006</v>
      </c>
      <c r="X18" s="109" t="str">
        <f t="shared" si="4"/>
        <v/>
      </c>
      <c r="Y18" s="109">
        <f t="shared" si="7"/>
        <v>0.99390000000000001</v>
      </c>
      <c r="Z18" s="109">
        <f t="shared" si="6"/>
        <v>0.99370000000000003</v>
      </c>
      <c r="AA18" s="4" t="str">
        <f>LOOKUP($E18,OBRAS!$D:$D,OBRAS!H:H)</f>
        <v>SH-ED-17-R-013</v>
      </c>
    </row>
    <row r="19" spans="3:27" ht="75" x14ac:dyDescent="0.25">
      <c r="C19" s="4">
        <v>17</v>
      </c>
      <c r="D19" s="4" t="str">
        <f>LOOKUP($E19,OBRAS!$D:$D,OBRAS!C:C)</f>
        <v>OBRA COMPLEMENTARIA DE CONSTRUCCION DE PABELLON DE GIMNASIA Y HALTEROFILIA EN LA UNIDAD DEPORTIVA "JULIO ALFONSO ALFONSO" EN LA LOCALIDAD Y MUNICIPIO DE GUAYMAS, SONORA.</v>
      </c>
      <c r="E19" s="4" t="s">
        <v>114</v>
      </c>
      <c r="F19" s="4"/>
      <c r="G19" s="4" t="str">
        <f>LOOKUP($E19,OBRAS!$D:$D,OBRAS!E:E)</f>
        <v>C-00064/0008</v>
      </c>
      <c r="H19" s="80" t="s">
        <v>23</v>
      </c>
      <c r="I19" s="6">
        <v>507511.84</v>
      </c>
      <c r="J19" s="6"/>
      <c r="K19" s="6"/>
      <c r="L19" s="6">
        <f t="shared" si="0"/>
        <v>507511.84</v>
      </c>
      <c r="M19" s="6">
        <f t="shared" si="1"/>
        <v>81201.89</v>
      </c>
      <c r="N19" s="6">
        <f t="shared" si="2"/>
        <v>588713.73</v>
      </c>
      <c r="O19" s="6"/>
      <c r="P19" s="6">
        <f t="shared" si="3"/>
        <v>588713.73</v>
      </c>
      <c r="Q19" s="4" t="str">
        <f>LOOKUP($E19,OBRAS!$D:$D,OBRAS!B:B)</f>
        <v>PROYECTOS Y CONSULTORIA DEL DESIERTO, S.A. DE C.V.</v>
      </c>
      <c r="R19" s="4" t="str">
        <f>LOOKUP($E19,OBRAS!$D:$D,OBRAS!A:A)</f>
        <v>GUAYMAS</v>
      </c>
      <c r="S19" s="4" t="str">
        <f>LOOKUP($E19,OBRAS!$D:$D,OBRAS!F:F)</f>
        <v>11000002002401E406K07203A612112135DM10</v>
      </c>
      <c r="T19" s="4" t="str">
        <f>LOOKUP($E19,OBRAS!$D:$D,OBRAS!G:G)</f>
        <v>IO-926006995-N64-2015
INVITACION</v>
      </c>
      <c r="U19" s="4" t="s">
        <v>863</v>
      </c>
      <c r="V19" s="89">
        <v>42489</v>
      </c>
      <c r="W19" s="6">
        <f>LOOKUP($E19,OBRAS!$D:$D,OBRAS!K:K)</f>
        <v>1962379.1</v>
      </c>
      <c r="X19" s="109" t="str">
        <f t="shared" si="4"/>
        <v/>
      </c>
      <c r="Y19" s="109">
        <f t="shared" si="7"/>
        <v>0.91520000000000001</v>
      </c>
      <c r="Z19" s="109">
        <f t="shared" si="6"/>
        <v>0.91520000000000001</v>
      </c>
      <c r="AA19" s="4" t="str">
        <f>LOOKUP($E19,OBRAS!$D:$D,OBRAS!H:H)</f>
        <v>SH-FAFEF-16-R-008</v>
      </c>
    </row>
    <row r="20" spans="3:27" ht="75" x14ac:dyDescent="0.25">
      <c r="C20" s="4">
        <v>18</v>
      </c>
      <c r="D20" s="4" t="str">
        <f>LOOKUP($E20,OBRAS!$D:$D,OBRAS!C:C)</f>
        <v>REHABILITACION DE UNIDAD DEPORTIVA EN LA COMUNIDAD DE TAPIZUELAS (REHABILITACION DE ESTADIO DE BEISBOL), EN LA LOCALIDAD DE TAPIZUELAS, EN EL MUNICIPIO DE ALAMOS, SONORA.</v>
      </c>
      <c r="E20" s="4" t="s">
        <v>111</v>
      </c>
      <c r="F20" s="4"/>
      <c r="G20" s="4" t="str">
        <f>LOOKUP($E20,OBRAS!$D:$D,OBRAS!E:E)</f>
        <v>C-00064/0035</v>
      </c>
      <c r="H20" s="80" t="s">
        <v>23</v>
      </c>
      <c r="I20" s="6">
        <v>125333.78</v>
      </c>
      <c r="J20" s="6"/>
      <c r="K20" s="6"/>
      <c r="L20" s="6">
        <f t="shared" si="0"/>
        <v>125333.78</v>
      </c>
      <c r="M20" s="6">
        <f t="shared" si="1"/>
        <v>20053.400000000001</v>
      </c>
      <c r="N20" s="6">
        <f t="shared" si="2"/>
        <v>145387.18</v>
      </c>
      <c r="O20" s="6"/>
      <c r="P20" s="6">
        <f t="shared" si="3"/>
        <v>145387.18</v>
      </c>
      <c r="Q20" s="4" t="str">
        <f>LOOKUP($E20,OBRAS!$D:$D,OBRAS!B:B)</f>
        <v>ING. LUIS ENRIQUE PEÑA RODRIGO</v>
      </c>
      <c r="R20" s="4" t="str">
        <f>LOOKUP($E20,OBRAS!$D:$D,OBRAS!A:A)</f>
        <v>ALAMOS</v>
      </c>
      <c r="S20" s="4" t="str">
        <f>LOOKUP($E20,OBRAS!$D:$D,OBRAS!F:F)</f>
        <v>11000002002401E406K07203A612112135DM12</v>
      </c>
      <c r="T20" s="4" t="str">
        <f>LOOKUP($E20,OBRAS!$D:$D,OBRAS!G:G)</f>
        <v>ADJUDICACIÓN DIRECTA</v>
      </c>
      <c r="U20" s="4" t="s">
        <v>863</v>
      </c>
      <c r="V20" s="89">
        <v>42485</v>
      </c>
      <c r="W20" s="6">
        <f>LOOKUP($E20,OBRAS!$D:$D,OBRAS!K:K)</f>
        <v>484623.94</v>
      </c>
      <c r="X20" s="109" t="str">
        <f t="shared" si="4"/>
        <v/>
      </c>
      <c r="Y20" s="109">
        <f t="shared" si="7"/>
        <v>1</v>
      </c>
      <c r="Z20" s="109">
        <f t="shared" si="6"/>
        <v>1</v>
      </c>
      <c r="AA20" s="4" t="str">
        <f>LOOKUP($E20,OBRAS!$D:$D,OBRAS!H:H)</f>
        <v>SH-FAFEF-16-R-008</v>
      </c>
    </row>
    <row r="21" spans="3:27" ht="75" x14ac:dyDescent="0.25">
      <c r="C21" s="4">
        <v>19</v>
      </c>
      <c r="D21" s="4" t="str">
        <f>LOOKUP($E21,OBRAS!$D:$D,OBRAS!C:C)</f>
        <v>REHABILITACION DE UNIDAD DEPORTIVA EN LA COMUNIDAD DE LOS MUERTOS (REHABILITACION DEL ESTADIO DE BEISBOL) EN LA LOCALIDAD DE LOS MUERTOS EN EL MUNICIPIO DE ALAMOS, SONORA.</v>
      </c>
      <c r="E21" s="4" t="s">
        <v>93</v>
      </c>
      <c r="F21" s="4"/>
      <c r="G21" s="4" t="str">
        <f>LOOKUP($E21,OBRAS!$D:$D,OBRAS!E:E)</f>
        <v>C-00064/0036</v>
      </c>
      <c r="H21" s="80" t="s">
        <v>23</v>
      </c>
      <c r="I21" s="6">
        <v>125333.78</v>
      </c>
      <c r="J21" s="6"/>
      <c r="K21" s="6"/>
      <c r="L21" s="6">
        <f t="shared" si="0"/>
        <v>125333.78</v>
      </c>
      <c r="M21" s="6">
        <f t="shared" si="1"/>
        <v>20053.400000000001</v>
      </c>
      <c r="N21" s="6">
        <f t="shared" si="2"/>
        <v>145387.18</v>
      </c>
      <c r="O21" s="6"/>
      <c r="P21" s="6">
        <f t="shared" si="3"/>
        <v>145387.18</v>
      </c>
      <c r="Q21" s="4" t="str">
        <f>LOOKUP($E21,OBRAS!$D:$D,OBRAS!B:B)</f>
        <v>ING. LUIS ENRIQUE PEÑA RODRIGO</v>
      </c>
      <c r="R21" s="4" t="str">
        <f>LOOKUP($E21,OBRAS!$D:$D,OBRAS!A:A)</f>
        <v>ALAMOS</v>
      </c>
      <c r="S21" s="4" t="str">
        <f>LOOKUP($E21,OBRAS!$D:$D,OBRAS!F:F)</f>
        <v>11000002002401E406K07203A612112135DM12</v>
      </c>
      <c r="T21" s="4" t="str">
        <f>LOOKUP($E21,OBRAS!$D:$D,OBRAS!G:G)</f>
        <v>ADJUDICACIÓN DIRECTA</v>
      </c>
      <c r="U21" s="4" t="s">
        <v>863</v>
      </c>
      <c r="V21" s="89">
        <v>42485</v>
      </c>
      <c r="W21" s="6">
        <f>LOOKUP($E21,OBRAS!$D:$D,OBRAS!K:K)</f>
        <v>484623.94</v>
      </c>
      <c r="X21" s="109" t="str">
        <f t="shared" si="4"/>
        <v/>
      </c>
      <c r="Y21" s="109">
        <f t="shared" si="7"/>
        <v>1</v>
      </c>
      <c r="Z21" s="109">
        <f t="shared" si="6"/>
        <v>1</v>
      </c>
      <c r="AA21" s="4" t="str">
        <f>LOOKUP($E21,OBRAS!$D:$D,OBRAS!H:H)</f>
        <v>SH-FAFEF-16-R-008</v>
      </c>
    </row>
    <row r="22" spans="3:27" ht="75" x14ac:dyDescent="0.25">
      <c r="C22" s="4">
        <v>20</v>
      </c>
      <c r="D22" s="4" t="str">
        <f>LOOKUP($E22,OBRAS!$D:$D,OBRAS!C:C)</f>
        <v>REHABILITACION DE UNIDAD DEPORTIVA EN LA COMUNIDAD DE OSOBAMPO (REHABILITACION DE ESTADIO DE BEISBOL), EN LA LOCALIDAD DE OSOBAMPO, EN EL MUNICIPIO DE ALAMOS, SONORA.</v>
      </c>
      <c r="E22" s="4" t="s">
        <v>123</v>
      </c>
      <c r="F22" s="4"/>
      <c r="G22" s="4" t="str">
        <f>LOOKUP($E22,OBRAS!$D:$D,OBRAS!E:E)</f>
        <v>C-00064/0037</v>
      </c>
      <c r="H22" s="80" t="s">
        <v>23</v>
      </c>
      <c r="I22" s="6">
        <v>125333.78</v>
      </c>
      <c r="J22" s="6"/>
      <c r="K22" s="6"/>
      <c r="L22" s="6">
        <f t="shared" si="0"/>
        <v>125333.78</v>
      </c>
      <c r="M22" s="6">
        <f t="shared" si="1"/>
        <v>20053.400000000001</v>
      </c>
      <c r="N22" s="6">
        <f t="shared" si="2"/>
        <v>145387.18</v>
      </c>
      <c r="O22" s="6"/>
      <c r="P22" s="6">
        <f t="shared" si="3"/>
        <v>145387.18</v>
      </c>
      <c r="Q22" s="4" t="str">
        <f>LOOKUP($E22,OBRAS!$D:$D,OBRAS!B:B)</f>
        <v>ING. LUIS ENRIQUE PEÑA RODRIGO</v>
      </c>
      <c r="R22" s="4" t="str">
        <f>LOOKUP($E22,OBRAS!$D:$D,OBRAS!A:A)</f>
        <v>ALAMOS</v>
      </c>
      <c r="S22" s="4" t="str">
        <f>LOOKUP($E22,OBRAS!$D:$D,OBRAS!F:F)</f>
        <v>11000002002401E406K07203A612112135DM12</v>
      </c>
      <c r="T22" s="4" t="str">
        <f>LOOKUP($E22,OBRAS!$D:$D,OBRAS!G:G)</f>
        <v>ADJUDICACIÓN DIRECTA</v>
      </c>
      <c r="U22" s="4" t="s">
        <v>863</v>
      </c>
      <c r="V22" s="89">
        <v>42485</v>
      </c>
      <c r="W22" s="6">
        <f>LOOKUP($E22,OBRAS!$D:$D,OBRAS!K:K)</f>
        <v>484623.94</v>
      </c>
      <c r="X22" s="109" t="str">
        <f t="shared" si="4"/>
        <v/>
      </c>
      <c r="Y22" s="109">
        <f t="shared" si="7"/>
        <v>1</v>
      </c>
      <c r="Z22" s="109">
        <f t="shared" si="6"/>
        <v>1</v>
      </c>
      <c r="AA22" s="4" t="str">
        <f>LOOKUP($E22,OBRAS!$D:$D,OBRAS!H:H)</f>
        <v>SH-FAFEF-16-R-008</v>
      </c>
    </row>
    <row r="23" spans="3:27" ht="30" x14ac:dyDescent="0.25">
      <c r="C23" s="4">
        <v>21</v>
      </c>
      <c r="D23" s="4" t="str">
        <f>LOOKUP($E23,OBRAS!$D:$D,OBRAS!C:C)</f>
        <v>RECONSTRUCCION DEL CAMINO HERMOSILLO-BAHIA DE KINO</v>
      </c>
      <c r="E23" s="4" t="s">
        <v>539</v>
      </c>
      <c r="F23" s="4"/>
      <c r="G23" s="4" t="str">
        <f>LOOKUP($E23,OBRAS!$D:$D,OBRAS!E:E)</f>
        <v>C-00054/0026</v>
      </c>
      <c r="H23" s="80" t="s">
        <v>23</v>
      </c>
      <c r="I23" s="6">
        <v>9822761.0600000005</v>
      </c>
      <c r="J23" s="6"/>
      <c r="K23" s="6"/>
      <c r="L23" s="6">
        <f t="shared" si="0"/>
        <v>9822761.0600000005</v>
      </c>
      <c r="M23" s="6">
        <f t="shared" si="1"/>
        <v>1571641.77</v>
      </c>
      <c r="N23" s="6">
        <f t="shared" si="2"/>
        <v>11394402.83</v>
      </c>
      <c r="O23" s="6"/>
      <c r="P23" s="6">
        <f t="shared" si="3"/>
        <v>11394402.83</v>
      </c>
      <c r="Q23" s="4" t="str">
        <f>LOOKUP($E23,OBRAS!$D:$D,OBRAS!B:B)</f>
        <v>REVAL DESARROLLOS Y MATERIALES, S.A. DE C.V.</v>
      </c>
      <c r="R23" s="4" t="str">
        <f>LOOKUP($E23,OBRAS!$D:$D,OBRAS!A:A)</f>
        <v>HERMOSILLO</v>
      </c>
      <c r="S23" s="4" t="str">
        <f>LOOKUP($E23,OBRAS!$D:$D,OBRAS!F:F)</f>
        <v>11000002003501E203K03204k08063A625012162A207</v>
      </c>
      <c r="T23" s="4" t="str">
        <f>LOOKUP($E23,OBRAS!$D:$D,OBRAS!G:G)</f>
        <v>CE-926006995-E13-2016</v>
      </c>
      <c r="U23" s="4" t="s">
        <v>863</v>
      </c>
      <c r="V23" s="89">
        <v>42487</v>
      </c>
      <c r="W23" s="6">
        <f>LOOKUP($E23,OBRAS!$D:$D,OBRAS!K:K)</f>
        <v>37981342.780000001</v>
      </c>
      <c r="X23" s="109" t="str">
        <f t="shared" si="4"/>
        <v/>
      </c>
      <c r="Y23" s="109">
        <f t="shared" si="7"/>
        <v>1</v>
      </c>
      <c r="Z23" s="109">
        <f t="shared" si="6"/>
        <v>1</v>
      </c>
      <c r="AA23" s="4" t="str">
        <f>LOOKUP($E23,OBRAS!$D:$D,OBRAS!H:H)</f>
        <v>SH-ED-17-R-013</v>
      </c>
    </row>
    <row r="24" spans="3:27" ht="30" x14ac:dyDescent="0.25">
      <c r="C24" s="4">
        <v>22</v>
      </c>
      <c r="D24" s="4" t="str">
        <f>LOOKUP($E24,OBRAS!$D:$D,OBRAS!C:C)</f>
        <v>MODERNIZACION Y RECONSTRUCCION DEL TRAMO ETCHOJOA-BACOBAMPO</v>
      </c>
      <c r="E24" s="4" t="s">
        <v>542</v>
      </c>
      <c r="F24" s="4"/>
      <c r="G24" s="4" t="str">
        <f>LOOKUP($E24,OBRAS!$D:$D,OBRAS!E:E)</f>
        <v>C-00054/0054</v>
      </c>
      <c r="H24" s="80" t="s">
        <v>23</v>
      </c>
      <c r="I24" s="6">
        <v>16467020.460000001</v>
      </c>
      <c r="J24" s="6"/>
      <c r="K24" s="6"/>
      <c r="L24" s="6">
        <f t="shared" si="0"/>
        <v>16467020.460000001</v>
      </c>
      <c r="M24" s="6">
        <f t="shared" si="1"/>
        <v>2634723.27</v>
      </c>
      <c r="N24" s="6">
        <f t="shared" si="2"/>
        <v>19101743.73</v>
      </c>
      <c r="O24" s="6"/>
      <c r="P24" s="6">
        <f t="shared" si="3"/>
        <v>19101743.73</v>
      </c>
      <c r="Q24" s="4" t="str">
        <f>LOOKUP($E24,OBRAS!$D:$D,OBRAS!B:B)</f>
        <v>EDIFICACIONES BOZA S.A. DE C.V.</v>
      </c>
      <c r="R24" s="4" t="str">
        <f>LOOKUP($E24,OBRAS!$D:$D,OBRAS!A:A)</f>
        <v>ETCHOJOA</v>
      </c>
      <c r="S24" s="4" t="str">
        <f>LOOKUP($E24,OBRAS!$D:$D,OBRAS!F:F)</f>
        <v>11000002003501E204K08063A625012162A212</v>
      </c>
      <c r="T24" s="4" t="str">
        <f>LOOKUP($E24,OBRAS!$D:$D,OBRAS!G:G)</f>
        <v>CE-926006995-E18-2016</v>
      </c>
      <c r="U24" s="4" t="s">
        <v>863</v>
      </c>
      <c r="V24" s="89">
        <v>42487</v>
      </c>
      <c r="W24" s="6">
        <f>LOOKUP($E24,OBRAS!$D:$D,OBRAS!K:K)</f>
        <v>63672479.109999999</v>
      </c>
      <c r="X24" s="109" t="str">
        <f t="shared" si="4"/>
        <v/>
      </c>
      <c r="Y24" s="109">
        <f t="shared" si="7"/>
        <v>0.95409999999999995</v>
      </c>
      <c r="Z24" s="109">
        <f t="shared" si="6"/>
        <v>0.96489999999999998</v>
      </c>
      <c r="AA24" s="4" t="str">
        <f>LOOKUP($E24,OBRAS!$D:$D,OBRAS!H:H)</f>
        <v>SH-ED-17-R-004</v>
      </c>
    </row>
    <row r="25" spans="3:27" ht="45" x14ac:dyDescent="0.25">
      <c r="C25" s="4">
        <v>23</v>
      </c>
      <c r="D25" s="4" t="str">
        <f>LOOKUP($E25,OBRAS!$D:$D,OBRAS!C:C)</f>
        <v>CONSERVACION Y RECONSTRUCCION DEL TRAMO MOCTEZUMA- EL CRUCERO (TRAMO KM 164+500 AL KM 210+750) EN LA REGION DE LA SIERRA.</v>
      </c>
      <c r="E25" s="4" t="s">
        <v>343</v>
      </c>
      <c r="F25" s="4"/>
      <c r="G25" s="4" t="str">
        <f>LOOKUP($E25,OBRAS!$D:$D,OBRAS!E:E)</f>
        <v>C-00054/0052</v>
      </c>
      <c r="H25" s="80" t="s">
        <v>23</v>
      </c>
      <c r="I25" s="6">
        <v>13937305.01</v>
      </c>
      <c r="J25" s="6"/>
      <c r="K25" s="6"/>
      <c r="L25" s="6">
        <f t="shared" si="0"/>
        <v>13937305.01</v>
      </c>
      <c r="M25" s="6">
        <f t="shared" si="1"/>
        <v>2229968.7999999998</v>
      </c>
      <c r="N25" s="6">
        <f t="shared" si="2"/>
        <v>16167273.810000001</v>
      </c>
      <c r="O25" s="6"/>
      <c r="P25" s="6">
        <f t="shared" si="3"/>
        <v>16167273.810000001</v>
      </c>
      <c r="Q25" s="4" t="str">
        <f>LOOKUP($E25,OBRAS!$D:$D,OBRAS!B:B)</f>
        <v>LA AZTECA CONSTRUCCIONES Y URBANIZACIONES, S.A. DE C.V.</v>
      </c>
      <c r="R25" s="4" t="str">
        <f>LOOKUP($E25,OBRAS!$D:$D,OBRAS!A:A)</f>
        <v>VARIOS</v>
      </c>
      <c r="S25" s="4" t="str">
        <f>LOOKUP($E25,OBRAS!$D:$D,OBRAS!F:F)</f>
        <v>11000002003501E204K08063A625012162A213</v>
      </c>
      <c r="T25" s="4" t="str">
        <f>LOOKUP($E25,OBRAS!$D:$D,OBRAS!G:G)</f>
        <v>CE-926006995-E16-2016</v>
      </c>
      <c r="U25" s="4" t="s">
        <v>863</v>
      </c>
      <c r="V25" s="89">
        <v>42510</v>
      </c>
      <c r="W25" s="6">
        <f>LOOKUP($E25,OBRAS!$D:$D,OBRAS!K:K)</f>
        <v>60543852.310000002</v>
      </c>
      <c r="X25" s="109" t="str">
        <f t="shared" si="4"/>
        <v/>
      </c>
      <c r="Y25" s="109">
        <f t="shared" si="7"/>
        <v>1</v>
      </c>
      <c r="Z25" s="109">
        <f t="shared" si="6"/>
        <v>1</v>
      </c>
      <c r="AA25" s="4" t="str">
        <f>LOOKUP($E25,OBRAS!$D:$D,OBRAS!H:H)</f>
        <v>SH-ED-17-R-013</v>
      </c>
    </row>
    <row r="26" spans="3:27" ht="60" x14ac:dyDescent="0.25">
      <c r="C26" s="4">
        <v>24</v>
      </c>
      <c r="D26" s="4" t="str">
        <f>LOOKUP($E26,OBRAS!$D:$D,OBRAS!C:C)</f>
        <v>CONSERVACION Y RECONSTRUCCION DE CARRETERAS ALIMENTADORAS REGION GUAYMAS-EMPALME, TRAMO: URSULO GALVAN-JUNELANCAHUI, DEL KM 0+000 AL KM 5+600</v>
      </c>
      <c r="E26" s="4" t="s">
        <v>550</v>
      </c>
      <c r="F26" s="4"/>
      <c r="G26" s="4" t="str">
        <f>LOOKUP($E26,OBRAS!$D:$D,OBRAS!E:E)</f>
        <v>C-00054/0060</v>
      </c>
      <c r="H26" s="80" t="s">
        <v>23</v>
      </c>
      <c r="I26" s="6">
        <v>3853157.55</v>
      </c>
      <c r="J26" s="6"/>
      <c r="K26" s="6"/>
      <c r="L26" s="6">
        <f t="shared" si="0"/>
        <v>3853157.55</v>
      </c>
      <c r="M26" s="6">
        <f t="shared" si="1"/>
        <v>616505.21</v>
      </c>
      <c r="N26" s="6">
        <f t="shared" si="2"/>
        <v>4469662.76</v>
      </c>
      <c r="O26" s="6"/>
      <c r="P26" s="6">
        <f t="shared" si="3"/>
        <v>4469662.76</v>
      </c>
      <c r="Q26" s="4" t="str">
        <f>LOOKUP($E26,OBRAS!$D:$D,OBRAS!B:B)</f>
        <v>ACQUA  DREN  INGENIERIA S.A. DE C.V.</v>
      </c>
      <c r="R26" s="4" t="str">
        <f>LOOKUP($E26,OBRAS!$D:$D,OBRAS!A:A)</f>
        <v>VARIOS</v>
      </c>
      <c r="S26" s="4" t="str">
        <f>LOOKUP($E26,OBRAS!$D:$D,OBRAS!F:F)</f>
        <v>11000002003501E204K08063A625012162A213</v>
      </c>
      <c r="T26" s="4" t="str">
        <f>LOOKUP($E26,OBRAS!$D:$D,OBRAS!G:G)</f>
        <v>CE-926006995-E24-2016</v>
      </c>
      <c r="U26" s="4" t="s">
        <v>863</v>
      </c>
      <c r="V26" s="89">
        <v>42510</v>
      </c>
      <c r="W26" s="6">
        <f>LOOKUP($E26,OBRAS!$D:$D,OBRAS!K:K)</f>
        <v>14898875.880000001</v>
      </c>
      <c r="X26" s="109" t="str">
        <f t="shared" si="4"/>
        <v/>
      </c>
      <c r="Y26" s="109">
        <f t="shared" si="7"/>
        <v>0.60219999999999996</v>
      </c>
      <c r="Z26" s="109">
        <f t="shared" si="6"/>
        <v>0.72150000000000003</v>
      </c>
      <c r="AA26" s="4" t="str">
        <f>LOOKUP($E26,OBRAS!$D:$D,OBRAS!H:H)</f>
        <v>SH-ED-17-R-013</v>
      </c>
    </row>
    <row r="27" spans="3:27" ht="30" x14ac:dyDescent="0.25">
      <c r="C27" s="4">
        <v>25</v>
      </c>
      <c r="D27" s="4" t="str">
        <f>LOOKUP($E27,OBRAS!$D:$D,OBRAS!C:C)</f>
        <v>CONSTRUCCION Y RECONSTRUCCION DEL TRAMO CABORCA-Y GRIEGA</v>
      </c>
      <c r="E27" s="4" t="s">
        <v>586</v>
      </c>
      <c r="F27" s="4"/>
      <c r="G27" s="4" t="str">
        <f>LOOKUP($E27,OBRAS!$D:$D,OBRAS!E:E)</f>
        <v>C-00054/0056</v>
      </c>
      <c r="H27" s="80" t="s">
        <v>23</v>
      </c>
      <c r="I27" s="6">
        <v>20405738.309999999</v>
      </c>
      <c r="J27" s="6"/>
      <c r="K27" s="6"/>
      <c r="L27" s="6">
        <f t="shared" si="0"/>
        <v>20405738.309999999</v>
      </c>
      <c r="M27" s="6">
        <f t="shared" si="1"/>
        <v>3264918.13</v>
      </c>
      <c r="N27" s="6">
        <f t="shared" si="2"/>
        <v>23670656.440000001</v>
      </c>
      <c r="O27" s="6"/>
      <c r="P27" s="6">
        <f t="shared" si="3"/>
        <v>23670656.440000001</v>
      </c>
      <c r="Q27" s="4" t="str">
        <f>LOOKUP($E27,OBRAS!$D:$D,OBRAS!B:B)</f>
        <v>MEZQUITE CONSTRUCCIONES,S.A.DE C.V.</v>
      </c>
      <c r="R27" s="4" t="str">
        <f>LOOKUP($E27,OBRAS!$D:$D,OBRAS!A:A)</f>
        <v>CABORCA</v>
      </c>
      <c r="S27" s="4" t="str">
        <f>LOOKUP($E27,OBRAS!$D:$D,OBRAS!F:F)</f>
        <v>11000002003501E204K08063A625012162A202</v>
      </c>
      <c r="T27" s="4" t="str">
        <f>LOOKUP($E27,OBRAS!$D:$D,OBRAS!G:G)</f>
        <v>CE-926006995-E20-2016</v>
      </c>
      <c r="U27" s="4" t="s">
        <v>863</v>
      </c>
      <c r="V27" s="89">
        <v>42510</v>
      </c>
      <c r="W27" s="6">
        <f>LOOKUP($E27,OBRAS!$D:$D,OBRAS!K:K)</f>
        <v>78902188.120000005</v>
      </c>
      <c r="X27" s="109" t="str">
        <f t="shared" si="4"/>
        <v/>
      </c>
      <c r="Y27" s="109">
        <f t="shared" si="7"/>
        <v>0.74160000000000004</v>
      </c>
      <c r="Z27" s="109">
        <f t="shared" si="6"/>
        <v>0.74160000000000004</v>
      </c>
      <c r="AA27" s="4" t="str">
        <f>LOOKUP($E27,OBRAS!$D:$D,OBRAS!H:H)</f>
        <v>SH-ED-17-R-013</v>
      </c>
    </row>
    <row r="28" spans="3:27" ht="30" x14ac:dyDescent="0.25">
      <c r="C28" s="4">
        <v>26</v>
      </c>
      <c r="D28" s="4" t="str">
        <f>LOOKUP($E28,OBRAS!$D:$D,OBRAS!C:C)</f>
        <v>MODERNIZACION DEL PERIFERICO PONIENTE (1 ETAPA), NAVOJOA</v>
      </c>
      <c r="E28" s="4" t="s">
        <v>536</v>
      </c>
      <c r="F28" s="4"/>
      <c r="G28" s="4" t="str">
        <f>LOOKUP($E28,OBRAS!$D:$D,OBRAS!E:E)</f>
        <v>C-00052/0171</v>
      </c>
      <c r="H28" s="80" t="s">
        <v>23</v>
      </c>
      <c r="I28" s="6">
        <v>40046465.009999998</v>
      </c>
      <c r="J28" s="6"/>
      <c r="K28" s="6"/>
      <c r="L28" s="6">
        <f t="shared" si="0"/>
        <v>40046465.009999998</v>
      </c>
      <c r="M28" s="6">
        <f t="shared" si="1"/>
        <v>6407434.4000000004</v>
      </c>
      <c r="N28" s="6">
        <f t="shared" si="2"/>
        <v>46453899.409999996</v>
      </c>
      <c r="O28" s="6"/>
      <c r="P28" s="6">
        <f t="shared" si="3"/>
        <v>46453899.409999996</v>
      </c>
      <c r="Q28" s="4" t="str">
        <f>LOOKUP($E28,OBRAS!$D:$D,OBRAS!B:B)</f>
        <v>LC PROYECTOS Y CONSTRUCCIONES S.A. DE C.V.</v>
      </c>
      <c r="R28" s="4" t="str">
        <f>LOOKUP($E28,OBRAS!$D:$D,OBRAS!A:A)</f>
        <v>NAVOJOA</v>
      </c>
      <c r="S28" s="4" t="str">
        <f>LOOKUP($E28,OBRAS!$D:$D,OBRAS!F:F)</f>
        <v>11000002002201E202K05186A614202162A212</v>
      </c>
      <c r="T28" s="4" t="str">
        <f>LOOKUP($E28,OBRAS!$D:$D,OBRAS!G:G)</f>
        <v>CE-926006995-E15-2016</v>
      </c>
      <c r="U28" s="4" t="s">
        <v>863</v>
      </c>
      <c r="V28" s="89">
        <v>42510</v>
      </c>
      <c r="W28" s="6">
        <f>LOOKUP($E28,OBRAS!$D:$D,OBRAS!K:K)</f>
        <v>154846331.36000001</v>
      </c>
      <c r="X28" s="109" t="str">
        <f t="shared" si="4"/>
        <v/>
      </c>
      <c r="Y28" s="109">
        <f t="shared" si="7"/>
        <v>0.83420000000000005</v>
      </c>
      <c r="Z28" s="109">
        <f t="shared" si="6"/>
        <v>0.88400000000000001</v>
      </c>
      <c r="AA28" s="4" t="str">
        <f>LOOKUP($E28,OBRAS!$D:$D,OBRAS!H:H)</f>
        <v>SH-ED-17-R-004</v>
      </c>
    </row>
    <row r="29" spans="3:27" ht="75" x14ac:dyDescent="0.25">
      <c r="C29" s="4">
        <v>27</v>
      </c>
      <c r="D29" s="4" t="str">
        <f>LOOKUP($E29,OBRAS!$D:$D,OBRAS!C:C)</f>
        <v>CONSERVACIÓN Y RECONSTRUCCION DEL TRAMO MAZATÁN-VILLA PESQUEIRA-SAN PEDRO DE LA CUEVA EN LA REGION DE LA SIERRA EN VARIAS LOCALIDADES DE VARIOS MUNICIPIOS EN SONORA.</v>
      </c>
      <c r="E29" s="4" t="s">
        <v>590</v>
      </c>
      <c r="F29" s="4"/>
      <c r="G29" s="4" t="str">
        <f>LOOKUP($E29,OBRAS!$D:$D,OBRAS!E:E)</f>
        <v>C-00054/0057</v>
      </c>
      <c r="H29" s="80" t="s">
        <v>23</v>
      </c>
      <c r="I29" s="6">
        <v>8743920.8200000003</v>
      </c>
      <c r="J29" s="6"/>
      <c r="K29" s="6"/>
      <c r="L29" s="6">
        <f t="shared" si="0"/>
        <v>8743920.8200000003</v>
      </c>
      <c r="M29" s="6">
        <f t="shared" si="1"/>
        <v>1399027.33</v>
      </c>
      <c r="N29" s="6">
        <f t="shared" si="2"/>
        <v>10142948.15</v>
      </c>
      <c r="O29" s="6"/>
      <c r="P29" s="6">
        <f t="shared" si="3"/>
        <v>10142948.15</v>
      </c>
      <c r="Q29" s="4" t="str">
        <f>LOOKUP($E29,OBRAS!$D:$D,OBRAS!B:B)</f>
        <v>GRUPO EMPRESARIAL BABASAC, S. A. DE C. V.</v>
      </c>
      <c r="R29" s="4" t="str">
        <f>LOOKUP($E29,OBRAS!$D:$D,OBRAS!A:A)</f>
        <v>VARIOS</v>
      </c>
      <c r="S29" s="4" t="str">
        <f>LOOKUP($E29,OBRAS!$D:$D,OBRAS!F:F)</f>
        <v>1100002003501E204K08063A625012162A213</v>
      </c>
      <c r="T29" s="4" t="str">
        <f>LOOKUP($E29,OBRAS!$D:$D,OBRAS!G:G)</f>
        <v>CE-926006995-E21-2016</v>
      </c>
      <c r="U29" s="4" t="s">
        <v>863</v>
      </c>
      <c r="V29" s="89">
        <v>42510</v>
      </c>
      <c r="W29" s="6">
        <f>LOOKUP($E29,OBRAS!$D:$D,OBRAS!K:K)</f>
        <v>33809827.159999996</v>
      </c>
      <c r="X29" s="109" t="str">
        <f t="shared" si="4"/>
        <v/>
      </c>
      <c r="Y29" s="109">
        <f t="shared" si="7"/>
        <v>0.89859999999999995</v>
      </c>
      <c r="Z29" s="109">
        <f t="shared" si="6"/>
        <v>0.92900000000000005</v>
      </c>
      <c r="AA29" s="4" t="str">
        <f>LOOKUP($E29,OBRAS!$D:$D,OBRAS!H:H)</f>
        <v>SH-ED-17-R-013</v>
      </c>
    </row>
    <row r="30" spans="3:27" ht="30" x14ac:dyDescent="0.25">
      <c r="C30" s="4">
        <v>28</v>
      </c>
      <c r="D30" s="4" t="str">
        <f>LOOKUP($E30,OBRAS!$D:$D,OBRAS!C:C)</f>
        <v>RECONSTRUCCION DEL CAMINO CALLE 1900</v>
      </c>
      <c r="E30" s="4" t="s">
        <v>546</v>
      </c>
      <c r="F30" s="4"/>
      <c r="G30" s="4" t="str">
        <f>LOOKUP($E30,OBRAS!$D:$D,OBRAS!E:E)</f>
        <v>C-00054/0027</v>
      </c>
      <c r="H30" s="80" t="s">
        <v>23</v>
      </c>
      <c r="I30" s="6">
        <v>6388217.6500000004</v>
      </c>
      <c r="J30" s="6"/>
      <c r="K30" s="6"/>
      <c r="L30" s="6">
        <f t="shared" si="0"/>
        <v>6388217.6500000004</v>
      </c>
      <c r="M30" s="6">
        <f t="shared" si="1"/>
        <v>1022114.82</v>
      </c>
      <c r="N30" s="6">
        <f t="shared" si="2"/>
        <v>7410332.4699999997</v>
      </c>
      <c r="O30" s="6"/>
      <c r="P30" s="6">
        <f t="shared" si="3"/>
        <v>7410332.4699999997</v>
      </c>
      <c r="Q30" s="4" t="str">
        <f>LOOKUP($E30,OBRAS!$D:$D,OBRAS!B:B)</f>
        <v>NA CONSTRUCCIONES DEL PACIFICO, S.A. DE C.V.</v>
      </c>
      <c r="R30" s="4" t="str">
        <f>LOOKUP($E30,OBRAS!$D:$D,OBRAS!A:A)</f>
        <v>CAJEME</v>
      </c>
      <c r="S30" s="4" t="str">
        <f>LOOKUP($E30,OBRAS!$D:$D,OBRAS!F:F)</f>
        <v>11000002003501E204K08063A625012162A211</v>
      </c>
      <c r="T30" s="4" t="str">
        <f>LOOKUP($E30,OBRAS!$D:$D,OBRAS!G:G)</f>
        <v>CE-926006995-E14-2016</v>
      </c>
      <c r="U30" s="4" t="s">
        <v>863</v>
      </c>
      <c r="V30" s="89">
        <v>42510</v>
      </c>
      <c r="W30" s="6">
        <f>LOOKUP($E30,OBRAS!$D:$D,OBRAS!K:K)</f>
        <v>24701108.239999998</v>
      </c>
      <c r="X30" s="109" t="str">
        <f t="shared" si="4"/>
        <v/>
      </c>
      <c r="Y30" s="109">
        <f t="shared" si="7"/>
        <v>1</v>
      </c>
      <c r="Z30" s="109">
        <f t="shared" si="6"/>
        <v>1</v>
      </c>
      <c r="AA30" s="4" t="str">
        <f>LOOKUP($E30,OBRAS!$D:$D,OBRAS!H:H)</f>
        <v>SH-ED-17-R-013</v>
      </c>
    </row>
    <row r="31" spans="3:27" ht="60" x14ac:dyDescent="0.25">
      <c r="C31" s="4">
        <v>29</v>
      </c>
      <c r="D31" s="4" t="str">
        <f>LOOKUP($E31,OBRAS!$D:$D,OBRAS!C:C)</f>
        <v>RECARPETEO CON MICROCARPETA ASFALTICA DE 3 CMS DE ESPESOR EN VARIAS CALLES Y AVENIDAS DE LA LOCALIDAD DE BACOBAMPO, MUNICIPIO DE ETCHOJOA.</v>
      </c>
      <c r="E31" s="4" t="s">
        <v>97</v>
      </c>
      <c r="F31" s="4"/>
      <c r="G31" s="4" t="str">
        <f>LOOKUP($E31,OBRAS!$D:$D,OBRAS!E:E)</f>
        <v>C-00052/0150</v>
      </c>
      <c r="H31" s="80" t="s">
        <v>103</v>
      </c>
      <c r="I31" s="6">
        <v>2542359.36</v>
      </c>
      <c r="J31" s="6"/>
      <c r="K31" s="6">
        <v>762718.71</v>
      </c>
      <c r="L31" s="6">
        <f t="shared" si="0"/>
        <v>1779640.65</v>
      </c>
      <c r="M31" s="6">
        <f t="shared" si="1"/>
        <v>284742.5</v>
      </c>
      <c r="N31" s="6">
        <f t="shared" si="2"/>
        <v>2064383.15</v>
      </c>
      <c r="O31" s="6">
        <v>12457.57</v>
      </c>
      <c r="P31" s="6">
        <f t="shared" si="3"/>
        <v>2051925.58</v>
      </c>
      <c r="Q31" s="4" t="str">
        <f>LOOKUP($E31,OBRAS!$D:$D,OBRAS!B:B)</f>
        <v>ING. LUIS ENRIQUE PEÑA RODRIGO</v>
      </c>
      <c r="R31" s="4" t="str">
        <f>LOOKUP($E31,OBRAS!$D:$D,OBRAS!A:A)</f>
        <v>BACOBAMPO</v>
      </c>
      <c r="S31" s="4" t="str">
        <f>LOOKUP($E31,OBRAS!$D:$D,OBRAS!F:F)</f>
        <v>11000002002201E201K02203A614202155DM12</v>
      </c>
      <c r="T31" s="4" t="str">
        <f>LOOKUP($E31,OBRAS!$D:$D,OBRAS!G:G)</f>
        <v>XX-926006995-X37-2015
PÚBLICA</v>
      </c>
      <c r="U31" s="4" t="s">
        <v>863</v>
      </c>
      <c r="V31" s="89">
        <v>42471</v>
      </c>
      <c r="W31" s="6">
        <f>LOOKUP($E31,OBRAS!$D:$D,OBRAS!K:K)</f>
        <v>3605068.1</v>
      </c>
      <c r="X31" s="109">
        <f t="shared" si="4"/>
        <v>0.81810000000000005</v>
      </c>
      <c r="Y31" s="109">
        <f t="shared" si="7"/>
        <v>0.81810000000000005</v>
      </c>
      <c r="Z31" s="109">
        <f t="shared" si="6"/>
        <v>0.5726</v>
      </c>
      <c r="AA31" s="4" t="str">
        <f>LOOKUP($E31,OBRAS!$D:$D,OBRAS!H:H)</f>
        <v>SH-FAFEF-16-R-002</v>
      </c>
    </row>
    <row r="32" spans="3:27" ht="60" x14ac:dyDescent="0.25">
      <c r="C32" s="4">
        <v>30</v>
      </c>
      <c r="D32" s="4" t="str">
        <f>LOOKUP($E32,OBRAS!$D:$D,OBRAS!C:C)</f>
        <v>RECARPETEO CON MICROCARPETA ASFALTICA DE 3CMS DE ESPESOR EN VARIAS CALLES Y AVENIDAS DE LA LOCALIDAD Y MUNICIPIO DE HUATABAMPO, SONORA.</v>
      </c>
      <c r="E32" s="4" t="s">
        <v>105</v>
      </c>
      <c r="F32" s="4"/>
      <c r="G32" s="4" t="str">
        <f>LOOKUP($E32,OBRAS!$D:$D,OBRAS!E:E)</f>
        <v>C-00052/0149</v>
      </c>
      <c r="H32" s="80" t="s">
        <v>103</v>
      </c>
      <c r="I32" s="6">
        <v>3380696.81</v>
      </c>
      <c r="J32" s="6"/>
      <c r="K32" s="6">
        <v>1014221.9</v>
      </c>
      <c r="L32" s="6">
        <f t="shared" si="0"/>
        <v>2366474.91</v>
      </c>
      <c r="M32" s="6">
        <f t="shared" si="1"/>
        <v>378635.99</v>
      </c>
      <c r="N32" s="6">
        <f t="shared" si="2"/>
        <v>2745110.9</v>
      </c>
      <c r="O32" s="6">
        <v>16565.41</v>
      </c>
      <c r="P32" s="6">
        <f t="shared" si="3"/>
        <v>2728545.49</v>
      </c>
      <c r="Q32" s="4" t="str">
        <f>LOOKUP($E32,OBRAS!$D:$D,OBRAS!B:B)</f>
        <v>ING. LUIS ENRIQUE PEÑA RODRIGO</v>
      </c>
      <c r="R32" s="88" t="s">
        <v>25</v>
      </c>
      <c r="S32" s="4" t="str">
        <f>LOOKUP($E32,OBRAS!$D:$D,OBRAS!F:F)</f>
        <v>11000002002201E201K02203A614202155DM1</v>
      </c>
      <c r="T32" s="4" t="str">
        <f>LOOKUP($E32,OBRAS!$D:$D,OBRAS!G:G)</f>
        <v>XX-926006995-X34-2015
PÚBLICA</v>
      </c>
      <c r="U32" s="4" t="s">
        <v>863</v>
      </c>
      <c r="V32" s="89">
        <v>42479</v>
      </c>
      <c r="W32" s="6">
        <f>LOOKUP($E32,OBRAS!$D:$D,OBRAS!K:K)</f>
        <v>4868065.41</v>
      </c>
      <c r="X32" s="109">
        <f t="shared" si="4"/>
        <v>0.80559999999999998</v>
      </c>
      <c r="Y32" s="109">
        <f t="shared" si="7"/>
        <v>0.80559999999999998</v>
      </c>
      <c r="Z32" s="109">
        <f t="shared" si="6"/>
        <v>0.56389999999999996</v>
      </c>
      <c r="AA32" s="4" t="str">
        <f>LOOKUP($E32,OBRAS!$D:$D,OBRAS!H:H)</f>
        <v>SH-FAFEF-16-R-002</v>
      </c>
    </row>
    <row r="33" spans="3:27" ht="60" x14ac:dyDescent="0.25">
      <c r="C33" s="4">
        <v>31</v>
      </c>
      <c r="D33" s="4" t="str">
        <f>LOOKUP($E33,OBRAS!$D:$D,OBRAS!C:C)</f>
        <v>CONSERVACIÓN DEL TRAMO NOVILLO - BACANORA - SAHUARIPA -  SAN NICOLÁS EN VARIAS LOCALIDADES DE VARIOS MUNICIPIOS DEL ESTADO DE SONORA.</v>
      </c>
      <c r="E33" s="4" t="s">
        <v>554</v>
      </c>
      <c r="F33" s="4"/>
      <c r="G33" s="4" t="str">
        <f>LOOKUP($E33,OBRAS!$D:$D,OBRAS!E:E)</f>
        <v>C-00054/0055</v>
      </c>
      <c r="H33" s="80" t="s">
        <v>23</v>
      </c>
      <c r="I33" s="6">
        <v>29200734.890000001</v>
      </c>
      <c r="J33" s="6"/>
      <c r="K33" s="6"/>
      <c r="L33" s="6">
        <f t="shared" si="0"/>
        <v>29200734.890000001</v>
      </c>
      <c r="M33" s="6">
        <f t="shared" si="1"/>
        <v>4672117.58</v>
      </c>
      <c r="N33" s="6">
        <f t="shared" si="2"/>
        <v>33872852.469999999</v>
      </c>
      <c r="O33" s="6"/>
      <c r="P33" s="6">
        <f t="shared" si="3"/>
        <v>33872852.469999999</v>
      </c>
      <c r="Q33" s="4" t="str">
        <f>LOOKUP($E33,OBRAS!$D:$D,OBRAS!B:B)</f>
        <v>CONSTRUCCIONES VILLA DE SERIS, S. A. DE C. V.</v>
      </c>
      <c r="R33" s="4" t="str">
        <f>LOOKUP($E33,OBRAS!$D:$D,OBRAS!A:A)</f>
        <v>VARIOS</v>
      </c>
      <c r="S33" s="4" t="str">
        <f>LOOKUP($E33,OBRAS!$D:$D,OBRAS!F:F)</f>
        <v>11000002003501E204K08063A625012162A213</v>
      </c>
      <c r="T33" s="4" t="str">
        <f>LOOKUP($E33,OBRAS!$D:$D,OBRAS!G:G)</f>
        <v>CE-926006995-E19-2016</v>
      </c>
      <c r="U33" s="4" t="s">
        <v>863</v>
      </c>
      <c r="V33" s="89">
        <v>42502</v>
      </c>
      <c r="W33" s="6">
        <f>LOOKUP($E33,OBRAS!$D:$D,OBRAS!K:K)</f>
        <v>112909841.56</v>
      </c>
      <c r="X33" s="109" t="str">
        <f t="shared" si="4"/>
        <v/>
      </c>
      <c r="Y33" s="109">
        <f t="shared" si="7"/>
        <v>0.93110000000000004</v>
      </c>
      <c r="Z33" s="109">
        <f t="shared" si="6"/>
        <v>0.95179999999999998</v>
      </c>
      <c r="AA33" s="4" t="str">
        <f>LOOKUP($E33,OBRAS!$D:$D,OBRAS!H:H)</f>
        <v>SH-ED-17-R-004</v>
      </c>
    </row>
    <row r="34" spans="3:27" ht="75" x14ac:dyDescent="0.25">
      <c r="C34" s="4">
        <v>32</v>
      </c>
      <c r="D34" s="4" t="str">
        <f>LOOKUP($E34,OBRAS!$D:$D,OBRAS!C:C)</f>
        <v>CONSERVACION Y RECONSTRUCCION DE CARRETERAS ALIMENTADORAS REGION GUAYMAS-EMPALME, TRAMO: MI PATRIA ES PRIMERO DEL KM 0+000 AL 3+400 Y TRAMO BARCENAS-MAYTORENA, DEL KM 0+000 AL 3+400</v>
      </c>
      <c r="E34" s="4" t="s">
        <v>574</v>
      </c>
      <c r="F34" s="4"/>
      <c r="G34" s="4" t="str">
        <f>LOOKUP($E34,OBRAS!$D:$D,OBRAS!E:E)</f>
        <v>C-00054/0059</v>
      </c>
      <c r="H34" s="80" t="s">
        <v>23</v>
      </c>
      <c r="I34" s="6">
        <v>3051719.33</v>
      </c>
      <c r="J34" s="6"/>
      <c r="K34" s="6"/>
      <c r="L34" s="6">
        <f t="shared" si="0"/>
        <v>3051719.33</v>
      </c>
      <c r="M34" s="6">
        <f t="shared" si="1"/>
        <v>488275.09</v>
      </c>
      <c r="N34" s="6">
        <f t="shared" si="2"/>
        <v>3539994.42</v>
      </c>
      <c r="O34" s="6"/>
      <c r="P34" s="6">
        <f t="shared" si="3"/>
        <v>3539994.42</v>
      </c>
      <c r="Q34" s="4" t="str">
        <f>LOOKUP($E34,OBRAS!$D:$D,OBRAS!B:B)</f>
        <v>DESARROLLOS TIBURCIO, S.A. DE C.V.</v>
      </c>
      <c r="R34" s="4" t="str">
        <f>LOOKUP($E34,OBRAS!$D:$D,OBRAS!A:A)</f>
        <v>VARIOS</v>
      </c>
      <c r="S34" s="4" t="str">
        <f>LOOKUP($E34,OBRAS!$D:$D,OBRAS!F:F)</f>
        <v>11000002003501E204K08063A625012162A213</v>
      </c>
      <c r="T34" s="4" t="str">
        <f>LOOKUP($E34,OBRAS!$D:$D,OBRAS!G:G)</f>
        <v>CE-926006995-C23-2016</v>
      </c>
      <c r="U34" s="4" t="s">
        <v>863</v>
      </c>
      <c r="V34" s="89">
        <v>42510</v>
      </c>
      <c r="W34" s="6">
        <f>LOOKUP($E34,OBRAS!$D:$D,OBRAS!K:K)</f>
        <v>11799981.390000001</v>
      </c>
      <c r="X34" s="109" t="str">
        <f t="shared" si="4"/>
        <v/>
      </c>
      <c r="Y34" s="109">
        <f t="shared" si="7"/>
        <v>0.99529999999999996</v>
      </c>
      <c r="Z34" s="109">
        <f t="shared" si="6"/>
        <v>0.99670000000000003</v>
      </c>
      <c r="AA34" s="4" t="str">
        <f>LOOKUP($E34,OBRAS!$D:$D,OBRAS!H:H)</f>
        <v>SH-ED-17-R-013</v>
      </c>
    </row>
    <row r="35" spans="3:27" ht="45" x14ac:dyDescent="0.25">
      <c r="C35" s="4">
        <v>33</v>
      </c>
      <c r="D35" s="4" t="str">
        <f>LOOKUP($E35,OBRAS!$D:$D,OBRAS!C:C)</f>
        <v>CONCLUSION DE LA MODERNIZACION Y RECONSTRUCCION DEL TRAMO ESPERANZA - HORNOS (DEL KM 8 + 800 AL KM 17 + 400)</v>
      </c>
      <c r="E35" s="4" t="s">
        <v>597</v>
      </c>
      <c r="F35" s="4"/>
      <c r="G35" s="4" t="str">
        <f>LOOKUP($E35,OBRAS!$D:$D,OBRAS!E:E)</f>
        <v>C-00054/0053</v>
      </c>
      <c r="H35" s="80" t="s">
        <v>23</v>
      </c>
      <c r="I35" s="6">
        <v>20661902.66</v>
      </c>
      <c r="J35" s="6"/>
      <c r="K35" s="6"/>
      <c r="L35" s="6">
        <f t="shared" ref="L35:L56" si="8">I35-K35</f>
        <v>20661902.66</v>
      </c>
      <c r="M35" s="6">
        <f t="shared" ref="M35:M56" si="9">ROUND(L35*0.16,2)</f>
        <v>3305904.43</v>
      </c>
      <c r="N35" s="6">
        <f t="shared" ref="N35:N56" si="10">L35+M35</f>
        <v>23967807.09</v>
      </c>
      <c r="O35" s="6"/>
      <c r="P35" s="6">
        <f t="shared" ref="P35:P56" si="11">N35-O35</f>
        <v>23967807.09</v>
      </c>
      <c r="Q35" s="4" t="str">
        <f>LOOKUP($E35,OBRAS!$D:$D,OBRAS!B:B)</f>
        <v>INGENIEROS CIVILES, S.A. DE C.V.</v>
      </c>
      <c r="R35" s="4" t="str">
        <f>LOOKUP($E35,OBRAS!$D:$D,OBRAS!A:A)</f>
        <v>VARIOS</v>
      </c>
      <c r="S35" s="4" t="str">
        <f>LOOKUP($E35,OBRAS!$D:$D,OBRAS!F:F)</f>
        <v>11000002003501E204K08063A625012162A213</v>
      </c>
      <c r="T35" s="4" t="str">
        <f>LOOKUP($E35,OBRAS!$D:$D,OBRAS!G:G)</f>
        <v>CE-966006995-E17-2016</v>
      </c>
      <c r="U35" s="4" t="s">
        <v>863</v>
      </c>
      <c r="V35" s="89">
        <v>42502</v>
      </c>
      <c r="W35" s="6">
        <f>LOOKUP($E35,OBRAS!$D:$D,OBRAS!K:K)</f>
        <v>79892690.269999996</v>
      </c>
      <c r="X35" s="109" t="str">
        <f t="shared" ref="X35:X56" si="12">IF(H35&lt;&gt;"ANTICIPO",I35/(W35/1.16),"")</f>
        <v/>
      </c>
      <c r="Y35" s="109">
        <f t="shared" si="7"/>
        <v>0.98319999999999996</v>
      </c>
      <c r="Z35" s="109">
        <f t="shared" ref="Z35:Z56" si="13">SUMIF(E:E,E35,N:N)/W35</f>
        <v>0.98309999999999997</v>
      </c>
      <c r="AA35" s="4" t="str">
        <f>LOOKUP($E35,OBRAS!$D:$D,OBRAS!H:H)</f>
        <v>SH-ED-17-R-013</v>
      </c>
    </row>
    <row r="36" spans="3:27" ht="105" x14ac:dyDescent="0.25">
      <c r="C36" s="49">
        <v>34</v>
      </c>
      <c r="D36" s="4" t="str">
        <f>LOOKUP($E36,OBRAS!$D:$D,OBRAS!C:C)</f>
        <v>PAVIMENTACION CON CONCRETO HIDRAULICO EN CALLE YECORA ENTRE AVENIDA JUAREZ Y PLUTARCO ELIAS CALLES, CALLE LAZARO CARDENAS ENTRE HERMOSILLO Y CANANEA Y AVENIDA LERDO DE TEJADA ENTRE NAVOJOA Y HERMOSILLO EN LA LOCALIDAD Y MUNICIPIO DE YECORA</v>
      </c>
      <c r="E36" s="4" t="s">
        <v>185</v>
      </c>
      <c r="F36" s="4" t="s">
        <v>213</v>
      </c>
      <c r="G36" s="4" t="str">
        <f>LOOKUP($E36,OBRAS!$D:$D,OBRAS!E:E)</f>
        <v>C-00052/0075</v>
      </c>
      <c r="H36" s="80" t="s">
        <v>55</v>
      </c>
      <c r="I36" s="6">
        <v>196542.11</v>
      </c>
      <c r="J36" s="6"/>
      <c r="K36" s="6">
        <f>ROUND(I36*0.4,2)</f>
        <v>78616.84</v>
      </c>
      <c r="L36" s="6">
        <f t="shared" si="8"/>
        <v>117925.27</v>
      </c>
      <c r="M36" s="6">
        <f t="shared" si="9"/>
        <v>18868.04</v>
      </c>
      <c r="N36" s="6">
        <f t="shared" si="10"/>
        <v>136793.31</v>
      </c>
      <c r="O36" s="6">
        <f t="shared" ref="O36:O56" si="14">ROUND(I36*0.005,2)</f>
        <v>982.71</v>
      </c>
      <c r="P36" s="6">
        <f t="shared" si="11"/>
        <v>135810.6</v>
      </c>
      <c r="Q36" s="4" t="str">
        <f>LOOKUP($E36,OBRAS!$D:$D,OBRAS!B:B)</f>
        <v>COORPORATIVO DE CAMINOS Y MINAS TUI, S.A. DE C.V.</v>
      </c>
      <c r="R36" s="4" t="str">
        <f>LOOKUP($E36,OBRAS!$D:$D,OBRAS!A:A)</f>
        <v>YECORA</v>
      </c>
      <c r="S36" s="4" t="str">
        <f>LOOKUP($E36,OBRAS!$D:$D,OBRAS!F:F)</f>
        <v>11000002002201E201K02203A614222155DM09</v>
      </c>
      <c r="T36" s="4" t="str">
        <f>LOOKUP($E36,OBRAS!$D:$D,OBRAS!G:G)</f>
        <v>IO-926006995-N117-2014</v>
      </c>
      <c r="U36" s="4" t="s">
        <v>863</v>
      </c>
      <c r="V36" s="89">
        <v>42488</v>
      </c>
      <c r="W36" s="6">
        <f>LOOKUP($E36,OBRAS!$D:$D,OBRAS!K:K)</f>
        <v>3431465.7</v>
      </c>
      <c r="X36" s="109">
        <f t="shared" si="12"/>
        <v>6.6400000000000001E-2</v>
      </c>
      <c r="Y36" s="109">
        <f t="shared" si="7"/>
        <v>0.28839999999999999</v>
      </c>
      <c r="Z36" s="109">
        <f t="shared" si="13"/>
        <v>0.14280000000000001</v>
      </c>
      <c r="AA36" s="4" t="str">
        <f>LOOKUP($E36,OBRAS!$D:$D,OBRAS!H:H)</f>
        <v>SH-FAFEF-16-R-004</v>
      </c>
    </row>
    <row r="37" spans="3:27" ht="60" x14ac:dyDescent="0.25">
      <c r="C37" s="49">
        <v>35</v>
      </c>
      <c r="D37" s="4" t="str">
        <f>LOOKUP($E37,OBRAS!$D:$D,OBRAS!C:C)</f>
        <v>PAVIMENTACION CON CARPETA ASFALTICA EN VARIAS CALLES Y AVENIDAS DE LA COLONIA SAN RAFAEL EN LA LOCALIDAD Y MUNICIPIO DE PUERTO PEÑASCO, SONORA</v>
      </c>
      <c r="E37" s="4" t="s">
        <v>179</v>
      </c>
      <c r="F37" s="4" t="s">
        <v>250</v>
      </c>
      <c r="G37" s="4" t="str">
        <f>LOOKUP($E37,OBRAS!$D:$D,OBRAS!E:E)</f>
        <v>C-00052/0056</v>
      </c>
      <c r="H37" s="80" t="s">
        <v>214</v>
      </c>
      <c r="I37" s="6">
        <v>384402.52</v>
      </c>
      <c r="J37" s="6"/>
      <c r="K37" s="6">
        <f>ROUND(I37*0.4,2)</f>
        <v>153761.01</v>
      </c>
      <c r="L37" s="6">
        <f t="shared" si="8"/>
        <v>230641.51</v>
      </c>
      <c r="M37" s="6">
        <f t="shared" si="9"/>
        <v>36902.639999999999</v>
      </c>
      <c r="N37" s="6">
        <f t="shared" si="10"/>
        <v>267544.15000000002</v>
      </c>
      <c r="O37" s="6">
        <f t="shared" si="14"/>
        <v>1922.01</v>
      </c>
      <c r="P37" s="6">
        <f t="shared" si="11"/>
        <v>265622.14</v>
      </c>
      <c r="Q37" s="4" t="str">
        <f>LOOKUP($E37,OBRAS!$D:$D,OBRAS!B:B)</f>
        <v>MARCIA LEON CORONEL</v>
      </c>
      <c r="R37" s="4" t="str">
        <f>LOOKUP($E37,OBRAS!$D:$D,OBRAS!A:A)</f>
        <v>PUERTO PEÑASCO</v>
      </c>
      <c r="S37" s="4" t="str">
        <f>LOOKUP($E37,OBRAS!$D:$D,OBRAS!F:F)</f>
        <v>11000002002201E201K02203A614222155DM01</v>
      </c>
      <c r="T37" s="4" t="str">
        <f>LOOKUP($E37,OBRAS!$D:$D,OBRAS!G:G)</f>
        <v>IO-926006995-N69-2014</v>
      </c>
      <c r="U37" s="4" t="s">
        <v>863</v>
      </c>
      <c r="V37" s="89">
        <v>42510</v>
      </c>
      <c r="W37" s="6">
        <f>LOOKUP($E37,OBRAS!$D:$D,OBRAS!K:K)</f>
        <v>7178542.3799999999</v>
      </c>
      <c r="X37" s="109">
        <f t="shared" si="12"/>
        <v>6.2100000000000002E-2</v>
      </c>
      <c r="Y37" s="109">
        <f t="shared" si="7"/>
        <v>0.19159999999999999</v>
      </c>
      <c r="Z37" s="109">
        <f t="shared" si="13"/>
        <v>0.1149</v>
      </c>
      <c r="AA37" s="4" t="str">
        <f>LOOKUP($E37,OBRAS!$D:$D,OBRAS!H:H)</f>
        <v>SH-FAFEF-16-R-004</v>
      </c>
    </row>
    <row r="38" spans="3:27" ht="60" x14ac:dyDescent="0.25">
      <c r="C38" s="49">
        <v>36</v>
      </c>
      <c r="D38" s="4" t="str">
        <f>LOOKUP($E38,OBRAS!$D:$D,OBRAS!C:C)</f>
        <v>PAVIMENTACION CON CARPETA ASFALTICA EN VARIAS CALLES Y AVENIDAS DE LA COLONIA SAN RAFAEL EN LA LOCALIDAD Y MUNICIPIO DE PUERTO PEÑASCO, SONORA</v>
      </c>
      <c r="E38" s="4" t="s">
        <v>179</v>
      </c>
      <c r="F38" s="4"/>
      <c r="G38" s="4" t="str">
        <f>LOOKUP($E38,OBRAS!$D:$D,OBRAS!E:E)</f>
        <v>C-00052/0056</v>
      </c>
      <c r="H38" s="80" t="s">
        <v>15</v>
      </c>
      <c r="I38" s="6">
        <v>801151.6</v>
      </c>
      <c r="J38" s="6"/>
      <c r="K38" s="6">
        <f>ROUND(I38*0.4,2)</f>
        <v>320460.64</v>
      </c>
      <c r="L38" s="6">
        <f t="shared" si="8"/>
        <v>480690.96</v>
      </c>
      <c r="M38" s="6">
        <f t="shared" si="9"/>
        <v>76910.55</v>
      </c>
      <c r="N38" s="6">
        <f t="shared" si="10"/>
        <v>557601.51</v>
      </c>
      <c r="O38" s="6">
        <f t="shared" si="14"/>
        <v>4005.76</v>
      </c>
      <c r="P38" s="6">
        <f t="shared" si="11"/>
        <v>553595.75</v>
      </c>
      <c r="Q38" s="4" t="str">
        <f>LOOKUP($E38,OBRAS!$D:$D,OBRAS!B:B)</f>
        <v>MARCIA LEON CORONEL</v>
      </c>
      <c r="R38" s="4" t="str">
        <f>LOOKUP($E38,OBRAS!$D:$D,OBRAS!A:A)</f>
        <v>PUERTO PEÑASCO</v>
      </c>
      <c r="S38" s="4" t="str">
        <f>LOOKUP($E38,OBRAS!$D:$D,OBRAS!F:F)</f>
        <v>11000002002201E201K02203A614222155DM01</v>
      </c>
      <c r="T38" s="4" t="str">
        <f>LOOKUP($E38,OBRAS!$D:$D,OBRAS!G:G)</f>
        <v>IO-926006995-N69-2014</v>
      </c>
      <c r="U38" s="4" t="s">
        <v>863</v>
      </c>
      <c r="V38" s="89">
        <v>42510</v>
      </c>
      <c r="W38" s="6">
        <f>LOOKUP($E38,OBRAS!$D:$D,OBRAS!K:K)</f>
        <v>7178542.3799999999</v>
      </c>
      <c r="X38" s="109">
        <f t="shared" si="12"/>
        <v>0.1295</v>
      </c>
      <c r="Y38" s="109">
        <f t="shared" si="7"/>
        <v>0.19159999999999999</v>
      </c>
      <c r="Z38" s="109">
        <f t="shared" si="13"/>
        <v>0.1149</v>
      </c>
      <c r="AA38" s="4" t="str">
        <f>LOOKUP($E38,OBRAS!$D:$D,OBRAS!H:H)</f>
        <v>SH-FAFEF-16-R-004</v>
      </c>
    </row>
    <row r="39" spans="3:27" ht="60" x14ac:dyDescent="0.25">
      <c r="C39" s="49">
        <v>37</v>
      </c>
      <c r="D39" s="4" t="str">
        <f>LOOKUP($E39,OBRAS!$D:$D,OBRAS!C:C)</f>
        <v>PAVIMENTACIÓN CON CARPETA ASFALTICA DE 5.0 CM DE ESPESOR DE LAS CALLES 5 DE MAYO Y ALFONSO GRIJALVA DE LA LOCALIDAD DE PITIQUITO, SONORA.</v>
      </c>
      <c r="E39" s="4" t="s">
        <v>136</v>
      </c>
      <c r="F39" s="4" t="s">
        <v>216</v>
      </c>
      <c r="G39" s="4" t="str">
        <f>LOOKUP($E39,OBRAS!$D:$D,OBRAS!E:E)</f>
        <v>C-00052/0112</v>
      </c>
      <c r="H39" s="80" t="s">
        <v>55</v>
      </c>
      <c r="I39" s="6">
        <v>344073.2</v>
      </c>
      <c r="J39" s="6"/>
      <c r="K39" s="6">
        <v>0</v>
      </c>
      <c r="L39" s="6">
        <f t="shared" si="8"/>
        <v>344073.2</v>
      </c>
      <c r="M39" s="6">
        <f t="shared" si="9"/>
        <v>55051.71</v>
      </c>
      <c r="N39" s="6">
        <f t="shared" si="10"/>
        <v>399124.91</v>
      </c>
      <c r="O39" s="6">
        <f t="shared" si="14"/>
        <v>1720.37</v>
      </c>
      <c r="P39" s="6">
        <f t="shared" si="11"/>
        <v>397404.54</v>
      </c>
      <c r="Q39" s="4" t="str">
        <f>LOOKUP($E39,OBRAS!$D:$D,OBRAS!B:B)</f>
        <v>JORGE ARTURO CELAYA LOPEZ</v>
      </c>
      <c r="R39" s="4" t="str">
        <f>LOOKUP($E39,OBRAS!$D:$D,OBRAS!A:A)</f>
        <v>PITIQUITO</v>
      </c>
      <c r="S39" s="4" t="str">
        <f>LOOKUP($E39,OBRAS!$D:$D,OBRAS!F:F)</f>
        <v>11000002002201E201K02203A614222145FO02</v>
      </c>
      <c r="T39" s="4" t="str">
        <f>LOOKUP($E39,OBRAS!$D:$D,OBRAS!G:G)</f>
        <v>IO-926006995-N148-2014</v>
      </c>
      <c r="U39" s="4" t="s">
        <v>863</v>
      </c>
      <c r="V39" s="89">
        <v>42516</v>
      </c>
      <c r="W39" s="6">
        <f>LOOKUP($E39,OBRAS!$D:$D,OBRAS!K:K)</f>
        <v>3675038.12</v>
      </c>
      <c r="X39" s="109">
        <f t="shared" si="12"/>
        <v>0.1086</v>
      </c>
      <c r="Y39" s="109">
        <f t="shared" si="7"/>
        <v>0.46300000000000002</v>
      </c>
      <c r="Z39" s="109">
        <f t="shared" si="13"/>
        <v>0.46300000000000002</v>
      </c>
      <c r="AA39" s="4" t="str">
        <f>LOOKUP($E39,OBRAS!$D:$D,OBRAS!H:H)</f>
        <v>SH-NC-16-R-011</v>
      </c>
    </row>
    <row r="40" spans="3:27" ht="60" x14ac:dyDescent="0.25">
      <c r="C40" s="49">
        <v>38</v>
      </c>
      <c r="D40" s="4" t="str">
        <f>LOOKUP($E40,OBRAS!$D:$D,OBRAS!C:C)</f>
        <v>PAVIMENTACIÓN CON CARPETA ASFALTICA DE 5.0 CM DE ESPESOR DE LAS CALLES 5 DE MAYO Y ALFONSO GRIJALVA DE LA LOCALIDAD DE PITIQUITO, SONORA.</v>
      </c>
      <c r="E40" s="4" t="s">
        <v>136</v>
      </c>
      <c r="F40" s="4" t="s">
        <v>216</v>
      </c>
      <c r="G40" s="4" t="str">
        <f>LOOKUP($E40,OBRAS!$D:$D,OBRAS!E:E)</f>
        <v>C-00052/0112</v>
      </c>
      <c r="H40" s="80" t="s">
        <v>215</v>
      </c>
      <c r="I40" s="6">
        <v>452027.25</v>
      </c>
      <c r="J40" s="6"/>
      <c r="K40" s="6">
        <v>0</v>
      </c>
      <c r="L40" s="6">
        <f t="shared" si="8"/>
        <v>452027.25</v>
      </c>
      <c r="M40" s="6">
        <f t="shared" si="9"/>
        <v>72324.36</v>
      </c>
      <c r="N40" s="6">
        <f t="shared" si="10"/>
        <v>524351.61</v>
      </c>
      <c r="O40" s="6">
        <f t="shared" si="14"/>
        <v>2260.14</v>
      </c>
      <c r="P40" s="6">
        <f t="shared" si="11"/>
        <v>522091.47</v>
      </c>
      <c r="Q40" s="4" t="str">
        <f>LOOKUP($E40,OBRAS!$D:$D,OBRAS!B:B)</f>
        <v>JORGE ARTURO CELAYA LOPEZ</v>
      </c>
      <c r="R40" s="4" t="str">
        <f>LOOKUP($E40,OBRAS!$D:$D,OBRAS!A:A)</f>
        <v>PITIQUITO</v>
      </c>
      <c r="S40" s="4" t="str">
        <f>LOOKUP($E40,OBRAS!$D:$D,OBRAS!F:F)</f>
        <v>11000002002201E201K02203A614222145FO02</v>
      </c>
      <c r="T40" s="4" t="str">
        <f>LOOKUP($E40,OBRAS!$D:$D,OBRAS!G:G)</f>
        <v>IO-926006995-N148-2014</v>
      </c>
      <c r="U40" s="4" t="s">
        <v>863</v>
      </c>
      <c r="V40" s="89">
        <v>42516</v>
      </c>
      <c r="W40" s="6">
        <f>LOOKUP($E40,OBRAS!$D:$D,OBRAS!K:K)</f>
        <v>3675038.12</v>
      </c>
      <c r="X40" s="109">
        <f t="shared" si="12"/>
        <v>0.14269999999999999</v>
      </c>
      <c r="Y40" s="109">
        <f t="shared" si="7"/>
        <v>0.46300000000000002</v>
      </c>
      <c r="Z40" s="109">
        <f t="shared" si="13"/>
        <v>0.46300000000000002</v>
      </c>
      <c r="AA40" s="4" t="str">
        <f>LOOKUP($E40,OBRAS!$D:$D,OBRAS!H:H)</f>
        <v>SH-NC-16-R-011</v>
      </c>
    </row>
    <row r="41" spans="3:27" ht="60" x14ac:dyDescent="0.25">
      <c r="C41" s="49">
        <v>39</v>
      </c>
      <c r="D41" s="4" t="str">
        <f>LOOKUP($E41,OBRAS!$D:$D,OBRAS!C:C)</f>
        <v>CONSTRUCCION DE ANDADOR PEATONAL EN LA CALLE INTERNACIONAL ENTRE AVENIDAS 4 Y 33 EN LA LOCALIDAD Y MUNICIPIO DE AGUA PRIETA, SONORA</v>
      </c>
      <c r="E41" s="4" t="s">
        <v>150</v>
      </c>
      <c r="F41" s="4" t="s">
        <v>217</v>
      </c>
      <c r="G41" s="4" t="str">
        <f>LOOKUP($E41,OBRAS!$D:$D,OBRAS!E:E)</f>
        <v>C-00093/0006</v>
      </c>
      <c r="H41" s="80" t="s">
        <v>55</v>
      </c>
      <c r="I41" s="6">
        <v>1263325.8700000001</v>
      </c>
      <c r="J41" s="6"/>
      <c r="K41" s="6">
        <f>ROUND(I41*0.4,2)</f>
        <v>505330.35</v>
      </c>
      <c r="L41" s="6">
        <f t="shared" si="8"/>
        <v>757995.52000000002</v>
      </c>
      <c r="M41" s="6">
        <f t="shared" si="9"/>
        <v>121279.28</v>
      </c>
      <c r="N41" s="6">
        <f t="shared" si="10"/>
        <v>879274.8</v>
      </c>
      <c r="O41" s="6">
        <f t="shared" si="14"/>
        <v>6316.63</v>
      </c>
      <c r="P41" s="6">
        <f t="shared" si="11"/>
        <v>872958.17</v>
      </c>
      <c r="Q41" s="4" t="str">
        <f>LOOKUP($E41,OBRAS!$D:$D,OBRAS!B:B)</f>
        <v>PROYECTOS Y CONSTRUCCIONES DEL DESIERTO PYCDE, A.S. DE C.V.</v>
      </c>
      <c r="R41" s="4" t="str">
        <f>LOOKUP($E41,OBRAS!$D:$D,OBRAS!A:A)</f>
        <v>AGUA PRIETA</v>
      </c>
      <c r="S41" s="4" t="str">
        <f>LOOKUP($E41,OBRAS!$D:$D,OBRAS!F:F)</f>
        <v>11000002002201E201K02203A612012155GL04</v>
      </c>
      <c r="T41" s="4" t="str">
        <f>LOOKUP($E41,OBRAS!$D:$D,OBRAS!G:G)</f>
        <v>IO-926006995-N15-2015</v>
      </c>
      <c r="U41" s="4" t="s">
        <v>863</v>
      </c>
      <c r="V41" s="89">
        <v>42545</v>
      </c>
      <c r="W41" s="6">
        <f>LOOKUP($E41,OBRAS!$D:$D,OBRAS!K:K)</f>
        <v>7864941.8700000001</v>
      </c>
      <c r="X41" s="109">
        <f t="shared" si="12"/>
        <v>0.18629999999999999</v>
      </c>
      <c r="Y41" s="109">
        <f t="shared" si="7"/>
        <v>0.51800000000000002</v>
      </c>
      <c r="Z41" s="109">
        <f t="shared" si="13"/>
        <v>0.28139999999999998</v>
      </c>
      <c r="AA41" s="4" t="str">
        <f>LOOKUP($E41,OBRAS!$D:$D,OBRAS!H:H)</f>
        <v>OM-NC-16-R-007</v>
      </c>
    </row>
    <row r="42" spans="3:27" ht="60" x14ac:dyDescent="0.25">
      <c r="C42" s="49">
        <v>40</v>
      </c>
      <c r="D42" s="4" t="str">
        <f>LOOKUP($E42,OBRAS!$D:$D,OBRAS!C:C)</f>
        <v>CONSTRUCCIÓN DE SEGUNDO CUERPO DE LA CALLE 1A EN COMPLEJO PUERTA OESTE Y DRENAJE PLUVIAL PROVINCIAS EN LA LOCALIDAD Y MUNICIPIO DE HERMOSILLO, SONORA</v>
      </c>
      <c r="E42" s="4" t="s">
        <v>145</v>
      </c>
      <c r="F42" s="4" t="s">
        <v>219</v>
      </c>
      <c r="G42" s="4" t="str">
        <f>LOOKUP($E42,OBRAS!$D:$D,OBRAS!E:E)</f>
        <v>C-00093/0012</v>
      </c>
      <c r="H42" s="80" t="s">
        <v>218</v>
      </c>
      <c r="I42" s="6">
        <v>2560477.09</v>
      </c>
      <c r="J42" s="6"/>
      <c r="K42" s="6">
        <f>ROUND(I42*0.4,2)</f>
        <v>1024190.84</v>
      </c>
      <c r="L42" s="6">
        <f t="shared" si="8"/>
        <v>1536286.25</v>
      </c>
      <c r="M42" s="6">
        <f t="shared" si="9"/>
        <v>245805.8</v>
      </c>
      <c r="N42" s="6">
        <f t="shared" si="10"/>
        <v>1782092.05</v>
      </c>
      <c r="O42" s="6">
        <f t="shared" si="14"/>
        <v>12802.39</v>
      </c>
      <c r="P42" s="6">
        <f t="shared" si="11"/>
        <v>1769289.66</v>
      </c>
      <c r="Q42" s="4" t="str">
        <f>LOOKUP($E42,OBRAS!$D:$D,OBRAS!B:B)</f>
        <v>CONSTRUMAQ, S.A. D E C.V.</v>
      </c>
      <c r="R42" s="4" t="str">
        <f>LOOKUP($E42,OBRAS!$D:$D,OBRAS!A:A)</f>
        <v>HERMOSILLO</v>
      </c>
      <c r="S42" s="4" t="str">
        <f>LOOKUP($E42,OBRAS!$D:$D,OBRAS!F:F)</f>
        <v>11000002002201E201K02203A614202155GL07</v>
      </c>
      <c r="T42" s="4" t="str">
        <f>LOOKUP($E42,OBRAS!$D:$D,OBRAS!G:G)</f>
        <v>LO-926006995-N11-2015</v>
      </c>
      <c r="U42" s="4" t="s">
        <v>863</v>
      </c>
      <c r="V42" s="89">
        <v>42488</v>
      </c>
      <c r="W42" s="6">
        <f>LOOKUP($E42,OBRAS!$D:$D,OBRAS!K:K)</f>
        <v>25909363.280000001</v>
      </c>
      <c r="X42" s="109">
        <f t="shared" si="12"/>
        <v>0.11459999999999999</v>
      </c>
      <c r="Y42" s="109">
        <f t="shared" si="7"/>
        <v>0.18490000000000001</v>
      </c>
      <c r="Z42" s="109">
        <f t="shared" si="13"/>
        <v>0.10440000000000001</v>
      </c>
      <c r="AA42" s="4" t="str">
        <f>LOOKUP($E42,OBRAS!$D:$D,OBRAS!H:H)</f>
        <v>SH-NC-16-R-007</v>
      </c>
    </row>
    <row r="43" spans="3:27" ht="60" x14ac:dyDescent="0.25">
      <c r="C43" s="49">
        <v>41</v>
      </c>
      <c r="D43" s="4" t="str">
        <f>LOOKUP($E43,OBRAS!$D:$D,OBRAS!C:C)</f>
        <v>CONSTRUCCIÓN DE SEGUNDO CUERPO DE LA CALLE 1A EN COMPLEJO PUERTA OESTE Y DRENAJE PLUVIAL PROVINCIAS EN LA LOCALIDAD Y MUNICIPIO DE HERMOSILLO, SONORA</v>
      </c>
      <c r="E43" s="4" t="s">
        <v>145</v>
      </c>
      <c r="F43" s="4" t="s">
        <v>219</v>
      </c>
      <c r="G43" s="4" t="str">
        <f>LOOKUP($E43,OBRAS!$D:$D,OBRAS!E:E)</f>
        <v>C-00093/0012</v>
      </c>
      <c r="H43" s="80" t="s">
        <v>220</v>
      </c>
      <c r="I43" s="6">
        <v>1025905.43</v>
      </c>
      <c r="J43" s="6"/>
      <c r="K43" s="6">
        <v>775779.97</v>
      </c>
      <c r="L43" s="6">
        <f t="shared" si="8"/>
        <v>250125.46</v>
      </c>
      <c r="M43" s="6">
        <f t="shared" si="9"/>
        <v>40020.07</v>
      </c>
      <c r="N43" s="6">
        <f t="shared" si="10"/>
        <v>290145.53000000003</v>
      </c>
      <c r="O43" s="6">
        <f t="shared" si="14"/>
        <v>5129.53</v>
      </c>
      <c r="P43" s="6">
        <f t="shared" si="11"/>
        <v>285016</v>
      </c>
      <c r="Q43" s="4" t="str">
        <f>LOOKUP($E43,OBRAS!$D:$D,OBRAS!B:B)</f>
        <v>CONSTRUMAQ, S.A. D E C.V.</v>
      </c>
      <c r="R43" s="4" t="str">
        <f>LOOKUP($E43,OBRAS!$D:$D,OBRAS!A:A)</f>
        <v>HERMOSILLO</v>
      </c>
      <c r="S43" s="4" t="str">
        <f>LOOKUP($E43,OBRAS!$D:$D,OBRAS!F:F)</f>
        <v>11000002002201E201K02203A614202155GL07</v>
      </c>
      <c r="T43" s="4" t="str">
        <f>LOOKUP($E43,OBRAS!$D:$D,OBRAS!G:G)</f>
        <v>LO-926006995-N11-2015</v>
      </c>
      <c r="U43" s="4" t="s">
        <v>863</v>
      </c>
      <c r="V43" s="89">
        <v>42488</v>
      </c>
      <c r="W43" s="6">
        <f>LOOKUP($E43,OBRAS!$D:$D,OBRAS!K:K)</f>
        <v>25909363.280000001</v>
      </c>
      <c r="X43" s="109">
        <f t="shared" si="12"/>
        <v>4.5900000000000003E-2</v>
      </c>
      <c r="Y43" s="109">
        <f t="shared" si="7"/>
        <v>0.18490000000000001</v>
      </c>
      <c r="Z43" s="109">
        <f t="shared" si="13"/>
        <v>0.10440000000000001</v>
      </c>
      <c r="AA43" s="4" t="str">
        <f>LOOKUP($E43,OBRAS!$D:$D,OBRAS!H:H)</f>
        <v>SH-NC-16-R-007</v>
      </c>
    </row>
    <row r="44" spans="3:27" ht="45" x14ac:dyDescent="0.25">
      <c r="C44" s="49">
        <v>42</v>
      </c>
      <c r="D44" s="4" t="str">
        <f>LOOKUP($E44,OBRAS!$D:$D,OBRAS!C:C)</f>
        <v>CONSTRUCCION DE CONSERVATORIO DE MUSICA FRAY IVO TONECK EN LA LOCALIDAD Y MUNICIPIO DE GUAYMAS, SONORA</v>
      </c>
      <c r="E44" s="4" t="s">
        <v>147</v>
      </c>
      <c r="F44" s="4" t="s">
        <v>216</v>
      </c>
      <c r="G44" s="4" t="str">
        <f>LOOKUP($E44,OBRAS!$D:$D,OBRAS!E:E)</f>
        <v>C-00093/0009</v>
      </c>
      <c r="H44" s="80" t="s">
        <v>221</v>
      </c>
      <c r="I44" s="6">
        <v>1730965.72</v>
      </c>
      <c r="J44" s="6"/>
      <c r="K44" s="6">
        <f t="shared" ref="K44:K50" si="15">ROUND(I44*0.4,2)</f>
        <v>692386.29</v>
      </c>
      <c r="L44" s="6">
        <f t="shared" si="8"/>
        <v>1038579.43</v>
      </c>
      <c r="M44" s="6">
        <f t="shared" si="9"/>
        <v>166172.71</v>
      </c>
      <c r="N44" s="6">
        <f t="shared" si="10"/>
        <v>1204752.1399999999</v>
      </c>
      <c r="O44" s="6">
        <f t="shared" si="14"/>
        <v>8654.83</v>
      </c>
      <c r="P44" s="6">
        <f t="shared" si="11"/>
        <v>1196097.31</v>
      </c>
      <c r="Q44" s="4" t="str">
        <f>LOOKUP($E44,OBRAS!$D:$D,OBRAS!B:B)</f>
        <v>EDIFICADORA CABO HARO, S.A. DE C.V.</v>
      </c>
      <c r="R44" s="4" t="str">
        <f>LOOKUP($E44,OBRAS!$D:$D,OBRAS!A:A)</f>
        <v>GUAYMAS</v>
      </c>
      <c r="S44" s="4" t="str">
        <f>LOOKUP($E44,OBRAS!$D:$D,OBRAS!F:F)</f>
        <v>11000002002402E406K06106A612012155GL10</v>
      </c>
      <c r="T44" s="4" t="str">
        <f>LOOKUP($E44,OBRAS!$D:$D,OBRAS!G:G)</f>
        <v>LO-926006995-N14-2015</v>
      </c>
      <c r="U44" s="4" t="s">
        <v>863</v>
      </c>
      <c r="V44" s="89">
        <v>42501</v>
      </c>
      <c r="W44" s="6">
        <f>LOOKUP($E44,OBRAS!$D:$D,OBRAS!K:K)</f>
        <v>17439154.870000001</v>
      </c>
      <c r="X44" s="109">
        <f t="shared" si="12"/>
        <v>0.11509999999999999</v>
      </c>
      <c r="Y44" s="109">
        <f t="shared" si="7"/>
        <v>1.1156999999999999</v>
      </c>
      <c r="Z44" s="109">
        <f t="shared" si="13"/>
        <v>0.7198</v>
      </c>
      <c r="AA44" s="4" t="str">
        <f>LOOKUP($E44,OBRAS!$D:$D,OBRAS!H:H)</f>
        <v>SH-NC-16-R-007</v>
      </c>
    </row>
    <row r="45" spans="3:27" ht="30" x14ac:dyDescent="0.25">
      <c r="C45" s="49">
        <v>43</v>
      </c>
      <c r="D45" s="4" t="str">
        <f>LOOKUP($E45,OBRAS!$D:$D,OBRAS!C:C)</f>
        <v>REHABILITACION Y MODERNIZACION DE LA CASA HOGAR UNACARI</v>
      </c>
      <c r="E45" s="4" t="s">
        <v>140</v>
      </c>
      <c r="F45" s="4" t="s">
        <v>222</v>
      </c>
      <c r="G45" s="4" t="str">
        <f>LOOKUP($E45,OBRAS!$D:$D,OBRAS!E:E)</f>
        <v>C-00093/0002</v>
      </c>
      <c r="H45" s="80" t="s">
        <v>103</v>
      </c>
      <c r="I45" s="6">
        <v>496370.51</v>
      </c>
      <c r="J45" s="6"/>
      <c r="K45" s="6">
        <f t="shared" si="15"/>
        <v>198548.2</v>
      </c>
      <c r="L45" s="6">
        <f t="shared" si="8"/>
        <v>297822.31</v>
      </c>
      <c r="M45" s="6">
        <f t="shared" si="9"/>
        <v>47651.57</v>
      </c>
      <c r="N45" s="6">
        <f t="shared" si="10"/>
        <v>345473.88</v>
      </c>
      <c r="O45" s="6">
        <f t="shared" si="14"/>
        <v>2481.85</v>
      </c>
      <c r="P45" s="6">
        <f t="shared" si="11"/>
        <v>342992.03</v>
      </c>
      <c r="Q45" s="4" t="str">
        <f>LOOKUP($E45,OBRAS!$D:$D,OBRAS!B:B)</f>
        <v>ING. ROBERTO DEL RINCON MURO</v>
      </c>
      <c r="R45" s="4" t="str">
        <f>LOOKUP($E45,OBRAS!$D:$D,OBRAS!A:A)</f>
        <v>HERMOSILLO</v>
      </c>
      <c r="S45" s="4" t="str">
        <f>LOOKUP($E45,OBRAS!$D:$D,OBRAS!F:F)</f>
        <v>11000002002202E402K17105A612032155GL07</v>
      </c>
      <c r="T45" s="4">
        <f>LOOKUP($E45,OBRAS!$D:$D,OBRAS!G:G)</f>
        <v>0</v>
      </c>
      <c r="U45" s="4" t="s">
        <v>863</v>
      </c>
      <c r="V45" s="89">
        <v>42569</v>
      </c>
      <c r="W45" s="6">
        <f>LOOKUP($E45,OBRAS!$D:$D,OBRAS!K:K)</f>
        <v>2970290.45</v>
      </c>
      <c r="X45" s="109">
        <f t="shared" si="12"/>
        <v>0.1938</v>
      </c>
      <c r="Y45" s="109">
        <f t="shared" si="7"/>
        <v>0.97840000000000005</v>
      </c>
      <c r="Z45" s="109">
        <f t="shared" si="13"/>
        <v>0.57840000000000003</v>
      </c>
      <c r="AA45" s="4" t="str">
        <f>LOOKUP($E45,OBRAS!$D:$D,OBRAS!H:H)</f>
        <v>SH-NC-16-R-007</v>
      </c>
    </row>
    <row r="46" spans="3:27" ht="30" x14ac:dyDescent="0.25">
      <c r="C46" s="49">
        <v>44</v>
      </c>
      <c r="D46" s="4" t="str">
        <f>LOOKUP($E46,OBRAS!$D:$D,OBRAS!C:C)</f>
        <v>REHABILITACION Y MODERNIZACION DE LA CASA HOGAR UNACARI</v>
      </c>
      <c r="E46" s="4" t="s">
        <v>140</v>
      </c>
      <c r="F46" s="4" t="s">
        <v>222</v>
      </c>
      <c r="G46" s="4" t="str">
        <f>LOOKUP($E46,OBRAS!$D:$D,OBRAS!E:E)</f>
        <v>C-00093/0002</v>
      </c>
      <c r="H46" s="80" t="s">
        <v>221</v>
      </c>
      <c r="I46" s="6">
        <v>545335.31999999995</v>
      </c>
      <c r="J46" s="6"/>
      <c r="K46" s="6">
        <f t="shared" si="15"/>
        <v>218134.13</v>
      </c>
      <c r="L46" s="6">
        <f t="shared" si="8"/>
        <v>327201.19</v>
      </c>
      <c r="M46" s="6">
        <f t="shared" si="9"/>
        <v>52352.19</v>
      </c>
      <c r="N46" s="6">
        <f t="shared" si="10"/>
        <v>379553.38</v>
      </c>
      <c r="O46" s="6">
        <f t="shared" si="14"/>
        <v>2726.68</v>
      </c>
      <c r="P46" s="6">
        <f t="shared" si="11"/>
        <v>376826.7</v>
      </c>
      <c r="Q46" s="4" t="str">
        <f>LOOKUP($E46,OBRAS!$D:$D,OBRAS!B:B)</f>
        <v>ING. ROBERTO DEL RINCON MURO</v>
      </c>
      <c r="R46" s="4" t="str">
        <f>LOOKUP($E46,OBRAS!$D:$D,OBRAS!A:A)</f>
        <v>HERMOSILLO</v>
      </c>
      <c r="S46" s="4" t="str">
        <f>LOOKUP($E46,OBRAS!$D:$D,OBRAS!F:F)</f>
        <v>11000002002202E402K17105A612032155GL07</v>
      </c>
      <c r="T46" s="4">
        <f>LOOKUP($E46,OBRAS!$D:$D,OBRAS!G:G)</f>
        <v>0</v>
      </c>
      <c r="U46" s="4" t="s">
        <v>863</v>
      </c>
      <c r="V46" s="89">
        <v>42571</v>
      </c>
      <c r="W46" s="6">
        <f>LOOKUP($E46,OBRAS!$D:$D,OBRAS!K:K)</f>
        <v>2970290.45</v>
      </c>
      <c r="X46" s="109">
        <f t="shared" si="12"/>
        <v>0.21299999999999999</v>
      </c>
      <c r="Y46" s="109">
        <f t="shared" si="7"/>
        <v>0.97840000000000005</v>
      </c>
      <c r="Z46" s="109">
        <f t="shared" si="13"/>
        <v>0.57840000000000003</v>
      </c>
      <c r="AA46" s="4" t="str">
        <f>LOOKUP($E46,OBRAS!$D:$D,OBRAS!H:H)</f>
        <v>SH-NC-16-R-007</v>
      </c>
    </row>
    <row r="47" spans="3:27" ht="30" x14ac:dyDescent="0.25">
      <c r="C47" s="49">
        <v>45</v>
      </c>
      <c r="D47" s="4" t="str">
        <f>LOOKUP($E47,OBRAS!$D:$D,OBRAS!C:C)</f>
        <v>REHABILITACION Y MODERNIZACION DE LA CASA HOGAR UNACARI</v>
      </c>
      <c r="E47" s="4" t="s">
        <v>140</v>
      </c>
      <c r="F47" s="4" t="s">
        <v>222</v>
      </c>
      <c r="G47" s="4" t="str">
        <f>LOOKUP($E47,OBRAS!$D:$D,OBRAS!E:E)</f>
        <v>C-00093/0002</v>
      </c>
      <c r="H47" s="80" t="s">
        <v>55</v>
      </c>
      <c r="I47" s="6">
        <v>385421.15</v>
      </c>
      <c r="J47" s="6"/>
      <c r="K47" s="6">
        <f t="shared" si="15"/>
        <v>154168.46</v>
      </c>
      <c r="L47" s="6">
        <f t="shared" si="8"/>
        <v>231252.69</v>
      </c>
      <c r="M47" s="6">
        <f t="shared" si="9"/>
        <v>37000.43</v>
      </c>
      <c r="N47" s="6">
        <f t="shared" si="10"/>
        <v>268253.12</v>
      </c>
      <c r="O47" s="6">
        <f t="shared" si="14"/>
        <v>1927.11</v>
      </c>
      <c r="P47" s="6">
        <f t="shared" si="11"/>
        <v>266326.01</v>
      </c>
      <c r="Q47" s="4" t="str">
        <f>LOOKUP($E47,OBRAS!$D:$D,OBRAS!B:B)</f>
        <v>ING. ROBERTO DEL RINCON MURO</v>
      </c>
      <c r="R47" s="4" t="str">
        <f>LOOKUP($E47,OBRAS!$D:$D,OBRAS!A:A)</f>
        <v>HERMOSILLO</v>
      </c>
      <c r="S47" s="4" t="str">
        <f>LOOKUP($E47,OBRAS!$D:$D,OBRAS!F:F)</f>
        <v>11000002002202E402K17105A612032155GL07</v>
      </c>
      <c r="T47" s="4">
        <f>LOOKUP($E47,OBRAS!$D:$D,OBRAS!G:G)</f>
        <v>0</v>
      </c>
      <c r="U47" s="4" t="s">
        <v>863</v>
      </c>
      <c r="V47" s="89">
        <v>42571</v>
      </c>
      <c r="W47" s="6">
        <f>LOOKUP($E47,OBRAS!$D:$D,OBRAS!K:K)</f>
        <v>2970290.45</v>
      </c>
      <c r="X47" s="109">
        <f t="shared" si="12"/>
        <v>0.15049999999999999</v>
      </c>
      <c r="Y47" s="109">
        <f t="shared" si="7"/>
        <v>0.97840000000000005</v>
      </c>
      <c r="Z47" s="109">
        <f t="shared" si="13"/>
        <v>0.57840000000000003</v>
      </c>
      <c r="AA47" s="4" t="str">
        <f>LOOKUP($E47,OBRAS!$D:$D,OBRAS!H:H)</f>
        <v>SH-NC-16-R-007</v>
      </c>
    </row>
    <row r="48" spans="3:27" ht="30" x14ac:dyDescent="0.25">
      <c r="C48" s="49">
        <v>46</v>
      </c>
      <c r="D48" s="4" t="str">
        <f>LOOKUP($E48,OBRAS!$D:$D,OBRAS!C:C)</f>
        <v>REHABILITACION Y MODERNIZACION DE LA CASA HOGAR UNACARI</v>
      </c>
      <c r="E48" s="4" t="s">
        <v>140</v>
      </c>
      <c r="F48" s="4" t="s">
        <v>222</v>
      </c>
      <c r="G48" s="4" t="str">
        <f>LOOKUP($E48,OBRAS!$D:$D,OBRAS!E:E)</f>
        <v>C-00093/0002</v>
      </c>
      <c r="H48" s="80" t="s">
        <v>215</v>
      </c>
      <c r="I48" s="6">
        <v>846181.65</v>
      </c>
      <c r="J48" s="6"/>
      <c r="K48" s="6">
        <f t="shared" si="15"/>
        <v>338472.66</v>
      </c>
      <c r="L48" s="6">
        <f t="shared" si="8"/>
        <v>507708.99</v>
      </c>
      <c r="M48" s="6">
        <f t="shared" si="9"/>
        <v>81233.440000000002</v>
      </c>
      <c r="N48" s="6">
        <f t="shared" si="10"/>
        <v>588942.43000000005</v>
      </c>
      <c r="O48" s="6">
        <f t="shared" si="14"/>
        <v>4230.91</v>
      </c>
      <c r="P48" s="6">
        <f t="shared" si="11"/>
        <v>584711.52</v>
      </c>
      <c r="Q48" s="4" t="str">
        <f>LOOKUP($E48,OBRAS!$D:$D,OBRAS!B:B)</f>
        <v>ING. ROBERTO DEL RINCON MURO</v>
      </c>
      <c r="R48" s="4" t="str">
        <f>LOOKUP($E48,OBRAS!$D:$D,OBRAS!A:A)</f>
        <v>HERMOSILLO</v>
      </c>
      <c r="S48" s="4" t="str">
        <f>LOOKUP($E48,OBRAS!$D:$D,OBRAS!F:F)</f>
        <v>11000002002202E402K17105A612032155GL07</v>
      </c>
      <c r="T48" s="4">
        <f>LOOKUP($E48,OBRAS!$D:$D,OBRAS!G:G)</f>
        <v>0</v>
      </c>
      <c r="U48" s="4" t="s">
        <v>863</v>
      </c>
      <c r="V48" s="89">
        <v>42569</v>
      </c>
      <c r="W48" s="6">
        <f>LOOKUP($E48,OBRAS!$D:$D,OBRAS!K:K)</f>
        <v>2970290.45</v>
      </c>
      <c r="X48" s="109">
        <f t="shared" si="12"/>
        <v>0.33050000000000002</v>
      </c>
      <c r="Y48" s="109">
        <f t="shared" si="7"/>
        <v>0.97840000000000005</v>
      </c>
      <c r="Z48" s="109">
        <f t="shared" si="13"/>
        <v>0.57840000000000003</v>
      </c>
      <c r="AA48" s="4" t="str">
        <f>LOOKUP($E48,OBRAS!$D:$D,OBRAS!H:H)</f>
        <v>SH-NC-16-R-007</v>
      </c>
    </row>
    <row r="49" spans="3:27" ht="30" x14ac:dyDescent="0.25">
      <c r="C49" s="49">
        <v>47</v>
      </c>
      <c r="D49" s="4" t="str">
        <f>LOOKUP($E49,OBRAS!$D:$D,OBRAS!C:C)</f>
        <v>REHABILITACION Y MODERNIZACION DE LA CASA HOGAR UNACARI</v>
      </c>
      <c r="E49" s="4" t="s">
        <v>140</v>
      </c>
      <c r="F49" s="4" t="s">
        <v>222</v>
      </c>
      <c r="G49" s="4" t="str">
        <f>LOOKUP($E49,OBRAS!$D:$D,OBRAS!E:E)</f>
        <v>C-00093/0002</v>
      </c>
      <c r="H49" s="80" t="s">
        <v>15</v>
      </c>
      <c r="I49" s="6">
        <v>169300.52</v>
      </c>
      <c r="J49" s="6"/>
      <c r="K49" s="6">
        <f t="shared" si="15"/>
        <v>67720.210000000006</v>
      </c>
      <c r="L49" s="6">
        <f t="shared" si="8"/>
        <v>101580.31</v>
      </c>
      <c r="M49" s="6">
        <f t="shared" si="9"/>
        <v>16252.85</v>
      </c>
      <c r="N49" s="6">
        <f t="shared" si="10"/>
        <v>117833.16</v>
      </c>
      <c r="O49" s="6">
        <f t="shared" si="14"/>
        <v>846.5</v>
      </c>
      <c r="P49" s="6">
        <f t="shared" si="11"/>
        <v>116986.66</v>
      </c>
      <c r="Q49" s="4" t="str">
        <f>LOOKUP($E49,OBRAS!$D:$D,OBRAS!B:B)</f>
        <v>ING. ROBERTO DEL RINCON MURO</v>
      </c>
      <c r="R49" s="4" t="str">
        <f>LOOKUP($E49,OBRAS!$D:$D,OBRAS!A:A)</f>
        <v>HERMOSILLO</v>
      </c>
      <c r="S49" s="4" t="str">
        <f>LOOKUP($E49,OBRAS!$D:$D,OBRAS!F:F)</f>
        <v>11000002002202E402K17105A612032155GL07</v>
      </c>
      <c r="T49" s="4">
        <f>LOOKUP($E49,OBRAS!$D:$D,OBRAS!G:G)</f>
        <v>0</v>
      </c>
      <c r="U49" s="4" t="s">
        <v>863</v>
      </c>
      <c r="V49" s="89">
        <v>42569</v>
      </c>
      <c r="W49" s="6">
        <f>LOOKUP($E49,OBRAS!$D:$D,OBRAS!K:K)</f>
        <v>2970290.45</v>
      </c>
      <c r="X49" s="109">
        <f t="shared" si="12"/>
        <v>6.6100000000000006E-2</v>
      </c>
      <c r="Y49" s="109">
        <f t="shared" si="7"/>
        <v>0.97840000000000005</v>
      </c>
      <c r="Z49" s="109">
        <f t="shared" si="13"/>
        <v>0.57840000000000003</v>
      </c>
      <c r="AA49" s="4" t="str">
        <f>LOOKUP($E49,OBRAS!$D:$D,OBRAS!H:H)</f>
        <v>SH-NC-16-R-007</v>
      </c>
    </row>
    <row r="50" spans="3:27" ht="45" x14ac:dyDescent="0.25">
      <c r="C50" s="49">
        <v>48</v>
      </c>
      <c r="D50" s="4" t="str">
        <f>LOOKUP($E50,OBRAS!$D:$D,OBRAS!C:C)</f>
        <v>CONSTRUCCION DE CONSERVATORIO DE MUSICA FRAY IVO TONECK EN LA LOCALIDAD Y MUNICIPIO DE GUAYMAS, SONORA</v>
      </c>
      <c r="E50" s="4" t="s">
        <v>147</v>
      </c>
      <c r="F50" s="4" t="s">
        <v>216</v>
      </c>
      <c r="G50" s="4" t="str">
        <f>LOOKUP($E50,OBRAS!$D:$D,OBRAS!E:E)</f>
        <v>C-00093/0009</v>
      </c>
      <c r="H50" s="80" t="s">
        <v>55</v>
      </c>
      <c r="I50" s="6">
        <v>1568316.42</v>
      </c>
      <c r="J50" s="6"/>
      <c r="K50" s="6">
        <f t="shared" si="15"/>
        <v>627326.56999999995</v>
      </c>
      <c r="L50" s="6">
        <f t="shared" si="8"/>
        <v>940989.85</v>
      </c>
      <c r="M50" s="6">
        <f t="shared" si="9"/>
        <v>150558.38</v>
      </c>
      <c r="N50" s="6">
        <f t="shared" si="10"/>
        <v>1091548.23</v>
      </c>
      <c r="O50" s="6">
        <f t="shared" si="14"/>
        <v>7841.58</v>
      </c>
      <c r="P50" s="6">
        <f t="shared" si="11"/>
        <v>1083706.6499999999</v>
      </c>
      <c r="Q50" s="4" t="str">
        <f>LOOKUP($E50,OBRAS!$D:$D,OBRAS!B:B)</f>
        <v>EDIFICADORA CABO HARO, S.A. DE C.V.</v>
      </c>
      <c r="R50" s="4" t="str">
        <f>LOOKUP($E50,OBRAS!$D:$D,OBRAS!A:A)</f>
        <v>GUAYMAS</v>
      </c>
      <c r="S50" s="4" t="str">
        <f>LOOKUP($E50,OBRAS!$D:$D,OBRAS!F:F)</f>
        <v>11000002002402E406K06106A612012155GL10</v>
      </c>
      <c r="T50" s="4" t="str">
        <f>LOOKUP($E50,OBRAS!$D:$D,OBRAS!G:G)</f>
        <v>LO-926006995-N14-2015</v>
      </c>
      <c r="U50" s="4" t="s">
        <v>863</v>
      </c>
      <c r="V50" s="89">
        <v>42501</v>
      </c>
      <c r="W50" s="6">
        <f>LOOKUP($E50,OBRAS!$D:$D,OBRAS!K:K)</f>
        <v>17439154.870000001</v>
      </c>
      <c r="X50" s="109">
        <f t="shared" si="12"/>
        <v>0.1043</v>
      </c>
      <c r="Y50" s="109">
        <f t="shared" si="7"/>
        <v>1.1156999999999999</v>
      </c>
      <c r="Z50" s="109">
        <f t="shared" si="13"/>
        <v>0.7198</v>
      </c>
      <c r="AA50" s="4" t="str">
        <f>LOOKUP($E50,OBRAS!$D:$D,OBRAS!H:H)</f>
        <v>SH-NC-16-R-007</v>
      </c>
    </row>
    <row r="51" spans="3:27" ht="75" x14ac:dyDescent="0.25">
      <c r="C51" s="49">
        <v>49</v>
      </c>
      <c r="D51" s="4" t="str">
        <f>LOOKUP($E51,OBRAS!$D:$D,OBRAS!C:C)</f>
        <v>SUPERVISION Y CONTROL DE CALIDAD: CONSTRUCCIÓN DE SEGUNDO CUERPO DE LA CALLE 1A EN COMPLEJO PUERTA OESTE Y DRENAJE PLUVIAL PROVINCIAS EN LA LOCALIDAD Y MUNICIPIO DE HERMOSILLO, SONORA</v>
      </c>
      <c r="E51" s="4" t="s">
        <v>151</v>
      </c>
      <c r="F51" s="4" t="s">
        <v>223</v>
      </c>
      <c r="G51" s="4" t="str">
        <f>LOOKUP($E51,OBRAS!$D:$D,OBRAS!E:E)</f>
        <v>C-00093/0012</v>
      </c>
      <c r="H51" s="80" t="s">
        <v>55</v>
      </c>
      <c r="I51" s="6">
        <v>23732.36</v>
      </c>
      <c r="J51" s="6"/>
      <c r="K51" s="6">
        <v>7119.71</v>
      </c>
      <c r="L51" s="6">
        <f t="shared" si="8"/>
        <v>16612.650000000001</v>
      </c>
      <c r="M51" s="6">
        <f t="shared" si="9"/>
        <v>2658.02</v>
      </c>
      <c r="N51" s="6">
        <f t="shared" si="10"/>
        <v>19270.669999999998</v>
      </c>
      <c r="O51" s="6">
        <f t="shared" si="14"/>
        <v>118.66</v>
      </c>
      <c r="P51" s="6">
        <f t="shared" si="11"/>
        <v>19152.009999999998</v>
      </c>
      <c r="Q51" s="4" t="str">
        <f>LOOKUP($E51,OBRAS!$D:$D,OBRAS!B:B)</f>
        <v>ING. MARTIN GRAJEDA ARAGON</v>
      </c>
      <c r="R51" s="4" t="str">
        <f>LOOKUP($E51,OBRAS!$D:$D,OBRAS!A:A)</f>
        <v>HERMOSILLO</v>
      </c>
      <c r="S51" s="4" t="str">
        <f>LOOKUP($E51,OBRAS!$D:$D,OBRAS!F:F)</f>
        <v>11000002002201E201K02203A614242155GL07</v>
      </c>
      <c r="T51" s="4" t="str">
        <f>LOOKUP($E51,OBRAS!$D:$D,OBRAS!G:G)</f>
        <v>SO-926006995-N20-2015</v>
      </c>
      <c r="U51" s="4" t="s">
        <v>863</v>
      </c>
      <c r="V51" s="89">
        <v>42529</v>
      </c>
      <c r="W51" s="6">
        <f>LOOKUP($E51,OBRAS!$D:$D,OBRAS!K:K)</f>
        <v>463327.31</v>
      </c>
      <c r="X51" s="109">
        <f t="shared" si="12"/>
        <v>5.9400000000000001E-2</v>
      </c>
      <c r="Y51" s="109">
        <f t="shared" si="7"/>
        <v>0.746</v>
      </c>
      <c r="Z51" s="109">
        <f t="shared" si="13"/>
        <v>0.52229999999999999</v>
      </c>
      <c r="AA51" s="4" t="str">
        <f>LOOKUP($E51,OBRAS!$D:$D,OBRAS!H:H)</f>
        <v>OM-NC-16-R-007</v>
      </c>
    </row>
    <row r="52" spans="3:27" ht="45" x14ac:dyDescent="0.25">
      <c r="C52" s="49">
        <v>50</v>
      </c>
      <c r="D52" s="4" t="str">
        <f>LOOKUP($E52,OBRAS!$D:$D,OBRAS!C:C)</f>
        <v>CONSTRUCCION DE LINEA DE ELECTRIFICACION DE SAUQUI  A CUMURIPA EN VARIAS LOCALIDADES DE VARIOS MUNICIPIOS, SONORA</v>
      </c>
      <c r="E52" s="4" t="s">
        <v>143</v>
      </c>
      <c r="F52" s="4" t="s">
        <v>224</v>
      </c>
      <c r="G52" s="4" t="str">
        <f>LOOKUP($E52,OBRAS!$D:$D,OBRAS!E:E)</f>
        <v>C-00093/0011</v>
      </c>
      <c r="H52" s="80" t="s">
        <v>55</v>
      </c>
      <c r="I52" s="6">
        <v>478618.51</v>
      </c>
      <c r="J52" s="6"/>
      <c r="K52" s="6">
        <v>0</v>
      </c>
      <c r="L52" s="6">
        <f t="shared" si="8"/>
        <v>478618.51</v>
      </c>
      <c r="M52" s="6">
        <f t="shared" si="9"/>
        <v>76578.960000000006</v>
      </c>
      <c r="N52" s="6">
        <f t="shared" si="10"/>
        <v>555197.47</v>
      </c>
      <c r="O52" s="6">
        <f t="shared" si="14"/>
        <v>2393.09</v>
      </c>
      <c r="P52" s="6">
        <f t="shared" si="11"/>
        <v>552804.38</v>
      </c>
      <c r="Q52" s="4" t="str">
        <f>LOOKUP($E52,OBRAS!$D:$D,OBRAS!B:B)</f>
        <v>MURRIETA SOLUCIONES, S.A.DE C.V.</v>
      </c>
      <c r="R52" s="4" t="str">
        <f>LOOKUP($E52,OBRAS!$D:$D,OBRAS!A:A)</f>
        <v>SUAQUI GRANDE</v>
      </c>
      <c r="S52" s="4" t="str">
        <f>LOOKUP($E52,OBRAS!$D:$D,OBRAS!F:F)</f>
        <v>11000002002201E201K02203A614112155GL13</v>
      </c>
      <c r="T52" s="4" t="str">
        <f>LOOKUP($E52,OBRAS!$D:$D,OBRAS!G:G)</f>
        <v>IO-926006995-N14-2015
INVITACIÓN</v>
      </c>
      <c r="U52" s="4" t="s">
        <v>863</v>
      </c>
      <c r="V52" s="89">
        <v>42507</v>
      </c>
      <c r="W52" s="6">
        <f>LOOKUP($E52,OBRAS!$D:$D,OBRAS!K:K)</f>
        <v>6030383.2599999998</v>
      </c>
      <c r="X52" s="109">
        <f t="shared" si="12"/>
        <v>9.2100000000000001E-2</v>
      </c>
      <c r="Y52" s="109">
        <f t="shared" si="7"/>
        <v>9.2100000000000001E-2</v>
      </c>
      <c r="Z52" s="109">
        <f t="shared" si="13"/>
        <v>9.2100000000000001E-2</v>
      </c>
      <c r="AA52" s="4" t="str">
        <f>LOOKUP($E52,OBRAS!$D:$D,OBRAS!H:H)</f>
        <v>OM-NC-16-R-007</v>
      </c>
    </row>
    <row r="53" spans="3:27" ht="45" x14ac:dyDescent="0.25">
      <c r="C53" s="49">
        <v>51</v>
      </c>
      <c r="D53" s="4" t="str">
        <f>LOOKUP($E53,OBRAS!$D:$D,OBRAS!C:C)</f>
        <v>REHABILITACION DE CASA HOGAR JINESEKI EN LA LOCALIDAD Y MUNICIPIO DE HERMOSILLO, SONORA</v>
      </c>
      <c r="E53" s="4" t="s">
        <v>138</v>
      </c>
      <c r="F53" s="4" t="s">
        <v>225</v>
      </c>
      <c r="G53" s="4" t="str">
        <f>LOOKUP($E53,OBRAS!$D:$D,OBRAS!E:E)</f>
        <v>C-00093/0003</v>
      </c>
      <c r="H53" s="80" t="s">
        <v>215</v>
      </c>
      <c r="I53" s="6">
        <v>1147144.58</v>
      </c>
      <c r="J53" s="6"/>
      <c r="K53" s="6">
        <v>458858.26</v>
      </c>
      <c r="L53" s="6">
        <f t="shared" si="8"/>
        <v>688286.32</v>
      </c>
      <c r="M53" s="6">
        <f t="shared" si="9"/>
        <v>110125.81</v>
      </c>
      <c r="N53" s="6">
        <f t="shared" si="10"/>
        <v>798412.13</v>
      </c>
      <c r="O53" s="6">
        <f t="shared" si="14"/>
        <v>5735.72</v>
      </c>
      <c r="P53" s="6">
        <f t="shared" si="11"/>
        <v>792676.41</v>
      </c>
      <c r="Q53" s="4" t="str">
        <f>LOOKUP($E53,OBRAS!$D:$D,OBRAS!B:B)</f>
        <v>IDESON, S.A DE C.V.</v>
      </c>
      <c r="R53" s="4" t="str">
        <f>LOOKUP($E53,OBRAS!$D:$D,OBRAS!A:A)</f>
        <v>HERMOSILLO</v>
      </c>
      <c r="S53" s="4" t="str">
        <f>LOOKUP($E53,OBRAS!$D:$D,OBRAS!F:F)</f>
        <v>11000002002202E402K17105A612032155GL07</v>
      </c>
      <c r="T53" s="4" t="str">
        <f>LOOKUP($E53,OBRAS!$D:$D,OBRAS!G:G)</f>
        <v>IO-926006995-N5-2015</v>
      </c>
      <c r="U53" s="4" t="s">
        <v>863</v>
      </c>
      <c r="V53" s="89">
        <v>42486</v>
      </c>
      <c r="W53" s="6">
        <f>LOOKUP($E53,OBRAS!$D:$D,OBRAS!K:K)</f>
        <v>4941656.07</v>
      </c>
      <c r="X53" s="109">
        <f t="shared" si="12"/>
        <v>0.26929999999999998</v>
      </c>
      <c r="Y53" s="109">
        <f t="shared" si="7"/>
        <v>0.26929999999999998</v>
      </c>
      <c r="Z53" s="109">
        <f t="shared" si="13"/>
        <v>0.16159999999999999</v>
      </c>
      <c r="AA53" s="4" t="str">
        <f>LOOKUP($E53,OBRAS!$D:$D,OBRAS!H:H)</f>
        <v>SH-NC-16-R-007</v>
      </c>
    </row>
    <row r="54" spans="3:27" ht="60" x14ac:dyDescent="0.25">
      <c r="C54" s="49">
        <v>52</v>
      </c>
      <c r="D54" s="4" t="str">
        <f>LOOKUP($E54,OBRAS!$D:$D,OBRAS!C:C)</f>
        <v>PAVIMENTACION CON CARPETA ASFALTICA(SEGUNDA ETAPA) EN AVENIDA JAZMIN EN LA LOCALIDAD Y MUNICIPIO DE SAN LUIS RIO COLORADO</v>
      </c>
      <c r="E54" s="4" t="s">
        <v>133</v>
      </c>
      <c r="F54" s="4" t="s">
        <v>226</v>
      </c>
      <c r="G54" s="4" t="str">
        <f>LOOKUP($E54,OBRAS!$D:$D,OBRAS!E:E)</f>
        <v>C-00052/0060</v>
      </c>
      <c r="H54" s="80" t="s">
        <v>215</v>
      </c>
      <c r="I54" s="6">
        <v>1060023.07</v>
      </c>
      <c r="J54" s="6"/>
      <c r="K54" s="6">
        <v>0</v>
      </c>
      <c r="L54" s="6">
        <f t="shared" si="8"/>
        <v>1060023.07</v>
      </c>
      <c r="M54" s="6">
        <f t="shared" si="9"/>
        <v>169603.69</v>
      </c>
      <c r="N54" s="6">
        <f t="shared" si="10"/>
        <v>1229626.76</v>
      </c>
      <c r="O54" s="6">
        <f t="shared" si="14"/>
        <v>5300.12</v>
      </c>
      <c r="P54" s="6">
        <f t="shared" si="11"/>
        <v>1224326.6399999999</v>
      </c>
      <c r="Q54" s="4" t="str">
        <f>LOOKUP($E54,OBRAS!$D:$D,OBRAS!B:B)</f>
        <v>REVAL DESARROLLOS Y MATERIALES, S.A. DE C.V.</v>
      </c>
      <c r="R54" s="4" t="str">
        <f>LOOKUP($E54,OBRAS!$D:$D,OBRAS!A:A)</f>
        <v>S.L.R.C.</v>
      </c>
      <c r="S54" s="4" t="str">
        <f>LOOKUP($E54,OBRAS!$D:$D,OBRAS!F:F)</f>
        <v>11000002002201E201K02203A614222155DM01</v>
      </c>
      <c r="T54" s="4" t="str">
        <f>LOOKUP($E54,OBRAS!$D:$D,OBRAS!G:G)</f>
        <v>IO-926006995-N140-2014</v>
      </c>
      <c r="U54" s="4" t="s">
        <v>863</v>
      </c>
      <c r="V54" s="89">
        <v>42482</v>
      </c>
      <c r="W54" s="6">
        <f>LOOKUP($E54,OBRAS!$D:$D,OBRAS!K:K)</f>
        <v>8799903.5299999993</v>
      </c>
      <c r="X54" s="109">
        <f t="shared" si="12"/>
        <v>0.13969999999999999</v>
      </c>
      <c r="Y54" s="109">
        <f t="shared" si="7"/>
        <v>0.15210000000000001</v>
      </c>
      <c r="Z54" s="109">
        <f t="shared" si="13"/>
        <v>0.15210000000000001</v>
      </c>
      <c r="AA54" s="4" t="str">
        <f>LOOKUP($E54,OBRAS!$D:$D,OBRAS!H:H)</f>
        <v>SH-FAFEF-16-R-004</v>
      </c>
    </row>
    <row r="55" spans="3:27" ht="45" x14ac:dyDescent="0.25">
      <c r="C55" s="49">
        <v>53</v>
      </c>
      <c r="D55" s="4" t="str">
        <f>LOOKUP($E55,OBRAS!$D:$D,OBRAS!C:C)</f>
        <v>PAVIMENTACION CON CONCRETO HIDRAULICO EN AVENIDA PRINCIPAL EN LA LOCALIDAD DE TARACHI, MUNICIPIO DE ARIVECHI</v>
      </c>
      <c r="E55" s="4" t="s">
        <v>128</v>
      </c>
      <c r="F55" s="4" t="s">
        <v>222</v>
      </c>
      <c r="G55" s="4" t="str">
        <f>LOOKUP($E55,OBRAS!$D:$D,OBRAS!E:E)</f>
        <v>C-00052/0004</v>
      </c>
      <c r="H55" s="80" t="s">
        <v>221</v>
      </c>
      <c r="I55" s="6">
        <v>1137731.21</v>
      </c>
      <c r="J55" s="6"/>
      <c r="K55" s="6">
        <v>455092.49</v>
      </c>
      <c r="L55" s="6">
        <f t="shared" si="8"/>
        <v>682638.72</v>
      </c>
      <c r="M55" s="6">
        <f t="shared" si="9"/>
        <v>109222.2</v>
      </c>
      <c r="N55" s="6">
        <f t="shared" si="10"/>
        <v>791860.92</v>
      </c>
      <c r="O55" s="6">
        <f t="shared" si="14"/>
        <v>5688.66</v>
      </c>
      <c r="P55" s="6">
        <f t="shared" si="11"/>
        <v>786172.26</v>
      </c>
      <c r="Q55" s="4" t="str">
        <f>LOOKUP($E55,OBRAS!$D:$D,OBRAS!B:B)</f>
        <v>MULTISERVICIOS INDUSTRIALES HA, S.A. DE C.V.</v>
      </c>
      <c r="R55" s="4" t="str">
        <f>LOOKUP($E55,OBRAS!$D:$D,OBRAS!A:A)</f>
        <v>ARIVECHI</v>
      </c>
      <c r="S55" s="4" t="str">
        <f>LOOKUP($E55,OBRAS!$D:$D,OBRAS!F:F)</f>
        <v>11000002002201E201K02203A614222155DM09</v>
      </c>
      <c r="T55" s="4" t="str">
        <f>LOOKUP($E55,OBRAS!$D:$D,OBRAS!G:G)</f>
        <v>IO-926006995-N54-2014
INVITACIÓN</v>
      </c>
      <c r="U55" s="4" t="s">
        <v>863</v>
      </c>
      <c r="V55" s="89">
        <v>42510</v>
      </c>
      <c r="W55" s="6">
        <f>LOOKUP($E55,OBRAS!$D:$D,OBRAS!K:K)</f>
        <v>1999625.37</v>
      </c>
      <c r="X55" s="109">
        <f t="shared" si="12"/>
        <v>0.66</v>
      </c>
      <c r="Y55" s="109">
        <f t="shared" si="7"/>
        <v>0.66</v>
      </c>
      <c r="Z55" s="109">
        <f t="shared" si="13"/>
        <v>0.39600000000000002</v>
      </c>
      <c r="AA55" s="4" t="str">
        <f>LOOKUP($E55,OBRAS!$D:$D,OBRAS!H:H)</f>
        <v>SH-FAFEF-16-R-004</v>
      </c>
    </row>
    <row r="56" spans="3:27" ht="45" x14ac:dyDescent="0.25">
      <c r="C56" s="49">
        <v>54</v>
      </c>
      <c r="D56" s="4" t="str">
        <f>LOOKUP($E56,OBRAS!$D:$D,OBRAS!C:C)</f>
        <v>CONSTRUCCION DE PARQUE DE ACCESO DEL MUSEO MUSAS EN LA LOCALIDAD Y MUNICIPIO DE HERMOSILLO</v>
      </c>
      <c r="E56" s="4" t="s">
        <v>89</v>
      </c>
      <c r="F56" s="4" t="s">
        <v>225</v>
      </c>
      <c r="G56" s="4" t="str">
        <f>LOOKUP($E56,OBRAS!$D:$D,OBRAS!E:E)</f>
        <v>C-00093/0010</v>
      </c>
      <c r="H56" s="80" t="s">
        <v>103</v>
      </c>
      <c r="I56" s="6">
        <f>132677.63-2354.87</f>
        <v>130322.76</v>
      </c>
      <c r="J56" s="6"/>
      <c r="K56" s="6">
        <f>ROUND(I56*0.4,2)</f>
        <v>52129.1</v>
      </c>
      <c r="L56" s="6">
        <f t="shared" si="8"/>
        <v>78193.66</v>
      </c>
      <c r="M56" s="6">
        <f t="shared" si="9"/>
        <v>12510.99</v>
      </c>
      <c r="N56" s="6">
        <f t="shared" si="10"/>
        <v>90704.65</v>
      </c>
      <c r="O56" s="6">
        <f t="shared" si="14"/>
        <v>651.61</v>
      </c>
      <c r="P56" s="6">
        <f t="shared" si="11"/>
        <v>90053.04</v>
      </c>
      <c r="Q56" s="4" t="str">
        <f>LOOKUP($E56,OBRAS!$D:$D,OBRAS!B:B)</f>
        <v>CONSTRUCTORES LISTABLANCA, S.A. DE C.V.</v>
      </c>
      <c r="R56" s="4" t="str">
        <f>LOOKUP($E56,OBRAS!$D:$D,OBRAS!A:A)</f>
        <v>HERMOSILLO</v>
      </c>
      <c r="S56" s="4" t="str">
        <f>LOOKUP($E56,OBRAS!$D:$D,OBRAS!F:F)</f>
        <v>11000002002402E406K06106A612012155GL07</v>
      </c>
      <c r="T56" s="4" t="str">
        <f>LOOKUP($E56,OBRAS!$D:$D,OBRAS!G:G)</f>
        <v>LO-926006995-N8-2015</v>
      </c>
      <c r="U56" s="4" t="s">
        <v>863</v>
      </c>
      <c r="V56" s="89">
        <v>42496</v>
      </c>
      <c r="W56" s="6">
        <f>LOOKUP($E56,OBRAS!$D:$D,OBRAS!K:K)</f>
        <v>10308275.199999999</v>
      </c>
      <c r="X56" s="109">
        <f t="shared" si="12"/>
        <v>1.47E-2</v>
      </c>
      <c r="Y56" s="109">
        <f t="shared" si="7"/>
        <v>1.0001</v>
      </c>
      <c r="Z56" s="109">
        <f t="shared" si="13"/>
        <v>0.6</v>
      </c>
      <c r="AA56" s="4" t="str">
        <f>LOOKUP($E56,OBRAS!$D:$D,OBRAS!H:H)</f>
        <v>SH-NC-16-R-007</v>
      </c>
    </row>
    <row r="57" spans="3:27" x14ac:dyDescent="0.25">
      <c r="C57" s="49"/>
      <c r="D57" s="4"/>
      <c r="E57" s="4"/>
      <c r="F57" s="4"/>
      <c r="G57" s="4"/>
      <c r="H57" s="80"/>
      <c r="I57" s="6"/>
      <c r="J57" s="6"/>
      <c r="K57" s="6"/>
      <c r="L57" s="6"/>
      <c r="M57" s="6"/>
      <c r="N57" s="6"/>
      <c r="O57" s="6"/>
      <c r="P57" s="6"/>
      <c r="Q57" s="4"/>
      <c r="R57" s="4"/>
      <c r="S57" s="4" t="e">
        <f>LOOKUP($E57,OBRAS!$D:$D,OBRAS!F:F)</f>
        <v>#N/A</v>
      </c>
      <c r="T57" s="4" t="e">
        <f>LOOKUP($E57,OBRAS!$D:$D,OBRAS!G:G)</f>
        <v>#N/A</v>
      </c>
      <c r="U57" s="4"/>
      <c r="V57" s="4"/>
      <c r="W57" s="6"/>
      <c r="X57" s="109"/>
      <c r="Y57" s="109"/>
      <c r="Z57" s="109"/>
      <c r="AA57" s="4"/>
    </row>
    <row r="58" spans="3:27" ht="60" x14ac:dyDescent="0.25">
      <c r="C58" s="49">
        <v>56</v>
      </c>
      <c r="D58" s="4" t="str">
        <f>LOOKUP($E58,OBRAS!$D:$D,OBRAS!C:C)</f>
        <v>RECARPETEO CON MICROCARPETA ASFALTICA DE 3 CMS DE ESPESOR EN VARIAS CALLES Y AVENIDAS DE LA LOCALIDAD Y MUNICIPIO DE HERMOSILLO, SONORA.</v>
      </c>
      <c r="E58" s="4" t="s">
        <v>227</v>
      </c>
      <c r="F58" s="4" t="s">
        <v>217</v>
      </c>
      <c r="G58" s="4" t="str">
        <f>LOOKUP($E58,OBRAS!$D:$D,OBRAS!E:E)</f>
        <v>C-00052/0148</v>
      </c>
      <c r="H58" s="80" t="s">
        <v>103</v>
      </c>
      <c r="I58" s="6">
        <v>1969943.19</v>
      </c>
      <c r="J58" s="6"/>
      <c r="K58" s="6">
        <f>ROUND(I58*0.3,2)</f>
        <v>590982.96</v>
      </c>
      <c r="L58" s="6">
        <f t="shared" ref="L58:L89" si="16">I58-K58</f>
        <v>1378960.23</v>
      </c>
      <c r="M58" s="6">
        <f t="shared" ref="M58:M89" si="17">ROUND(L58*0.16,2)</f>
        <v>220633.64</v>
      </c>
      <c r="N58" s="6">
        <f t="shared" ref="N58:N65" si="18">L58+M58</f>
        <v>1599593.87</v>
      </c>
      <c r="O58" s="6">
        <v>9652.7199999999993</v>
      </c>
      <c r="P58" s="6">
        <f t="shared" ref="P58:P89" si="19">N58-O58</f>
        <v>1589941.15</v>
      </c>
      <c r="Q58" s="4" t="str">
        <f>LOOKUP($E58,OBRAS!$D:$D,OBRAS!B:B)</f>
        <v>TECNOASFALTOS Y TERRACERIAS, S.A. DE C.V.</v>
      </c>
      <c r="R58" s="4" t="str">
        <f>LOOKUP($E58,OBRAS!$D:$D,OBRAS!A:A)</f>
        <v>HERMOSILLO</v>
      </c>
      <c r="S58" s="4" t="str">
        <f>LOOKUP($E58,OBRAS!$D:$D,OBRAS!F:F)</f>
        <v>11000002002201E201K02203A614202155DM07</v>
      </c>
      <c r="T58" s="4" t="str">
        <f>LOOKUP($E58,OBRAS!$D:$D,OBRAS!G:G)</f>
        <v>XX-926006995-X33-2015</v>
      </c>
      <c r="U58" s="4" t="s">
        <v>863</v>
      </c>
      <c r="V58" s="89">
        <v>42489</v>
      </c>
      <c r="W58" s="6">
        <f>LOOKUP($E58,OBRAS!$D:$D,OBRAS!K:K)</f>
        <v>8412238.6600000001</v>
      </c>
      <c r="X58" s="109">
        <f t="shared" ref="X58:X121" si="20">IF(H58&lt;&gt;"ANTICIPO",I58/(W58/1.16),"")</f>
        <v>0.27160000000000001</v>
      </c>
      <c r="Y58" s="109">
        <f t="shared" ref="Y58:Y89" si="21">SUMIF(E:E,E58,X:X)</f>
        <v>0.98519999999999996</v>
      </c>
      <c r="Z58" s="109">
        <f t="shared" ref="Z58:Z121" si="22">SUMIF(E:E,E58,N:N)/W58</f>
        <v>0.68969999999999998</v>
      </c>
      <c r="AA58" s="4" t="str">
        <f>LOOKUP($E58,OBRAS!$D:$D,OBRAS!H:H)</f>
        <v>SH-FAFEF-16-R-002</v>
      </c>
    </row>
    <row r="59" spans="3:27" ht="60" x14ac:dyDescent="0.25">
      <c r="C59" s="49">
        <v>57</v>
      </c>
      <c r="D59" s="4" t="str">
        <f>LOOKUP($E59,OBRAS!$D:$D,OBRAS!C:C)</f>
        <v>RECARPETEO CON MICROCARPETA ASFALTICA DE 3 CMS DE ESPESOR EN VARIAS CALLES Y AVENIDAS DE LA LOCALIDAD Y MUNICIPIO DE HERMOSILLO, SONORA.</v>
      </c>
      <c r="E59" s="4" t="s">
        <v>227</v>
      </c>
      <c r="F59" s="4" t="s">
        <v>217</v>
      </c>
      <c r="G59" s="4" t="str">
        <f>LOOKUP($E59,OBRAS!$D:$D,OBRAS!E:E)</f>
        <v>C-00052/0148</v>
      </c>
      <c r="H59" s="80" t="s">
        <v>221</v>
      </c>
      <c r="I59" s="6">
        <v>1750953.03</v>
      </c>
      <c r="J59" s="6"/>
      <c r="K59" s="6">
        <f>ROUND(I59*0.3,2)</f>
        <v>525285.91</v>
      </c>
      <c r="L59" s="6">
        <f t="shared" si="16"/>
        <v>1225667.1200000001</v>
      </c>
      <c r="M59" s="6">
        <f t="shared" si="17"/>
        <v>196106.74</v>
      </c>
      <c r="N59" s="6">
        <f t="shared" si="18"/>
        <v>1421773.86</v>
      </c>
      <c r="O59" s="6">
        <v>8579.69</v>
      </c>
      <c r="P59" s="6">
        <f t="shared" si="19"/>
        <v>1413194.17</v>
      </c>
      <c r="Q59" s="4" t="str">
        <f>LOOKUP($E59,OBRAS!$D:$D,OBRAS!B:B)</f>
        <v>TECNOASFALTOS Y TERRACERIAS, S.A. DE C.V.</v>
      </c>
      <c r="R59" s="4" t="str">
        <f>LOOKUP($E59,OBRAS!$D:$D,OBRAS!A:A)</f>
        <v>HERMOSILLO</v>
      </c>
      <c r="S59" s="4" t="str">
        <f>LOOKUP($E59,OBRAS!$D:$D,OBRAS!F:F)</f>
        <v>11000002002201E201K02203A614202155DM07</v>
      </c>
      <c r="T59" s="4" t="str">
        <f>LOOKUP($E59,OBRAS!$D:$D,OBRAS!G:G)</f>
        <v>XX-926006995-X33-2015</v>
      </c>
      <c r="U59" s="4" t="s">
        <v>863</v>
      </c>
      <c r="V59" s="89">
        <v>42493</v>
      </c>
      <c r="W59" s="6">
        <f>LOOKUP($E59,OBRAS!$D:$D,OBRAS!K:K)</f>
        <v>8412238.6600000001</v>
      </c>
      <c r="X59" s="109">
        <f t="shared" si="20"/>
        <v>0.2414</v>
      </c>
      <c r="Y59" s="109">
        <f t="shared" si="21"/>
        <v>0.98519999999999996</v>
      </c>
      <c r="Z59" s="109">
        <f t="shared" si="22"/>
        <v>0.68969999999999998</v>
      </c>
      <c r="AA59" s="4" t="str">
        <f>LOOKUP($E59,OBRAS!$D:$D,OBRAS!H:H)</f>
        <v>SH-FAFEF-16-R-002</v>
      </c>
    </row>
    <row r="60" spans="3:27" ht="45" x14ac:dyDescent="0.25">
      <c r="C60" s="49">
        <v>58</v>
      </c>
      <c r="D60" s="4" t="str">
        <f>LOOKUP($E60,OBRAS!$D:$D,OBRAS!C:C)</f>
        <v>CONSTRUCCION Y MODERNIZACION EN DISTRIBUIDOR VIAL EN LA LOCALIDAD Y MUNICIPIO DE NOGALES, SONORA</v>
      </c>
      <c r="E60" s="4" t="s">
        <v>233</v>
      </c>
      <c r="F60" s="4" t="s">
        <v>239</v>
      </c>
      <c r="G60" s="4" t="str">
        <f>LOOKUP($E60,OBRAS!$D:$D,OBRAS!E:E)</f>
        <v>C-00052/0136</v>
      </c>
      <c r="H60" s="80" t="s">
        <v>221</v>
      </c>
      <c r="I60" s="6">
        <v>1934496.26</v>
      </c>
      <c r="J60" s="6"/>
      <c r="K60" s="6">
        <f>ROUND(I60*0.4,2)</f>
        <v>773798.5</v>
      </c>
      <c r="L60" s="6">
        <f t="shared" si="16"/>
        <v>1160697.76</v>
      </c>
      <c r="M60" s="6">
        <f t="shared" si="17"/>
        <v>185711.64</v>
      </c>
      <c r="N60" s="6">
        <f t="shared" si="18"/>
        <v>1346409.4</v>
      </c>
      <c r="O60" s="6">
        <v>9479.0300000000007</v>
      </c>
      <c r="P60" s="6">
        <f t="shared" si="19"/>
        <v>1336930.3700000001</v>
      </c>
      <c r="Q60" s="4" t="str">
        <f>LOOKUP($E60,OBRAS!$D:$D,OBRAS!B:B)</f>
        <v>LA GRANDE CONSTRUCTORA S.A. DE C.V.</v>
      </c>
      <c r="R60" s="4" t="str">
        <f>LOOKUP($E60,OBRAS!$D:$D,OBRAS!A:A)</f>
        <v>NOGALES</v>
      </c>
      <c r="S60" s="4" t="str">
        <f>LOOKUP($E60,OBRAS!$D:$D,OBRAS!F:F)</f>
        <v>11000002002201E201K13303A614202155DM03</v>
      </c>
      <c r="T60" s="4">
        <f>LOOKUP($E60,OBRAS!$D:$D,OBRAS!G:G)</f>
        <v>0</v>
      </c>
      <c r="U60" s="4" t="s">
        <v>863</v>
      </c>
      <c r="V60" s="89">
        <v>42538</v>
      </c>
      <c r="W60" s="6">
        <f>LOOKUP($E60,OBRAS!$D:$D,OBRAS!K:K)</f>
        <v>25515708.309999999</v>
      </c>
      <c r="X60" s="109">
        <f t="shared" si="20"/>
        <v>8.7900000000000006E-2</v>
      </c>
      <c r="Y60" s="109">
        <f t="shared" si="21"/>
        <v>0.52910000000000001</v>
      </c>
      <c r="Z60" s="109">
        <f t="shared" si="22"/>
        <v>0.20300000000000001</v>
      </c>
      <c r="AA60" s="4" t="str">
        <f>LOOKUP($E60,OBRAS!$D:$D,OBRAS!H:H)</f>
        <v>SH-FAFEF-16-R-007</v>
      </c>
    </row>
    <row r="61" spans="3:27" ht="105" x14ac:dyDescent="0.25">
      <c r="C61" s="49">
        <v>59</v>
      </c>
      <c r="D61" s="4" t="str">
        <f>LOOKUP($E61,OBRAS!$D:$D,OBRAS!C:C)</f>
        <v>PAVIMENTACION CON CONCRETO HIDRAULICO EN CALLE YECORA ENTRE AVENIDA JUAREZ Y PLUTARCO ELIAS CALLES, CALLE LAZARO CARDENAS ENTRE HERMOSILLO Y CANANEA Y AVENIDA LERDO DE TEJADA ENTRE NAVOJOA Y HERMOSILLO EN LA LOCALIDAD Y MUNICIPIO DE YECORA</v>
      </c>
      <c r="E61" s="4" t="s">
        <v>185</v>
      </c>
      <c r="F61" s="4" t="s">
        <v>213</v>
      </c>
      <c r="G61" s="4" t="str">
        <f>LOOKUP($E61,OBRAS!$D:$D,OBRAS!E:E)</f>
        <v>C-00052/0075</v>
      </c>
      <c r="H61" s="80" t="s">
        <v>215</v>
      </c>
      <c r="I61" s="6">
        <v>656593.77</v>
      </c>
      <c r="J61" s="6"/>
      <c r="K61" s="6">
        <v>351952.05</v>
      </c>
      <c r="L61" s="6">
        <f t="shared" si="16"/>
        <v>304641.71999999997</v>
      </c>
      <c r="M61" s="6">
        <f t="shared" si="17"/>
        <v>48742.68</v>
      </c>
      <c r="N61" s="6">
        <f t="shared" si="18"/>
        <v>353384.4</v>
      </c>
      <c r="O61" s="6">
        <f>ROUND(I61*0.005,2)</f>
        <v>3282.97</v>
      </c>
      <c r="P61" s="6">
        <f t="shared" si="19"/>
        <v>350101.43</v>
      </c>
      <c r="Q61" s="4" t="str">
        <f>LOOKUP($E61,OBRAS!$D:$D,OBRAS!B:B)</f>
        <v>COORPORATIVO DE CAMINOS Y MINAS TUI, S.A. DE C.V.</v>
      </c>
      <c r="R61" s="4" t="str">
        <f>LOOKUP($E61,OBRAS!$D:$D,OBRAS!A:A)</f>
        <v>YECORA</v>
      </c>
      <c r="S61" s="4" t="str">
        <f>LOOKUP($E61,OBRAS!$D:$D,OBRAS!F:F)</f>
        <v>11000002002201E201K02203A614222155DM09</v>
      </c>
      <c r="T61" s="4" t="str">
        <f>LOOKUP($E61,OBRAS!$D:$D,OBRAS!G:G)</f>
        <v>IO-926006995-N117-2014</v>
      </c>
      <c r="U61" s="4" t="s">
        <v>863</v>
      </c>
      <c r="V61" s="89">
        <v>42488</v>
      </c>
      <c r="W61" s="6">
        <f>LOOKUP($E61,OBRAS!$D:$D,OBRAS!K:K)</f>
        <v>3431465.7</v>
      </c>
      <c r="X61" s="109">
        <f t="shared" si="20"/>
        <v>0.222</v>
      </c>
      <c r="Y61" s="109">
        <f t="shared" si="21"/>
        <v>0.28839999999999999</v>
      </c>
      <c r="Z61" s="109">
        <f t="shared" si="22"/>
        <v>0.14280000000000001</v>
      </c>
      <c r="AA61" s="4" t="str">
        <f>LOOKUP($E61,OBRAS!$D:$D,OBRAS!H:H)</f>
        <v>SH-FAFEF-16-R-004</v>
      </c>
    </row>
    <row r="62" spans="3:27" ht="30" x14ac:dyDescent="0.25">
      <c r="C62" s="51">
        <v>60</v>
      </c>
      <c r="D62" s="4" t="str">
        <f>LOOKUP($E62,OBRAS!$D:$D,OBRAS!C:C)</f>
        <v>CONSERVACION Y RECONSTRUCCION DE LA VIALIDAD YAQUI-MAYO</v>
      </c>
      <c r="E62" s="4" t="s">
        <v>570</v>
      </c>
      <c r="F62" s="4"/>
      <c r="G62" s="4" t="str">
        <f>LOOKUP($E62,OBRAS!$D:$D,OBRAS!E:E)</f>
        <v>C-00054/0063</v>
      </c>
      <c r="H62" s="80" t="s">
        <v>23</v>
      </c>
      <c r="I62" s="6">
        <v>5911185.0800000001</v>
      </c>
      <c r="J62" s="6"/>
      <c r="K62" s="6"/>
      <c r="L62" s="6">
        <f t="shared" si="16"/>
        <v>5911185.0800000001</v>
      </c>
      <c r="M62" s="6">
        <f t="shared" si="17"/>
        <v>945789.61</v>
      </c>
      <c r="N62" s="6">
        <f t="shared" si="18"/>
        <v>6856974.6900000004</v>
      </c>
      <c r="O62" s="6"/>
      <c r="P62" s="6">
        <f t="shared" si="19"/>
        <v>6856974.6900000004</v>
      </c>
      <c r="Q62" s="4" t="str">
        <f>LOOKUP($E62,OBRAS!$D:$D,OBRAS!B:B)</f>
        <v>GRUPO MESIS, S.A. DE C.V.</v>
      </c>
      <c r="R62" s="4" t="str">
        <f>LOOKUP($E62,OBRAS!$D:$D,OBRAS!A:A)</f>
        <v>VARIOS</v>
      </c>
      <c r="S62" s="4" t="str">
        <f>LOOKUP($E62,OBRAS!$D:$D,OBRAS!F:F)</f>
        <v>11000002003501E204K08063A625012162A213</v>
      </c>
      <c r="T62" s="4" t="str">
        <f>LOOKUP($E62,OBRAS!$D:$D,OBRAS!G:G)</f>
        <v>CE-926006995-E27-2016</v>
      </c>
      <c r="U62" s="4" t="s">
        <v>863</v>
      </c>
      <c r="V62" s="89">
        <v>42510</v>
      </c>
      <c r="W62" s="6">
        <f>LOOKUP($E62,OBRAS!$D:$D,OBRAS!K:K)</f>
        <v>24023981.969999999</v>
      </c>
      <c r="X62" s="109" t="str">
        <f t="shared" si="20"/>
        <v/>
      </c>
      <c r="Y62" s="109">
        <f t="shared" si="21"/>
        <v>0.99150000000000005</v>
      </c>
      <c r="Z62" s="109">
        <f t="shared" si="22"/>
        <v>0.99160000000000004</v>
      </c>
      <c r="AA62" s="4" t="str">
        <f>LOOKUP($E62,OBRAS!$D:$D,OBRAS!H:H)</f>
        <v>SH-ED-17-R-013</v>
      </c>
    </row>
    <row r="63" spans="3:27" ht="30" x14ac:dyDescent="0.25">
      <c r="C63" s="51">
        <v>61</v>
      </c>
      <c r="D63" s="4" t="str">
        <f>LOOKUP($E63,OBRAS!$D:$D,OBRAS!C:C)</f>
        <v>CONSERVACION Y RECONSTRUCCION DEL TRAMO MAZATAN-HERMOSILLO</v>
      </c>
      <c r="E63" s="4" t="s">
        <v>600</v>
      </c>
      <c r="F63" s="4"/>
      <c r="G63" s="4" t="str">
        <f>LOOKUP($E63,OBRAS!$D:$D,OBRAS!E:E)</f>
        <v>C-00054/0062</v>
      </c>
      <c r="H63" s="80" t="s">
        <v>23</v>
      </c>
      <c r="I63" s="6">
        <v>6645078.5800000001</v>
      </c>
      <c r="J63" s="6"/>
      <c r="K63" s="6"/>
      <c r="L63" s="6">
        <f t="shared" si="16"/>
        <v>6645078.5800000001</v>
      </c>
      <c r="M63" s="6">
        <f t="shared" si="17"/>
        <v>1063212.57</v>
      </c>
      <c r="N63" s="6">
        <f t="shared" si="18"/>
        <v>7708291.1500000004</v>
      </c>
      <c r="O63" s="6"/>
      <c r="P63" s="6">
        <f t="shared" si="19"/>
        <v>7708291.1500000004</v>
      </c>
      <c r="Q63" s="4" t="str">
        <f>LOOKUP($E63,OBRAS!$D:$D,OBRAS!B:B)</f>
        <v>TECNOASFALTOS Y TERRACERIAS, S.A. DE C.V.</v>
      </c>
      <c r="R63" s="4" t="str">
        <f>LOOKUP($E63,OBRAS!$D:$D,OBRAS!A:A)</f>
        <v>VARIOS</v>
      </c>
      <c r="S63" s="4" t="str">
        <f>LOOKUP($E63,OBRAS!$D:$D,OBRAS!F:F)</f>
        <v>11000002003501E203K03203A625012162A213</v>
      </c>
      <c r="T63" s="4" t="str">
        <f>LOOKUP($E63,OBRAS!$D:$D,OBRAS!G:G)</f>
        <v>CE-926006995-E26-2016</v>
      </c>
      <c r="U63" s="4" t="s">
        <v>863</v>
      </c>
      <c r="V63" s="89">
        <v>42510</v>
      </c>
      <c r="W63" s="6">
        <f>LOOKUP($E63,OBRAS!$D:$D,OBRAS!K:K)</f>
        <v>25694303.850000001</v>
      </c>
      <c r="X63" s="109" t="str">
        <f t="shared" si="20"/>
        <v/>
      </c>
      <c r="Y63" s="109">
        <f t="shared" si="21"/>
        <v>1</v>
      </c>
      <c r="Z63" s="109">
        <f t="shared" si="22"/>
        <v>1</v>
      </c>
      <c r="AA63" s="4" t="str">
        <f>LOOKUP($E63,OBRAS!$D:$D,OBRAS!H:H)</f>
        <v>SH-ED-16-023</v>
      </c>
    </row>
    <row r="64" spans="3:27" ht="30" x14ac:dyDescent="0.25">
      <c r="C64" s="51">
        <v>62</v>
      </c>
      <c r="D64" s="4" t="str">
        <f>LOOKUP($E64,OBRAS!$D:$D,OBRAS!C:C)</f>
        <v>CONSERVACION Y RECONSTRUCCION DE LA CARRETERA SAN IGNACIO-JUPATAHUECA</v>
      </c>
      <c r="E64" s="4" t="s">
        <v>558</v>
      </c>
      <c r="F64" s="4"/>
      <c r="G64" s="4" t="str">
        <f>LOOKUP($E64,OBRAS!$D:$D,OBRAS!E:E)</f>
        <v>C-00054/0064</v>
      </c>
      <c r="H64" s="80" t="s">
        <v>23</v>
      </c>
      <c r="I64" s="6">
        <v>5246638.4000000004</v>
      </c>
      <c r="J64" s="6"/>
      <c r="K64" s="6"/>
      <c r="L64" s="6">
        <f t="shared" si="16"/>
        <v>5246638.4000000004</v>
      </c>
      <c r="M64" s="6">
        <f t="shared" si="17"/>
        <v>839462.14</v>
      </c>
      <c r="N64" s="6">
        <f t="shared" si="18"/>
        <v>6086100.54</v>
      </c>
      <c r="O64" s="6"/>
      <c r="P64" s="6">
        <f t="shared" si="19"/>
        <v>6086100.54</v>
      </c>
      <c r="Q64" s="4" t="str">
        <f>LOOKUP($E64,OBRAS!$D:$D,OBRAS!B:B)</f>
        <v>GIBHER CONSTRUCTORES, S.A. DE C.V.</v>
      </c>
      <c r="R64" s="4" t="str">
        <f>LOOKUP($E64,OBRAS!$D:$D,OBRAS!A:A)</f>
        <v>VARIOS</v>
      </c>
      <c r="S64" s="4" t="str">
        <f>LOOKUP($E64,OBRAS!$D:$D,OBRAS!F:F)</f>
        <v>11000002003501E204K08063A625012162A213</v>
      </c>
      <c r="T64" s="4" t="str">
        <f>LOOKUP($E64,OBRAS!$D:$D,OBRAS!G:G)</f>
        <v>CE-926006995-E28-2016</v>
      </c>
      <c r="U64" s="4" t="s">
        <v>863</v>
      </c>
      <c r="V64" s="89">
        <v>42510</v>
      </c>
      <c r="W64" s="6">
        <f>LOOKUP($E64,OBRAS!$D:$D,OBRAS!K:K)</f>
        <v>20287001.809999999</v>
      </c>
      <c r="X64" s="109" t="str">
        <f t="shared" si="20"/>
        <v/>
      </c>
      <c r="Y64" s="109">
        <f t="shared" si="21"/>
        <v>0.99990000000000001</v>
      </c>
      <c r="Z64" s="109">
        <f t="shared" si="22"/>
        <v>1</v>
      </c>
      <c r="AA64" s="4" t="str">
        <f>LOOKUP($E64,OBRAS!$D:$D,OBRAS!H:H)</f>
        <v>SH-ED-17-R-013</v>
      </c>
    </row>
    <row r="65" spans="3:27" ht="45" x14ac:dyDescent="0.25">
      <c r="C65" s="49">
        <v>63</v>
      </c>
      <c r="D65" s="4" t="str">
        <f>LOOKUP($E65,OBRAS!$D:$D,OBRAS!C:C)</f>
        <v>REMODELACION DEL PARQUE INFANTIL EN LA LOCALIDAD Y MUNICIPIO DE HERMOSILLO, SONORA</v>
      </c>
      <c r="E65" s="4" t="s">
        <v>45</v>
      </c>
      <c r="F65" s="4" t="s">
        <v>248</v>
      </c>
      <c r="G65" s="4" t="str">
        <f>LOOKUP($E65,OBRAS!$D:$D,OBRAS!E:E)</f>
        <v>C-00093/0004</v>
      </c>
      <c r="H65" s="80" t="s">
        <v>249</v>
      </c>
      <c r="I65" s="6">
        <v>2997497.53</v>
      </c>
      <c r="J65" s="6"/>
      <c r="K65" s="6">
        <f>ROUND(I65*0.4,2)</f>
        <v>1198999.01</v>
      </c>
      <c r="L65" s="6">
        <f t="shared" si="16"/>
        <v>1798498.52</v>
      </c>
      <c r="M65" s="6">
        <f t="shared" si="17"/>
        <v>287759.76</v>
      </c>
      <c r="N65" s="6">
        <f t="shared" si="18"/>
        <v>2086258.28</v>
      </c>
      <c r="O65" s="6">
        <f>ROUND(I65*0.005,2)</f>
        <v>14987.49</v>
      </c>
      <c r="P65" s="6">
        <f t="shared" si="19"/>
        <v>2071270.79</v>
      </c>
      <c r="Q65" s="4" t="str">
        <f>LOOKUP($E65,OBRAS!$D:$D,OBRAS!B:B)</f>
        <v>GYCR SOLUCIONES INTEGRALES PARA LA CONSTRUCCION, S.A. DE C.V.</v>
      </c>
      <c r="R65" s="4" t="str">
        <f>LOOKUP($E65,OBRAS!$D:$D,OBRAS!A:A)</f>
        <v>HERMOSILLO</v>
      </c>
      <c r="S65" s="4" t="str">
        <f>LOOKUP($E65,OBRAS!$D:$D,OBRAS!F:F)</f>
        <v>11000002002202E406K17104A622202155GL07</v>
      </c>
      <c r="T65" s="4" t="str">
        <f>LOOKUP($E65,OBRAS!$D:$D,OBRAS!G:G)</f>
        <v>LO-926006995-N12-2015</v>
      </c>
      <c r="U65" s="7" t="s">
        <v>863</v>
      </c>
      <c r="V65" s="89">
        <v>42475</v>
      </c>
      <c r="W65" s="6">
        <f>LOOKUP($E65,OBRAS!$D:$D,OBRAS!K:K)</f>
        <v>53569288.82</v>
      </c>
      <c r="X65" s="109">
        <f t="shared" si="20"/>
        <v>6.4899999999999999E-2</v>
      </c>
      <c r="Y65" s="109">
        <f t="shared" si="21"/>
        <v>0.85470000000000002</v>
      </c>
      <c r="Z65" s="109">
        <f t="shared" si="22"/>
        <v>0.55269999999999997</v>
      </c>
      <c r="AA65" s="4" t="str">
        <f>LOOKUP($E65,OBRAS!$D:$D,OBRAS!H:H)</f>
        <v>SH-NC-16-R-003</v>
      </c>
    </row>
    <row r="66" spans="3:27" ht="30" x14ac:dyDescent="0.25">
      <c r="C66" s="49">
        <v>64</v>
      </c>
      <c r="D66" s="4" t="str">
        <f>LOOKUP($E66,OBRAS!$D:$D,OBRAS!C:C)</f>
        <v>OBRAS DE BACHEO EN VARIAS CALLES Y AVENIDAS EN LA LOCALIDAD Y MUNICIPIO DE CABORCA.</v>
      </c>
      <c r="E66" s="4" t="s">
        <v>86</v>
      </c>
      <c r="F66" s="4" t="s">
        <v>224</v>
      </c>
      <c r="G66" s="4" t="str">
        <f>LOOKUP($E66,OBRAS!$D:$D,OBRAS!E:E)</f>
        <v>C-00052/0141</v>
      </c>
      <c r="H66" s="80" t="s">
        <v>103</v>
      </c>
      <c r="I66" s="6">
        <v>1724033.31</v>
      </c>
      <c r="J66" s="6"/>
      <c r="K66" s="6">
        <v>0</v>
      </c>
      <c r="L66" s="6">
        <f t="shared" si="16"/>
        <v>1724033.31</v>
      </c>
      <c r="M66" s="6">
        <f t="shared" si="17"/>
        <v>275845.33</v>
      </c>
      <c r="N66" s="6">
        <f t="shared" ref="N66:N97" si="23">M66+L66</f>
        <v>1999878.64</v>
      </c>
      <c r="O66" s="6">
        <v>8447.77</v>
      </c>
      <c r="P66" s="6">
        <f t="shared" si="19"/>
        <v>1991430.87</v>
      </c>
      <c r="Q66" s="4" t="str">
        <f>LOOKUP($E66,OBRAS!$D:$D,OBRAS!B:B)</f>
        <v>SOLUJET CONSTRUCCION S.A. DE C.V.</v>
      </c>
      <c r="R66" s="4" t="str">
        <f>LOOKUP($E66,OBRAS!$D:$D,OBRAS!A:A)</f>
        <v>CABORCA</v>
      </c>
      <c r="S66" s="4" t="str">
        <f>LOOKUP($E66,OBRAS!$D:$D,OBRAS!F:F)</f>
        <v>11000002002201E201K02203A</v>
      </c>
      <c r="T66" s="4" t="str">
        <f>LOOKUP($E66,OBRAS!$D:$D,OBRAS!G:G)</f>
        <v>LICITACIÓN SIMPLIFICADA</v>
      </c>
      <c r="U66" s="4" t="s">
        <v>863</v>
      </c>
      <c r="V66" s="89">
        <v>42506</v>
      </c>
      <c r="W66" s="6">
        <f>LOOKUP($E66,OBRAS!$D:$D,OBRAS!K:K)</f>
        <v>1999878.64</v>
      </c>
      <c r="X66" s="109">
        <f t="shared" si="20"/>
        <v>1</v>
      </c>
      <c r="Y66" s="109">
        <f t="shared" si="21"/>
        <v>1</v>
      </c>
      <c r="Z66" s="109">
        <f t="shared" si="22"/>
        <v>1</v>
      </c>
      <c r="AA66" s="4" t="str">
        <f>LOOKUP($E66,OBRAS!$D:$D,OBRAS!H:H)</f>
        <v>SH-ED-16-R-029</v>
      </c>
    </row>
    <row r="67" spans="3:27" ht="75" x14ac:dyDescent="0.25">
      <c r="C67" s="49">
        <v>65</v>
      </c>
      <c r="D67" s="4" t="str">
        <f>LOOKUP($E67,OBRAS!$D:$D,OBRAS!C:C)</f>
        <v>CONSTRUCCION DE OBRA COMPLEMENTARIA EN LA PAVIMENTACION DE LA CALLE IGNACIO T. PRECIADO ENTRE SAN RAFAEL Y EMANCIPACION COL. NORBERTO ORTEGA, EN LA LOCALIDAD Y MUNICIPIO DE HERMOSILLO, SONORA.</v>
      </c>
      <c r="E67" s="4" t="s">
        <v>153</v>
      </c>
      <c r="F67" s="4" t="s">
        <v>217</v>
      </c>
      <c r="G67" s="4" t="str">
        <f>LOOKUP($E67,OBRAS!$D:$D,OBRAS!E:E)</f>
        <v>C-00093/0025</v>
      </c>
      <c r="H67" s="80" t="s">
        <v>103</v>
      </c>
      <c r="I67" s="6">
        <v>348826.58</v>
      </c>
      <c r="J67" s="6"/>
      <c r="K67" s="6">
        <v>104647.97</v>
      </c>
      <c r="L67" s="6">
        <f t="shared" si="16"/>
        <v>244178.61</v>
      </c>
      <c r="M67" s="6">
        <f t="shared" si="17"/>
        <v>39068.58</v>
      </c>
      <c r="N67" s="6">
        <f t="shared" si="23"/>
        <v>283247.19</v>
      </c>
      <c r="O67" s="6">
        <f>I67*0.005</f>
        <v>1744.13</v>
      </c>
      <c r="P67" s="6">
        <f t="shared" si="19"/>
        <v>281503.06</v>
      </c>
      <c r="Q67" s="4" t="str">
        <f>LOOKUP($E67,OBRAS!$D:$D,OBRAS!B:B)</f>
        <v>SIT COMUNICACIONES, S.A. DE C.V.</v>
      </c>
      <c r="R67" s="4" t="str">
        <f>LOOKUP($E67,OBRAS!$D:$D,OBRAS!A:A)</f>
        <v>HERMOSILLO</v>
      </c>
      <c r="S67" s="4" t="str">
        <f>LOOKUP($E67,OBRAS!$D:$D,OBRAS!F:F)</f>
        <v>1100000200614202155GL07</v>
      </c>
      <c r="T67" s="4" t="str">
        <f>LOOKUP($E67,OBRAS!$D:$D,OBRAS!G:G)</f>
        <v>SO-926006995-N27-2015</v>
      </c>
      <c r="U67" s="4" t="s">
        <v>863</v>
      </c>
      <c r="V67" s="89">
        <v>42555</v>
      </c>
      <c r="W67" s="6">
        <f>LOOKUP($E67,OBRAS!$D:$D,OBRAS!K:K)</f>
        <v>1153168.68</v>
      </c>
      <c r="X67" s="109">
        <f t="shared" si="20"/>
        <v>0.35089999999999999</v>
      </c>
      <c r="Y67" s="109">
        <f t="shared" si="21"/>
        <v>0.51980000000000004</v>
      </c>
      <c r="Z67" s="109">
        <f t="shared" si="22"/>
        <v>0.31319999999999998</v>
      </c>
      <c r="AA67" s="4" t="str">
        <f>LOOKUP($E67,OBRAS!$D:$D,OBRAS!H:H)</f>
        <v>SH-NC-16-R-007</v>
      </c>
    </row>
    <row r="68" spans="3:27" ht="60" x14ac:dyDescent="0.25">
      <c r="C68" s="49">
        <v>66</v>
      </c>
      <c r="D68" s="4" t="str">
        <f>LOOKUP($E68,OBRAS!$D:$D,OBRAS!C:C)</f>
        <v>RECARPETEO CON MICROCARPETA ASFALTICA DE 3 CMS. DE ESPESOR EN VARIAS CALLES Y AVENIDAS DE LA LOCALIDAD DE CIUDAD OBREGON, MUNICIPIO DE CAJEME, SONORA.</v>
      </c>
      <c r="E68" s="4" t="s">
        <v>257</v>
      </c>
      <c r="F68" s="4" t="s">
        <v>225</v>
      </c>
      <c r="G68" s="4" t="str">
        <f>LOOKUP($E68,OBRAS!$D:$D,OBRAS!E:E)</f>
        <v>C-00052/0151</v>
      </c>
      <c r="H68" s="80" t="s">
        <v>103</v>
      </c>
      <c r="I68" s="6">
        <v>2039145.46</v>
      </c>
      <c r="J68" s="6"/>
      <c r="K68" s="6">
        <f>ROUND(I68*0.3,2)</f>
        <v>611743.64</v>
      </c>
      <c r="L68" s="6">
        <f t="shared" si="16"/>
        <v>1427401.82</v>
      </c>
      <c r="M68" s="6">
        <f t="shared" si="17"/>
        <v>228384.29</v>
      </c>
      <c r="N68" s="6">
        <f t="shared" si="23"/>
        <v>1655786.11</v>
      </c>
      <c r="O68" s="6">
        <v>9991.7999999999993</v>
      </c>
      <c r="P68" s="6">
        <f t="shared" si="19"/>
        <v>1645794.31</v>
      </c>
      <c r="Q68" s="4" t="str">
        <f>LOOKUP($E68,OBRAS!$D:$D,OBRAS!B:B)</f>
        <v>INGENIEROS CIVILES, S.A. DE C.V.</v>
      </c>
      <c r="R68" s="4" t="str">
        <f>LOOKUP($E68,OBRAS!$D:$D,OBRAS!A:A)</f>
        <v>CAJEME</v>
      </c>
      <c r="S68" s="4" t="str">
        <f>LOOKUP($E68,OBRAS!$D:$D,OBRAS!F:F)</f>
        <v>11000002002201E201K02203A614202155DM11</v>
      </c>
      <c r="T68" s="4" t="str">
        <f>LOOKUP($E68,OBRAS!$D:$D,OBRAS!G:G)</f>
        <v>XX-926006995-X36-2015</v>
      </c>
      <c r="U68" s="4" t="s">
        <v>863</v>
      </c>
      <c r="V68" s="89">
        <v>42488</v>
      </c>
      <c r="W68" s="6">
        <f>LOOKUP($E68,OBRAS!$D:$D,OBRAS!K:K)</f>
        <v>5404780.6299999999</v>
      </c>
      <c r="X68" s="109">
        <f t="shared" si="20"/>
        <v>0.43769999999999998</v>
      </c>
      <c r="Y68" s="109">
        <f t="shared" si="21"/>
        <v>0.91439999999999999</v>
      </c>
      <c r="Z68" s="109">
        <f t="shared" si="22"/>
        <v>0.6401</v>
      </c>
      <c r="AA68" s="4" t="str">
        <f>LOOKUP($E68,OBRAS!$D:$D,OBRAS!H:H)</f>
        <v>SH-FAFEF-16-R-002</v>
      </c>
    </row>
    <row r="69" spans="3:27" ht="45" x14ac:dyDescent="0.25">
      <c r="C69" s="49">
        <v>67</v>
      </c>
      <c r="D69" s="4" t="str">
        <f>LOOKUP($E69,OBRAS!$D:$D,OBRAS!C:C)</f>
        <v>REMODELACION DEL PARQUE INFANTIL EN LA LOCALIDAD Y MUNICIPIO DE HERMOSILLO, SONORA</v>
      </c>
      <c r="E69" s="4" t="s">
        <v>45</v>
      </c>
      <c r="F69" s="4" t="s">
        <v>248</v>
      </c>
      <c r="G69" s="4" t="str">
        <f>LOOKUP($E69,OBRAS!$D:$D,OBRAS!E:E)</f>
        <v>C-00093/0004</v>
      </c>
      <c r="H69" s="80" t="s">
        <v>264</v>
      </c>
      <c r="I69" s="6">
        <v>2977488.46</v>
      </c>
      <c r="J69" s="6"/>
      <c r="K69" s="6">
        <f>ROUND(I69*0.4,2)</f>
        <v>1190995.3799999999</v>
      </c>
      <c r="L69" s="6">
        <f t="shared" si="16"/>
        <v>1786493.08</v>
      </c>
      <c r="M69" s="6">
        <f t="shared" si="17"/>
        <v>285838.89</v>
      </c>
      <c r="N69" s="6">
        <f t="shared" si="23"/>
        <v>2072331.97</v>
      </c>
      <c r="O69" s="6">
        <f>ROUND(I69*0.005,2)</f>
        <v>14887.44</v>
      </c>
      <c r="P69" s="6">
        <f t="shared" si="19"/>
        <v>2057444.53</v>
      </c>
      <c r="Q69" s="4" t="str">
        <f>LOOKUP($E69,OBRAS!$D:$D,OBRAS!B:B)</f>
        <v>GYCR SOLUCIONES INTEGRALES PARA LA CONSTRUCCION, S.A. DE C.V.</v>
      </c>
      <c r="R69" s="4" t="str">
        <f>LOOKUP($E69,OBRAS!$D:$D,OBRAS!A:A)</f>
        <v>HERMOSILLO</v>
      </c>
      <c r="S69" s="4" t="str">
        <f>LOOKUP($E69,OBRAS!$D:$D,OBRAS!F:F)</f>
        <v>11000002002202E406K17104A622202155GL07</v>
      </c>
      <c r="T69" s="4" t="str">
        <f>LOOKUP($E69,OBRAS!$D:$D,OBRAS!G:G)</f>
        <v>LO-926006995-N12-2015</v>
      </c>
      <c r="U69" s="7" t="s">
        <v>863</v>
      </c>
      <c r="V69" s="89">
        <v>42480</v>
      </c>
      <c r="W69" s="6">
        <f>LOOKUP($E69,OBRAS!$D:$D,OBRAS!K:K)</f>
        <v>53569288.82</v>
      </c>
      <c r="X69" s="109">
        <f t="shared" si="20"/>
        <v>6.4500000000000002E-2</v>
      </c>
      <c r="Y69" s="109">
        <f t="shared" si="21"/>
        <v>0.85470000000000002</v>
      </c>
      <c r="Z69" s="109">
        <f t="shared" si="22"/>
        <v>0.55269999999999997</v>
      </c>
      <c r="AA69" s="4" t="str">
        <f>LOOKUP($E69,OBRAS!$D:$D,OBRAS!H:H)</f>
        <v>SH-NC-16-R-003</v>
      </c>
    </row>
    <row r="70" spans="3:27" ht="45" x14ac:dyDescent="0.25">
      <c r="C70" s="49">
        <v>68</v>
      </c>
      <c r="D70" s="4" t="str">
        <f>LOOKUP($E70,OBRAS!$D:$D,OBRAS!C:C)</f>
        <v>SUPERVISION EXTERNA: CONSTRUCCION DE PARQUE DE ACCESO DEL MUSEO MUSAS EN LA LOCALIDAD Y MUNICIPIO DE HERMOSILLO</v>
      </c>
      <c r="E70" s="4" t="s">
        <v>470</v>
      </c>
      <c r="F70" s="4" t="s">
        <v>217</v>
      </c>
      <c r="G70" s="4" t="str">
        <f>LOOKUP($E70,OBRAS!$D:$D,OBRAS!E:E)</f>
        <v>C-00093/0010</v>
      </c>
      <c r="H70" s="80" t="s">
        <v>103</v>
      </c>
      <c r="I70" s="6">
        <v>20234.25</v>
      </c>
      <c r="J70" s="6"/>
      <c r="K70" s="6">
        <f>ROUND(I70*0.3,2)</f>
        <v>6070.28</v>
      </c>
      <c r="L70" s="6">
        <f t="shared" si="16"/>
        <v>14163.97</v>
      </c>
      <c r="M70" s="6">
        <f t="shared" si="17"/>
        <v>2266.2399999999998</v>
      </c>
      <c r="N70" s="6">
        <f t="shared" si="23"/>
        <v>16430.21</v>
      </c>
      <c r="O70" s="6">
        <f>ROUND(I70*0.005,2)</f>
        <v>101.17</v>
      </c>
      <c r="P70" s="6">
        <f t="shared" si="19"/>
        <v>16329.04</v>
      </c>
      <c r="Q70" s="4" t="str">
        <f>LOOKUP($E70,OBRAS!$D:$D,OBRAS!B:B)</f>
        <v>ING. MARTIN GRAJEDA ARAGON</v>
      </c>
      <c r="R70" s="4" t="str">
        <f>LOOKUP($E70,OBRAS!$D:$D,OBRAS!A:A)</f>
        <v>HERMOSILLO</v>
      </c>
      <c r="S70" s="4" t="str">
        <f>LOOKUP($E70,OBRAS!$D:$D,OBRAS!F:F)</f>
        <v>11000002002402E406K06106A612222155GL07</v>
      </c>
      <c r="T70" s="4" t="str">
        <f>LOOKUP($E70,OBRAS!$D:$D,OBRAS!G:G)</f>
        <v>SO-926006995-N22-2015
DIRECTA</v>
      </c>
      <c r="U70" s="4" t="s">
        <v>863</v>
      </c>
      <c r="V70" s="89">
        <v>42529</v>
      </c>
      <c r="W70" s="6">
        <f>LOOKUP($E70,OBRAS!$D:$D,OBRAS!K:K)</f>
        <v>183692.58</v>
      </c>
      <c r="X70" s="109">
        <f t="shared" si="20"/>
        <v>0.1278</v>
      </c>
      <c r="Y70" s="109">
        <f t="shared" si="21"/>
        <v>0.99990000000000001</v>
      </c>
      <c r="Z70" s="109">
        <f t="shared" si="22"/>
        <v>0.7</v>
      </c>
      <c r="AA70" s="4" t="str">
        <f>LOOKUP($E70,OBRAS!$D:$D,OBRAS!H:H)</f>
        <v>SH-NC-16-R-007</v>
      </c>
    </row>
    <row r="71" spans="3:27" ht="45" x14ac:dyDescent="0.25">
      <c r="C71" s="49">
        <v>69</v>
      </c>
      <c r="D71" s="4" t="str">
        <f>LOOKUP($E71,OBRAS!$D:$D,OBRAS!C:C)</f>
        <v>REMODELACION DEL PARQUE INFANTIL EN LA LOCALIDAD Y MUNICIPIO DE HERMOSILLO, SONORA</v>
      </c>
      <c r="E71" s="4" t="s">
        <v>45</v>
      </c>
      <c r="F71" s="5" t="s">
        <v>248</v>
      </c>
      <c r="G71" s="4" t="str">
        <f>LOOKUP($E71,OBRAS!$D:$D,OBRAS!E:E)</f>
        <v>C-00093/0004</v>
      </c>
      <c r="H71" s="80" t="s">
        <v>268</v>
      </c>
      <c r="I71" s="6">
        <v>3060349.83</v>
      </c>
      <c r="J71" s="6"/>
      <c r="K71" s="6">
        <v>1224139.93</v>
      </c>
      <c r="L71" s="6">
        <f t="shared" si="16"/>
        <v>1836209.9</v>
      </c>
      <c r="M71" s="6">
        <f t="shared" si="17"/>
        <v>293793.58</v>
      </c>
      <c r="N71" s="6">
        <f t="shared" si="23"/>
        <v>2130003.48</v>
      </c>
      <c r="O71" s="6">
        <f>ROUND(I71*0.005,2)</f>
        <v>15301.75</v>
      </c>
      <c r="P71" s="6">
        <f t="shared" si="19"/>
        <v>2114701.73</v>
      </c>
      <c r="Q71" s="4" t="str">
        <f>LOOKUP($E71,OBRAS!$D:$D,OBRAS!B:B)</f>
        <v>GYCR SOLUCIONES INTEGRALES PARA LA CONSTRUCCION, S.A. DE C.V.</v>
      </c>
      <c r="R71" s="4" t="str">
        <f>LOOKUP($E71,OBRAS!$D:$D,OBRAS!A:A)</f>
        <v>HERMOSILLO</v>
      </c>
      <c r="S71" s="4" t="str">
        <f>LOOKUP($E71,OBRAS!$D:$D,OBRAS!F:F)</f>
        <v>11000002002202E406K17104A622202155GL07</v>
      </c>
      <c r="T71" s="4" t="str">
        <f>LOOKUP($E71,OBRAS!$D:$D,OBRAS!G:G)</f>
        <v>LO-926006995-N12-2015</v>
      </c>
      <c r="U71" s="7" t="s">
        <v>863</v>
      </c>
      <c r="V71" s="89">
        <v>42482</v>
      </c>
      <c r="W71" s="6">
        <f>LOOKUP($E71,OBRAS!$D:$D,OBRAS!K:K)</f>
        <v>53569288.82</v>
      </c>
      <c r="X71" s="109">
        <f t="shared" si="20"/>
        <v>6.6299999999999998E-2</v>
      </c>
      <c r="Y71" s="109">
        <f t="shared" si="21"/>
        <v>0.85470000000000002</v>
      </c>
      <c r="Z71" s="109">
        <f t="shared" si="22"/>
        <v>0.55269999999999997</v>
      </c>
      <c r="AA71" s="4" t="str">
        <f>LOOKUP($E71,OBRAS!$D:$D,OBRAS!H:H)</f>
        <v>SH-NC-16-R-003</v>
      </c>
    </row>
    <row r="72" spans="3:27" ht="105" x14ac:dyDescent="0.25">
      <c r="C72" s="49">
        <v>70</v>
      </c>
      <c r="D72" s="4" t="str">
        <f>LOOKUP($E72,OBRAS!$D:$D,OBRAS!C:C)</f>
        <v>CONSTRUCCION DE MURO A BASE DE BLOCK SOBRE BARDAS PERIMETRALES EXISTENTES Y SUSTITUCION DE CERCOS DE MALLA CICLONICA POR BARDAS DE BLOCK APARENTE PARA INCREMENTAR LA SEGURIDAD DEL CENTRO UNACARI, EN LA LOCALIDAD Y MUNICIPIO DE HERMOSILLO, SONORA.</v>
      </c>
      <c r="E72" s="4" t="s">
        <v>18</v>
      </c>
      <c r="F72" s="4" t="s">
        <v>217</v>
      </c>
      <c r="G72" s="4" t="str">
        <f>LOOKUP($E72,OBRAS!$D:$D,OBRAS!E:E)</f>
        <v>C-00061/0012</v>
      </c>
      <c r="H72" s="80" t="s">
        <v>103</v>
      </c>
      <c r="I72" s="6">
        <v>68967.179999999993</v>
      </c>
      <c r="J72" s="6"/>
      <c r="K72" s="6">
        <f>ROUND(I72*0.3,2)</f>
        <v>20690.150000000001</v>
      </c>
      <c r="L72" s="6">
        <f t="shared" si="16"/>
        <v>48277.03</v>
      </c>
      <c r="M72" s="6">
        <f t="shared" si="17"/>
        <v>7724.32</v>
      </c>
      <c r="N72" s="6">
        <f t="shared" si="23"/>
        <v>56001.35</v>
      </c>
      <c r="O72" s="6">
        <v>337.93</v>
      </c>
      <c r="P72" s="6">
        <f t="shared" si="19"/>
        <v>55663.42</v>
      </c>
      <c r="Q72" s="4" t="str">
        <f>LOOKUP($E72,OBRAS!$D:$D,OBRAS!B:B)</f>
        <v>COTISA DESARROLLOS E INFRAESTRUCTURA, S.A. DE C.V.</v>
      </c>
      <c r="R72" s="4" t="str">
        <f>LOOKUP($E72,OBRAS!$D:$D,OBRAS!A:A)</f>
        <v>HERMOSILLO</v>
      </c>
      <c r="S72" s="4" t="str">
        <f>LOOKUP($E72,OBRAS!$D:$D,OBRAS!F:F)</f>
        <v>11000002002202E402K17105A612012155DM07</v>
      </c>
      <c r="T72" s="4" t="str">
        <f>LOOKUP($E72,OBRAS!$D:$D,OBRAS!G:G)</f>
        <v>ADJUDICACIÓN DIRECTA</v>
      </c>
      <c r="U72" s="4" t="s">
        <v>863</v>
      </c>
      <c r="V72" s="89">
        <v>42496</v>
      </c>
      <c r="W72" s="6">
        <f>LOOKUP($E72,OBRAS!$D:$D,OBRAS!K:K)</f>
        <v>389750.66</v>
      </c>
      <c r="X72" s="109">
        <f t="shared" si="20"/>
        <v>0.20530000000000001</v>
      </c>
      <c r="Y72" s="109">
        <f t="shared" si="21"/>
        <v>0.90039999999999998</v>
      </c>
      <c r="Z72" s="109">
        <f t="shared" si="22"/>
        <v>0.90039999999999998</v>
      </c>
      <c r="AA72" s="4" t="str">
        <f>LOOKUP($E72,OBRAS!$D:$D,OBRAS!H:H)</f>
        <v>SH-FAFEF-16-R-002</v>
      </c>
    </row>
    <row r="73" spans="3:27" ht="60" x14ac:dyDescent="0.25">
      <c r="C73" s="49">
        <v>71</v>
      </c>
      <c r="D73" s="4" t="str">
        <f>LOOKUP($E73,OBRAS!$D:$D,OBRAS!C:C)</f>
        <v>RECONSTRUCCION TOTAL DE PUENTE EN LA COLONIA COLINAS DEL YAQUI SOBRE ARROYO LOS NOGALES EN LA LOCALIDAD Y MUNICIPIO DE NOGALES</v>
      </c>
      <c r="E73" s="4" t="s">
        <v>269</v>
      </c>
      <c r="F73" s="4"/>
      <c r="G73" s="4" t="str">
        <f>LOOKUP($E73,OBRAS!$D:$D,OBRAS!E:E)</f>
        <v>C-00052/0137</v>
      </c>
      <c r="H73" s="80" t="s">
        <v>103</v>
      </c>
      <c r="I73" s="6">
        <v>4965132.1399999997</v>
      </c>
      <c r="J73" s="6"/>
      <c r="K73" s="6">
        <f>ROUND(I73*0.4,2)</f>
        <v>1986052.86</v>
      </c>
      <c r="L73" s="6">
        <f t="shared" si="16"/>
        <v>2979079.28</v>
      </c>
      <c r="M73" s="6">
        <f t="shared" si="17"/>
        <v>476652.68</v>
      </c>
      <c r="N73" s="6">
        <f t="shared" si="23"/>
        <v>3455731.96</v>
      </c>
      <c r="O73" s="6">
        <f>ROUND(I73*0.005,2)</f>
        <v>24825.66</v>
      </c>
      <c r="P73" s="6">
        <f t="shared" si="19"/>
        <v>3430906.3</v>
      </c>
      <c r="Q73" s="4" t="str">
        <f>LOOKUP($E73,OBRAS!$D:$D,OBRAS!B:B)</f>
        <v>NAYAR CONSTRUCCIONES DEL PACIFICO, S.A. DE C.V.</v>
      </c>
      <c r="R73" s="4" t="str">
        <f>LOOKUP($E73,OBRAS!$D:$D,OBRAS!A:A)</f>
        <v>NOGALES</v>
      </c>
      <c r="S73" s="4">
        <f>LOOKUP($E73,OBRAS!$D:$D,OBRAS!F:F)</f>
        <v>0</v>
      </c>
      <c r="T73" s="4">
        <f>LOOKUP($E73,OBRAS!$D:$D,OBRAS!G:G)</f>
        <v>0</v>
      </c>
      <c r="U73" s="4"/>
      <c r="V73" s="4"/>
      <c r="W73" s="6">
        <f>LOOKUP($E73,OBRAS!$D:$D,OBRAS!K:K)</f>
        <v>2962183.47</v>
      </c>
      <c r="X73" s="109">
        <f t="shared" si="20"/>
        <v>1.9443999999999999</v>
      </c>
      <c r="Y73" s="109">
        <f t="shared" si="21"/>
        <v>1.9443999999999999</v>
      </c>
      <c r="Z73" s="109">
        <f t="shared" si="22"/>
        <v>1.1666000000000001</v>
      </c>
      <c r="AA73" s="4">
        <f>LOOKUP($E73,OBRAS!$D:$D,OBRAS!H:H)</f>
        <v>0</v>
      </c>
    </row>
    <row r="74" spans="3:27" ht="60" x14ac:dyDescent="0.25">
      <c r="C74" s="49">
        <v>72</v>
      </c>
      <c r="D74" s="4" t="str">
        <f>LOOKUP($E74,OBRAS!$D:$D,OBRAS!C:C)</f>
        <v>REMODELACION Y EQUIPAMIENTO DEL AREA DE ATENCION TEMPRANA DEL EDIFICIO CENTRAL DE LA PROCURADURIA GENERAL DE JUSTICIA EN EL DISTRITO DE HERMOSILLO, SONORA.</v>
      </c>
      <c r="E74" s="4" t="s">
        <v>125</v>
      </c>
      <c r="F74" s="4" t="s">
        <v>224</v>
      </c>
      <c r="G74" s="4" t="str">
        <f>LOOKUP($E74,OBRAS!$D:$D,OBRAS!E:E)</f>
        <v>C-00058/0007</v>
      </c>
      <c r="H74" s="80" t="s">
        <v>103</v>
      </c>
      <c r="I74" s="6">
        <v>888042.37</v>
      </c>
      <c r="J74" s="6"/>
      <c r="K74" s="6">
        <v>0</v>
      </c>
      <c r="L74" s="6">
        <f t="shared" si="16"/>
        <v>888042.37</v>
      </c>
      <c r="M74" s="6">
        <f t="shared" si="17"/>
        <v>142086.78</v>
      </c>
      <c r="N74" s="6">
        <f t="shared" si="23"/>
        <v>1030129.15</v>
      </c>
      <c r="O74" s="6">
        <v>4351.3900000000003</v>
      </c>
      <c r="P74" s="6">
        <f t="shared" si="19"/>
        <v>1025777.76</v>
      </c>
      <c r="Q74" s="4" t="str">
        <f>LOOKUP($E74,OBRAS!$D:$D,OBRAS!B:B)</f>
        <v>CONSTRUMIL, S.A. DE C.V.</v>
      </c>
      <c r="R74" s="4" t="str">
        <f>LOOKUP($E74,OBRAS!$D:$D,OBRAS!A:A)</f>
        <v>HERMOSILLO</v>
      </c>
      <c r="S74" s="4" t="str">
        <f>LOOKUP($E74,OBRAS!$D:$D,OBRAS!F:F)</f>
        <v>11000002001202E56K005A000</v>
      </c>
      <c r="T74" s="4">
        <f>LOOKUP($E74,OBRAS!$D:$D,OBRAS!G:G)</f>
        <v>0</v>
      </c>
      <c r="U74" s="4" t="s">
        <v>863</v>
      </c>
      <c r="V74" s="89">
        <v>42487</v>
      </c>
      <c r="W74" s="6">
        <f>LOOKUP($E74,OBRAS!$D:$D,OBRAS!K:K)</f>
        <v>1089729.81</v>
      </c>
      <c r="X74" s="109">
        <f t="shared" si="20"/>
        <v>0.94530000000000003</v>
      </c>
      <c r="Y74" s="109">
        <f t="shared" si="21"/>
        <v>0.94530000000000003</v>
      </c>
      <c r="Z74" s="109">
        <f t="shared" si="22"/>
        <v>0.94530000000000003</v>
      </c>
      <c r="AA74" s="4" t="str">
        <f>LOOKUP($E74,OBRAS!$D:$D,OBRAS!H:H)</f>
        <v>SH-ED-16-R-042</v>
      </c>
    </row>
    <row r="75" spans="3:27" ht="30" x14ac:dyDescent="0.25">
      <c r="C75" s="51">
        <v>73</v>
      </c>
      <c r="D75" s="4" t="str">
        <f>LOOKUP($E75,OBRAS!$D:$D,OBRAS!C:C)</f>
        <v>CONSERVACION Y RECONSTRUCCION DEL TRAMO URES-PUEBLO DE ALAMOS</v>
      </c>
      <c r="E75" s="4" t="s">
        <v>562</v>
      </c>
      <c r="F75" s="4"/>
      <c r="G75" s="4" t="str">
        <f>LOOKUP($E75,OBRAS!$D:$D,OBRAS!E:E)</f>
        <v>C-00054/0061</v>
      </c>
      <c r="H75" s="80" t="s">
        <v>23</v>
      </c>
      <c r="I75" s="6">
        <v>10443120.91</v>
      </c>
      <c r="J75" s="6"/>
      <c r="K75" s="6"/>
      <c r="L75" s="6">
        <f t="shared" si="16"/>
        <v>10443120.91</v>
      </c>
      <c r="M75" s="6">
        <f t="shared" si="17"/>
        <v>1670899.35</v>
      </c>
      <c r="N75" s="6">
        <f t="shared" si="23"/>
        <v>12114020.26</v>
      </c>
      <c r="O75" s="6"/>
      <c r="P75" s="6">
        <f t="shared" si="19"/>
        <v>12114020.26</v>
      </c>
      <c r="Q75" s="4" t="str">
        <f>LOOKUP($E75,OBRAS!$D:$D,OBRAS!B:B)</f>
        <v>GLUYAS CONSTRUCCIONES S.A. DE C.V.</v>
      </c>
      <c r="R75" s="4" t="str">
        <f>LOOKUP($E75,OBRAS!$D:$D,OBRAS!A:A)</f>
        <v>URES</v>
      </c>
      <c r="S75" s="4" t="str">
        <f>LOOKUP($E75,OBRAS!$D:$D,OBRAS!F:F)</f>
        <v>11000002003501E204K08063A625012162A205</v>
      </c>
      <c r="T75" s="4" t="str">
        <f>LOOKUP($E75,OBRAS!$D:$D,OBRAS!G:G)</f>
        <v>CE-926006995-E25-2016</v>
      </c>
      <c r="U75" s="4" t="s">
        <v>863</v>
      </c>
      <c r="V75" s="89">
        <v>42510</v>
      </c>
      <c r="W75" s="6">
        <f>LOOKUP($E75,OBRAS!$D:$D,OBRAS!K:K)</f>
        <v>40380067.490000002</v>
      </c>
      <c r="X75" s="109" t="str">
        <f t="shared" si="20"/>
        <v/>
      </c>
      <c r="Y75" s="109">
        <f t="shared" si="21"/>
        <v>0.94240000000000002</v>
      </c>
      <c r="Z75" s="109">
        <f t="shared" si="22"/>
        <v>0.9425</v>
      </c>
      <c r="AA75" s="4" t="str">
        <f>LOOKUP($E75,OBRAS!$D:$D,OBRAS!H:H)</f>
        <v>SH-ED-17-R-013</v>
      </c>
    </row>
    <row r="76" spans="3:27" ht="45" x14ac:dyDescent="0.25">
      <c r="C76" s="51">
        <v>74</v>
      </c>
      <c r="D76" s="4" t="str">
        <f>LOOKUP($E76,OBRAS!$D:$D,OBRAS!C:C)</f>
        <v>CONSTRUCCION DE PARQUE, PLAYA Y BALNEARIO "KINO MAGICO" (ETAPA 1) EN LA COMISARIA DE BAHIA DE KINO</v>
      </c>
      <c r="E76" s="4" t="s">
        <v>578</v>
      </c>
      <c r="F76" s="4"/>
      <c r="G76" s="4" t="str">
        <f>LOOKUP($E76,OBRAS!$D:$D,OBRAS!E:E)</f>
        <v>C-00053/0014</v>
      </c>
      <c r="H76" s="80" t="s">
        <v>23</v>
      </c>
      <c r="I76" s="6">
        <v>15844990.09</v>
      </c>
      <c r="J76" s="6"/>
      <c r="K76" s="6"/>
      <c r="L76" s="6">
        <f t="shared" si="16"/>
        <v>15844990.09</v>
      </c>
      <c r="M76" s="6">
        <f t="shared" si="17"/>
        <v>2535198.41</v>
      </c>
      <c r="N76" s="6">
        <f t="shared" si="23"/>
        <v>18380188.5</v>
      </c>
      <c r="O76" s="6"/>
      <c r="P76" s="6">
        <f t="shared" si="19"/>
        <v>18380188.5</v>
      </c>
      <c r="Q76" s="4" t="str">
        <f>LOOKUP($E76,OBRAS!$D:$D,OBRAS!B:B)</f>
        <v>PROMOTORA MAJERUS, S. DE R.L.</v>
      </c>
      <c r="R76" s="4" t="str">
        <f>LOOKUP($E76,OBRAS!$D:$D,OBRAS!A:A)</f>
        <v>HERMOSILLO</v>
      </c>
      <c r="S76" s="4" t="str">
        <f>LOOKUP($E76,OBRAS!$D:$D,OBRAS!F:F)</f>
        <v>11000002003701E305K07123A612092162A207</v>
      </c>
      <c r="T76" s="4" t="str">
        <f>LOOKUP($E76,OBRAS!$D:$D,OBRAS!G:G)</f>
        <v>CE-926006995-E33-2016</v>
      </c>
      <c r="U76" s="4" t="s">
        <v>863</v>
      </c>
      <c r="V76" s="89">
        <v>42510</v>
      </c>
      <c r="W76" s="6">
        <f>LOOKUP($E76,OBRAS!$D:$D,OBRAS!K:K)</f>
        <v>61862670.979999997</v>
      </c>
      <c r="X76" s="109" t="str">
        <f t="shared" si="20"/>
        <v/>
      </c>
      <c r="Y76" s="109">
        <f t="shared" si="21"/>
        <v>0.32969999999999999</v>
      </c>
      <c r="Z76" s="109">
        <f t="shared" si="22"/>
        <v>0.52780000000000005</v>
      </c>
      <c r="AA76" s="4" t="str">
        <f>LOOKUP($E76,OBRAS!$D:$D,OBRAS!H:H)</f>
        <v>SH-ED-17-R-004</v>
      </c>
    </row>
    <row r="77" spans="3:27" ht="60" x14ac:dyDescent="0.25">
      <c r="C77" s="51">
        <v>75</v>
      </c>
      <c r="D77" s="4" t="str">
        <f>LOOKUP($E77,OBRAS!$D:$D,OBRAS!C:C)</f>
        <v>CONSERVACION Y RECONSTRUCCION DE CARRETERAS ALIMENTADORAS REGION GUAYMAS-EMPALME, TRAMO: E.C. (PROVIDENCIA-ORTIZ)-LA MISA</v>
      </c>
      <c r="E77" s="4" t="s">
        <v>582</v>
      </c>
      <c r="F77" s="4"/>
      <c r="G77" s="4" t="str">
        <f>LOOKUP($E77,OBRAS!$D:$D,OBRAS!E:E)</f>
        <v>C-00054/0065</v>
      </c>
      <c r="H77" s="80" t="s">
        <v>23</v>
      </c>
      <c r="I77" s="6">
        <v>8160903.0899999999</v>
      </c>
      <c r="J77" s="6"/>
      <c r="K77" s="6"/>
      <c r="L77" s="6">
        <f t="shared" si="16"/>
        <v>8160903.0899999999</v>
      </c>
      <c r="M77" s="6">
        <f t="shared" si="17"/>
        <v>1305744.49</v>
      </c>
      <c r="N77" s="6">
        <f t="shared" si="23"/>
        <v>9466647.5800000001</v>
      </c>
      <c r="O77" s="6"/>
      <c r="P77" s="6">
        <f t="shared" si="19"/>
        <v>9466647.5800000001</v>
      </c>
      <c r="Q77" s="4" t="str">
        <f>LOOKUP($E77,OBRAS!$D:$D,OBRAS!B:B)</f>
        <v>GILA MINAS Y DESARROLLOS SA DE CV</v>
      </c>
      <c r="R77" s="4" t="str">
        <f>LOOKUP($E77,OBRAS!$D:$D,OBRAS!A:A)</f>
        <v>VARIOS</v>
      </c>
      <c r="S77" s="4" t="str">
        <f>LOOKUP($E77,OBRAS!$D:$D,OBRAS!F:F)</f>
        <v>11000002003501E204K08063A625012162213</v>
      </c>
      <c r="T77" s="4" t="str">
        <f>LOOKUP($E77,OBRAS!$D:$D,OBRAS!G:G)</f>
        <v>CE-926006995-E29-2016</v>
      </c>
      <c r="U77" s="4" t="s">
        <v>863</v>
      </c>
      <c r="V77" s="89">
        <v>42510</v>
      </c>
      <c r="W77" s="6">
        <f>LOOKUP($E77,OBRAS!$D:$D,OBRAS!K:K)</f>
        <v>31555491.960000001</v>
      </c>
      <c r="X77" s="109" t="str">
        <f t="shared" si="20"/>
        <v/>
      </c>
      <c r="Y77" s="109">
        <f t="shared" si="21"/>
        <v>0.9194</v>
      </c>
      <c r="Z77" s="109">
        <f t="shared" si="22"/>
        <v>0.9194</v>
      </c>
      <c r="AA77" s="4" t="str">
        <f>LOOKUP($E77,OBRAS!$D:$D,OBRAS!H:H)</f>
        <v>SH-ED-17-R-013</v>
      </c>
    </row>
    <row r="78" spans="3:27" ht="45" x14ac:dyDescent="0.25">
      <c r="C78" s="51">
        <v>76</v>
      </c>
      <c r="D78" s="4" t="str">
        <f>LOOKUP($E78,OBRAS!$D:$D,OBRAS!C:C)</f>
        <v>CONSERVACION Y RECONSTRUCCION DEL TRAMO EL CRUCERO-GRANADOS DEL KM 0+000 AL KM 7+250</v>
      </c>
      <c r="E78" s="4" t="s">
        <v>593</v>
      </c>
      <c r="F78" s="4"/>
      <c r="G78" s="4" t="str">
        <f>LOOKUP($E78,OBRAS!$D:$D,OBRAS!E:E)</f>
        <v>C-00054/0067</v>
      </c>
      <c r="H78" s="80" t="s">
        <v>23</v>
      </c>
      <c r="I78" s="6">
        <v>4109683.52</v>
      </c>
      <c r="J78" s="6"/>
      <c r="K78" s="6"/>
      <c r="L78" s="6">
        <f t="shared" si="16"/>
        <v>4109683.52</v>
      </c>
      <c r="M78" s="6">
        <f t="shared" si="17"/>
        <v>657549.36</v>
      </c>
      <c r="N78" s="6">
        <f t="shared" si="23"/>
        <v>4767232.88</v>
      </c>
      <c r="O78" s="6"/>
      <c r="P78" s="6">
        <f t="shared" si="19"/>
        <v>4767232.88</v>
      </c>
      <c r="Q78" s="4" t="str">
        <f>LOOKUP($E78,OBRAS!$D:$D,OBRAS!B:B)</f>
        <v>CONOSON SA DE CV</v>
      </c>
      <c r="R78" s="4" t="str">
        <f>LOOKUP($E78,OBRAS!$D:$D,OBRAS!A:A)</f>
        <v>VARIOS</v>
      </c>
      <c r="S78" s="4" t="str">
        <f>LOOKUP($E78,OBRAS!$D:$D,OBRAS!F:F)</f>
        <v>11000002003501E204K08063A625012162A213</v>
      </c>
      <c r="T78" s="4" t="str">
        <f>LOOKUP($E78,OBRAS!$D:$D,OBRAS!G:G)</f>
        <v>CE-926006995-E36-2016</v>
      </c>
      <c r="U78" s="4" t="s">
        <v>863</v>
      </c>
      <c r="V78" s="89">
        <v>42515</v>
      </c>
      <c r="W78" s="6">
        <f>LOOKUP($E78,OBRAS!$D:$D,OBRAS!K:K)</f>
        <v>15890776.26</v>
      </c>
      <c r="X78" s="109" t="str">
        <f t="shared" si="20"/>
        <v/>
      </c>
      <c r="Y78" s="109">
        <f t="shared" si="21"/>
        <v>0.61470000000000002</v>
      </c>
      <c r="Z78" s="109">
        <f t="shared" si="22"/>
        <v>0.73019999999999996</v>
      </c>
      <c r="AA78" s="4" t="str">
        <f>LOOKUP($E78,OBRAS!$D:$D,OBRAS!H:H)</f>
        <v>SH-ED-17-R-013</v>
      </c>
    </row>
    <row r="79" spans="3:27" ht="30" x14ac:dyDescent="0.25">
      <c r="C79" s="51">
        <v>77</v>
      </c>
      <c r="D79" s="4" t="str">
        <f>LOOKUP($E79,OBRAS!$D:$D,OBRAS!C:C)</f>
        <v>CONSERVACION Y RECONSTRUCCION DEL TRAMO EL CRUCERO- VILLA HIDALGO (KM 0+000 AL 28+500)</v>
      </c>
      <c r="E79" s="4" t="s">
        <v>607</v>
      </c>
      <c r="F79" s="4"/>
      <c r="G79" s="4" t="str">
        <f>LOOKUP($E79,OBRAS!$D:$D,OBRAS!E:E)</f>
        <v>C-00054/0068</v>
      </c>
      <c r="H79" s="80" t="s">
        <v>23</v>
      </c>
      <c r="I79" s="6">
        <v>7185082.8200000003</v>
      </c>
      <c r="J79" s="6"/>
      <c r="K79" s="6"/>
      <c r="L79" s="6">
        <f t="shared" si="16"/>
        <v>7185082.8200000003</v>
      </c>
      <c r="M79" s="6">
        <f t="shared" si="17"/>
        <v>1149613.25</v>
      </c>
      <c r="N79" s="6">
        <f t="shared" si="23"/>
        <v>8334696.0700000003</v>
      </c>
      <c r="O79" s="6"/>
      <c r="P79" s="6">
        <f t="shared" si="19"/>
        <v>8334696.0700000003</v>
      </c>
      <c r="Q79" s="4" t="str">
        <f>LOOKUP($E79,OBRAS!$D:$D,OBRAS!B:B)</f>
        <v>CONSTRUCTORA SAITE, S.A. DE C.V.</v>
      </c>
      <c r="R79" s="4" t="str">
        <f>LOOKUP($E79,OBRAS!$D:$D,OBRAS!A:A)</f>
        <v>VARIOS</v>
      </c>
      <c r="S79" s="4" t="str">
        <f>LOOKUP($E79,OBRAS!$D:$D,OBRAS!F:F)</f>
        <v>11000002003501E204K08063A625012162A213</v>
      </c>
      <c r="T79" s="4" t="str">
        <f>LOOKUP($E79,OBRAS!$D:$D,OBRAS!G:G)</f>
        <v>CE-926006995-E35-2016</v>
      </c>
      <c r="U79" s="4" t="s">
        <v>863</v>
      </c>
      <c r="V79" s="89">
        <v>42515</v>
      </c>
      <c r="W79" s="6">
        <f>LOOKUP($E79,OBRAS!$D:$D,OBRAS!K:K)</f>
        <v>27782320.260000002</v>
      </c>
      <c r="X79" s="109" t="str">
        <f t="shared" si="20"/>
        <v/>
      </c>
      <c r="Y79" s="109">
        <f t="shared" si="21"/>
        <v>0.29220000000000002</v>
      </c>
      <c r="Z79" s="109">
        <f t="shared" si="22"/>
        <v>0.50460000000000005</v>
      </c>
      <c r="AA79" s="4" t="str">
        <f>LOOKUP($E79,OBRAS!$D:$D,OBRAS!H:H)</f>
        <v>SH-ED-17-R-013</v>
      </c>
    </row>
    <row r="80" spans="3:27" ht="45" x14ac:dyDescent="0.25">
      <c r="C80" s="51">
        <v>78</v>
      </c>
      <c r="D80" s="4" t="str">
        <f>LOOKUP($E80,OBRAS!$D:$D,OBRAS!C:C)</f>
        <v>RECONSTRUCCION DE CALLE 28 NORTE, DEL KM 0 + 000 AL KM 10+160, Y DEL KM 17+210 AL 17+982, HERMOSILLO</v>
      </c>
      <c r="E80" s="4" t="s">
        <v>349</v>
      </c>
      <c r="F80" s="4"/>
      <c r="G80" s="4" t="str">
        <f>LOOKUP($E80,OBRAS!$D:$D,OBRAS!E:E)</f>
        <v>C-00054/0072</v>
      </c>
      <c r="H80" s="80" t="s">
        <v>23</v>
      </c>
      <c r="I80" s="6">
        <v>5352004.74</v>
      </c>
      <c r="J80" s="6"/>
      <c r="K80" s="6"/>
      <c r="L80" s="6">
        <f t="shared" si="16"/>
        <v>5352004.74</v>
      </c>
      <c r="M80" s="6">
        <f t="shared" si="17"/>
        <v>856320.76</v>
      </c>
      <c r="N80" s="6">
        <f t="shared" si="23"/>
        <v>6208325.5</v>
      </c>
      <c r="O80" s="6"/>
      <c r="P80" s="6">
        <f t="shared" si="19"/>
        <v>6208325.5</v>
      </c>
      <c r="Q80" s="4" t="str">
        <f>LOOKUP($E80,OBRAS!$D:$D,OBRAS!B:B)</f>
        <v>GRUPO EMPRESARIAL BABASAC, S. A. DE C. V.</v>
      </c>
      <c r="R80" s="4" t="str">
        <f>LOOKUP($E80,OBRAS!$D:$D,OBRAS!A:A)</f>
        <v>HERMOSILLO</v>
      </c>
      <c r="S80" s="4" t="str">
        <f>LOOKUP($E80,OBRAS!$D:$D,OBRAS!F:F)</f>
        <v>11000002003501E204K08063A625012162A207</v>
      </c>
      <c r="T80" s="4" t="str">
        <f>LOOKUP($E80,OBRAS!$D:$D,OBRAS!G:G)</f>
        <v>CE-926006995-E40-2016</v>
      </c>
      <c r="U80" s="4" t="s">
        <v>863</v>
      </c>
      <c r="V80" s="89">
        <v>42529</v>
      </c>
      <c r="W80" s="6">
        <f>LOOKUP($E80,OBRAS!$D:$D,OBRAS!K:K)</f>
        <v>20694418.350000001</v>
      </c>
      <c r="X80" s="109" t="str">
        <f t="shared" si="20"/>
        <v/>
      </c>
      <c r="Y80" s="109">
        <f t="shared" si="21"/>
        <v>1</v>
      </c>
      <c r="Z80" s="109">
        <f t="shared" si="22"/>
        <v>1</v>
      </c>
      <c r="AA80" s="4" t="str">
        <f>LOOKUP($E80,OBRAS!$D:$D,OBRAS!H:H)</f>
        <v>SH-ED-17-R-004</v>
      </c>
    </row>
    <row r="81" spans="3:27" ht="60" x14ac:dyDescent="0.25">
      <c r="C81" s="51">
        <v>79</v>
      </c>
      <c r="D81" s="4" t="str">
        <f>LOOKUP($E81,OBRAS!$D:$D,OBRAS!C:C)</f>
        <v>SUPERVISION EXTERNA Y CONTROL DE CALIDAD PARA LA OBRA RECONSTRUCCION DE CAMINO HORNOS - ROSARIO EN VARIAS LOCALIDADES DE VARIOS MUNICIPIOS DEL ESTADO DE SONORA.</v>
      </c>
      <c r="E81" s="4" t="s">
        <v>315</v>
      </c>
      <c r="F81" s="4"/>
      <c r="G81" s="4" t="str">
        <f>LOOKUP($E81,OBRAS!$D:$D,OBRAS!E:E)</f>
        <v>C-00098/0022</v>
      </c>
      <c r="H81" s="80" t="s">
        <v>23</v>
      </c>
      <c r="I81" s="6">
        <v>215300.73</v>
      </c>
      <c r="J81" s="6"/>
      <c r="K81" s="6"/>
      <c r="L81" s="6">
        <f t="shared" si="16"/>
        <v>215300.73</v>
      </c>
      <c r="M81" s="6">
        <f t="shared" si="17"/>
        <v>34448.120000000003</v>
      </c>
      <c r="N81" s="6">
        <f t="shared" si="23"/>
        <v>249748.85</v>
      </c>
      <c r="O81" s="6"/>
      <c r="P81" s="6">
        <f t="shared" si="19"/>
        <v>249748.85</v>
      </c>
      <c r="Q81" s="4" t="str">
        <f>LOOKUP($E81,OBRAS!$D:$D,OBRAS!B:B)</f>
        <v>OESTEC DE MEXICO SA DE CV</v>
      </c>
      <c r="R81" s="4" t="str">
        <f>LOOKUP($E81,OBRAS!$D:$D,OBRAS!A:A)</f>
        <v>VARIOS</v>
      </c>
      <c r="S81" s="4" t="str">
        <f>LOOKUP($E81,OBRAS!$D:$D,OBRAS!F:F)</f>
        <v>11000002002207E201K02104A622212161A013</v>
      </c>
      <c r="T81" s="4" t="str">
        <f>LOOKUP($E81,OBRAS!$D:$D,OBRAS!G:G)</f>
        <v>CE-9260066995-E46-2016</v>
      </c>
      <c r="U81" s="4" t="s">
        <v>863</v>
      </c>
      <c r="V81" s="89">
        <v>42523</v>
      </c>
      <c r="W81" s="6">
        <f>LOOKUP($E81,OBRAS!$D:$D,OBRAS!K:K)</f>
        <v>2497488.54</v>
      </c>
      <c r="X81" s="109" t="str">
        <f t="shared" si="20"/>
        <v/>
      </c>
      <c r="Y81" s="109">
        <f t="shared" si="21"/>
        <v>1.0003</v>
      </c>
      <c r="Z81" s="109">
        <f t="shared" si="22"/>
        <v>1</v>
      </c>
      <c r="AA81" s="4" t="str">
        <f>LOOKUP($E81,OBRAS!$D:$D,OBRAS!H:H)</f>
        <v>SH-ED-16-028</v>
      </c>
    </row>
    <row r="82" spans="3:27" ht="45" x14ac:dyDescent="0.25">
      <c r="C82" s="51">
        <v>80</v>
      </c>
      <c r="D82" s="4" t="str">
        <f>LOOKUP($E82,OBRAS!$D:$D,OBRAS!C:C)</f>
        <v>RECONSTRUCCION DE E. C. (HERMOSILLO-BAHIA DE KINO)- GRANJA ACUICOLA SAN NICOLAS DEL KM 0+000 AL KM 10+410, HERMOSILLO</v>
      </c>
      <c r="E82" s="4" t="s">
        <v>326</v>
      </c>
      <c r="F82" s="4"/>
      <c r="G82" s="4" t="str">
        <f>LOOKUP($E82,OBRAS!$D:$D,OBRAS!E:E)</f>
        <v>C-00054/0075</v>
      </c>
      <c r="H82" s="80" t="s">
        <v>23</v>
      </c>
      <c r="I82" s="6">
        <v>4917911.79</v>
      </c>
      <c r="J82" s="6"/>
      <c r="K82" s="6"/>
      <c r="L82" s="6">
        <f t="shared" si="16"/>
        <v>4917911.79</v>
      </c>
      <c r="M82" s="6">
        <f t="shared" si="17"/>
        <v>786865.89</v>
      </c>
      <c r="N82" s="6">
        <f t="shared" si="23"/>
        <v>5704777.6799999997</v>
      </c>
      <c r="O82" s="6"/>
      <c r="P82" s="6">
        <f t="shared" si="19"/>
        <v>5704777.6799999997</v>
      </c>
      <c r="Q82" s="4" t="str">
        <f>LOOKUP($E82,OBRAS!$D:$D,OBRAS!B:B)</f>
        <v>GALEONEZS LM CONSTRUCCIONES, S. A. DE C. V.</v>
      </c>
      <c r="R82" s="4" t="str">
        <f>LOOKUP($E82,OBRAS!$D:$D,OBRAS!A:A)</f>
        <v>HERMOSILLO</v>
      </c>
      <c r="S82" s="4" t="str">
        <f>LOOKUP($E82,OBRAS!$D:$D,OBRAS!F:F)</f>
        <v>11000002003501E204K08063A625012162A207</v>
      </c>
      <c r="T82" s="4" t="str">
        <f>LOOKUP($E82,OBRAS!$D:$D,OBRAS!G:G)</f>
        <v>CE-926006995-E43-2016</v>
      </c>
      <c r="U82" s="4" t="s">
        <v>863</v>
      </c>
      <c r="V82" s="89">
        <v>42529</v>
      </c>
      <c r="W82" s="6">
        <f>LOOKUP($E82,OBRAS!$D:$D,OBRAS!K:K)</f>
        <v>19015925.609999999</v>
      </c>
      <c r="X82" s="109" t="str">
        <f t="shared" si="20"/>
        <v/>
      </c>
      <c r="Y82" s="109">
        <f t="shared" si="21"/>
        <v>0.82530000000000003</v>
      </c>
      <c r="Z82" s="109">
        <f t="shared" si="22"/>
        <v>0.87770000000000004</v>
      </c>
      <c r="AA82" s="4" t="str">
        <f>LOOKUP($E82,OBRAS!$D:$D,OBRAS!H:H)</f>
        <v>SH-ED-17-R-004</v>
      </c>
    </row>
    <row r="83" spans="3:27" ht="30" x14ac:dyDescent="0.25">
      <c r="C83" s="51">
        <v>81</v>
      </c>
      <c r="D83" s="4" t="str">
        <f>LOOKUP($E83,OBRAS!$D:$D,OBRAS!C:C)</f>
        <v>CONSTRUCCION DE LINEA DE CONDUCCION DEL POZO EXISTENTE A LA CAJA DE ALMACENAMIENTO</v>
      </c>
      <c r="E83" s="4" t="s">
        <v>331</v>
      </c>
      <c r="F83" s="4"/>
      <c r="G83" s="4" t="str">
        <f>LOOKUP($E83,OBRAS!$D:$D,OBRAS!E:E)</f>
        <v>C-00050/0003</v>
      </c>
      <c r="H83" s="80" t="s">
        <v>23</v>
      </c>
      <c r="I83" s="6">
        <v>457212.29</v>
      </c>
      <c r="J83" s="6"/>
      <c r="K83" s="6"/>
      <c r="L83" s="6">
        <f t="shared" si="16"/>
        <v>457212.29</v>
      </c>
      <c r="M83" s="6">
        <f t="shared" si="17"/>
        <v>73153.97</v>
      </c>
      <c r="N83" s="6">
        <f t="shared" si="23"/>
        <v>530366.26</v>
      </c>
      <c r="O83" s="6"/>
      <c r="P83" s="6">
        <f t="shared" si="19"/>
        <v>530366.26</v>
      </c>
      <c r="Q83" s="4" t="str">
        <f>LOOKUP($E83,OBRAS!$D:$D,OBRAS!B:B)</f>
        <v>CONSTRUCCIONES Y DISEÑOS OPOSURA, S.A. DE C.V.</v>
      </c>
      <c r="R83" s="4" t="str">
        <f>LOOKUP($E83,OBRAS!$D:$D,OBRAS!A:A)</f>
        <v>SAN PEDRO DE LA CUEVA</v>
      </c>
      <c r="S83" s="4" t="str">
        <f>LOOKUP($E83,OBRAS!$D:$D,OBRAS!F:F)</f>
        <v>11000002002203E208K13020A614082162A208</v>
      </c>
      <c r="T83" s="4" t="str">
        <f>LOOKUP($E83,OBRAS!$D:$D,OBRAS!G:G)</f>
        <v>CE-926006995-E47-2016</v>
      </c>
      <c r="U83" s="4" t="s">
        <v>863</v>
      </c>
      <c r="V83" s="89">
        <v>42523</v>
      </c>
      <c r="W83" s="6">
        <f>LOOKUP($E83,OBRAS!$D:$D,OBRAS!K:K)</f>
        <v>2209859.44</v>
      </c>
      <c r="X83" s="109" t="str">
        <f t="shared" si="20"/>
        <v/>
      </c>
      <c r="Y83" s="109">
        <f t="shared" si="21"/>
        <v>1</v>
      </c>
      <c r="Z83" s="109">
        <f t="shared" si="22"/>
        <v>1</v>
      </c>
      <c r="AA83" s="4" t="str">
        <f>LOOKUP($E83,OBRAS!$D:$D,OBRAS!H:H)</f>
        <v>SH-ED-17-R-007</v>
      </c>
    </row>
    <row r="84" spans="3:27" ht="45" x14ac:dyDescent="0.25">
      <c r="C84" s="51">
        <v>82</v>
      </c>
      <c r="D84" s="4" t="str">
        <f>LOOKUP($E84,OBRAS!$D:$D,OBRAS!C:C)</f>
        <v>RECONSTRUCCION DEL CAMINO HUATABAMPO-YAVAROS EN VARIAS LOCALIDADES DEL MUNICIPIO DE HUATABAMPO, SONORA.</v>
      </c>
      <c r="E84" s="4" t="s">
        <v>80</v>
      </c>
      <c r="F84" s="4"/>
      <c r="G84" s="4" t="str">
        <f>LOOKUP($E84,OBRAS!$D:$D,OBRAS!E:E)</f>
        <v>C-00054/0022</v>
      </c>
      <c r="H84" s="80" t="s">
        <v>23</v>
      </c>
      <c r="I84" s="6">
        <v>4469913.9800000004</v>
      </c>
      <c r="J84" s="6"/>
      <c r="K84" s="6"/>
      <c r="L84" s="6">
        <f t="shared" si="16"/>
        <v>4469913.9800000004</v>
      </c>
      <c r="M84" s="6">
        <f t="shared" si="17"/>
        <v>715186.24</v>
      </c>
      <c r="N84" s="6">
        <f t="shared" si="23"/>
        <v>5185100.22</v>
      </c>
      <c r="O84" s="6"/>
      <c r="P84" s="6">
        <f t="shared" si="19"/>
        <v>5185100.22</v>
      </c>
      <c r="Q84" s="4" t="str">
        <f>LOOKUP($E84,OBRAS!$D:$D,OBRAS!B:B)</f>
        <v>CONSTRUCTORA SIVIRAL, S.A. DE C.V.</v>
      </c>
      <c r="R84" s="4" t="str">
        <f>LOOKUP($E84,OBRAS!$D:$D,OBRAS!A:A)</f>
        <v>HUATABAMPO</v>
      </c>
      <c r="S84" s="4" t="str">
        <f>LOOKUP($E84,OBRAS!$D:$D,OBRAS!F:F)</f>
        <v>11000002003501E203K03203A625012162A12</v>
      </c>
      <c r="T84" s="4" t="str">
        <f>LOOKUP($E84,OBRAS!$D:$D,OBRAS!G:G)</f>
        <v>CE-926006995-E4-2016</v>
      </c>
      <c r="U84" s="4" t="s">
        <v>863</v>
      </c>
      <c r="V84" s="89">
        <v>42433</v>
      </c>
      <c r="W84" s="6">
        <f>LOOKUP($E84,OBRAS!$D:$D,OBRAS!K:K)</f>
        <v>17283667.420000002</v>
      </c>
      <c r="X84" s="109" t="str">
        <f t="shared" si="20"/>
        <v/>
      </c>
      <c r="Y84" s="109">
        <f t="shared" si="21"/>
        <v>1</v>
      </c>
      <c r="Z84" s="109">
        <f t="shared" si="22"/>
        <v>1</v>
      </c>
      <c r="AA84" s="4" t="str">
        <f>LOOKUP($E84,OBRAS!$D:$D,OBRAS!H:H)</f>
        <v>OM-ED-16-002</v>
      </c>
    </row>
    <row r="85" spans="3:27" ht="90" x14ac:dyDescent="0.25">
      <c r="C85" s="51">
        <v>83</v>
      </c>
      <c r="D85" s="4" t="str">
        <f>LOOKUP($E85,OBRAS!$D:$D,OBRAS!C:C)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85" s="4" t="s">
        <v>320</v>
      </c>
      <c r="F85" s="4"/>
      <c r="G85" s="4" t="str">
        <f>LOOKUP($E85,OBRAS!$D:$D,OBRAS!E:E)</f>
        <v>C-00098/0021</v>
      </c>
      <c r="H85" s="80" t="s">
        <v>23</v>
      </c>
      <c r="I85" s="6">
        <v>142091.9</v>
      </c>
      <c r="J85" s="6"/>
      <c r="K85" s="6"/>
      <c r="L85" s="6">
        <f t="shared" si="16"/>
        <v>142091.9</v>
      </c>
      <c r="M85" s="6">
        <f t="shared" si="17"/>
        <v>22734.7</v>
      </c>
      <c r="N85" s="6">
        <f t="shared" si="23"/>
        <v>164826.6</v>
      </c>
      <c r="O85" s="6"/>
      <c r="P85" s="6">
        <f t="shared" si="19"/>
        <v>164826.6</v>
      </c>
      <c r="Q85" s="4" t="str">
        <f>LOOKUP($E85,OBRAS!$D:$D,OBRAS!B:B)</f>
        <v>PROYECTOS Y SUPERVISION, J.H. ROMERO, S.A. DE C.V.</v>
      </c>
      <c r="R85" s="4" t="str">
        <f>LOOKUP($E85,OBRAS!$D:$D,OBRAS!A:A)</f>
        <v>VARIOS</v>
      </c>
      <c r="S85" s="4" t="str">
        <f>LOOKUP($E85,OBRAS!$D:$D,OBRAS!F:F)</f>
        <v>11000002003501E203K03203A625132161A013</v>
      </c>
      <c r="T85" s="4" t="str">
        <f>LOOKUP($E85,OBRAS!$D:$D,OBRAS!G:G)</f>
        <v>CE-926006995-E50-2016</v>
      </c>
      <c r="U85" s="4" t="s">
        <v>863</v>
      </c>
      <c r="V85" s="89">
        <v>42537</v>
      </c>
      <c r="W85" s="6">
        <f>LOOKUP($E85,OBRAS!$D:$D,OBRAS!K:K)</f>
        <v>1648266.09</v>
      </c>
      <c r="X85" s="109" t="str">
        <f t="shared" si="20"/>
        <v/>
      </c>
      <c r="Y85" s="109">
        <f t="shared" si="21"/>
        <v>1.0002</v>
      </c>
      <c r="Z85" s="109">
        <f t="shared" si="22"/>
        <v>1</v>
      </c>
      <c r="AA85" s="4" t="str">
        <f>LOOKUP($E85,OBRAS!$D:$D,OBRAS!H:H)</f>
        <v>SH-ED-16-040</v>
      </c>
    </row>
    <row r="86" spans="3:27" ht="45" x14ac:dyDescent="0.25">
      <c r="C86" s="51">
        <v>84</v>
      </c>
      <c r="D86" s="4" t="str">
        <f>LOOKUP($E86,OBRAS!$D:$D,OBRAS!C:C)</f>
        <v>SUPERVISION EXTERNA Y CONTROL DE CALIDAD DE LA RECONSTRUCCIÓN DEL CAMINO BACAME NUEVO</v>
      </c>
      <c r="E86" s="4" t="s">
        <v>287</v>
      </c>
      <c r="F86" s="4"/>
      <c r="G86" s="4" t="str">
        <f>LOOKUP($E86,OBRAS!$D:$D,OBRAS!E:E)</f>
        <v>C-00098/0021</v>
      </c>
      <c r="H86" s="80" t="s">
        <v>23</v>
      </c>
      <c r="I86" s="6">
        <v>16320.69</v>
      </c>
      <c r="J86" s="6"/>
      <c r="K86" s="6"/>
      <c r="L86" s="6">
        <f t="shared" si="16"/>
        <v>16320.69</v>
      </c>
      <c r="M86" s="6">
        <f t="shared" si="17"/>
        <v>2611.31</v>
      </c>
      <c r="N86" s="6">
        <f t="shared" si="23"/>
        <v>18932</v>
      </c>
      <c r="O86" s="6"/>
      <c r="P86" s="6">
        <f t="shared" si="19"/>
        <v>18932</v>
      </c>
      <c r="Q86" s="4" t="str">
        <f>LOOKUP($E86,OBRAS!$D:$D,OBRAS!B:B)</f>
        <v>ING. FEDERICO SOLORIO VALENZUELA</v>
      </c>
      <c r="R86" s="4" t="str">
        <f>LOOKUP($E86,OBRAS!$D:$D,OBRAS!A:A)</f>
        <v>ETCHOJOA</v>
      </c>
      <c r="S86" s="4" t="str">
        <f>LOOKUP($E86,OBRAS!$D:$D,OBRAS!F:F)</f>
        <v>11000002003501E203K03203A625132161A013</v>
      </c>
      <c r="T86" s="4" t="str">
        <f>LOOKUP($E86,OBRAS!$D:$D,OBRAS!G:G)</f>
        <v>ADJUDICACIÓN DIRECTA</v>
      </c>
      <c r="U86" s="4" t="s">
        <v>863</v>
      </c>
      <c r="V86" s="89">
        <v>42551</v>
      </c>
      <c r="W86" s="6">
        <f>LOOKUP($E86,OBRAS!$D:$D,OBRAS!K:K)</f>
        <v>189320</v>
      </c>
      <c r="X86" s="109" t="str">
        <f t="shared" si="20"/>
        <v/>
      </c>
      <c r="Y86" s="109">
        <f t="shared" si="21"/>
        <v>1</v>
      </c>
      <c r="Z86" s="109">
        <f t="shared" si="22"/>
        <v>1</v>
      </c>
      <c r="AA86" s="4" t="str">
        <f>LOOKUP($E86,OBRAS!$D:$D,OBRAS!H:H)</f>
        <v>SH-ED-16-020</v>
      </c>
    </row>
    <row r="87" spans="3:27" ht="60" x14ac:dyDescent="0.25">
      <c r="C87" s="51">
        <v>85</v>
      </c>
      <c r="D87" s="4" t="str">
        <f>LOOKUP($E87,OBRAS!$D:$D,OBRAS!C:C)</f>
        <v>SUPERVISION EXTERNA Y CONTROL DE CALIDAD DE LA OBRA RECONSTRUCCIÓN DEL CAMINO CALLE 16 EN VARIAS LOCALIDADES DEL MUNICIPIO DE CAJEME, SONORA.</v>
      </c>
      <c r="E87" s="4" t="s">
        <v>358</v>
      </c>
      <c r="F87" s="4"/>
      <c r="G87" s="4" t="str">
        <f>LOOKUP($E87,OBRAS!$D:$D,OBRAS!E:E)</f>
        <v>C-00098/0021</v>
      </c>
      <c r="H87" s="80" t="s">
        <v>23</v>
      </c>
      <c r="I87" s="6">
        <v>68026.289999999994</v>
      </c>
      <c r="J87" s="6"/>
      <c r="K87" s="6"/>
      <c r="L87" s="6">
        <f t="shared" si="16"/>
        <v>68026.289999999994</v>
      </c>
      <c r="M87" s="6">
        <f t="shared" si="17"/>
        <v>10884.21</v>
      </c>
      <c r="N87" s="6">
        <f t="shared" si="23"/>
        <v>78910.5</v>
      </c>
      <c r="O87" s="6"/>
      <c r="P87" s="6">
        <f t="shared" si="19"/>
        <v>78910.5</v>
      </c>
      <c r="Q87" s="4" t="str">
        <f>LOOKUP($E87,OBRAS!$D:$D,OBRAS!B:B)</f>
        <v>PROTEKO DESARROLLOS E INFRAESTRUCTURA, S.A. DE C.V.</v>
      </c>
      <c r="R87" s="4" t="str">
        <f>LOOKUP($E87,OBRAS!$D:$D,OBRAS!A:A)</f>
        <v>CAJEME</v>
      </c>
      <c r="S87" s="4" t="str">
        <f>LOOKUP($E87,OBRAS!$D:$D,OBRAS!F:F)</f>
        <v>11000002003501E203K03203A625132161A013</v>
      </c>
      <c r="T87" s="4" t="str">
        <f>LOOKUP($E87,OBRAS!$D:$D,OBRAS!G:G)</f>
        <v>LICITACIÓN SIMPLIFICADA</v>
      </c>
      <c r="U87" s="4" t="s">
        <v>863</v>
      </c>
      <c r="V87" s="89">
        <v>42538</v>
      </c>
      <c r="W87" s="6">
        <f>LOOKUP($E87,OBRAS!$D:$D,OBRAS!K:K)</f>
        <v>789105.03</v>
      </c>
      <c r="X87" s="109" t="str">
        <f t="shared" si="20"/>
        <v/>
      </c>
      <c r="Y87" s="109">
        <f t="shared" si="21"/>
        <v>1</v>
      </c>
      <c r="Z87" s="109">
        <f t="shared" si="22"/>
        <v>1</v>
      </c>
      <c r="AA87" s="4" t="str">
        <f>LOOKUP($E87,OBRAS!$D:$D,OBRAS!H:H)</f>
        <v>SH-ED-16-020</v>
      </c>
    </row>
    <row r="88" spans="3:27" ht="60" x14ac:dyDescent="0.25">
      <c r="C88" s="51">
        <v>86</v>
      </c>
      <c r="D88" s="4" t="str">
        <f>LOOKUP($E88,OBRAS!$D:$D,OBRAS!C:C)</f>
        <v>SUPERVISION EXTERNA Y CONTROL DE CALIDAD PARA LA OBRA RECONSTRUCCION DEL CAMINO NAVOJOA-ETCHOJOA-HUATABAMPO DE VARIAS LOCALIDADES Y MUNICIPIOS DE SONORA.</v>
      </c>
      <c r="E88" s="4" t="s">
        <v>359</v>
      </c>
      <c r="F88" s="4"/>
      <c r="G88" s="4" t="str">
        <f>LOOKUP($E88,OBRAS!$D:$D,OBRAS!E:E)</f>
        <v>C-00098/0021</v>
      </c>
      <c r="H88" s="80" t="s">
        <v>23</v>
      </c>
      <c r="I88" s="6">
        <v>90950.17</v>
      </c>
      <c r="J88" s="6"/>
      <c r="K88" s="6"/>
      <c r="L88" s="6">
        <f t="shared" si="16"/>
        <v>90950.17</v>
      </c>
      <c r="M88" s="6">
        <f t="shared" si="17"/>
        <v>14552.03</v>
      </c>
      <c r="N88" s="6">
        <f t="shared" si="23"/>
        <v>105502.2</v>
      </c>
      <c r="O88" s="6"/>
      <c r="P88" s="6">
        <f t="shared" si="19"/>
        <v>105502.2</v>
      </c>
      <c r="Q88" s="4" t="str">
        <f>LOOKUP($E88,OBRAS!$D:$D,OBRAS!B:B)</f>
        <v>ADRIANA BELTRAN LAGARDA</v>
      </c>
      <c r="R88" s="4" t="str">
        <f>LOOKUP($E88,OBRAS!$D:$D,OBRAS!A:A)</f>
        <v>VARIOS</v>
      </c>
      <c r="S88" s="4" t="str">
        <f>LOOKUP($E88,OBRAS!$D:$D,OBRAS!F:F)</f>
        <v>11000002003501E203K03203A625132161A013</v>
      </c>
      <c r="T88" s="4" t="str">
        <f>LOOKUP($E88,OBRAS!$D:$D,OBRAS!G:G)</f>
        <v>CE-926006995-E45-2016</v>
      </c>
      <c r="U88" s="4" t="s">
        <v>863</v>
      </c>
      <c r="V88" s="89">
        <v>42537</v>
      </c>
      <c r="W88" s="6">
        <f>LOOKUP($E88,OBRAS!$D:$D,OBRAS!K:K)</f>
        <v>1055021.97</v>
      </c>
      <c r="X88" s="109" t="str">
        <f t="shared" si="20"/>
        <v/>
      </c>
      <c r="Y88" s="109">
        <f t="shared" si="21"/>
        <v>1</v>
      </c>
      <c r="Z88" s="109">
        <f t="shared" si="22"/>
        <v>1</v>
      </c>
      <c r="AA88" s="4" t="str">
        <f>LOOKUP($E88,OBRAS!$D:$D,OBRAS!H:H)</f>
        <v>SH-ED-16-020</v>
      </c>
    </row>
    <row r="89" spans="3:27" ht="60" x14ac:dyDescent="0.25">
      <c r="C89" s="51">
        <v>87</v>
      </c>
      <c r="D89" s="4" t="str">
        <f>LOOKUP($E89,OBRAS!$D:$D,OBRAS!C:C)</f>
        <v>CONSTRUCCION DE LA CARRETERA E.C. 4 SUR (ALFREDO V. BONFIL) TRAMO DEL KM 1+700 AL KM 5+600 EN VARIAS LOCALIDADES DEL MUNICIPIO DE HERMOSILLO</v>
      </c>
      <c r="E89" s="4" t="s">
        <v>364</v>
      </c>
      <c r="F89" s="4"/>
      <c r="G89" s="4" t="str">
        <f>LOOKUP($E89,OBRAS!$D:$D,OBRAS!E:E)</f>
        <v>C-00054/0066</v>
      </c>
      <c r="H89" s="80" t="s">
        <v>23</v>
      </c>
      <c r="I89" s="6">
        <v>6179896.1399999997</v>
      </c>
      <c r="J89" s="6"/>
      <c r="K89" s="6"/>
      <c r="L89" s="6">
        <f t="shared" si="16"/>
        <v>6179896.1399999997</v>
      </c>
      <c r="M89" s="6">
        <f t="shared" si="17"/>
        <v>988783.38</v>
      </c>
      <c r="N89" s="6">
        <f t="shared" si="23"/>
        <v>7168679.5199999996</v>
      </c>
      <c r="O89" s="6"/>
      <c r="P89" s="6">
        <f t="shared" si="19"/>
        <v>7168679.5199999996</v>
      </c>
      <c r="Q89" s="4" t="str">
        <f>LOOKUP($E89,OBRAS!$D:$D,OBRAS!B:B)</f>
        <v>EDIFICACIONES Y PROYECTOS MOCELIK, S.A. DE C.V.</v>
      </c>
      <c r="R89" s="4" t="str">
        <f>LOOKUP($E89,OBRAS!$D:$D,OBRAS!A:A)</f>
        <v>HERMOSILLO</v>
      </c>
      <c r="S89" s="4" t="str">
        <f>LOOKUP($E89,OBRAS!$D:$D,OBRAS!F:F)</f>
        <v>11000002003501E204K08063A625012162A213</v>
      </c>
      <c r="T89" s="4" t="str">
        <f>LOOKUP($E89,OBRAS!$D:$D,OBRAS!G:G)</f>
        <v>CE-926006995-E34-2016</v>
      </c>
      <c r="U89" s="4" t="s">
        <v>863</v>
      </c>
      <c r="V89" s="89">
        <v>42531</v>
      </c>
      <c r="W89" s="6">
        <f>LOOKUP($E89,OBRAS!$D:$D,OBRAS!K:K)</f>
        <v>23895598.399999999</v>
      </c>
      <c r="X89" s="109" t="str">
        <f t="shared" si="20"/>
        <v/>
      </c>
      <c r="Y89" s="109">
        <f t="shared" si="21"/>
        <v>0.98550000000000004</v>
      </c>
      <c r="Z89" s="109">
        <f t="shared" si="22"/>
        <v>0.98980000000000001</v>
      </c>
      <c r="AA89" s="4" t="str">
        <f>LOOKUP($E89,OBRAS!$D:$D,OBRAS!H:H)</f>
        <v>SH-ED-17-R-013</v>
      </c>
    </row>
    <row r="90" spans="3:27" ht="60" x14ac:dyDescent="0.25">
      <c r="C90" s="51">
        <v>88</v>
      </c>
      <c r="D90" s="4" t="str">
        <f>LOOKUP($E90,OBRAS!$D:$D,OBRAS!C:C)</f>
        <v>REHABILITACION DE RED DE CARRETERAS ALIMENTADORAS EN LA REGION DEL RIO DE SONORA EN EL ESTADO DE SONORA; SUBTRAMO KM 0+000 AL KM 75+000</v>
      </c>
      <c r="E90" s="4" t="s">
        <v>370</v>
      </c>
      <c r="F90" s="4"/>
      <c r="G90" s="4" t="str">
        <f>LOOKUP($E90,OBRAS!$D:$D,OBRAS!E:E)</f>
        <v>C-00054/0069</v>
      </c>
      <c r="H90" s="80" t="s">
        <v>23</v>
      </c>
      <c r="I90" s="6">
        <v>19774943.07</v>
      </c>
      <c r="J90" s="6"/>
      <c r="K90" s="6"/>
      <c r="L90" s="6">
        <f t="shared" ref="L90:L121" si="24">I90-K90</f>
        <v>19774943.07</v>
      </c>
      <c r="M90" s="6">
        <f t="shared" ref="M90:M121" si="25">ROUND(L90*0.16,2)</f>
        <v>3163990.89</v>
      </c>
      <c r="N90" s="6">
        <f t="shared" si="23"/>
        <v>22938933.960000001</v>
      </c>
      <c r="O90" s="6"/>
      <c r="P90" s="6">
        <f t="shared" ref="P90:P121" si="26">N90-O90</f>
        <v>22938933.960000001</v>
      </c>
      <c r="Q90" s="4" t="str">
        <f>LOOKUP($E90,OBRAS!$D:$D,OBRAS!B:B)</f>
        <v>IKARO INGENIERIA Y ARQUITECTURA, S.A. DE C.V</v>
      </c>
      <c r="R90" s="4" t="str">
        <f>LOOKUP($E90,OBRAS!$D:$D,OBRAS!A:A)</f>
        <v>VARIOS</v>
      </c>
      <c r="S90" s="4" t="str">
        <f>LOOKUP($E90,OBRAS!$D:$D,OBRAS!F:F)</f>
        <v>11000002003501E204K08063A625012162A213</v>
      </c>
      <c r="T90" s="4" t="str">
        <f>LOOKUP($E90,OBRAS!$D:$D,OBRAS!G:G)</f>
        <v>CE-9260006995-E38-2016</v>
      </c>
      <c r="U90" s="4" t="s">
        <v>863</v>
      </c>
      <c r="V90" s="89">
        <v>42535</v>
      </c>
      <c r="W90" s="6">
        <f>LOOKUP($E90,OBRAS!$D:$D,OBRAS!K:K)</f>
        <v>76463113.200000003</v>
      </c>
      <c r="X90" s="109" t="str">
        <f t="shared" si="20"/>
        <v/>
      </c>
      <c r="Y90" s="109">
        <f t="shared" ref="Y90:Y106" si="27">SUMIF(E:E,E90,X:X)</f>
        <v>0.98340000000000005</v>
      </c>
      <c r="Z90" s="109">
        <f t="shared" si="22"/>
        <v>0.98829999999999996</v>
      </c>
      <c r="AA90" s="4" t="str">
        <f>LOOKUP($E90,OBRAS!$D:$D,OBRAS!H:H)</f>
        <v>SH-ED-17-R-013</v>
      </c>
    </row>
    <row r="91" spans="3:27" ht="60" x14ac:dyDescent="0.25">
      <c r="C91" s="51">
        <v>89</v>
      </c>
      <c r="D91" s="4" t="str">
        <f>LOOKUP($E91,OBRAS!$D:$D,OBRAS!C:C)</f>
        <v>SUPERVISION EXTERNA Y CONTROL DE CALIDAD CONCLUSION DE LA MODERNIZACION Y RECONSTRUCCION DEL TRAMO ESPERANZA - HORNOS (DEL KM 8 + 800 AL KM 17 + 400)</v>
      </c>
      <c r="E91" s="4" t="s">
        <v>291</v>
      </c>
      <c r="F91" s="4"/>
      <c r="G91" s="4" t="str">
        <f>LOOKUP($E91,OBRAS!$D:$D,OBRAS!E:E)</f>
        <v>C-00098/0021</v>
      </c>
      <c r="H91" s="80" t="s">
        <v>23</v>
      </c>
      <c r="I91" s="6">
        <v>210787.84</v>
      </c>
      <c r="J91" s="6"/>
      <c r="K91" s="6"/>
      <c r="L91" s="6">
        <f t="shared" si="24"/>
        <v>210787.84</v>
      </c>
      <c r="M91" s="6">
        <f t="shared" si="25"/>
        <v>33726.050000000003</v>
      </c>
      <c r="N91" s="6">
        <f t="shared" si="23"/>
        <v>244513.89</v>
      </c>
      <c r="O91" s="6"/>
      <c r="P91" s="6">
        <f t="shared" si="26"/>
        <v>244513.89</v>
      </c>
      <c r="Q91" s="4" t="str">
        <f>LOOKUP($E91,OBRAS!$D:$D,OBRAS!B:B)</f>
        <v>OESTEC DE MEXICO SA DE CV</v>
      </c>
      <c r="R91" s="4" t="str">
        <f>LOOKUP($E91,OBRAS!$D:$D,OBRAS!A:A)</f>
        <v>VARIOS</v>
      </c>
      <c r="S91" s="4" t="str">
        <f>LOOKUP($E91,OBRAS!$D:$D,OBRAS!F:F)</f>
        <v>11000002003501E203K03203A625132161A013</v>
      </c>
      <c r="T91" s="4" t="str">
        <f>LOOKUP($E91,OBRAS!$D:$D,OBRAS!G:G)</f>
        <v>CE-926006995-E52-2016</v>
      </c>
      <c r="U91" s="4" t="s">
        <v>863</v>
      </c>
      <c r="V91" s="89">
        <v>42541</v>
      </c>
      <c r="W91" s="6">
        <f>LOOKUP($E91,OBRAS!$D:$D,OBRAS!K:K)</f>
        <v>2445138.9700000002</v>
      </c>
      <c r="X91" s="109" t="str">
        <f t="shared" si="20"/>
        <v/>
      </c>
      <c r="Y91" s="109">
        <f t="shared" si="27"/>
        <v>0.96409999999999996</v>
      </c>
      <c r="Z91" s="109">
        <f t="shared" si="22"/>
        <v>0.96760000000000002</v>
      </c>
      <c r="AA91" s="4" t="str">
        <f>LOOKUP($E91,OBRAS!$D:$D,OBRAS!H:H)</f>
        <v>SH-ED-16-040</v>
      </c>
    </row>
    <row r="92" spans="3:27" ht="60" x14ac:dyDescent="0.25">
      <c r="C92" s="51">
        <v>90</v>
      </c>
      <c r="D92" s="4" t="str">
        <f>LOOKUP($E92,OBRAS!$D:$D,OBRAS!C:C)</f>
        <v>RECONSTRUCCION DE E.C. (CALLE 36 SUR) GRANJAS ACUICOLAS DEL KM 0+000 AL KM 12+660, EN VARIAS LOCALIDADES DEL MUNICIPIO DE HERMOSILLO.</v>
      </c>
      <c r="E92" s="4" t="s">
        <v>375</v>
      </c>
      <c r="F92" s="4"/>
      <c r="G92" s="4" t="str">
        <f>LOOKUP($E92,OBRAS!$D:$D,OBRAS!E:E)</f>
        <v>C-00054/0071</v>
      </c>
      <c r="H92" s="80" t="s">
        <v>23</v>
      </c>
      <c r="I92" s="6">
        <v>5844789.3600000003</v>
      </c>
      <c r="J92" s="6"/>
      <c r="K92" s="6"/>
      <c r="L92" s="6">
        <f t="shared" si="24"/>
        <v>5844789.3600000003</v>
      </c>
      <c r="M92" s="6">
        <f t="shared" si="25"/>
        <v>935166.3</v>
      </c>
      <c r="N92" s="6">
        <f t="shared" si="23"/>
        <v>6779955.6600000001</v>
      </c>
      <c r="O92" s="6"/>
      <c r="P92" s="6">
        <f t="shared" si="26"/>
        <v>6779955.6600000001</v>
      </c>
      <c r="Q92" s="4" t="str">
        <f>LOOKUP($E92,OBRAS!$D:$D,OBRAS!B:B)</f>
        <v>RENTA, MOVIMIENTO DE CONSTRUCCION EQUIPEN, S.A. DE C.V.</v>
      </c>
      <c r="R92" s="4" t="str">
        <f>LOOKUP($E92,OBRAS!$D:$D,OBRAS!A:A)</f>
        <v>HERMOSILLO</v>
      </c>
      <c r="S92" s="4" t="str">
        <f>LOOKUP($E92,OBRAS!$D:$D,OBRAS!F:F)</f>
        <v>11000002003501E204K08063A625012162A207</v>
      </c>
      <c r="T92" s="4" t="str">
        <f>LOOKUP($E92,OBRAS!$D:$D,OBRAS!G:G)</f>
        <v>CE-926006995-E44-2016</v>
      </c>
      <c r="U92" s="4" t="s">
        <v>863</v>
      </c>
      <c r="V92" s="89">
        <v>42531</v>
      </c>
      <c r="W92" s="6">
        <f>LOOKUP($E92,OBRAS!$D:$D,OBRAS!K:K)</f>
        <v>22599852.190000001</v>
      </c>
      <c r="X92" s="109" t="str">
        <f t="shared" si="20"/>
        <v/>
      </c>
      <c r="Y92" s="109">
        <f t="shared" si="27"/>
        <v>0.66990000000000005</v>
      </c>
      <c r="Z92" s="109">
        <f t="shared" si="22"/>
        <v>0.76890000000000003</v>
      </c>
      <c r="AA92" s="4" t="str">
        <f>LOOKUP($E92,OBRAS!$D:$D,OBRAS!H:H)</f>
        <v>SH-ED-17-R-004</v>
      </c>
    </row>
    <row r="93" spans="3:27" ht="60" x14ac:dyDescent="0.25">
      <c r="C93" s="51">
        <v>91</v>
      </c>
      <c r="D93" s="4" t="str">
        <f>LOOKUP($E93,OBRAS!$D:$D,OBRAS!C:C)</f>
        <v>REHABILITACION DE RED DE CARRETERAS ALIMENTADORAS EN LA REGION DEL RIO SONORA EN EL ESTADO DE SONORA; SUBTRAMO KM 75+000 AL KM 149+000.</v>
      </c>
      <c r="E93" s="4" t="s">
        <v>381</v>
      </c>
      <c r="F93" s="4"/>
      <c r="G93" s="4" t="str">
        <f>LOOKUP($E93,OBRAS!$D:$D,OBRAS!E:E)</f>
        <v>C-00054/0070</v>
      </c>
      <c r="H93" s="80" t="s">
        <v>23</v>
      </c>
      <c r="I93" s="6">
        <v>20500908.350000001</v>
      </c>
      <c r="J93" s="6"/>
      <c r="K93" s="6"/>
      <c r="L93" s="6">
        <f t="shared" si="24"/>
        <v>20500908.350000001</v>
      </c>
      <c r="M93" s="6">
        <f t="shared" si="25"/>
        <v>3280145.34</v>
      </c>
      <c r="N93" s="6">
        <f t="shared" si="23"/>
        <v>23781053.690000001</v>
      </c>
      <c r="O93" s="6"/>
      <c r="P93" s="6">
        <f t="shared" si="26"/>
        <v>23781053.690000001</v>
      </c>
      <c r="Q93" s="4" t="str">
        <f>LOOKUP($E93,OBRAS!$D:$D,OBRAS!B:B)</f>
        <v>RENTA, MOVIMIENTO DE CONSTRUCCION EQUIPEN, S.A. DE C.V.</v>
      </c>
      <c r="R93" s="4" t="str">
        <f>LOOKUP($E93,OBRAS!$D:$D,OBRAS!A:A)</f>
        <v>VARIOS</v>
      </c>
      <c r="S93" s="4" t="str">
        <f>LOOKUP($E93,OBRAS!$D:$D,OBRAS!F:F)</f>
        <v>110000002003501E204K08063A625012162A213</v>
      </c>
      <c r="T93" s="4" t="str">
        <f>LOOKUP($E93,OBRAS!$D:$D,OBRAS!G:G)</f>
        <v>CE-926006995-E39-2016</v>
      </c>
      <c r="U93" s="4" t="s">
        <v>863</v>
      </c>
      <c r="V93" s="89">
        <v>42531</v>
      </c>
      <c r="W93" s="6">
        <f>LOOKUP($E93,OBRAS!$D:$D,OBRAS!K:K)</f>
        <v>79270178.980000004</v>
      </c>
      <c r="X93" s="109" t="str">
        <f t="shared" si="20"/>
        <v/>
      </c>
      <c r="Y93" s="109">
        <f t="shared" si="27"/>
        <v>0.63300000000000001</v>
      </c>
      <c r="Z93" s="109">
        <f t="shared" si="22"/>
        <v>0.74309999999999998</v>
      </c>
      <c r="AA93" s="4" t="str">
        <f>LOOKUP($E93,OBRAS!$D:$D,OBRAS!H:H)</f>
        <v>SH-ED-17-R-013</v>
      </c>
    </row>
    <row r="94" spans="3:27" ht="45" x14ac:dyDescent="0.25">
      <c r="C94" s="51">
        <v>92</v>
      </c>
      <c r="D94" s="4" t="str">
        <f>LOOKUP($E94,OBRAS!$D:$D,OBRAS!C:C)</f>
        <v>RECONSTRUCCION DE CALLE 26 DEL KM 70+000 AL 101+300 EN VARIAS LOCALIDADES DEL MUNICIPIO DE HERMOSILLO, SONORA</v>
      </c>
      <c r="E94" s="4" t="s">
        <v>386</v>
      </c>
      <c r="F94" s="4" t="s">
        <v>401</v>
      </c>
      <c r="G94" s="4" t="str">
        <f>LOOKUP($E94,OBRAS!$D:$D,OBRAS!E:E)</f>
        <v>C-00054/0073</v>
      </c>
      <c r="H94" s="80" t="s">
        <v>23</v>
      </c>
      <c r="I94" s="6">
        <v>11852041.65</v>
      </c>
      <c r="J94" s="6"/>
      <c r="K94" s="6"/>
      <c r="L94" s="6">
        <f t="shared" si="24"/>
        <v>11852041.65</v>
      </c>
      <c r="M94" s="6">
        <f t="shared" si="25"/>
        <v>1896326.66</v>
      </c>
      <c r="N94" s="6">
        <f t="shared" si="23"/>
        <v>13748368.310000001</v>
      </c>
      <c r="O94" s="6"/>
      <c r="P94" s="6">
        <f t="shared" si="26"/>
        <v>13748368.310000001</v>
      </c>
      <c r="Q94" s="4" t="str">
        <f>LOOKUP($E94,OBRAS!$D:$D,OBRAS!B:B)</f>
        <v>GYEMM INMOBILIARIA Y DISEÑOS EN INGENIERIA Y ARQUITECTURA, S.A. DE C.V.</v>
      </c>
      <c r="R94" s="4" t="str">
        <f>LOOKUP($E94,OBRAS!$D:$D,OBRAS!A:A)</f>
        <v>HERMOSILLO</v>
      </c>
      <c r="S94" s="4" t="str">
        <f>LOOKUP($E94,OBRAS!$D:$D,OBRAS!F:F)</f>
        <v>11000002003501E204K08063A625012162A207</v>
      </c>
      <c r="T94" s="4" t="str">
        <f>LOOKUP($E94,OBRAS!$D:$D,OBRAS!G:G)</f>
        <v>CE-926006995-E42-2016</v>
      </c>
      <c r="U94" s="4" t="s">
        <v>863</v>
      </c>
      <c r="V94" s="89">
        <v>42535</v>
      </c>
      <c r="W94" s="6">
        <f>LOOKUP($E94,OBRAS!$D:$D,OBRAS!K:K)</f>
        <v>45827894.390000001</v>
      </c>
      <c r="X94" s="109" t="str">
        <f t="shared" si="20"/>
        <v/>
      </c>
      <c r="Y94" s="109">
        <f t="shared" si="27"/>
        <v>0.50019999999999998</v>
      </c>
      <c r="Z94" s="109">
        <f t="shared" si="22"/>
        <v>0.65010000000000001</v>
      </c>
      <c r="AA94" s="4" t="str">
        <f>LOOKUP($E94,OBRAS!$D:$D,OBRAS!H:H)</f>
        <v>SH-ED-17-R-004</v>
      </c>
    </row>
    <row r="95" spans="3:27" ht="105" x14ac:dyDescent="0.25">
      <c r="C95" s="51">
        <v>93</v>
      </c>
      <c r="D95" s="4" t="str">
        <f>LOOKUP($E95,OBRAS!$D:$D,OBRAS!C:C)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95" s="4" t="s">
        <v>403</v>
      </c>
      <c r="F95" s="4"/>
      <c r="G95" s="4" t="str">
        <f>LOOKUP($E95,OBRAS!$D:$D,OBRAS!E:E)</f>
        <v>C-00098/0032</v>
      </c>
      <c r="H95" s="80" t="s">
        <v>23</v>
      </c>
      <c r="I95" s="6">
        <v>397057.55</v>
      </c>
      <c r="J95" s="6"/>
      <c r="K95" s="6"/>
      <c r="L95" s="6">
        <f t="shared" si="24"/>
        <v>397057.55</v>
      </c>
      <c r="M95" s="6">
        <f t="shared" si="25"/>
        <v>63529.21</v>
      </c>
      <c r="N95" s="6">
        <f t="shared" si="23"/>
        <v>460586.76</v>
      </c>
      <c r="O95" s="6"/>
      <c r="P95" s="6">
        <f t="shared" si="26"/>
        <v>460586.76</v>
      </c>
      <c r="Q95" s="4" t="str">
        <f>LOOKUP($E95,OBRAS!$D:$D,OBRAS!B:B)</f>
        <v>RL INFRAESTRUCTURA, S.A. DE C.V.</v>
      </c>
      <c r="R95" s="4" t="str">
        <f>LOOKUP($E95,OBRAS!$D:$D,OBRAS!A:A)</f>
        <v>VARIOS</v>
      </c>
      <c r="S95" s="4" t="str">
        <f>LOOKUP($E95,OBRAS!$D:$D,OBRAS!F:F)</f>
        <v>11000002003501E203K03203A625132161A013</v>
      </c>
      <c r="T95" s="4" t="str">
        <f>LOOKUP($E95,OBRAS!$D:$D,OBRAS!G:G)</f>
        <v>CE-926006995-E54-2016</v>
      </c>
      <c r="U95" s="4" t="s">
        <v>863</v>
      </c>
      <c r="V95" s="89">
        <v>42551</v>
      </c>
      <c r="W95" s="6">
        <f>LOOKUP($E95,OBRAS!$D:$D,OBRAS!K:K)</f>
        <v>4605867.6500000004</v>
      </c>
      <c r="X95" s="109" t="str">
        <f t="shared" si="20"/>
        <v/>
      </c>
      <c r="Y95" s="109">
        <f t="shared" si="27"/>
        <v>1.0003</v>
      </c>
      <c r="Z95" s="109">
        <f t="shared" si="22"/>
        <v>1</v>
      </c>
      <c r="AA95" s="4" t="str">
        <f>LOOKUP($E95,OBRAS!$D:$D,OBRAS!H:H)</f>
        <v>SH-ED-16-039</v>
      </c>
    </row>
    <row r="96" spans="3:27" ht="45" x14ac:dyDescent="0.25">
      <c r="C96" s="49">
        <v>94</v>
      </c>
      <c r="D96" s="4" t="str">
        <f>LOOKUP($E96,OBRAS!$D:$D,OBRAS!C:C)</f>
        <v>REMODELACION DEL PARQUE INFANTIL EN LA LOCALIDAD Y MUNICIPIO DE HERMOSILLO, SONORA</v>
      </c>
      <c r="E96" s="4" t="s">
        <v>45</v>
      </c>
      <c r="F96" s="4" t="s">
        <v>248</v>
      </c>
      <c r="G96" s="4" t="str">
        <f>LOOKUP($E96,OBRAS!$D:$D,OBRAS!E:E)</f>
        <v>C-00093/0004</v>
      </c>
      <c r="H96" s="80" t="s">
        <v>276</v>
      </c>
      <c r="I96" s="6">
        <v>3103038.78</v>
      </c>
      <c r="J96" s="6"/>
      <c r="K96" s="6">
        <f>ROUND(I96*0.4,2)</f>
        <v>1241215.51</v>
      </c>
      <c r="L96" s="6">
        <f t="shared" si="24"/>
        <v>1861823.27</v>
      </c>
      <c r="M96" s="6">
        <f t="shared" si="25"/>
        <v>297891.71999999997</v>
      </c>
      <c r="N96" s="6">
        <f t="shared" si="23"/>
        <v>2159714.9900000002</v>
      </c>
      <c r="O96" s="6">
        <f>ROUND(I96*0.005,2)</f>
        <v>15515.19</v>
      </c>
      <c r="P96" s="6">
        <f t="shared" si="26"/>
        <v>2144199.7999999998</v>
      </c>
      <c r="Q96" s="4" t="str">
        <f>LOOKUP($E96,OBRAS!$D:$D,OBRAS!B:B)</f>
        <v>GYCR SOLUCIONES INTEGRALES PARA LA CONSTRUCCION, S.A. DE C.V.</v>
      </c>
      <c r="R96" s="4" t="str">
        <f>LOOKUP($E96,OBRAS!$D:$D,OBRAS!A:A)</f>
        <v>HERMOSILLO</v>
      </c>
      <c r="S96" s="4" t="str">
        <f>LOOKUP($E96,OBRAS!$D:$D,OBRAS!F:F)</f>
        <v>11000002002202E406K17104A622202155GL07</v>
      </c>
      <c r="T96" s="4" t="str">
        <f>LOOKUP($E96,OBRAS!$D:$D,OBRAS!G:G)</f>
        <v>LO-926006995-N12-2015</v>
      </c>
      <c r="U96" s="7" t="s">
        <v>863</v>
      </c>
      <c r="V96" s="89">
        <v>42489</v>
      </c>
      <c r="W96" s="6">
        <f>LOOKUP($E96,OBRAS!$D:$D,OBRAS!K:K)</f>
        <v>53569288.82</v>
      </c>
      <c r="X96" s="109">
        <f t="shared" si="20"/>
        <v>6.7199999999999996E-2</v>
      </c>
      <c r="Y96" s="109">
        <f t="shared" si="27"/>
        <v>0.85470000000000002</v>
      </c>
      <c r="Z96" s="109">
        <f t="shared" si="22"/>
        <v>0.55269999999999997</v>
      </c>
      <c r="AA96" s="4" t="str">
        <f>LOOKUP($E96,OBRAS!$D:$D,OBRAS!H:H)</f>
        <v>SH-NC-16-R-003</v>
      </c>
    </row>
    <row r="97" spans="3:27" ht="60" x14ac:dyDescent="0.25">
      <c r="C97" s="49">
        <v>95</v>
      </c>
      <c r="D97" s="4" t="str">
        <f>LOOKUP($E97,OBRAS!$D:$D,OBRAS!C:C)</f>
        <v>RECARPETEO CON MICROCARPETA ASFALTICA DE 3 CMS DE ESPESOR EN VARIAS CALLES Y AVENIDAS DE LA LOCALIDAD Y MUNICIPIO DE HERMOSILLO, SONORA.</v>
      </c>
      <c r="E97" s="4" t="s">
        <v>227</v>
      </c>
      <c r="F97" s="4" t="s">
        <v>217</v>
      </c>
      <c r="G97" s="4" t="str">
        <f>LOOKUP($E97,OBRAS!$D:$D,OBRAS!E:E)</f>
        <v>C-00052/0148</v>
      </c>
      <c r="H97" s="80" t="s">
        <v>55</v>
      </c>
      <c r="I97" s="6">
        <v>3079056.58</v>
      </c>
      <c r="J97" s="6"/>
      <c r="K97" s="6">
        <f>ROUND(I97*0.3,2)</f>
        <v>923716.97</v>
      </c>
      <c r="L97" s="6">
        <f t="shared" si="24"/>
        <v>2155339.61</v>
      </c>
      <c r="M97" s="6">
        <f t="shared" si="25"/>
        <v>344854.34</v>
      </c>
      <c r="N97" s="6">
        <f t="shared" si="23"/>
        <v>2500193.9500000002</v>
      </c>
      <c r="O97" s="6">
        <v>15087.38</v>
      </c>
      <c r="P97" s="6">
        <f t="shared" si="26"/>
        <v>2485106.5699999998</v>
      </c>
      <c r="Q97" s="4" t="str">
        <f>LOOKUP($E97,OBRAS!$D:$D,OBRAS!B:B)</f>
        <v>TECNOASFALTOS Y TERRACERIAS, S.A. DE C.V.</v>
      </c>
      <c r="R97" s="4" t="str">
        <f>LOOKUP($E97,OBRAS!$D:$D,OBRAS!A:A)</f>
        <v>HERMOSILLO</v>
      </c>
      <c r="S97" s="4" t="str">
        <f>LOOKUP($E97,OBRAS!$D:$D,OBRAS!F:F)</f>
        <v>11000002002201E201K02203A614202155DM07</v>
      </c>
      <c r="T97" s="4" t="str">
        <f>LOOKUP($E97,OBRAS!$D:$D,OBRAS!G:G)</f>
        <v>XX-926006995-X33-2015</v>
      </c>
      <c r="U97" s="4" t="s">
        <v>863</v>
      </c>
      <c r="V97" s="89">
        <v>42506</v>
      </c>
      <c r="W97" s="6">
        <f>LOOKUP($E97,OBRAS!$D:$D,OBRAS!K:K)</f>
        <v>8412238.6600000001</v>
      </c>
      <c r="X97" s="109">
        <f t="shared" si="20"/>
        <v>0.42459999999999998</v>
      </c>
      <c r="Y97" s="109">
        <f t="shared" si="27"/>
        <v>0.98519999999999996</v>
      </c>
      <c r="Z97" s="109">
        <f t="shared" si="22"/>
        <v>0.68969999999999998</v>
      </c>
      <c r="AA97" s="4" t="str">
        <f>LOOKUP($E97,OBRAS!$D:$D,OBRAS!H:H)</f>
        <v>SH-FAFEF-16-R-002</v>
      </c>
    </row>
    <row r="98" spans="3:27" ht="45" x14ac:dyDescent="0.25">
      <c r="C98" s="49">
        <v>96</v>
      </c>
      <c r="D98" s="4" t="str">
        <f>LOOKUP($E98,OBRAS!$D:$D,OBRAS!C:C)</f>
        <v>CONSTRUCCION DE PARQUE DE ACCESO DEL MUSEO MUSAS EN LA LOCALIDAD Y MUNICIPIO DE HERMOSILLO</v>
      </c>
      <c r="E98" s="4" t="s">
        <v>89</v>
      </c>
      <c r="F98" s="4" t="s">
        <v>225</v>
      </c>
      <c r="G98" s="4" t="str">
        <f>LOOKUP($E98,OBRAS!$D:$D,OBRAS!E:E)</f>
        <v>C-00093/0010</v>
      </c>
      <c r="H98" s="80" t="s">
        <v>221</v>
      </c>
      <c r="I98" s="6">
        <v>373763.92</v>
      </c>
      <c r="J98" s="6"/>
      <c r="K98" s="6">
        <f>ROUND(I98*0.4,2)</f>
        <v>149505.57</v>
      </c>
      <c r="L98" s="6">
        <f t="shared" si="24"/>
        <v>224258.35</v>
      </c>
      <c r="M98" s="6">
        <f t="shared" si="25"/>
        <v>35881.339999999997</v>
      </c>
      <c r="N98" s="6">
        <f t="shared" ref="N98:N129" si="28">M98+L98</f>
        <v>260139.69</v>
      </c>
      <c r="O98" s="6">
        <f>ROUND(I98*0.005,2)</f>
        <v>1868.82</v>
      </c>
      <c r="P98" s="6">
        <f t="shared" si="26"/>
        <v>258270.87</v>
      </c>
      <c r="Q98" s="4" t="str">
        <f>LOOKUP($E98,OBRAS!$D:$D,OBRAS!B:B)</f>
        <v>CONSTRUCTORES LISTABLANCA, S.A. DE C.V.</v>
      </c>
      <c r="R98" s="4" t="str">
        <f>LOOKUP($E98,OBRAS!$D:$D,OBRAS!A:A)</f>
        <v>HERMOSILLO</v>
      </c>
      <c r="S98" s="4" t="str">
        <f>LOOKUP($E98,OBRAS!$D:$D,OBRAS!F:F)</f>
        <v>11000002002402E406K06106A612012155GL07</v>
      </c>
      <c r="T98" s="4" t="str">
        <f>LOOKUP($E98,OBRAS!$D:$D,OBRAS!G:G)</f>
        <v>LO-926006995-N8-2015</v>
      </c>
      <c r="U98" s="4" t="s">
        <v>863</v>
      </c>
      <c r="V98" s="89">
        <v>42516</v>
      </c>
      <c r="W98" s="6">
        <f>LOOKUP($E98,OBRAS!$D:$D,OBRAS!K:K)</f>
        <v>10308275.199999999</v>
      </c>
      <c r="X98" s="109">
        <f t="shared" si="20"/>
        <v>4.2099999999999999E-2</v>
      </c>
      <c r="Y98" s="109">
        <f t="shared" si="27"/>
        <v>1.0001</v>
      </c>
      <c r="Z98" s="109">
        <f t="shared" si="22"/>
        <v>0.6</v>
      </c>
      <c r="AA98" s="4" t="str">
        <f>LOOKUP($E98,OBRAS!$D:$D,OBRAS!H:H)</f>
        <v>SH-NC-16-R-007</v>
      </c>
    </row>
    <row r="99" spans="3:27" ht="45" x14ac:dyDescent="0.25">
      <c r="C99" s="49">
        <v>97</v>
      </c>
      <c r="D99" s="4" t="str">
        <f>LOOKUP($E99,OBRAS!$D:$D,OBRAS!C:C)</f>
        <v>CONSTRUCCION DE PARQUE DE ACCESO DEL MUSEO MUSAS EN LA LOCALIDAD Y MUNICIPIO DE HERMOSILLO</v>
      </c>
      <c r="E99" s="4" t="s">
        <v>89</v>
      </c>
      <c r="F99" s="4" t="s">
        <v>225</v>
      </c>
      <c r="G99" s="4" t="str">
        <f>LOOKUP($E99,OBRAS!$D:$D,OBRAS!E:E)</f>
        <v>C-00093/0010</v>
      </c>
      <c r="H99" s="80" t="s">
        <v>55</v>
      </c>
      <c r="I99" s="6">
        <v>660127.55000000005</v>
      </c>
      <c r="J99" s="6"/>
      <c r="K99" s="6">
        <f>ROUND(I99*0.4,2)</f>
        <v>264051.02</v>
      </c>
      <c r="L99" s="6">
        <f t="shared" si="24"/>
        <v>396076.53</v>
      </c>
      <c r="M99" s="6">
        <f t="shared" si="25"/>
        <v>63372.24</v>
      </c>
      <c r="N99" s="6">
        <f t="shared" si="28"/>
        <v>459448.77</v>
      </c>
      <c r="O99" s="6">
        <f>ROUND(I99*0.005,2)</f>
        <v>3300.64</v>
      </c>
      <c r="P99" s="6">
        <f t="shared" si="26"/>
        <v>456148.13</v>
      </c>
      <c r="Q99" s="4" t="str">
        <f>LOOKUP($E99,OBRAS!$D:$D,OBRAS!B:B)</f>
        <v>CONSTRUCTORES LISTABLANCA, S.A. DE C.V.</v>
      </c>
      <c r="R99" s="4" t="str">
        <f>LOOKUP($E99,OBRAS!$D:$D,OBRAS!A:A)</f>
        <v>HERMOSILLO</v>
      </c>
      <c r="S99" s="4" t="str">
        <f>LOOKUP($E99,OBRAS!$D:$D,OBRAS!F:F)</f>
        <v>11000002002402E406K06106A612012155GL07</v>
      </c>
      <c r="T99" s="4" t="str">
        <f>LOOKUP($E99,OBRAS!$D:$D,OBRAS!G:G)</f>
        <v>LO-926006995-N8-2015</v>
      </c>
      <c r="U99" s="4" t="s">
        <v>863</v>
      </c>
      <c r="V99" s="89">
        <v>42516</v>
      </c>
      <c r="W99" s="6">
        <f>LOOKUP($E99,OBRAS!$D:$D,OBRAS!K:K)</f>
        <v>10308275.199999999</v>
      </c>
      <c r="X99" s="109">
        <f t="shared" si="20"/>
        <v>7.4300000000000005E-2</v>
      </c>
      <c r="Y99" s="109">
        <f t="shared" si="27"/>
        <v>1.0001</v>
      </c>
      <c r="Z99" s="109">
        <f t="shared" si="22"/>
        <v>0.6</v>
      </c>
      <c r="AA99" s="4" t="str">
        <f>LOOKUP($E99,OBRAS!$D:$D,OBRAS!H:H)</f>
        <v>SH-NC-16-R-007</v>
      </c>
    </row>
    <row r="100" spans="3:27" ht="60" x14ac:dyDescent="0.25">
      <c r="C100" s="49">
        <v>98</v>
      </c>
      <c r="D100" s="4" t="str">
        <f>LOOKUP($E100,OBRAS!$D:$D,OBRAS!C:C)</f>
        <v>RECARPETEO CON MICROCARPETA ASFALTICA DE 3 CMS. DE ESPESOR EN VARIAS CALLES Y AVENIDAS DE LA LOCALIDAD DE CIUDAD OBREGON, MUNICIPIO DE CAJEME, SONORA.</v>
      </c>
      <c r="E100" s="4" t="s">
        <v>257</v>
      </c>
      <c r="F100" s="4" t="s">
        <v>225</v>
      </c>
      <c r="G100" s="4" t="str">
        <f>LOOKUP($E100,OBRAS!$D:$D,OBRAS!E:E)</f>
        <v>C-00052/0151</v>
      </c>
      <c r="H100" s="80" t="s">
        <v>221</v>
      </c>
      <c r="I100" s="6">
        <v>1944875.92</v>
      </c>
      <c r="J100" s="6"/>
      <c r="K100" s="6">
        <f>ROUND(I100*0.3,2)</f>
        <v>583462.78</v>
      </c>
      <c r="L100" s="6">
        <f t="shared" si="24"/>
        <v>1361413.14</v>
      </c>
      <c r="M100" s="6">
        <f t="shared" si="25"/>
        <v>217826.1</v>
      </c>
      <c r="N100" s="6">
        <f t="shared" si="28"/>
        <v>1579239.24</v>
      </c>
      <c r="O100" s="6">
        <f>ROUND(I100*0.005,2)</f>
        <v>9724.3799999999992</v>
      </c>
      <c r="P100" s="6">
        <f t="shared" si="26"/>
        <v>1569514.86</v>
      </c>
      <c r="Q100" s="4" t="str">
        <f>LOOKUP($E100,OBRAS!$D:$D,OBRAS!B:B)</f>
        <v>INGENIEROS CIVILES, S.A. DE C.V.</v>
      </c>
      <c r="R100" s="4" t="str">
        <f>LOOKUP($E100,OBRAS!$D:$D,OBRAS!A:A)</f>
        <v>CAJEME</v>
      </c>
      <c r="S100" s="4" t="str">
        <f>LOOKUP($E100,OBRAS!$D:$D,OBRAS!F:F)</f>
        <v>11000002002201E201K02203A614202155DM11</v>
      </c>
      <c r="T100" s="4" t="str">
        <f>LOOKUP($E100,OBRAS!$D:$D,OBRAS!G:G)</f>
        <v>XX-926006995-X36-2015</v>
      </c>
      <c r="U100" s="4" t="s">
        <v>863</v>
      </c>
      <c r="V100" s="89">
        <v>42510</v>
      </c>
      <c r="W100" s="6">
        <f>LOOKUP($E100,OBRAS!$D:$D,OBRAS!K:K)</f>
        <v>5404780.6299999999</v>
      </c>
      <c r="X100" s="109">
        <f t="shared" si="20"/>
        <v>0.41739999999999999</v>
      </c>
      <c r="Y100" s="109">
        <f t="shared" si="27"/>
        <v>0.91439999999999999</v>
      </c>
      <c r="Z100" s="109">
        <f t="shared" si="22"/>
        <v>0.6401</v>
      </c>
      <c r="AA100" s="4" t="str">
        <f>LOOKUP($E100,OBRAS!$D:$D,OBRAS!H:H)</f>
        <v>SH-FAFEF-16-R-002</v>
      </c>
    </row>
    <row r="101" spans="3:27" ht="45" x14ac:dyDescent="0.25">
      <c r="C101" s="49">
        <v>99</v>
      </c>
      <c r="D101" s="4" t="str">
        <f>LOOKUP($E101,OBRAS!$D:$D,OBRAS!C:C)</f>
        <v>REMODELACION DEL PARQUE INFANTIL EN LA LOCALIDAD Y MUNICIPIO DE HERMOSILLO, SONORA</v>
      </c>
      <c r="E101" s="4" t="s">
        <v>45</v>
      </c>
      <c r="F101" s="4" t="s">
        <v>248</v>
      </c>
      <c r="G101" s="4" t="str">
        <f>LOOKUP($E101,OBRAS!$D:$D,OBRAS!E:E)</f>
        <v>C-00093/0004</v>
      </c>
      <c r="H101" s="80" t="s">
        <v>277</v>
      </c>
      <c r="I101" s="6">
        <v>2221504.6</v>
      </c>
      <c r="J101" s="6"/>
      <c r="K101" s="6">
        <f>ROUND(I101*0.4,2)</f>
        <v>888601.84</v>
      </c>
      <c r="L101" s="6">
        <f t="shared" si="24"/>
        <v>1332902.76</v>
      </c>
      <c r="M101" s="6">
        <f t="shared" si="25"/>
        <v>213264.44</v>
      </c>
      <c r="N101" s="6">
        <f t="shared" si="28"/>
        <v>1546167.2</v>
      </c>
      <c r="O101" s="6">
        <f>ROUND(I101*0.005,2)</f>
        <v>11107.52</v>
      </c>
      <c r="P101" s="6">
        <f t="shared" si="26"/>
        <v>1535059.68</v>
      </c>
      <c r="Q101" s="4" t="str">
        <f>LOOKUP($E101,OBRAS!$D:$D,OBRAS!B:B)</f>
        <v>GYCR SOLUCIONES INTEGRALES PARA LA CONSTRUCCION, S.A. DE C.V.</v>
      </c>
      <c r="R101" s="4" t="str">
        <f>LOOKUP($E101,OBRAS!$D:$D,OBRAS!A:A)</f>
        <v>HERMOSILLO</v>
      </c>
      <c r="S101" s="4" t="str">
        <f>LOOKUP($E101,OBRAS!$D:$D,OBRAS!F:F)</f>
        <v>11000002002202E406K17104A622202155GL07</v>
      </c>
      <c r="T101" s="4" t="str">
        <f>LOOKUP($E101,OBRAS!$D:$D,OBRAS!G:G)</f>
        <v>LO-926006995-N12-2015</v>
      </c>
      <c r="U101" s="7" t="s">
        <v>863</v>
      </c>
      <c r="V101" s="89">
        <v>42516</v>
      </c>
      <c r="W101" s="6">
        <f>LOOKUP($E101,OBRAS!$D:$D,OBRAS!K:K)</f>
        <v>53569288.82</v>
      </c>
      <c r="X101" s="109">
        <f t="shared" si="20"/>
        <v>4.8099999999999997E-2</v>
      </c>
      <c r="Y101" s="109">
        <f t="shared" si="27"/>
        <v>0.85470000000000002</v>
      </c>
      <c r="Z101" s="109">
        <f t="shared" si="22"/>
        <v>0.55269999999999997</v>
      </c>
      <c r="AA101" s="4" t="str">
        <f>LOOKUP($E101,OBRAS!$D:$D,OBRAS!H:H)</f>
        <v>SH-NC-16-R-003</v>
      </c>
    </row>
    <row r="102" spans="3:27" ht="75" x14ac:dyDescent="0.25">
      <c r="C102" s="49">
        <v>100</v>
      </c>
      <c r="D102" s="4" t="str">
        <f>LOOKUP($E102,OBRAS!$D:$D,OBRAS!C:C)</f>
        <v>SUPERVISION EXTERNA PARA LA OBRA: CONSTRUCCION DE PARQUE, PLAYA Y BALNEARIO KINO MAGICO (ETAPA 1) EN LA COMISARIA DE BAHIA DE KINO MUNICIPIO DE HERMOSILLO, SONORA.</v>
      </c>
      <c r="E102" s="52" t="s">
        <v>410</v>
      </c>
      <c r="F102" s="4"/>
      <c r="G102" s="4" t="str">
        <f>LOOKUP($E102,OBRAS!$D:$D,OBRAS!E:E)</f>
        <v>C-00053/0014</v>
      </c>
      <c r="H102" s="80" t="s">
        <v>23</v>
      </c>
      <c r="I102" s="6">
        <v>209390.83</v>
      </c>
      <c r="J102" s="6"/>
      <c r="K102" s="6"/>
      <c r="L102" s="6">
        <f t="shared" si="24"/>
        <v>209390.83</v>
      </c>
      <c r="M102" s="6">
        <f t="shared" si="25"/>
        <v>33502.53</v>
      </c>
      <c r="N102" s="6">
        <f t="shared" si="28"/>
        <v>242893.36</v>
      </c>
      <c r="O102" s="6"/>
      <c r="P102" s="6">
        <f t="shared" si="26"/>
        <v>242893.36</v>
      </c>
      <c r="Q102" s="4" t="str">
        <f>LOOKUP($E102,OBRAS!$D:$D,OBRAS!B:B)</f>
        <v>CONSULTORIA Y CONSTRUCCION DEL NOROESTE</v>
      </c>
      <c r="R102" s="4" t="str">
        <f>LOOKUP($E102,OBRAS!$D:$D,OBRAS!A:A)</f>
        <v>HERMOSILLO</v>
      </c>
      <c r="S102" s="4" t="str">
        <f>LOOKUP($E102,OBRAS!$D:$D,OBRAS!F:F)</f>
        <v>11000002003701E306K05101A121012162A207</v>
      </c>
      <c r="T102" s="4" t="str">
        <f>LOOKUP($E102,OBRAS!$D:$D,OBRAS!G:G)</f>
        <v>CE-926006995-E56-2016</v>
      </c>
      <c r="U102" s="4" t="s">
        <v>863</v>
      </c>
      <c r="V102" s="89">
        <v>42544</v>
      </c>
      <c r="W102" s="6">
        <f>LOOKUP($E102,OBRAS!$D:$D,OBRAS!K:K)</f>
        <v>2428933.5699999998</v>
      </c>
      <c r="X102" s="109" t="str">
        <f t="shared" si="20"/>
        <v/>
      </c>
      <c r="Y102" s="109">
        <f t="shared" si="27"/>
        <v>0.71450000000000002</v>
      </c>
      <c r="Z102" s="109">
        <f t="shared" si="22"/>
        <v>0.7429</v>
      </c>
      <c r="AA102" s="4" t="str">
        <f>LOOKUP($E102,OBRAS!$D:$D,OBRAS!H:H)</f>
        <v>SH-ED-16-046</v>
      </c>
    </row>
    <row r="103" spans="3:27" ht="75" x14ac:dyDescent="0.25">
      <c r="C103" s="49">
        <v>101</v>
      </c>
      <c r="D103" s="4" t="str">
        <f>LOOKUP($E103,OBRAS!$D:$D,OBRAS!C:C)</f>
        <v>SUPERVISION EXTERNA Y CONTROL DE CALIDAD DE LA CONSERVACION Y RECONSTRUCCION DE CARRETERAS ALIMENTADORAS REGION GUAYMAS-EMPALME, TRAMO: URSULO GALVAN-JUNELANCAHUI, DEL KM 0+000 AL KM 5+600</v>
      </c>
      <c r="E103" s="52" t="s">
        <v>414</v>
      </c>
      <c r="F103" s="4"/>
      <c r="G103" s="4" t="str">
        <f>LOOKUP($E103,OBRAS!$D:$D,OBRAS!E:E)</f>
        <v>C-00098/0021</v>
      </c>
      <c r="H103" s="80" t="s">
        <v>23</v>
      </c>
      <c r="I103" s="6">
        <v>38759.46</v>
      </c>
      <c r="J103" s="6"/>
      <c r="K103" s="6"/>
      <c r="L103" s="6">
        <f t="shared" si="24"/>
        <v>38759.46</v>
      </c>
      <c r="M103" s="6">
        <f t="shared" si="25"/>
        <v>6201.51</v>
      </c>
      <c r="N103" s="6">
        <f t="shared" si="28"/>
        <v>44960.97</v>
      </c>
      <c r="O103" s="6"/>
      <c r="P103" s="6">
        <f t="shared" si="26"/>
        <v>44960.97</v>
      </c>
      <c r="Q103" s="4" t="str">
        <f>LOOKUP($E103,OBRAS!$D:$D,OBRAS!B:B)</f>
        <v>ISAFRA CONSTRUCCIONES, S.A. DE C.V.</v>
      </c>
      <c r="R103" s="4" t="str">
        <f>LOOKUP($E103,OBRAS!$D:$D,OBRAS!A:A)</f>
        <v>VARIOS</v>
      </c>
      <c r="S103" s="4" t="str">
        <f>LOOKUP($E103,OBRAS!$D:$D,OBRAS!F:F)</f>
        <v>11000002003501E203K03203A625132161A013</v>
      </c>
      <c r="T103" s="4" t="str">
        <f>LOOKUP($E103,OBRAS!$D:$D,OBRAS!G:G)</f>
        <v>LICITACIÓN SIMPLIFICADA</v>
      </c>
      <c r="U103" s="4" t="s">
        <v>863</v>
      </c>
      <c r="V103" s="89">
        <v>42545</v>
      </c>
      <c r="W103" s="6">
        <f>LOOKUP($E103,OBRAS!$D:$D,OBRAS!K:K)</f>
        <v>449609.84</v>
      </c>
      <c r="X103" s="109" t="str">
        <f t="shared" si="20"/>
        <v/>
      </c>
      <c r="Y103" s="109">
        <f t="shared" si="27"/>
        <v>0.91659999999999997</v>
      </c>
      <c r="Z103" s="109">
        <f t="shared" si="22"/>
        <v>0.92500000000000004</v>
      </c>
      <c r="AA103" s="4" t="str">
        <f>LOOKUP($E103,OBRAS!$D:$D,OBRAS!H:H)</f>
        <v>SH-ED-16-051</v>
      </c>
    </row>
    <row r="104" spans="3:27" ht="45" x14ac:dyDescent="0.25">
      <c r="C104" s="49">
        <v>102</v>
      </c>
      <c r="D104" s="4" t="str">
        <f>LOOKUP($E104,OBRAS!$D:$D,OBRAS!C:C)</f>
        <v>SUPERVISION EXTERNA: CONSTRUCCION DE PARQUE DE ACCESO DEL MUSEO MUSAS EN LA LOCALIDAD Y MUNICIPIO DE HERMOSILLO</v>
      </c>
      <c r="E104" s="4" t="s">
        <v>470</v>
      </c>
      <c r="F104" s="4" t="s">
        <v>285</v>
      </c>
      <c r="G104" s="4" t="str">
        <f>LOOKUP($E104,OBRAS!$D:$D,OBRAS!E:E)</f>
        <v>C-00093/0010</v>
      </c>
      <c r="H104" s="80" t="s">
        <v>221</v>
      </c>
      <c r="I104" s="6">
        <v>27272.25</v>
      </c>
      <c r="J104" s="6"/>
      <c r="K104" s="6">
        <v>8181.68</v>
      </c>
      <c r="L104" s="6">
        <f t="shared" si="24"/>
        <v>19090.57</v>
      </c>
      <c r="M104" s="6">
        <f t="shared" si="25"/>
        <v>3054.49</v>
      </c>
      <c r="N104" s="6">
        <f t="shared" si="28"/>
        <v>22145.06</v>
      </c>
      <c r="O104" s="6">
        <f>ROUND(I104*0.005,2)</f>
        <v>136.36000000000001</v>
      </c>
      <c r="P104" s="6">
        <f t="shared" si="26"/>
        <v>22008.7</v>
      </c>
      <c r="Q104" s="4" t="str">
        <f>LOOKUP($E104,OBRAS!$D:$D,OBRAS!B:B)</f>
        <v>ING. MARTIN GRAJEDA ARAGON</v>
      </c>
      <c r="R104" s="4" t="str">
        <f>LOOKUP($E104,OBRAS!$D:$D,OBRAS!A:A)</f>
        <v>HERMOSILLO</v>
      </c>
      <c r="S104" s="4" t="str">
        <f>LOOKUP($E104,OBRAS!$D:$D,OBRAS!F:F)</f>
        <v>11000002002402E406K06106A612222155GL07</v>
      </c>
      <c r="T104" s="4" t="str">
        <f>LOOKUP($E104,OBRAS!$D:$D,OBRAS!G:G)</f>
        <v>SO-926006995-N22-2015
DIRECTA</v>
      </c>
      <c r="U104" s="4" t="s">
        <v>863</v>
      </c>
      <c r="V104" s="89">
        <v>42529</v>
      </c>
      <c r="W104" s="6">
        <f>LOOKUP($E104,OBRAS!$D:$D,OBRAS!K:K)</f>
        <v>183692.58</v>
      </c>
      <c r="X104" s="109">
        <f t="shared" si="20"/>
        <v>0.17219999999999999</v>
      </c>
      <c r="Y104" s="109">
        <f t="shared" si="27"/>
        <v>0.99990000000000001</v>
      </c>
      <c r="Z104" s="109">
        <f t="shared" si="22"/>
        <v>0.7</v>
      </c>
      <c r="AA104" s="4" t="str">
        <f>LOOKUP($E104,OBRAS!$D:$D,OBRAS!H:H)</f>
        <v>SH-NC-16-R-007</v>
      </c>
    </row>
    <row r="105" spans="3:27" ht="30" x14ac:dyDescent="0.25">
      <c r="C105" s="49">
        <v>103</v>
      </c>
      <c r="D105" s="4" t="str">
        <f>LOOKUP($E105,OBRAS!$D:$D,OBRAS!C:C)</f>
        <v>OBRAS DE REHABILITACION DEL DELFINARIO SONORA (PRIMERA ETAPA)</v>
      </c>
      <c r="E105" s="4" t="s">
        <v>603</v>
      </c>
      <c r="F105" s="4"/>
      <c r="G105" s="4" t="str">
        <f>LOOKUP($E105,OBRAS!$D:$D,OBRAS!E:E)</f>
        <v>C-00061/0013</v>
      </c>
      <c r="H105" s="80" t="s">
        <v>23</v>
      </c>
      <c r="I105" s="6">
        <v>8836126.0299999993</v>
      </c>
      <c r="J105" s="6"/>
      <c r="K105" s="6"/>
      <c r="L105" s="6">
        <f t="shared" si="24"/>
        <v>8836126.0299999993</v>
      </c>
      <c r="M105" s="6">
        <f t="shared" si="25"/>
        <v>1413780.16</v>
      </c>
      <c r="N105" s="6">
        <f t="shared" si="28"/>
        <v>10249906.189999999</v>
      </c>
      <c r="O105" s="6"/>
      <c r="P105" s="6">
        <f t="shared" si="26"/>
        <v>10249906.189999999</v>
      </c>
      <c r="Q105" s="4" t="str">
        <f>LOOKUP($E105,OBRAS!$D:$D,OBRAS!B:B)</f>
        <v>CONSTRUCTORA MIRAMAR, S.A. DE C.V.</v>
      </c>
      <c r="R105" s="4" t="str">
        <f>LOOKUP($E105,OBRAS!$D:$D,OBRAS!A:A)</f>
        <v>GUAYMAS</v>
      </c>
      <c r="S105" s="4" t="str">
        <f>LOOKUP($E105,OBRAS!$D:$D,OBRAS!F:F)</f>
        <v>11000002002202E401K04039A622032165DM10</v>
      </c>
      <c r="T105" s="4" t="str">
        <f>LOOKUP($E105,OBRAS!$D:$D,OBRAS!G:G)</f>
        <v>CE-926006995-E37-2016</v>
      </c>
      <c r="U105" s="4" t="s">
        <v>863</v>
      </c>
      <c r="V105" s="89">
        <v>42529</v>
      </c>
      <c r="W105" s="6">
        <f>LOOKUP($E105,OBRAS!$D:$D,OBRAS!K:K)</f>
        <v>34216706.5</v>
      </c>
      <c r="X105" s="109" t="str">
        <f t="shared" si="20"/>
        <v/>
      </c>
      <c r="Y105" s="109">
        <f t="shared" si="27"/>
        <v>0.9748</v>
      </c>
      <c r="Z105" s="109">
        <f t="shared" si="22"/>
        <v>0.9819</v>
      </c>
      <c r="AA105" s="4" t="str">
        <f>LOOKUP($E105,OBRAS!$D:$D,OBRAS!H:H)</f>
        <v>SH-FAFEF-17-R-002</v>
      </c>
    </row>
    <row r="106" spans="3:27" ht="75" x14ac:dyDescent="0.25">
      <c r="C106" s="49">
        <v>104</v>
      </c>
      <c r="D106" s="4" t="str">
        <f>LOOKUP($E106,OBRAS!$D:$D,OBRAS!C:C)</f>
        <v>SUPERVISION EXYERNA Y CONTROL DE CALIDAD DE LA CONSERVACION Y RECONSTRUCCION DE CARRETERAS ALIMENTADORAS REGION GUAYMAS--EMPALME, TRAMO: AGUILITAS-BRINGAS DEL KM 0+000 AL KM 10+500</v>
      </c>
      <c r="E106" s="4" t="s">
        <v>416</v>
      </c>
      <c r="F106" s="4"/>
      <c r="G106" s="4" t="str">
        <f>LOOKUP($E106,OBRAS!$D:$D,OBRAS!E:E)</f>
        <v>C-00098/0021</v>
      </c>
      <c r="H106" s="80" t="s">
        <v>23</v>
      </c>
      <c r="I106" s="6">
        <v>53760.58</v>
      </c>
      <c r="J106" s="6"/>
      <c r="K106" s="6"/>
      <c r="L106" s="6">
        <f t="shared" si="24"/>
        <v>53760.58</v>
      </c>
      <c r="M106" s="6">
        <f t="shared" si="25"/>
        <v>8601.69</v>
      </c>
      <c r="N106" s="6">
        <f t="shared" si="28"/>
        <v>62362.27</v>
      </c>
      <c r="O106" s="6"/>
      <c r="P106" s="6">
        <f t="shared" si="26"/>
        <v>62362.27</v>
      </c>
      <c r="Q106" s="4" t="str">
        <f>LOOKUP($E106,OBRAS!$D:$D,OBRAS!B:B)</f>
        <v>ISAFRA CONSTRUCCIONES, S.A. DE C.V.</v>
      </c>
      <c r="R106" s="4" t="str">
        <f>LOOKUP($E106,OBRAS!$D:$D,OBRAS!A:A)</f>
        <v>VARIOS</v>
      </c>
      <c r="S106" s="4" t="str">
        <f>LOOKUP($E106,OBRAS!$D:$D,OBRAS!F:F)</f>
        <v>11000002003501E203K03203A625132161A013</v>
      </c>
      <c r="T106" s="4" t="str">
        <f>LOOKUP($E106,OBRAS!$D:$D,OBRAS!G:G)</f>
        <v>LICITACIÓN SIMPLIFICADA</v>
      </c>
      <c r="U106" s="4" t="s">
        <v>863</v>
      </c>
      <c r="V106" s="89">
        <v>42545</v>
      </c>
      <c r="W106" s="6">
        <f>LOOKUP($E106,OBRAS!$D:$D,OBRAS!K:K)</f>
        <v>623622.72</v>
      </c>
      <c r="X106" s="109" t="str">
        <f t="shared" si="20"/>
        <v/>
      </c>
      <c r="Y106" s="109">
        <f t="shared" si="27"/>
        <v>1</v>
      </c>
      <c r="Z106" s="109">
        <f t="shared" si="22"/>
        <v>1</v>
      </c>
      <c r="AA106" s="4" t="str">
        <f>LOOKUP($E106,OBRAS!$D:$D,OBRAS!H:H)</f>
        <v>SH-ED-16-051</v>
      </c>
    </row>
    <row r="107" spans="3:27" ht="45" x14ac:dyDescent="0.25">
      <c r="C107" s="49">
        <v>105</v>
      </c>
      <c r="D107" s="4" t="str">
        <f>LOOKUP($E107,OBRAS!$D:$D,OBRAS!C:C)</f>
        <v>SUPERVISION EXTERNA Y CONTROL DE CALIDAD PARA LA OBRA: RECONSTRUCCIÓN DEL CAMINO CALLE 12 SUR, HERMOSILLO, SONORA.</v>
      </c>
      <c r="E107" s="4" t="s">
        <v>419</v>
      </c>
      <c r="F107" s="4"/>
      <c r="G107" s="4" t="str">
        <f>LOOKUP($E107,OBRAS!$D:$D,OBRAS!E:E)</f>
        <v>C-00098/0022</v>
      </c>
      <c r="H107" s="80" t="s">
        <v>23</v>
      </c>
      <c r="I107" s="6">
        <v>60622.720000000001</v>
      </c>
      <c r="J107" s="6"/>
      <c r="K107" s="6"/>
      <c r="L107" s="6">
        <f t="shared" si="24"/>
        <v>60622.720000000001</v>
      </c>
      <c r="M107" s="6">
        <f t="shared" si="25"/>
        <v>9699.64</v>
      </c>
      <c r="N107" s="6">
        <f t="shared" si="28"/>
        <v>70322.36</v>
      </c>
      <c r="O107" s="6"/>
      <c r="P107" s="6">
        <f t="shared" si="26"/>
        <v>70322.36</v>
      </c>
      <c r="Q107" s="4" t="str">
        <f>LOOKUP($E107,OBRAS!$D:$D,OBRAS!B:B)</f>
        <v>SEI TETRA, S. A. DE C. V.</v>
      </c>
      <c r="R107" s="4" t="str">
        <f>LOOKUP($E107,OBRAS!$D:$D,OBRAS!A:A)</f>
        <v>HERMOSILLO</v>
      </c>
      <c r="S107" s="4" t="str">
        <f>LOOKUP($E107,OBRAS!$D:$D,OBRAS!F:F)</f>
        <v>11000002002207E201K02104A622212161A013</v>
      </c>
      <c r="T107" s="4" t="str">
        <f>LOOKUP($E107,OBRAS!$D:$D,OBRAS!G:G)</f>
        <v>LICITACIÓN SIMPLIFICADA</v>
      </c>
      <c r="U107" s="4" t="s">
        <v>863</v>
      </c>
      <c r="V107" s="89">
        <v>42545</v>
      </c>
      <c r="W107" s="6">
        <f>LOOKUP($E107,OBRAS!$D:$D,OBRAS!K:K)</f>
        <v>703223.55</v>
      </c>
      <c r="X107" s="109" t="str">
        <f t="shared" si="20"/>
        <v/>
      </c>
      <c r="Y107" s="109">
        <f>ROUND(SUMIF(E:E,E107,X:X),2)</f>
        <v>1</v>
      </c>
      <c r="Z107" s="109">
        <f t="shared" si="22"/>
        <v>1</v>
      </c>
      <c r="AA107" s="4" t="str">
        <f>LOOKUP($E107,OBRAS!$D:$D,OBRAS!H:H)</f>
        <v>SH-ED-16-028</v>
      </c>
    </row>
    <row r="108" spans="3:27" ht="60" x14ac:dyDescent="0.25">
      <c r="C108" s="49">
        <v>106</v>
      </c>
      <c r="D108" s="4" t="str">
        <f>LOOKUP($E108,OBRAS!$D:$D,OBRAS!C:C)</f>
        <v>SUPERVISION EXTERNA Y CONTROL DE CALIDAD DE RECONSTRUCCION DEL CAMINO HERMOSILLO-BAHIA DE KINO EN VARIAS LOCALIADES DEL MUNICIPIO DE HERMOSILLO, SONORA.</v>
      </c>
      <c r="E108" s="4" t="s">
        <v>421</v>
      </c>
      <c r="F108" s="4"/>
      <c r="G108" s="4" t="str">
        <f>LOOKUP($E108,OBRAS!$D:$D,OBRAS!E:E)</f>
        <v>C-00098/0021</v>
      </c>
      <c r="H108" s="80" t="s">
        <v>23</v>
      </c>
      <c r="I108" s="6">
        <v>98878.8</v>
      </c>
      <c r="J108" s="6"/>
      <c r="K108" s="6"/>
      <c r="L108" s="6">
        <f t="shared" si="24"/>
        <v>98878.8</v>
      </c>
      <c r="M108" s="6">
        <f t="shared" si="25"/>
        <v>15820.61</v>
      </c>
      <c r="N108" s="6">
        <f t="shared" si="28"/>
        <v>114699.41</v>
      </c>
      <c r="O108" s="6"/>
      <c r="P108" s="6">
        <f t="shared" si="26"/>
        <v>114699.41</v>
      </c>
      <c r="Q108" s="4" t="str">
        <f>LOOKUP($E108,OBRAS!$D:$D,OBRAS!B:B)</f>
        <v>SEI TETRA, S. A. DE C. V.</v>
      </c>
      <c r="R108" s="4" t="str">
        <f>LOOKUP($E108,OBRAS!$D:$D,OBRAS!A:A)</f>
        <v>HERMOSILLO</v>
      </c>
      <c r="S108" s="4" t="str">
        <f>LOOKUP($E108,OBRAS!$D:$D,OBRAS!F:F)</f>
        <v>11000002003501E203K03203A625132161A013</v>
      </c>
      <c r="T108" s="4" t="str">
        <f>LOOKUP($E108,OBRAS!$D:$D,OBRAS!G:G)</f>
        <v>CE-926006995-E49-2016</v>
      </c>
      <c r="U108" s="4" t="s">
        <v>863</v>
      </c>
      <c r="V108" s="89">
        <v>42545</v>
      </c>
      <c r="W108" s="6">
        <f>LOOKUP($E108,OBRAS!$D:$D,OBRAS!K:K)</f>
        <v>1146994.1499999999</v>
      </c>
      <c r="X108" s="109" t="str">
        <f t="shared" si="20"/>
        <v/>
      </c>
      <c r="Y108" s="109">
        <f t="shared" ref="Y108:Y122" si="29">SUMIF(E:E,E108,X:X)</f>
        <v>1</v>
      </c>
      <c r="Z108" s="109">
        <f t="shared" si="22"/>
        <v>1</v>
      </c>
      <c r="AA108" s="4" t="str">
        <f>LOOKUP($E108,OBRAS!$D:$D,OBRAS!H:H)</f>
        <v>SH-ED-16-040</v>
      </c>
    </row>
    <row r="109" spans="3:27" ht="60" x14ac:dyDescent="0.25">
      <c r="C109" s="49">
        <v>107</v>
      </c>
      <c r="D109" s="4" t="str">
        <f>LOOKUP($E109,OBRAS!$D:$D,OBRAS!C:C)</f>
        <v>SUPERVISION EXTERNA Y CONTROL DE CALIDAD DE LA OBRA: RECONSTRUCCION  DEL CAMINO  CALLE 1900 EN VARIAS LOCALIDADES DEL MUNICIPIO DE CAJEME, SONORA.</v>
      </c>
      <c r="E109" s="4" t="s">
        <v>424</v>
      </c>
      <c r="F109" s="4"/>
      <c r="G109" s="4" t="str">
        <f>LOOKUP($E109,OBRAS!$D:$D,OBRAS!E:E)</f>
        <v>C-00098/0021</v>
      </c>
      <c r="H109" s="80" t="s">
        <v>23</v>
      </c>
      <c r="I109" s="6">
        <v>63761.51</v>
      </c>
      <c r="J109" s="6"/>
      <c r="K109" s="6"/>
      <c r="L109" s="6">
        <f t="shared" si="24"/>
        <v>63761.51</v>
      </c>
      <c r="M109" s="6">
        <f t="shared" si="25"/>
        <v>10201.84</v>
      </c>
      <c r="N109" s="6">
        <f t="shared" si="28"/>
        <v>73963.350000000006</v>
      </c>
      <c r="O109" s="6"/>
      <c r="P109" s="6">
        <f t="shared" si="26"/>
        <v>73963.350000000006</v>
      </c>
      <c r="Q109" s="4" t="str">
        <f>LOOKUP($E109,OBRAS!$D:$D,OBRAS!B:B)</f>
        <v>SEI TETRA, S. A. DE C. V.</v>
      </c>
      <c r="R109" s="4" t="str">
        <f>LOOKUP($E109,OBRAS!$D:$D,OBRAS!A:A)</f>
        <v>CAJEME</v>
      </c>
      <c r="S109" s="4" t="str">
        <f>LOOKUP($E109,OBRAS!$D:$D,OBRAS!F:F)</f>
        <v>11000002003501E203K03203A625132161A013</v>
      </c>
      <c r="T109" s="4" t="str">
        <f>LOOKUP($E109,OBRAS!$D:$D,OBRAS!G:G)</f>
        <v>LICITACIÓN SIMPLIFICADA</v>
      </c>
      <c r="U109" s="4" t="s">
        <v>863</v>
      </c>
      <c r="V109" s="89">
        <v>42545</v>
      </c>
      <c r="W109" s="6">
        <f>LOOKUP($E109,OBRAS!$D:$D,OBRAS!K:K)</f>
        <v>739633.54</v>
      </c>
      <c r="X109" s="109" t="str">
        <f t="shared" si="20"/>
        <v/>
      </c>
      <c r="Y109" s="109">
        <f t="shared" si="29"/>
        <v>1</v>
      </c>
      <c r="Z109" s="109">
        <f t="shared" si="22"/>
        <v>1</v>
      </c>
      <c r="AA109" s="4" t="str">
        <f>LOOKUP($E109,OBRAS!$D:$D,OBRAS!H:H)</f>
        <v>SH-ED-16-051</v>
      </c>
    </row>
    <row r="110" spans="3:27" ht="60" x14ac:dyDescent="0.25">
      <c r="C110" s="49">
        <v>108</v>
      </c>
      <c r="D110" s="4" t="str">
        <f>LOOKUP($E110,OBRAS!$D:$D,OBRAS!C:C)</f>
        <v>SUPERVISION EXTERNA Y CONTROL DE CALIDAD PARA LA OBRA RECONSTRUCCION DE CAMINO HUATABAMPO - YAVAROS EN VARIAS LOCALIDADES DEL MUNICIPIO DE HUATABAMPO.</v>
      </c>
      <c r="E110" s="4" t="s">
        <v>426</v>
      </c>
      <c r="F110" s="4"/>
      <c r="G110" s="4" t="str">
        <f>LOOKUP($E110,OBRAS!$D:$D,OBRAS!E:E)</f>
        <v>C-00098/0021</v>
      </c>
      <c r="H110" s="80" t="s">
        <v>23</v>
      </c>
      <c r="I110" s="6">
        <v>45301.22</v>
      </c>
      <c r="J110" s="6"/>
      <c r="K110" s="6"/>
      <c r="L110" s="6">
        <f t="shared" si="24"/>
        <v>45301.22</v>
      </c>
      <c r="M110" s="6">
        <f t="shared" si="25"/>
        <v>7248.2</v>
      </c>
      <c r="N110" s="6">
        <f t="shared" si="28"/>
        <v>52549.42</v>
      </c>
      <c r="O110" s="6"/>
      <c r="P110" s="6">
        <f t="shared" si="26"/>
        <v>52549.42</v>
      </c>
      <c r="Q110" s="4" t="str">
        <f>LOOKUP($E110,OBRAS!$D:$D,OBRAS!B:B)</f>
        <v>GRUPO GUIMEL, S.A. DE C.V.</v>
      </c>
      <c r="R110" s="4" t="str">
        <f>LOOKUP($E110,OBRAS!$D:$D,OBRAS!A:A)</f>
        <v>HUATABAMPO</v>
      </c>
      <c r="S110" s="4" t="str">
        <f>LOOKUP($E110,OBRAS!$D:$D,OBRAS!F:F)</f>
        <v>11000002003501E203K03203A625132161A013</v>
      </c>
      <c r="T110" s="4" t="str">
        <f>LOOKUP($E110,OBRAS!$D:$D,OBRAS!G:G)</f>
        <v>LICITACIÓN SIMPLIFICADA</v>
      </c>
      <c r="U110" s="4" t="s">
        <v>863</v>
      </c>
      <c r="V110" s="89">
        <v>42627</v>
      </c>
      <c r="W110" s="6">
        <f>LOOKUP($E110,OBRAS!$D:$D,OBRAS!K:K)</f>
        <v>525494.24</v>
      </c>
      <c r="X110" s="109" t="str">
        <f t="shared" si="20"/>
        <v/>
      </c>
      <c r="Y110" s="109">
        <f t="shared" si="29"/>
        <v>1</v>
      </c>
      <c r="Z110" s="109">
        <f t="shared" si="22"/>
        <v>1</v>
      </c>
      <c r="AA110" s="4" t="str">
        <f>LOOKUP($E110,OBRAS!$D:$D,OBRAS!H:H)</f>
        <v>SH-ED-16-020</v>
      </c>
    </row>
    <row r="111" spans="3:27" ht="75" x14ac:dyDescent="0.25">
      <c r="C111" s="49">
        <v>109</v>
      </c>
      <c r="D111" s="4" t="str">
        <f>LOOKUP($E111,OBRAS!$D:$D,OBRAS!C:C)</f>
        <v>SUPERVISION EXTERNA Y CONTROL DE CALIDAD DE MODERIZACION Y RECONSTRUCCION DEL TRAMO ETCHOJOA - BACOBAMPO EN VARIAS LOCALIDADES DEL MUNICIPIO DE ETCHOJOA, SONORA.</v>
      </c>
      <c r="E111" s="4" t="s">
        <v>428</v>
      </c>
      <c r="F111" s="4"/>
      <c r="G111" s="4" t="str">
        <f>LOOKUP($E111,OBRAS!$D:$D,OBRAS!E:E)</f>
        <v>C-00098/0021</v>
      </c>
      <c r="H111" s="80" t="s">
        <v>23</v>
      </c>
      <c r="I111" s="6">
        <v>167973.01</v>
      </c>
      <c r="J111" s="6"/>
      <c r="K111" s="6"/>
      <c r="L111" s="6">
        <f t="shared" si="24"/>
        <v>167973.01</v>
      </c>
      <c r="M111" s="6">
        <f t="shared" si="25"/>
        <v>26875.68</v>
      </c>
      <c r="N111" s="6">
        <f t="shared" si="28"/>
        <v>194848.69</v>
      </c>
      <c r="O111" s="6"/>
      <c r="P111" s="6">
        <f t="shared" si="26"/>
        <v>194848.69</v>
      </c>
      <c r="Q111" s="4" t="str">
        <f>LOOKUP($E111,OBRAS!$D:$D,OBRAS!B:B)</f>
        <v>CONSTRUCCIONES MAGUS, S.A. DE C.V.</v>
      </c>
      <c r="R111" s="4" t="str">
        <f>LOOKUP($E111,OBRAS!$D:$D,OBRAS!A:A)</f>
        <v>ETCHOJOA</v>
      </c>
      <c r="S111" s="4" t="str">
        <f>LOOKUP($E111,OBRAS!$D:$D,OBRAS!F:F)</f>
        <v>11000002003501E203K03203A625132161A013</v>
      </c>
      <c r="T111" s="4" t="str">
        <f>LOOKUP($E111,OBRAS!$D:$D,OBRAS!G:G)</f>
        <v>CE-926006995-E53-2016</v>
      </c>
      <c r="U111" s="4" t="s">
        <v>863</v>
      </c>
      <c r="V111" s="89">
        <v>42632</v>
      </c>
      <c r="W111" s="6">
        <f>LOOKUP($E111,OBRAS!$D:$D,OBRAS!K:K)</f>
        <v>1948486.8</v>
      </c>
      <c r="X111" s="109" t="str">
        <f t="shared" si="20"/>
        <v/>
      </c>
      <c r="Y111" s="109">
        <f t="shared" si="29"/>
        <v>1.0002</v>
      </c>
      <c r="Z111" s="109">
        <f t="shared" si="22"/>
        <v>1</v>
      </c>
      <c r="AA111" s="4" t="str">
        <f>LOOKUP($E111,OBRAS!$D:$D,OBRAS!H:H)</f>
        <v>SH-ED-16-040</v>
      </c>
    </row>
    <row r="112" spans="3:27" ht="75" x14ac:dyDescent="0.25">
      <c r="C112" s="49">
        <v>110</v>
      </c>
      <c r="D112" s="4" t="str">
        <f>LOOKUP($E112,OBRAS!$D:$D,OBRAS!C:C)</f>
        <v>SUPERVISION EXTERNA Y CONTROL DE CALIDAD DE LA OBRA: CONSERVACION Y RECONSTRUCCION DEL TRAMO MAZATAN - HERMOSILLO EN VARIAS LOCALIDADES DE VARIOS MUNICIPIOS DEL ESTADO DE SONORA.</v>
      </c>
      <c r="E112" s="4" t="s">
        <v>431</v>
      </c>
      <c r="F112" s="4"/>
      <c r="G112" s="4" t="str">
        <f>LOOKUP($E112,OBRAS!$D:$D,OBRAS!E:E)</f>
        <v>C-00098/0021</v>
      </c>
      <c r="H112" s="80" t="s">
        <v>23</v>
      </c>
      <c r="I112" s="6">
        <v>67163.289999999994</v>
      </c>
      <c r="J112" s="6"/>
      <c r="K112" s="6"/>
      <c r="L112" s="6">
        <f t="shared" si="24"/>
        <v>67163.289999999994</v>
      </c>
      <c r="M112" s="6">
        <f t="shared" si="25"/>
        <v>10746.13</v>
      </c>
      <c r="N112" s="6">
        <f t="shared" si="28"/>
        <v>77909.42</v>
      </c>
      <c r="O112" s="6"/>
      <c r="P112" s="6">
        <f t="shared" si="26"/>
        <v>77909.42</v>
      </c>
      <c r="Q112" s="4" t="str">
        <f>LOOKUP($E112,OBRAS!$D:$D,OBRAS!B:B)</f>
        <v>LABORATORIO, ESTUDIOS Y SERVICIOS PROFESIONALES DE INGENIERIA, S.A. DE C.V.</v>
      </c>
      <c r="R112" s="4" t="str">
        <f>LOOKUP($E112,OBRAS!$D:$D,OBRAS!A:A)</f>
        <v>VARIOS</v>
      </c>
      <c r="S112" s="4" t="str">
        <f>LOOKUP($E112,OBRAS!$D:$D,OBRAS!F:F)</f>
        <v>11000002003501E203K03203A625132161A013</v>
      </c>
      <c r="T112" s="4" t="str">
        <f>LOOKUP($E112,OBRAS!$D:$D,OBRAS!G:G)</f>
        <v>LICITACIÓN SIMPLIFICADA</v>
      </c>
      <c r="U112" s="4" t="s">
        <v>863</v>
      </c>
      <c r="V112" s="89">
        <v>42551</v>
      </c>
      <c r="W112" s="6">
        <f>LOOKUP($E112,OBRAS!$D:$D,OBRAS!K:K)</f>
        <v>779094.22</v>
      </c>
      <c r="X112" s="109" t="str">
        <f t="shared" si="20"/>
        <v/>
      </c>
      <c r="Y112" s="109">
        <f t="shared" si="29"/>
        <v>0.99990000000000001</v>
      </c>
      <c r="Z112" s="109">
        <f t="shared" si="22"/>
        <v>1</v>
      </c>
      <c r="AA112" s="4" t="str">
        <f>LOOKUP($E112,OBRAS!$D:$D,OBRAS!H:H)</f>
        <v>SH-ED-16-051</v>
      </c>
    </row>
    <row r="113" spans="2:27" ht="75" x14ac:dyDescent="0.25">
      <c r="C113" s="49">
        <v>111</v>
      </c>
      <c r="D113" s="4" t="str">
        <f>LOOKUP($E113,OBRAS!$D:$D,OBRAS!C:C)</f>
        <v>SUPERVISION EXTERNA Y CONTROL DE CALIDAD DE CONSERVACION Y RECONSTRUCCION DEL TRAMO NOVILLO - BACANORA - SAHUARIPA - SAN NICOLAS EN VARIAS LOCALIDADES DE VARIOS MUNICIPIOS DEL ESTADO DE SONORA.</v>
      </c>
      <c r="E113" s="4" t="s">
        <v>436</v>
      </c>
      <c r="F113" s="4"/>
      <c r="G113" s="4" t="str">
        <f>LOOKUP($E113,OBRAS!$D:$D,OBRAS!E:E)</f>
        <v>C-00098/0021</v>
      </c>
      <c r="H113" s="80" t="s">
        <v>23</v>
      </c>
      <c r="I113" s="6">
        <v>292241.32</v>
      </c>
      <c r="J113" s="6"/>
      <c r="K113" s="6"/>
      <c r="L113" s="6">
        <f t="shared" si="24"/>
        <v>292241.32</v>
      </c>
      <c r="M113" s="6">
        <f t="shared" si="25"/>
        <v>46758.61</v>
      </c>
      <c r="N113" s="6">
        <f t="shared" si="28"/>
        <v>338999.93</v>
      </c>
      <c r="O113" s="6"/>
      <c r="P113" s="6">
        <f t="shared" si="26"/>
        <v>338999.93</v>
      </c>
      <c r="Q113" s="4" t="str">
        <f>LOOKUP($E113,OBRAS!$D:$D,OBRAS!B:B)</f>
        <v>LABORATORIO, ESTUDIOS Y SERVICIOS PROFESIONALES DE INGENIERIA, S.A. DE C.V.</v>
      </c>
      <c r="R113" s="4" t="str">
        <f>LOOKUP($E113,OBRAS!$D:$D,OBRAS!A:A)</f>
        <v>VARIOS</v>
      </c>
      <c r="S113" s="4" t="str">
        <f>LOOKUP($E113,OBRAS!$D:$D,OBRAS!F:F)</f>
        <v>11000002003501E203K03203A625132161A013</v>
      </c>
      <c r="T113" s="4" t="str">
        <f>LOOKUP($E113,OBRAS!$D:$D,OBRAS!G:G)</f>
        <v>CE-926006995-E51-2016</v>
      </c>
      <c r="U113" s="4" t="s">
        <v>863</v>
      </c>
      <c r="V113" s="89">
        <v>42551</v>
      </c>
      <c r="W113" s="6">
        <f>LOOKUP($E113,OBRAS!$D:$D,OBRAS!K:K)</f>
        <v>3389999.24</v>
      </c>
      <c r="X113" s="109" t="str">
        <f t="shared" si="20"/>
        <v/>
      </c>
      <c r="Y113" s="109">
        <f t="shared" si="29"/>
        <v>0.16669999999999999</v>
      </c>
      <c r="Z113" s="109">
        <f t="shared" si="22"/>
        <v>0.25</v>
      </c>
      <c r="AA113" s="4" t="str">
        <f>LOOKUP($E113,OBRAS!$D:$D,OBRAS!H:H)</f>
        <v>SH-ED-16-040</v>
      </c>
    </row>
    <row r="114" spans="2:27" ht="90" x14ac:dyDescent="0.25">
      <c r="C114" s="49">
        <v>112</v>
      </c>
      <c r="D114" s="4" t="str">
        <f>LOOKUP($E114,OBRAS!$D:$D,OBRAS!C:C)</f>
        <v>SUPERVISION EXTERNA Y CONTROL DE CALIDAD PARA LA OBRA: CONSERVACIÓN Y RECONSTRUCCION DEL TRAMO MAZATÁN-VILLA PESQUEIRA-SAN PEDRO DE LA CUEVA EN LA REGION DE LA SIERRA EN VARIAS LOCALIDADES DE VARIOS MUNICIPIOS EN SONORA.</v>
      </c>
      <c r="E114" s="4" t="s">
        <v>437</v>
      </c>
      <c r="F114" s="4"/>
      <c r="G114" s="4" t="str">
        <f>LOOKUP($E114,OBRAS!$D:$D,OBRAS!E:E)</f>
        <v>C-00098/0021</v>
      </c>
      <c r="H114" s="80" t="s">
        <v>23</v>
      </c>
      <c r="I114" s="6">
        <v>88706.06</v>
      </c>
      <c r="J114" s="6"/>
      <c r="K114" s="6"/>
      <c r="L114" s="6">
        <f t="shared" si="24"/>
        <v>88706.06</v>
      </c>
      <c r="M114" s="6">
        <f t="shared" si="25"/>
        <v>14192.97</v>
      </c>
      <c r="N114" s="6">
        <f t="shared" si="28"/>
        <v>102899.03</v>
      </c>
      <c r="O114" s="6"/>
      <c r="P114" s="6">
        <f t="shared" si="26"/>
        <v>102899.03</v>
      </c>
      <c r="Q114" s="4" t="str">
        <f>LOOKUP($E114,OBRAS!$D:$D,OBRAS!B:B)</f>
        <v>LABORATORIO, ESTUDIOS Y SERVICIOS PROFESIONALES DE INGENIERIA, S.A. DE C.V.</v>
      </c>
      <c r="R114" s="4" t="str">
        <f>LOOKUP($E114,OBRAS!$D:$D,OBRAS!A:A)</f>
        <v>VARIOS</v>
      </c>
      <c r="S114" s="4" t="str">
        <f>LOOKUP($E114,OBRAS!$D:$D,OBRAS!F:F)</f>
        <v>11000002003501E203K03203A625132161A013</v>
      </c>
      <c r="T114" s="4" t="str">
        <f>LOOKUP($E114,OBRAS!$D:$D,OBRAS!G:G)</f>
        <v>CE-926006995-E58-2016</v>
      </c>
      <c r="U114" s="4" t="s">
        <v>863</v>
      </c>
      <c r="V114" s="89">
        <v>42632</v>
      </c>
      <c r="W114" s="6">
        <f>LOOKUP($E114,OBRAS!$D:$D,OBRAS!K:K)</f>
        <v>1028990.34</v>
      </c>
      <c r="X114" s="109" t="str">
        <f t="shared" si="20"/>
        <v/>
      </c>
      <c r="Y114" s="109">
        <f t="shared" si="29"/>
        <v>0.50009999999999999</v>
      </c>
      <c r="Z114" s="109">
        <f t="shared" si="22"/>
        <v>0.55000000000000004</v>
      </c>
      <c r="AA114" s="4" t="str">
        <f>LOOKUP($E114,OBRAS!$D:$D,OBRAS!H:H)</f>
        <v>SH-ED-16-051</v>
      </c>
    </row>
    <row r="115" spans="2:27" ht="45" x14ac:dyDescent="0.25">
      <c r="C115" s="49">
        <v>113</v>
      </c>
      <c r="D115" s="4" t="str">
        <f>LOOKUP($E115,OBRAS!$D:$D,OBRAS!C:C)</f>
        <v>SUPERVISION EXTERNA Y CONTROL DE CALIDAD PARA LA OBRA: RECONSTRUCCION DEL CAMINO E.C. FEDERAL 15-LAS BOCAS</v>
      </c>
      <c r="E115" s="4" t="s">
        <v>441</v>
      </c>
      <c r="F115" s="4"/>
      <c r="G115" s="4" t="str">
        <f>LOOKUP($E115,OBRAS!$D:$D,OBRAS!E:E)</f>
        <v>C-00098/0021</v>
      </c>
      <c r="H115" s="80" t="s">
        <v>23</v>
      </c>
      <c r="I115" s="6">
        <v>60931.86</v>
      </c>
      <c r="J115" s="6"/>
      <c r="K115" s="6"/>
      <c r="L115" s="6">
        <f t="shared" si="24"/>
        <v>60931.86</v>
      </c>
      <c r="M115" s="6">
        <f t="shared" si="25"/>
        <v>9749.1</v>
      </c>
      <c r="N115" s="6">
        <f t="shared" si="28"/>
        <v>70680.960000000006</v>
      </c>
      <c r="O115" s="6"/>
      <c r="P115" s="6">
        <f t="shared" si="26"/>
        <v>70680.960000000006</v>
      </c>
      <c r="Q115" s="4" t="str">
        <f>LOOKUP($E115,OBRAS!$D:$D,OBRAS!B:B)</f>
        <v>ING. JOEL TOSAME IBARRA</v>
      </c>
      <c r="R115" s="4" t="str">
        <f>LOOKUP($E115,OBRAS!$D:$D,OBRAS!A:A)</f>
        <v>HUATABAMPO</v>
      </c>
      <c r="S115" s="4" t="str">
        <f>LOOKUP($E115,OBRAS!$D:$D,OBRAS!F:F)</f>
        <v>11000002003501E203K03203A625132161A013</v>
      </c>
      <c r="T115" s="4" t="str">
        <f>LOOKUP($E115,OBRAS!$D:$D,OBRAS!G:G)</f>
        <v>LICITACIÓN SIMPLIFICADA</v>
      </c>
      <c r="U115" s="4" t="s">
        <v>863</v>
      </c>
      <c r="V115" s="89">
        <v>42632</v>
      </c>
      <c r="W115" s="6">
        <f>LOOKUP($E115,OBRAS!$D:$D,OBRAS!K:K)</f>
        <v>706809.62</v>
      </c>
      <c r="X115" s="109" t="str">
        <f t="shared" si="20"/>
        <v/>
      </c>
      <c r="Y115" s="109">
        <f t="shared" si="29"/>
        <v>1</v>
      </c>
      <c r="Z115" s="109">
        <f t="shared" si="22"/>
        <v>1</v>
      </c>
      <c r="AA115" s="4" t="str">
        <f>LOOKUP($E115,OBRAS!$D:$D,OBRAS!H:H)</f>
        <v>SH-ED-16-020</v>
      </c>
    </row>
    <row r="116" spans="2:27" ht="60" x14ac:dyDescent="0.25">
      <c r="C116" s="49">
        <v>114</v>
      </c>
      <c r="D116" s="4" t="str">
        <f>LOOKUP($E116,OBRAS!$D:$D,OBRAS!C:C)</f>
        <v>SUPERVISION EXTERNA Y CONTROL DE CALIDAD CONSTRUCCION Y RECONSTRUCCION DEL TRAMO CABORCA-Y GRIEGA EN LA LOCALIDAD DE CABORCA, SONORA</v>
      </c>
      <c r="E116" s="4" t="s">
        <v>451</v>
      </c>
      <c r="F116" s="4"/>
      <c r="G116" s="4" t="str">
        <f>LOOKUP($E116,OBRAS!$D:$D,OBRAS!E:E)</f>
        <v>C-00098/0021</v>
      </c>
      <c r="H116" s="80" t="s">
        <v>23</v>
      </c>
      <c r="I116" s="6">
        <v>198197.83</v>
      </c>
      <c r="J116" s="6"/>
      <c r="K116" s="6"/>
      <c r="L116" s="6">
        <f t="shared" si="24"/>
        <v>198197.83</v>
      </c>
      <c r="M116" s="6">
        <f t="shared" si="25"/>
        <v>31711.65</v>
      </c>
      <c r="N116" s="6">
        <f t="shared" si="28"/>
        <v>229909.48</v>
      </c>
      <c r="O116" s="6"/>
      <c r="P116" s="6">
        <f t="shared" si="26"/>
        <v>229909.48</v>
      </c>
      <c r="Q116" s="4" t="str">
        <f>LOOKUP($E116,OBRAS!$D:$D,OBRAS!B:B)</f>
        <v>JRM CONSULTORES, S.A. DE C.V</v>
      </c>
      <c r="R116" s="4" t="str">
        <f>LOOKUP($E116,OBRAS!$D:$D,OBRAS!A:A)</f>
        <v>CABORCA</v>
      </c>
      <c r="S116" s="4" t="str">
        <f>LOOKUP($E116,OBRAS!$D:$D,OBRAS!F:F)</f>
        <v>11000002003501E203K03203A625132161A013C-00098/0021</v>
      </c>
      <c r="T116" s="4" t="str">
        <f>LOOKUP($E116,OBRAS!$D:$D,OBRAS!G:G)</f>
        <v>CE-926006995-E48-2016</v>
      </c>
      <c r="U116" s="4" t="s">
        <v>863</v>
      </c>
      <c r="V116" s="89">
        <v>42549</v>
      </c>
      <c r="W116" s="6">
        <f>LOOKUP($E116,OBRAS!$D:$D,OBRAS!K:K)</f>
        <v>2299094.85</v>
      </c>
      <c r="X116" s="109" t="str">
        <f t="shared" si="20"/>
        <v/>
      </c>
      <c r="Y116" s="109">
        <f t="shared" si="29"/>
        <v>1</v>
      </c>
      <c r="Z116" s="109">
        <f t="shared" si="22"/>
        <v>1</v>
      </c>
      <c r="AA116" s="4" t="str">
        <f>LOOKUP($E116,OBRAS!$D:$D,OBRAS!H:H)</f>
        <v>SH-ED-16-040</v>
      </c>
    </row>
    <row r="117" spans="2:27" ht="60" x14ac:dyDescent="0.25">
      <c r="C117" s="49">
        <v>115</v>
      </c>
      <c r="D117" s="4" t="str">
        <f>LOOKUP($E117,OBRAS!$D:$D,OBRAS!C:C)</f>
        <v>MODERNIZACION Y RECONSTRUCCION DEL PERIFERICO EN NAVOJOA (E.C. MEXICO 15 - TETANCHOPO) DEL KM 7+031 AL KM 13+126 EN LA LOCALIDAD Y MUNICIPIO DE NAVOJOA, SONORA.</v>
      </c>
      <c r="E117" s="4" t="s">
        <v>462</v>
      </c>
      <c r="F117" s="4"/>
      <c r="G117" s="4" t="str">
        <f>LOOKUP($E117,OBRAS!$D:$D,OBRAS!E:E)</f>
        <v>C-00052/0172</v>
      </c>
      <c r="H117" s="80" t="s">
        <v>23</v>
      </c>
      <c r="I117" s="6">
        <v>23740391.170000002</v>
      </c>
      <c r="J117" s="6"/>
      <c r="K117" s="6"/>
      <c r="L117" s="6">
        <f t="shared" si="24"/>
        <v>23740391.170000002</v>
      </c>
      <c r="M117" s="6">
        <f t="shared" si="25"/>
        <v>3798462.59</v>
      </c>
      <c r="N117" s="6">
        <f t="shared" si="28"/>
        <v>27538853.760000002</v>
      </c>
      <c r="O117" s="6"/>
      <c r="P117" s="6">
        <f t="shared" si="26"/>
        <v>27538853.760000002</v>
      </c>
      <c r="Q117" s="4" t="str">
        <f>LOOKUP($E117,OBRAS!$D:$D,OBRAS!B:B)</f>
        <v>NA CONSTRUCCIONES DEL PACIFICO, S.A. DE C.V.</v>
      </c>
      <c r="R117" s="4" t="str">
        <f>LOOKUP($E117,OBRAS!$D:$D,OBRAS!A:A)</f>
        <v>NAVOJOA</v>
      </c>
      <c r="S117" s="4" t="str">
        <f>LOOKUP($E117,OBRAS!$D:$D,OBRAS!F:F)</f>
        <v>11000002002201E202K05186A614202162A212</v>
      </c>
      <c r="T117" s="4" t="str">
        <f>LOOKUP($E117,OBRAS!$D:$D,OBRAS!G:G)</f>
        <v>CE-926006995-E60-2015</v>
      </c>
      <c r="U117" s="4" t="s">
        <v>863</v>
      </c>
      <c r="V117" s="89">
        <v>42593</v>
      </c>
      <c r="W117" s="6">
        <f>LOOKUP($E117,OBRAS!$D:$D,OBRAS!K:K)</f>
        <v>91796179.200000003</v>
      </c>
      <c r="X117" s="109" t="str">
        <f t="shared" si="20"/>
        <v/>
      </c>
      <c r="Y117" s="109">
        <f t="shared" si="29"/>
        <v>0.31269999999999998</v>
      </c>
      <c r="Z117" s="109">
        <f t="shared" si="22"/>
        <v>0.51890000000000003</v>
      </c>
      <c r="AA117" s="4" t="str">
        <f>LOOKUP($E117,OBRAS!$D:$D,OBRAS!H:H)</f>
        <v>SH-ED-17-R-004</v>
      </c>
    </row>
    <row r="118" spans="2:27" ht="75" x14ac:dyDescent="0.25">
      <c r="C118" s="49">
        <v>116</v>
      </c>
      <c r="D118" s="4" t="str">
        <f>LOOKUP($E118,OBRAS!$D:$D,OBRAS!C:C)</f>
        <v xml:space="preserve"> SUPERVISION EXTERNA Y CONTROL DE CALIDAD DE LA CONSERVACION Y RECONSTRUCCION DE CARRETERAS ALIMENTADORAS REGION GUAYMAS-EMPALME, TRAMO: E.C. (PROVIDENCIA-ORTIZ)-LA MISA</v>
      </c>
      <c r="E118" s="4" t="s">
        <v>465</v>
      </c>
      <c r="F118" s="4"/>
      <c r="G118" s="4" t="str">
        <f>LOOKUP($E118,OBRAS!$D:$D,OBRAS!E:E)</f>
        <v>C-00098/0021</v>
      </c>
      <c r="H118" s="80" t="s">
        <v>23</v>
      </c>
      <c r="I118" s="6">
        <v>72309.64</v>
      </c>
      <c r="J118" s="6"/>
      <c r="K118" s="6"/>
      <c r="L118" s="6">
        <f t="shared" si="24"/>
        <v>72309.64</v>
      </c>
      <c r="M118" s="6">
        <f t="shared" si="25"/>
        <v>11569.54</v>
      </c>
      <c r="N118" s="6">
        <f t="shared" si="28"/>
        <v>83879.179999999993</v>
      </c>
      <c r="O118" s="6"/>
      <c r="P118" s="6">
        <f t="shared" si="26"/>
        <v>83879.179999999993</v>
      </c>
      <c r="Q118" s="4" t="str">
        <f>LOOKUP($E118,OBRAS!$D:$D,OBRAS!B:B)</f>
        <v>ISAFRA CONSTRUCCIONES, S.A. DE C.V.</v>
      </c>
      <c r="R118" s="4" t="str">
        <f>LOOKUP($E118,OBRAS!$D:$D,OBRAS!A:A)</f>
        <v>VARIOS</v>
      </c>
      <c r="S118" s="4" t="str">
        <f>LOOKUP($E118,OBRAS!$D:$D,OBRAS!F:F)</f>
        <v>11000002003501E203K03203A625132161A013</v>
      </c>
      <c r="T118" s="4" t="str">
        <f>LOOKUP($E118,OBRAS!$D:$D,OBRAS!G:G)</f>
        <v>LICITACIÓN SIMPLIFICADA</v>
      </c>
      <c r="U118" s="4" t="s">
        <v>863</v>
      </c>
      <c r="V118" s="89">
        <v>42573</v>
      </c>
      <c r="W118" s="6">
        <f>LOOKUP($E118,OBRAS!$D:$D,OBRAS!K:K)</f>
        <v>838791.85</v>
      </c>
      <c r="X118" s="109" t="str">
        <f t="shared" si="20"/>
        <v/>
      </c>
      <c r="Y118" s="109">
        <f t="shared" si="29"/>
        <v>1</v>
      </c>
      <c r="Z118" s="109">
        <f t="shared" si="22"/>
        <v>1</v>
      </c>
      <c r="AA118" s="4" t="str">
        <f>LOOKUP($E118,OBRAS!$D:$D,OBRAS!H:H)</f>
        <v>SH-ED-16-051</v>
      </c>
    </row>
    <row r="119" spans="2:27" ht="45" x14ac:dyDescent="0.25">
      <c r="C119" s="49">
        <v>117</v>
      </c>
      <c r="D119" s="4" t="str">
        <f>LOOKUP($E119,OBRAS!$D:$D,OBRAS!C:C)</f>
        <v>SUPERVISOR EXTERNA Y CONTROL CALIDAD DE RECARPETEO CON MICROCARPETA ASFALTICA DE 3.0 CM DE ESPESOR EN VARIAS CALLES Y AVENIDAS</v>
      </c>
      <c r="E119" s="100" t="s">
        <v>466</v>
      </c>
      <c r="F119" s="4"/>
      <c r="G119" s="4" t="str">
        <f>LOOKUP($E119,OBRAS!$D:$D,OBRAS!E:E)</f>
        <v>C-00098/0022</v>
      </c>
      <c r="H119" s="80" t="s">
        <v>23</v>
      </c>
      <c r="I119" s="6">
        <v>75751.539999999994</v>
      </c>
      <c r="J119" s="6"/>
      <c r="K119" s="6"/>
      <c r="L119" s="6">
        <f t="shared" si="24"/>
        <v>75751.539999999994</v>
      </c>
      <c r="M119" s="6">
        <f t="shared" si="25"/>
        <v>12120.25</v>
      </c>
      <c r="N119" s="6">
        <f t="shared" si="28"/>
        <v>87871.79</v>
      </c>
      <c r="O119" s="6"/>
      <c r="P119" s="6">
        <f t="shared" si="26"/>
        <v>87871.79</v>
      </c>
      <c r="Q119" s="4" t="str">
        <f>LOOKUP($E119,OBRAS!$D:$D,OBRAS!B:B)</f>
        <v>PROMOTORES ADMINISTRATIVOS ASOCIADOS, S.C.</v>
      </c>
      <c r="R119" s="4" t="str">
        <f>LOOKUP($E119,OBRAS!$D:$D,OBRAS!A:A)</f>
        <v>CABORCA</v>
      </c>
      <c r="S119" s="4" t="str">
        <f>LOOKUP($E119,OBRAS!$D:$D,OBRAS!F:F)</f>
        <v>11000002002207E201K02104A622212161A013</v>
      </c>
      <c r="T119" s="4" t="str">
        <f>LOOKUP($E119,OBRAS!$D:$D,OBRAS!G:G)</f>
        <v>LICITACIÓN SIMPLIFICADA</v>
      </c>
      <c r="U119" s="4" t="s">
        <v>863</v>
      </c>
      <c r="V119" s="89">
        <v>42573</v>
      </c>
      <c r="W119" s="6">
        <f>LOOKUP($E119,OBRAS!$D:$D,OBRAS!K:K)</f>
        <v>878717.92</v>
      </c>
      <c r="X119" s="109" t="str">
        <f t="shared" si="20"/>
        <v/>
      </c>
      <c r="Y119" s="109">
        <f t="shared" si="29"/>
        <v>0.998</v>
      </c>
      <c r="Z119" s="109">
        <f t="shared" si="22"/>
        <v>0.998</v>
      </c>
      <c r="AA119" s="4" t="str">
        <f>LOOKUP($E119,OBRAS!$D:$D,OBRAS!H:H)</f>
        <v>SH-ED-16-028</v>
      </c>
    </row>
    <row r="120" spans="2:27" ht="45" x14ac:dyDescent="0.25">
      <c r="C120" s="49">
        <v>118</v>
      </c>
      <c r="D120" s="4" t="str">
        <f>LOOKUP($E120,OBRAS!$D:$D,OBRAS!C:C)</f>
        <v>SUPERVISION EXTERNA Y CONTROL DE CALIDAD DE LAS OBRAS DE REHABILITACION DEL DELFINARIO SONORA (PRIMERA ETAPA)</v>
      </c>
      <c r="E120" s="4" t="s">
        <v>480</v>
      </c>
      <c r="F120" s="4"/>
      <c r="G120" s="4" t="str">
        <f>LOOKUP($E120,OBRAS!$D:$D,OBRAS!E:E)</f>
        <v>C-00098/0035</v>
      </c>
      <c r="H120" s="80" t="s">
        <v>23</v>
      </c>
      <c r="I120" s="6">
        <v>117815</v>
      </c>
      <c r="J120" s="6"/>
      <c r="K120" s="6"/>
      <c r="L120" s="6">
        <f t="shared" si="24"/>
        <v>117815</v>
      </c>
      <c r="M120" s="6">
        <f t="shared" si="25"/>
        <v>18850.400000000001</v>
      </c>
      <c r="N120" s="6">
        <f t="shared" si="28"/>
        <v>136665.4</v>
      </c>
      <c r="O120" s="6"/>
      <c r="P120" s="6">
        <f t="shared" si="26"/>
        <v>136665.4</v>
      </c>
      <c r="Q120" s="4" t="str">
        <f>LOOKUP($E120,OBRAS!$D:$D,OBRAS!B:B)</f>
        <v>ING. DANIEL ACEVEDO ESMERIO</v>
      </c>
      <c r="R120" s="4" t="str">
        <f>LOOKUP($E120,OBRAS!$D:$D,OBRAS!A:A)</f>
        <v>GUAYMAS</v>
      </c>
      <c r="S120" s="4" t="str">
        <f>LOOKUP($E120,OBRAS!$D:$D,OBRAS!F:F)</f>
        <v>11000002002207E202K05200A62222161A013</v>
      </c>
      <c r="T120" s="4" t="str">
        <f>LOOKUP($E120,OBRAS!$D:$D,OBRAS!G:G)</f>
        <v>CE-926006995-E57-2016</v>
      </c>
      <c r="U120" s="4" t="s">
        <v>863</v>
      </c>
      <c r="V120" s="89">
        <v>42551</v>
      </c>
      <c r="W120" s="6">
        <f>LOOKUP($E120,OBRAS!$D:$D,OBRAS!K:K)</f>
        <v>1367299.18</v>
      </c>
      <c r="X120" s="109" t="str">
        <f t="shared" si="20"/>
        <v/>
      </c>
      <c r="Y120" s="109">
        <f t="shared" si="29"/>
        <v>0.91549999999999998</v>
      </c>
      <c r="Z120" s="109">
        <f t="shared" si="22"/>
        <v>0.92390000000000005</v>
      </c>
      <c r="AA120" s="4" t="str">
        <f>LOOKUP($E120,OBRAS!$D:$D,OBRAS!H:H)</f>
        <v>SH-ED-17-R-018</v>
      </c>
    </row>
    <row r="121" spans="2:27" ht="45" x14ac:dyDescent="0.25">
      <c r="C121" s="49">
        <v>119</v>
      </c>
      <c r="D121" s="4" t="str">
        <f>LOOKUP($E121,OBRAS!$D:$D,OBRAS!C:C)</f>
        <v>SUPERVISION EXTERNA Y CONTROL DE CALIDAD DE LA CONSERVACION Y RECONSTRUCCION DE LA VIALIDAD YAQUI-MAYO</v>
      </c>
      <c r="E121" s="4" t="s">
        <v>487</v>
      </c>
      <c r="F121" s="4"/>
      <c r="G121" s="4" t="str">
        <f>LOOKUP($E121,OBRAS!$D:$D,OBRAS!E:E)</f>
        <v>C-00098/0021</v>
      </c>
      <c r="H121" s="80" t="s">
        <v>23</v>
      </c>
      <c r="I121" s="6">
        <v>68797.53</v>
      </c>
      <c r="J121" s="6"/>
      <c r="K121" s="6"/>
      <c r="L121" s="6">
        <f t="shared" si="24"/>
        <v>68797.53</v>
      </c>
      <c r="M121" s="6">
        <f t="shared" si="25"/>
        <v>11007.6</v>
      </c>
      <c r="N121" s="6">
        <f t="shared" si="28"/>
        <v>79805.13</v>
      </c>
      <c r="O121" s="6"/>
      <c r="P121" s="6">
        <f t="shared" si="26"/>
        <v>79805.13</v>
      </c>
      <c r="Q121" s="4" t="str">
        <f>LOOKUP($E121,OBRAS!$D:$D,OBRAS!B:B)</f>
        <v>PROYECTOS Y CONSTRUCCIONES MAGUS, S.A. DE C.V.</v>
      </c>
      <c r="R121" s="4" t="str">
        <f>LOOKUP($E121,OBRAS!$D:$D,OBRAS!A:A)</f>
        <v>VARIOS</v>
      </c>
      <c r="S121" s="4" t="str">
        <f>LOOKUP($E121,OBRAS!$D:$D,OBRAS!F:F)</f>
        <v>11000002003501E203K03203A625132161A013</v>
      </c>
      <c r="T121" s="4" t="str">
        <f>LOOKUP($E121,OBRAS!$D:$D,OBRAS!G:G)</f>
        <v>LICITACIÓN SIMPLIFICADA</v>
      </c>
      <c r="U121" s="4" t="s">
        <v>863</v>
      </c>
      <c r="V121" s="89">
        <v>42632</v>
      </c>
      <c r="W121" s="6">
        <f>LOOKUP($E121,OBRAS!$D:$D,OBRAS!K:K)</f>
        <v>798051.37</v>
      </c>
      <c r="X121" s="109" t="str">
        <f t="shared" si="20"/>
        <v/>
      </c>
      <c r="Y121" s="109">
        <f t="shared" si="29"/>
        <v>1.0001</v>
      </c>
      <c r="Z121" s="109">
        <f t="shared" si="22"/>
        <v>1</v>
      </c>
      <c r="AA121" s="4" t="str">
        <f>LOOKUP($E121,OBRAS!$D:$D,OBRAS!H:H)</f>
        <v>SH-ED-16-051</v>
      </c>
    </row>
    <row r="122" spans="2:27" ht="45" x14ac:dyDescent="0.25">
      <c r="C122" s="49">
        <v>120</v>
      </c>
      <c r="D122" s="4" t="str">
        <f>LOOKUP($E122,OBRAS!$D:$D,OBRAS!C:C)</f>
        <v>RECARPETEO CON MICRO CARPETA ASFALTICA DE 3 CM DE ESPESOR EN VARIAS CALLES Y AVENIDAS DE LA LOCALIDAD Y MUNICIPIO DE ETCHOJOA.</v>
      </c>
      <c r="E122" s="4" t="s">
        <v>35</v>
      </c>
      <c r="F122" s="4" t="s">
        <v>217</v>
      </c>
      <c r="G122" s="4" t="str">
        <f>LOOKUP($E122,OBRAS!$D:$D,OBRAS!E:E)</f>
        <v>C-00093/0046</v>
      </c>
      <c r="H122" s="80" t="s">
        <v>103</v>
      </c>
      <c r="I122" s="6">
        <v>4118107.49</v>
      </c>
      <c r="J122" s="6"/>
      <c r="K122" s="6">
        <f>ROUND(I122*0.3,2)</f>
        <v>1235432.25</v>
      </c>
      <c r="L122" s="6">
        <f t="shared" ref="L122:L139" si="30">I122-K122</f>
        <v>2882675.24</v>
      </c>
      <c r="M122" s="6">
        <f t="shared" ref="M122:M139" si="31">ROUND(L122*0.16,2)</f>
        <v>461228.04</v>
      </c>
      <c r="N122" s="6">
        <f t="shared" si="28"/>
        <v>3343903.28</v>
      </c>
      <c r="O122" s="6">
        <f>ROUND(I122*0.005,2)</f>
        <v>20590.54</v>
      </c>
      <c r="P122" s="6">
        <f t="shared" ref="P122:P139" si="32">N122-O122</f>
        <v>3323312.74</v>
      </c>
      <c r="Q122" s="4" t="str">
        <f>LOOKUP($E122,OBRAS!$D:$D,OBRAS!B:B)</f>
        <v>PROYECTOS Y CONSTRUCCIONES MAGUS, S.A. DE C.V.</v>
      </c>
      <c r="R122" s="4" t="str">
        <f>LOOKUP($E122,OBRAS!$D:$D,OBRAS!A:A)</f>
        <v>ETCHOJOA</v>
      </c>
      <c r="S122" s="4" t="str">
        <f>LOOKUP($E122,OBRAS!$D:$D,OBRAS!F:F)</f>
        <v>11000002002201E201K02203A614202155GL12</v>
      </c>
      <c r="T122" s="4" t="str">
        <f>LOOKUP($E122,OBRAS!$D:$D,OBRAS!G:G)</f>
        <v>IO-926006995-E71-2015</v>
      </c>
      <c r="U122" s="4" t="s">
        <v>863</v>
      </c>
      <c r="V122" s="89">
        <v>42551</v>
      </c>
      <c r="W122" s="6">
        <f>LOOKUP($E122,OBRAS!$D:$D,OBRAS!K:K)</f>
        <v>4777004.6900000004</v>
      </c>
      <c r="X122" s="109">
        <f t="shared" ref="X122:X185" si="33">IF(H122&lt;&gt;"ANTICIPO",I122/(W122/1.16),"")</f>
        <v>1</v>
      </c>
      <c r="Y122" s="109">
        <f t="shared" si="29"/>
        <v>1</v>
      </c>
      <c r="Z122" s="109">
        <f t="shared" ref="Z122:Z185" si="34">SUMIF(E:E,E122,N:N)/W122</f>
        <v>1</v>
      </c>
      <c r="AA122" s="4" t="str">
        <f>LOOKUP($E122,OBRAS!$D:$D,OBRAS!H:H)</f>
        <v>SH-NC-16-R-003</v>
      </c>
    </row>
    <row r="123" spans="2:27" ht="45" x14ac:dyDescent="0.25">
      <c r="C123" s="49">
        <v>121</v>
      </c>
      <c r="D123" s="4" t="str">
        <f>LOOKUP($E123,OBRAS!$D:$D,OBRAS!C:C)</f>
        <v>RECONSTRUCCION DEL CAMINO E.C. FEDERAL- LAS BOCAS EN VARIAS LOCALIDADES DEL MUNICIPIO DE HUATABAMPO, SONORA.</v>
      </c>
      <c r="E123" s="4" t="s">
        <v>279</v>
      </c>
      <c r="F123" s="4" t="s">
        <v>224</v>
      </c>
      <c r="G123" s="4" t="str">
        <f>LOOKUP($E123,OBRAS!$D:$D,OBRAS!E:E)</f>
        <v>C-00054/0020</v>
      </c>
      <c r="H123" s="80" t="s">
        <v>103</v>
      </c>
      <c r="I123" s="6">
        <v>3537656.07</v>
      </c>
      <c r="J123" s="6"/>
      <c r="K123" s="6">
        <f>ROUND(I123*0.3,2)</f>
        <v>1061296.82</v>
      </c>
      <c r="L123" s="6">
        <f t="shared" si="30"/>
        <v>2476359.25</v>
      </c>
      <c r="M123" s="6">
        <f t="shared" si="31"/>
        <v>396217.48</v>
      </c>
      <c r="N123" s="6">
        <f t="shared" si="28"/>
        <v>2872576.73</v>
      </c>
      <c r="O123" s="6">
        <v>17334.52</v>
      </c>
      <c r="P123" s="6">
        <f t="shared" si="32"/>
        <v>2855242.21</v>
      </c>
      <c r="Q123" s="4" t="str">
        <f>LOOKUP($E123,OBRAS!$D:$D,OBRAS!B:B)</f>
        <v>EDIFICACIÓN INTEGRAL DEL NOROESTE, S.A. DE C.V.</v>
      </c>
      <c r="R123" s="4" t="str">
        <f>LOOKUP($E123,OBRAS!$D:$D,OBRAS!A:A)</f>
        <v>HUATABAMPO</v>
      </c>
      <c r="S123" s="4" t="str">
        <f>LOOKUP($E123,OBRAS!$D:$D,OBRAS!F:F)</f>
        <v>11000002003501E203K03203A625012162A212</v>
      </c>
      <c r="T123" s="4" t="str">
        <f>LOOKUP($E123,OBRAS!$D:$D,OBRAS!G:G)</f>
        <v>CE-926006995-E2-2016</v>
      </c>
      <c r="U123" s="4" t="s">
        <v>863</v>
      </c>
      <c r="V123" s="89">
        <v>42529</v>
      </c>
      <c r="W123" s="6">
        <f>LOOKUP($E123,OBRAS!$D:$D,OBRAS!K:K)</f>
        <v>22980026.969999999</v>
      </c>
      <c r="X123" s="109">
        <f t="shared" si="33"/>
        <v>0.17860000000000001</v>
      </c>
      <c r="Y123" s="109">
        <f>ROUND(SUMIF(E:E,E123,X:X),2)</f>
        <v>1</v>
      </c>
      <c r="Z123" s="109">
        <f t="shared" si="34"/>
        <v>1</v>
      </c>
      <c r="AA123" s="4" t="str">
        <f>LOOKUP($E123,OBRAS!$D:$D,OBRAS!H:H)</f>
        <v>OM-ED-16-002</v>
      </c>
    </row>
    <row r="124" spans="2:27" ht="105" x14ac:dyDescent="0.25">
      <c r="C124" s="49">
        <v>122</v>
      </c>
      <c r="D124" s="4" t="str">
        <f>LOOKUP($E124,OBRAS!$D:$D,OBRAS!C:C)</f>
        <v>CONSTRUCCION DE MURO A BASE DE BLOCK SOBRE BARDAS PERIMETRALES EXISTENTES Y SUSTITUCION DE CERCOS DE MALLA CICLONICA POR BARDAS DE BLOCK APARENTE PARA INCREMENTAR LA SEGURIDAD DEL CENTRO UNACARI, EN LA LOCALIDAD Y MUNICIPIO DE HERMOSILLO, SONORA.</v>
      </c>
      <c r="E124" s="4" t="s">
        <v>18</v>
      </c>
      <c r="F124" s="4" t="s">
        <v>285</v>
      </c>
      <c r="G124" s="4" t="str">
        <f>LOOKUP($E124,OBRAS!$D:$D,OBRAS!E:E)</f>
        <v>C-00061/0012</v>
      </c>
      <c r="H124" s="80" t="s">
        <v>221</v>
      </c>
      <c r="I124" s="6">
        <v>77053</v>
      </c>
      <c r="J124" s="6"/>
      <c r="K124" s="6">
        <v>23115.9</v>
      </c>
      <c r="L124" s="6">
        <f t="shared" si="30"/>
        <v>53937.1</v>
      </c>
      <c r="M124" s="6">
        <f t="shared" si="31"/>
        <v>8629.94</v>
      </c>
      <c r="N124" s="6">
        <f t="shared" si="28"/>
        <v>62567.040000000001</v>
      </c>
      <c r="O124" s="6">
        <v>377.58</v>
      </c>
      <c r="P124" s="6">
        <f t="shared" si="32"/>
        <v>62189.46</v>
      </c>
      <c r="Q124" s="4" t="str">
        <f>LOOKUP($E124,OBRAS!$D:$D,OBRAS!B:B)</f>
        <v>COTISA DESARROLLOS E INFRAESTRUCTURA, S.A. DE C.V.</v>
      </c>
      <c r="R124" s="4" t="str">
        <f>LOOKUP($E124,OBRAS!$D:$D,OBRAS!A:A)</f>
        <v>HERMOSILLO</v>
      </c>
      <c r="S124" s="4" t="str">
        <f>LOOKUP($E124,OBRAS!$D:$D,OBRAS!F:F)</f>
        <v>11000002002202E402K17105A612012155DM07</v>
      </c>
      <c r="T124" s="4" t="str">
        <f>LOOKUP($E124,OBRAS!$D:$D,OBRAS!G:G)</f>
        <v>ADJUDICACIÓN DIRECTA</v>
      </c>
      <c r="U124" s="4" t="s">
        <v>863</v>
      </c>
      <c r="V124" s="89">
        <v>42522</v>
      </c>
      <c r="W124" s="6">
        <f>LOOKUP($E124,OBRAS!$D:$D,OBRAS!K:K)</f>
        <v>389750.66</v>
      </c>
      <c r="X124" s="109">
        <f t="shared" si="33"/>
        <v>0.2293</v>
      </c>
      <c r="Y124" s="109">
        <f t="shared" ref="Y124:Y135" si="35">SUMIF(E:E,E124,X:X)</f>
        <v>0.90039999999999998</v>
      </c>
      <c r="Z124" s="109">
        <f t="shared" si="34"/>
        <v>0.90039999999999998</v>
      </c>
      <c r="AA124" s="4" t="str">
        <f>LOOKUP($E124,OBRAS!$D:$D,OBRAS!H:H)</f>
        <v>SH-FAFEF-16-R-002</v>
      </c>
    </row>
    <row r="125" spans="2:27" s="54" customFormat="1" ht="45" x14ac:dyDescent="0.25">
      <c r="B125" s="57"/>
      <c r="C125" s="55">
        <v>123</v>
      </c>
      <c r="D125" s="52" t="str">
        <f>LOOKUP($E125,OBRAS!$D:$D,OBRAS!C:C)</f>
        <v>SUPERVISION EXTERNA DE LA OBRA: CONSTRUCCION Y MODERNIZACION EN DISTRIBUIDOR VIAL</v>
      </c>
      <c r="E125" s="52" t="s">
        <v>301</v>
      </c>
      <c r="F125" s="52" t="s">
        <v>306</v>
      </c>
      <c r="G125" s="52" t="str">
        <f>LOOKUP($E125,OBRAS!$D:$D,OBRAS!E:E)</f>
        <v>C-00052/0136</v>
      </c>
      <c r="H125" s="81" t="s">
        <v>55</v>
      </c>
      <c r="I125" s="53">
        <v>214732.36</v>
      </c>
      <c r="J125" s="53"/>
      <c r="K125" s="53">
        <v>64419.71</v>
      </c>
      <c r="L125" s="53">
        <f t="shared" si="30"/>
        <v>150312.65</v>
      </c>
      <c r="M125" s="53">
        <f t="shared" si="31"/>
        <v>24050.02</v>
      </c>
      <c r="N125" s="53">
        <f t="shared" si="28"/>
        <v>174362.67</v>
      </c>
      <c r="O125" s="53">
        <v>622.72</v>
      </c>
      <c r="P125" s="53">
        <f t="shared" si="32"/>
        <v>173739.95</v>
      </c>
      <c r="Q125" s="52" t="str">
        <f>LOOKUP($E125,OBRAS!$D:$D,OBRAS!B:B)</f>
        <v>ING. SERGIO HUMBERTO LOPEZ ARAUJO</v>
      </c>
      <c r="R125" s="52" t="str">
        <f>LOOKUP($E125,OBRAS!$D:$D,OBRAS!A:A)</f>
        <v>NOGALES</v>
      </c>
      <c r="S125" s="52" t="str">
        <f>LOOKUP($E125,OBRAS!$D:$D,OBRAS!F:F)</f>
        <v>11000002002201E201K13303A614202155DM03C-00052/0136</v>
      </c>
      <c r="T125" s="52" t="str">
        <f>LOOKUP($E125,OBRAS!$D:$D,OBRAS!G:G)</f>
        <v>LICITACIÓN SIMPLIFICADA</v>
      </c>
      <c r="U125" s="52"/>
      <c r="V125" s="52"/>
      <c r="W125" s="6">
        <f>LOOKUP($E125,OBRAS!$D:$D,OBRAS!K:K)</f>
        <v>778404.8</v>
      </c>
      <c r="X125" s="109">
        <f t="shared" si="33"/>
        <v>0.32</v>
      </c>
      <c r="Y125" s="109">
        <f t="shared" si="35"/>
        <v>0.52100000000000002</v>
      </c>
      <c r="Z125" s="109">
        <f t="shared" si="34"/>
        <v>0.36470000000000002</v>
      </c>
      <c r="AA125" s="52" t="str">
        <f>LOOKUP($E125,OBRAS!$D:$D,OBRAS!H:H)</f>
        <v>SH-FAFEF-16-R-007</v>
      </c>
    </row>
    <row r="126" spans="2:27" s="54" customFormat="1" ht="45" x14ac:dyDescent="0.25">
      <c r="B126" s="57"/>
      <c r="C126" s="55">
        <v>124</v>
      </c>
      <c r="D126" s="52" t="str">
        <f>LOOKUP($E126,OBRAS!$D:$D,OBRAS!C:C)</f>
        <v>PAVIMENTACION DE LA CALLE ALLENDE ENTRE REFORMA Y CUAUHTEMOC EN LA LOCALIDAD DE SANTA ANA, SONORA</v>
      </c>
      <c r="E126" s="52" t="s">
        <v>307</v>
      </c>
      <c r="F126" s="52" t="s">
        <v>314</v>
      </c>
      <c r="G126" s="52" t="str">
        <f>LOOKUP($E126,OBRAS!$D:$D,OBRAS!E:E)</f>
        <v>C-00093/0026</v>
      </c>
      <c r="H126" s="81" t="s">
        <v>103</v>
      </c>
      <c r="I126" s="53">
        <v>563832.59</v>
      </c>
      <c r="J126" s="53"/>
      <c r="K126" s="53">
        <v>169149.78</v>
      </c>
      <c r="L126" s="53">
        <f t="shared" si="30"/>
        <v>394682.81</v>
      </c>
      <c r="M126" s="53">
        <f t="shared" si="31"/>
        <v>63149.25</v>
      </c>
      <c r="N126" s="53">
        <f t="shared" si="28"/>
        <v>457832.06</v>
      </c>
      <c r="O126" s="53">
        <f>ROUND(I126*0.005,2)</f>
        <v>2819.16</v>
      </c>
      <c r="P126" s="53">
        <f t="shared" si="32"/>
        <v>455012.9</v>
      </c>
      <c r="Q126" s="52" t="str">
        <f>LOOKUP($E126,OBRAS!$D:$D,OBRAS!B:B)</f>
        <v>CORPORATIVO DE CAMINOS Y MINAS TUI</v>
      </c>
      <c r="R126" s="52" t="str">
        <f>LOOKUP($E126,OBRAS!$D:$D,OBRAS!A:A)</f>
        <v>SANTA ANA</v>
      </c>
      <c r="S126" s="52" t="str">
        <f>LOOKUP($E126,OBRAS!$D:$D,OBRAS!F:F)</f>
        <v>1100000200 2201E201K02203A 614202 155GL03 C-00093/0026</v>
      </c>
      <c r="T126" s="52" t="str">
        <f>LOOKUP($E126,OBRAS!$D:$D,OBRAS!G:G)</f>
        <v>SO-926006995-N28-2015</v>
      </c>
      <c r="U126" s="52" t="s">
        <v>863</v>
      </c>
      <c r="V126" s="101">
        <v>42522</v>
      </c>
      <c r="W126" s="6">
        <f>LOOKUP($E126,OBRAS!$D:$D,OBRAS!K:K)</f>
        <v>803832.44</v>
      </c>
      <c r="X126" s="109">
        <f t="shared" si="33"/>
        <v>0.81369999999999998</v>
      </c>
      <c r="Y126" s="109">
        <f t="shared" si="35"/>
        <v>1</v>
      </c>
      <c r="Z126" s="109">
        <f t="shared" si="34"/>
        <v>0.7</v>
      </c>
      <c r="AA126" s="52" t="str">
        <f>LOOKUP($E126,OBRAS!$D:$D,OBRAS!H:H)</f>
        <v>SH-NC-16-R-007.</v>
      </c>
    </row>
    <row r="127" spans="2:27" ht="45" x14ac:dyDescent="0.25">
      <c r="C127" s="49">
        <v>125</v>
      </c>
      <c r="D127" s="4" t="str">
        <f>LOOKUP($E127,OBRAS!$D:$D,OBRAS!C:C)</f>
        <v>CONSTRUCCION DE PARQUE DE ACCESO DEL MUSEO MUSAS EN LA LOCALIDAD Y MUNICIPIO DE HERMOSILLO</v>
      </c>
      <c r="E127" s="4" t="s">
        <v>89</v>
      </c>
      <c r="F127" s="4" t="s">
        <v>314</v>
      </c>
      <c r="G127" s="4" t="str">
        <f>LOOKUP($E127,OBRAS!$D:$D,OBRAS!E:E)</f>
        <v>C-00093/0010</v>
      </c>
      <c r="H127" s="80" t="s">
        <v>215</v>
      </c>
      <c r="I127" s="6">
        <v>870049.27</v>
      </c>
      <c r="J127" s="6"/>
      <c r="K127" s="6">
        <f>ROUND(I127*0.4,2)</f>
        <v>348019.71</v>
      </c>
      <c r="L127" s="6">
        <f t="shared" si="30"/>
        <v>522029.56</v>
      </c>
      <c r="M127" s="6">
        <f t="shared" si="31"/>
        <v>83524.73</v>
      </c>
      <c r="N127" s="6">
        <f t="shared" si="28"/>
        <v>605554.29</v>
      </c>
      <c r="O127" s="6">
        <f>ROUND(I127*0.005,2)</f>
        <v>4350.25</v>
      </c>
      <c r="P127" s="6">
        <f t="shared" si="32"/>
        <v>601204.04</v>
      </c>
      <c r="Q127" s="4" t="str">
        <f>LOOKUP($E127,OBRAS!$D:$D,OBRAS!B:B)</f>
        <v>CONSTRUCTORES LISTABLANCA, S.A. DE C.V.</v>
      </c>
      <c r="R127" s="4" t="str">
        <f>LOOKUP($E127,OBRAS!$D:$D,OBRAS!A:A)</f>
        <v>HERMOSILLO</v>
      </c>
      <c r="S127" s="4" t="str">
        <f>LOOKUP($E127,OBRAS!$D:$D,OBRAS!F:F)</f>
        <v>11000002002402E406K06106A612012155GL07</v>
      </c>
      <c r="T127" s="4" t="str">
        <f>LOOKUP($E127,OBRAS!$D:$D,OBRAS!G:G)</f>
        <v>LO-926006995-N8-2015</v>
      </c>
      <c r="U127" s="4" t="s">
        <v>863</v>
      </c>
      <c r="V127" s="89">
        <v>42522</v>
      </c>
      <c r="W127" s="6">
        <f>LOOKUP($E127,OBRAS!$D:$D,OBRAS!K:K)</f>
        <v>10308275.199999999</v>
      </c>
      <c r="X127" s="109">
        <f t="shared" si="33"/>
        <v>9.7900000000000001E-2</v>
      </c>
      <c r="Y127" s="109">
        <f t="shared" si="35"/>
        <v>1.0001</v>
      </c>
      <c r="Z127" s="109">
        <f t="shared" si="34"/>
        <v>0.6</v>
      </c>
      <c r="AA127" s="4" t="str">
        <f>LOOKUP($E127,OBRAS!$D:$D,OBRAS!H:H)</f>
        <v>SH-NC-16-R-007</v>
      </c>
    </row>
    <row r="128" spans="2:27" ht="60" x14ac:dyDescent="0.25">
      <c r="C128" s="49">
        <v>126</v>
      </c>
      <c r="D128" s="4" t="str">
        <f>LOOKUP($E128,OBRAS!$D:$D,OBRAS!C:C)</f>
        <v>RECARPETEO CON MICROCARPETA ASFALTICA DE 3 CMS. DE ESPESOR EN VARIAS CALLES Y AVENIDAS DE LA LOCALIDAD DE CIUDAD OBREGON, MUNICIPIO DE CAJEME, SONORA.</v>
      </c>
      <c r="E128" s="4" t="s">
        <v>257</v>
      </c>
      <c r="F128" s="4" t="s">
        <v>314</v>
      </c>
      <c r="G128" s="4" t="str">
        <f>LOOKUP($E128,OBRAS!$D:$D,OBRAS!E:E)</f>
        <v>C-00052/0151</v>
      </c>
      <c r="H128" s="81" t="s">
        <v>55</v>
      </c>
      <c r="I128" s="6">
        <v>276418.28000000003</v>
      </c>
      <c r="J128" s="6"/>
      <c r="K128" s="6">
        <v>82925.48</v>
      </c>
      <c r="L128" s="6">
        <f t="shared" si="30"/>
        <v>193492.8</v>
      </c>
      <c r="M128" s="6">
        <f t="shared" si="31"/>
        <v>30958.85</v>
      </c>
      <c r="N128" s="6">
        <f t="shared" si="28"/>
        <v>224451.65</v>
      </c>
      <c r="O128" s="6">
        <v>1354.47</v>
      </c>
      <c r="P128" s="6">
        <f t="shared" si="32"/>
        <v>223097.18</v>
      </c>
      <c r="Q128" s="4" t="str">
        <f>LOOKUP($E128,OBRAS!$D:$D,OBRAS!B:B)</f>
        <v>INGENIEROS CIVILES, S.A. DE C.V.</v>
      </c>
      <c r="R128" s="4" t="str">
        <f>LOOKUP($E128,OBRAS!$D:$D,OBRAS!A:A)</f>
        <v>CAJEME</v>
      </c>
      <c r="S128" s="4" t="str">
        <f>LOOKUP($E128,OBRAS!$D:$D,OBRAS!F:F)</f>
        <v>11000002002201E201K02203A614202155DM11</v>
      </c>
      <c r="T128" s="4" t="str">
        <f>LOOKUP($E128,OBRAS!$D:$D,OBRAS!G:G)</f>
        <v>XX-926006995-X36-2015</v>
      </c>
      <c r="U128" s="4" t="s">
        <v>863</v>
      </c>
      <c r="V128" s="89">
        <v>42522</v>
      </c>
      <c r="W128" s="6">
        <f>LOOKUP($E128,OBRAS!$D:$D,OBRAS!K:K)</f>
        <v>5404780.6299999999</v>
      </c>
      <c r="X128" s="109">
        <f t="shared" si="33"/>
        <v>5.9299999999999999E-2</v>
      </c>
      <c r="Y128" s="109">
        <f t="shared" si="35"/>
        <v>0.91439999999999999</v>
      </c>
      <c r="Z128" s="109">
        <f t="shared" si="34"/>
        <v>0.6401</v>
      </c>
      <c r="AA128" s="4" t="str">
        <f>LOOKUP($E128,OBRAS!$D:$D,OBRAS!H:H)</f>
        <v>SH-FAFEF-16-R-002</v>
      </c>
    </row>
    <row r="129" spans="2:27" ht="45" x14ac:dyDescent="0.25">
      <c r="C129" s="51">
        <v>127</v>
      </c>
      <c r="D129" s="4" t="str">
        <f>LOOKUP($E129,OBRAS!$D:$D,OBRAS!C:C)</f>
        <v>SUPERVISION EXTERNA Y CONTROL DE CALIDAD DE LA MODERNIZACION DEL PERIFERICO PONIENTE (1 ETAPA), NAVOJOA</v>
      </c>
      <c r="E129" s="4" t="s">
        <v>495</v>
      </c>
      <c r="F129" s="4"/>
      <c r="G129" s="4" t="str">
        <f>LOOKUP($E129,OBRAS!$D:$D,OBRAS!E:E)</f>
        <v>C-00098/0022</v>
      </c>
      <c r="H129" s="80" t="s">
        <v>23</v>
      </c>
      <c r="I129" s="6">
        <v>395313.59</v>
      </c>
      <c r="J129" s="6"/>
      <c r="K129" s="6"/>
      <c r="L129" s="6">
        <f t="shared" si="30"/>
        <v>395313.59</v>
      </c>
      <c r="M129" s="6">
        <f t="shared" si="31"/>
        <v>63250.17</v>
      </c>
      <c r="N129" s="6">
        <f t="shared" si="28"/>
        <v>458563.76</v>
      </c>
      <c r="O129" s="6"/>
      <c r="P129" s="6">
        <f t="shared" si="32"/>
        <v>458563.76</v>
      </c>
      <c r="Q129" s="4" t="str">
        <f>LOOKUP($E129,OBRAS!$D:$D,OBRAS!B:B)</f>
        <v>UNIVERSO ROJO, S.A. DE C.V.</v>
      </c>
      <c r="R129" s="4" t="str">
        <f>LOOKUP($E129,OBRAS!$D:$D,OBRAS!A:A)</f>
        <v>NAVOJOA</v>
      </c>
      <c r="S129" s="4" t="str">
        <f>LOOKUP($E129,OBRAS!$D:$D,OBRAS!F:F)</f>
        <v>11000002002207E201K02104A622212161A013</v>
      </c>
      <c r="T129" s="4" t="str">
        <f>LOOKUP($E129,OBRAS!$D:$D,OBRAS!G:G)</f>
        <v>CE-926006995-E65-2016</v>
      </c>
      <c r="U129" s="4" t="s">
        <v>863</v>
      </c>
      <c r="V129" s="89">
        <v>42632</v>
      </c>
      <c r="W129" s="6">
        <f>LOOKUP($E129,OBRAS!$D:$D,OBRAS!K:K)</f>
        <v>4585637.5999999996</v>
      </c>
      <c r="X129" s="109" t="str">
        <f t="shared" si="33"/>
        <v/>
      </c>
      <c r="Y129" s="109">
        <f t="shared" si="35"/>
        <v>0.70589999999999997</v>
      </c>
      <c r="Z129" s="109">
        <f t="shared" si="34"/>
        <v>0.73529999999999995</v>
      </c>
      <c r="AA129" s="4" t="str">
        <f>LOOKUP($E129,OBRAS!$D:$D,OBRAS!H:H)</f>
        <v>SH-ED-16-061</v>
      </c>
    </row>
    <row r="130" spans="2:27" ht="60" x14ac:dyDescent="0.25">
      <c r="C130" s="51">
        <v>128</v>
      </c>
      <c r="D130" s="4" t="str">
        <f>LOOKUP($E130,OBRAS!$D:$D,OBRAS!C:C)</f>
        <v>SUPERVISION EXTERNA Y CONTROL DE CALIDAD DE LA MODERNIZACION Y RECONSTRUCCION DEL PERIFERICO EN NAVOJOA (E.C. MEXICO 15-TETANCHOPO DEL KM 7+031 AL KM 13+326</v>
      </c>
      <c r="E130" s="4" t="s">
        <v>499</v>
      </c>
      <c r="F130" s="4"/>
      <c r="G130" s="4" t="str">
        <f>LOOKUP($E130,OBRAS!$D:$D,OBRAS!E:E)</f>
        <v>C-00098/0022</v>
      </c>
      <c r="H130" s="80" t="s">
        <v>23</v>
      </c>
      <c r="I130" s="6">
        <v>233339.78</v>
      </c>
      <c r="J130" s="6"/>
      <c r="K130" s="6"/>
      <c r="L130" s="6">
        <f t="shared" si="30"/>
        <v>233339.78</v>
      </c>
      <c r="M130" s="6">
        <f t="shared" si="31"/>
        <v>37334.36</v>
      </c>
      <c r="N130" s="6">
        <f t="shared" ref="N130:N139" si="36">M130+L130</f>
        <v>270674.14</v>
      </c>
      <c r="O130" s="6"/>
      <c r="P130" s="6">
        <f t="shared" si="32"/>
        <v>270674.14</v>
      </c>
      <c r="Q130" s="4" t="str">
        <f>LOOKUP($E130,OBRAS!$D:$D,OBRAS!B:B)</f>
        <v>UNIVERSO ROJO, S.A. DE C.V.</v>
      </c>
      <c r="R130" s="4" t="str">
        <f>LOOKUP($E130,OBRAS!$D:$D,OBRAS!A:A)</f>
        <v>NAVOJOA</v>
      </c>
      <c r="S130" s="4" t="str">
        <f>LOOKUP($E130,OBRAS!$D:$D,OBRAS!F:F)</f>
        <v>11000002002207E201K02104A622212161A013</v>
      </c>
      <c r="T130" s="4" t="str">
        <f>LOOKUP($E130,OBRAS!$D:$D,OBRAS!G:G)</f>
        <v>CE-926006995-E66-2016</v>
      </c>
      <c r="U130" s="4" t="s">
        <v>863</v>
      </c>
      <c r="V130" s="89">
        <v>42632</v>
      </c>
      <c r="W130" s="6">
        <f>LOOKUP($E130,OBRAS!$D:$D,OBRAS!K:K)</f>
        <v>2706741.39</v>
      </c>
      <c r="X130" s="109" t="str">
        <f t="shared" si="33"/>
        <v/>
      </c>
      <c r="Y130" s="109">
        <f t="shared" si="35"/>
        <v>0.91539999999999999</v>
      </c>
      <c r="Z130" s="109">
        <f t="shared" si="34"/>
        <v>0.92369999999999997</v>
      </c>
      <c r="AA130" s="4" t="str">
        <f>LOOKUP($E130,OBRAS!$D:$D,OBRAS!H:H)</f>
        <v>SH-ED-16-061</v>
      </c>
    </row>
    <row r="131" spans="2:27" ht="60" x14ac:dyDescent="0.25">
      <c r="C131" s="51">
        <v>129</v>
      </c>
      <c r="D131" s="4" t="str">
        <f>LOOKUP($E131,OBRAS!$D:$D,OBRAS!C:C)</f>
        <v>CONSTRUCCION DE LINEA DE CONDUCCION DE POZO EXISTENTE A TANQUE DE ALMACENAMIENTO EN LA LOCALIDAD Y MUNICIPIO DE ALTAR.</v>
      </c>
      <c r="E131" s="4" t="s">
        <v>633</v>
      </c>
      <c r="F131" s="4"/>
      <c r="G131" s="4" t="str">
        <f>LOOKUP($E131,OBRAS!$D:$D,OBRAS!E:E)</f>
        <v>C-00050/0004</v>
      </c>
      <c r="H131" s="80" t="s">
        <v>23</v>
      </c>
      <c r="I131" s="6">
        <v>3024777.3</v>
      </c>
      <c r="J131" s="6"/>
      <c r="K131" s="6"/>
      <c r="L131" s="6">
        <f t="shared" si="30"/>
        <v>3024777.3</v>
      </c>
      <c r="M131" s="6">
        <f t="shared" si="31"/>
        <v>483964.37</v>
      </c>
      <c r="N131" s="6">
        <f t="shared" si="36"/>
        <v>3508741.67</v>
      </c>
      <c r="O131" s="6"/>
      <c r="P131" s="6">
        <f t="shared" si="32"/>
        <v>3508741.67</v>
      </c>
      <c r="Q131" s="4" t="str">
        <f>LOOKUP($E131,OBRAS!$D:$D,OBRAS!B:B)</f>
        <v>BARREDA PROYECTO Y CONSTRUCCIONES, S.A. DE C.V.</v>
      </c>
      <c r="R131" s="4" t="str">
        <f>LOOKUP($E131,OBRAS!$D:$D,OBRAS!A:A)</f>
        <v>ALTAR</v>
      </c>
      <c r="S131" s="4" t="str">
        <f>LOOKUP($E131,OBRAS!$D:$D,OBRAS!F:F)</f>
        <v>11000002002203E208K13021A614082162A202</v>
      </c>
      <c r="T131" s="4" t="str">
        <f>LOOKUP($E131,OBRAS!$D:$D,OBRAS!G:G)</f>
        <v>CE-926006995-E70-2016</v>
      </c>
      <c r="U131" s="4" t="s">
        <v>863</v>
      </c>
      <c r="V131" s="89">
        <v>42632</v>
      </c>
      <c r="W131" s="6">
        <f>LOOKUP($E131,OBRAS!$D:$D,OBRAS!K:K)</f>
        <v>11695805.57</v>
      </c>
      <c r="X131" s="109" t="str">
        <f t="shared" si="33"/>
        <v/>
      </c>
      <c r="Y131" s="109">
        <f t="shared" si="35"/>
        <v>0.65290000000000004</v>
      </c>
      <c r="Z131" s="109">
        <f t="shared" si="34"/>
        <v>0.75700000000000001</v>
      </c>
      <c r="AA131" s="4" t="str">
        <f>LOOKUP($E131,OBRAS!$D:$D,OBRAS!H:H)</f>
        <v>SH-ED-17-R-004</v>
      </c>
    </row>
    <row r="132" spans="2:27" ht="45" x14ac:dyDescent="0.25">
      <c r="C132" s="49">
        <v>130</v>
      </c>
      <c r="D132" s="4" t="str">
        <f>LOOKUP($E132,OBRAS!$D:$D,OBRAS!C:C)</f>
        <v>RECARPETEO CON MICROCARPETA ASFALTICA DE 3 CMS DE ESPESOR EN VARIAS CALLES Y AVENIDAS DE EMPALME</v>
      </c>
      <c r="E132" s="4" t="s">
        <v>337</v>
      </c>
      <c r="F132" s="4"/>
      <c r="G132" s="4" t="str">
        <f>LOOKUP($E132,OBRAS!$D:$D,OBRAS!E:E)</f>
        <v>C-00052/0241</v>
      </c>
      <c r="H132" s="80" t="s">
        <v>103</v>
      </c>
      <c r="I132" s="6">
        <v>2542395.69</v>
      </c>
      <c r="J132" s="6"/>
      <c r="K132" s="6">
        <v>762718.71</v>
      </c>
      <c r="L132" s="6">
        <f t="shared" si="30"/>
        <v>1779676.98</v>
      </c>
      <c r="M132" s="6">
        <f t="shared" si="31"/>
        <v>284748.32</v>
      </c>
      <c r="N132" s="6">
        <f t="shared" si="36"/>
        <v>2064425.3</v>
      </c>
      <c r="O132" s="6">
        <v>12457.74</v>
      </c>
      <c r="P132" s="6">
        <f t="shared" si="32"/>
        <v>2051967.56</v>
      </c>
      <c r="Q132" s="4" t="str">
        <f>LOOKUP($E132,OBRAS!$D:$D,OBRAS!B:B)</f>
        <v>INGENIEROS CIVILES, S.A. DE C.V.</v>
      </c>
      <c r="R132" s="4" t="str">
        <f>LOOKUP($E132,OBRAS!$D:$D,OBRAS!A:A)</f>
        <v>EMPALME</v>
      </c>
      <c r="S132" s="4" t="str">
        <f>LOOKUP($E132,OBRAS!$D:$D,OBRAS!F:F)</f>
        <v>11000002002201E202K05186A614202165DM10</v>
      </c>
      <c r="T132" s="4" t="str">
        <f>LOOKUP($E132,OBRAS!$D:$D,OBRAS!G:G)</f>
        <v>XX-926006995-X35-2015</v>
      </c>
      <c r="U132" s="4" t="s">
        <v>863</v>
      </c>
      <c r="V132" s="89">
        <v>42529</v>
      </c>
      <c r="W132" s="6">
        <f>LOOKUP($E132,OBRAS!$D:$D,OBRAS!K:K)</f>
        <v>3275656.65</v>
      </c>
      <c r="X132" s="109">
        <f t="shared" si="33"/>
        <v>0.90029999999999999</v>
      </c>
      <c r="Y132" s="109">
        <f t="shared" si="35"/>
        <v>0.98899999999999999</v>
      </c>
      <c r="Z132" s="109">
        <f t="shared" si="34"/>
        <v>0.71889999999999998</v>
      </c>
      <c r="AA132" s="4" t="str">
        <f>LOOKUP($E132,OBRAS!$D:$D,OBRAS!H:H)</f>
        <v>SH-FAFEF-17-R-002</v>
      </c>
    </row>
    <row r="133" spans="2:27" ht="120" x14ac:dyDescent="0.25">
      <c r="C133" s="49">
        <v>131</v>
      </c>
      <c r="D133" s="4" t="str">
        <f>LOOKUP($E133,OBRAS!$D:$D,OBRAS!C:C)</f>
        <v>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</v>
      </c>
      <c r="E133" s="4" t="s">
        <v>345</v>
      </c>
      <c r="F133" s="4"/>
      <c r="G133" s="4" t="str">
        <f>LOOKUP($E133,OBRAS!$D:$D,OBRAS!E:E)</f>
        <v>C-00098/0021</v>
      </c>
      <c r="H133" s="80" t="s">
        <v>103</v>
      </c>
      <c r="I133" s="6">
        <f>ROUND(287214.48*0.3,2)</f>
        <v>86164.34</v>
      </c>
      <c r="J133" s="6"/>
      <c r="K133" s="6"/>
      <c r="L133" s="6">
        <f t="shared" si="30"/>
        <v>86164.34</v>
      </c>
      <c r="M133" s="6">
        <f t="shared" si="31"/>
        <v>13786.29</v>
      </c>
      <c r="N133" s="6">
        <f t="shared" si="36"/>
        <v>99950.63</v>
      </c>
      <c r="O133" s="6">
        <v>249.88</v>
      </c>
      <c r="P133" s="6">
        <f t="shared" si="32"/>
        <v>99700.75</v>
      </c>
      <c r="Q133" s="4" t="str">
        <f>LOOKUP($E133,OBRAS!$D:$D,OBRAS!B:B)</f>
        <v>ISAFRA CONSTRUCCIONES, S.A. DE C.V.</v>
      </c>
      <c r="R133" s="4" t="str">
        <f>LOOKUP($E133,OBRAS!$D:$D,OBRAS!A:A)</f>
        <v>VARIOS</v>
      </c>
      <c r="S133" s="4" t="str">
        <f>LOOKUP($E133,OBRAS!$D:$D,OBRAS!F:F)</f>
        <v>11000002003501E203K03203A625132161A013</v>
      </c>
      <c r="T133" s="4" t="str">
        <f>LOOKUP($E133,OBRAS!$D:$D,OBRAS!G:G)</f>
        <v>ADJUDICACIÓN DIRECTA</v>
      </c>
      <c r="U133" s="4" t="s">
        <v>863</v>
      </c>
      <c r="V133" s="89">
        <v>42545</v>
      </c>
      <c r="W133" s="6">
        <f>LOOKUP($E133,OBRAS!$D:$D,OBRAS!K:K)</f>
        <v>333168.8</v>
      </c>
      <c r="X133" s="109">
        <f t="shared" si="33"/>
        <v>0.3</v>
      </c>
      <c r="Y133" s="109">
        <f t="shared" si="35"/>
        <v>1</v>
      </c>
      <c r="Z133" s="109">
        <f t="shared" si="34"/>
        <v>1</v>
      </c>
      <c r="AA133" s="4" t="str">
        <f>LOOKUP($E133,OBRAS!$D:$D,OBRAS!H:H)</f>
        <v>SH-ED-16-051</v>
      </c>
    </row>
    <row r="134" spans="2:27" ht="45" x14ac:dyDescent="0.25">
      <c r="C134" s="49">
        <v>132</v>
      </c>
      <c r="D134" s="4" t="str">
        <f>LOOKUP($E134,OBRAS!$D:$D,OBRAS!C:C)</f>
        <v>CONSTRUCCIÓN DE CENTRO DE REHABILITACIÓN Y EDUCACIÓN ESPECIAL, CD. OBREGON, CAJEME</v>
      </c>
      <c r="E134" s="4" t="s">
        <v>621</v>
      </c>
      <c r="F134" s="4"/>
      <c r="G134" s="4" t="str">
        <f>LOOKUP($E134,OBRAS!$D:$D,OBRAS!E:E)</f>
        <v>C-00119/0001</v>
      </c>
      <c r="H134" s="80" t="s">
        <v>23</v>
      </c>
      <c r="I134" s="6">
        <v>10057806.460000001</v>
      </c>
      <c r="J134" s="6"/>
      <c r="K134" s="6"/>
      <c r="L134" s="6">
        <f t="shared" si="30"/>
        <v>10057806.460000001</v>
      </c>
      <c r="M134" s="6">
        <f t="shared" si="31"/>
        <v>1609249.03</v>
      </c>
      <c r="N134" s="6">
        <f t="shared" si="36"/>
        <v>11667055.49</v>
      </c>
      <c r="O134" s="6"/>
      <c r="P134" s="6">
        <f t="shared" si="32"/>
        <v>11667055.49</v>
      </c>
      <c r="Q134" s="4" t="str">
        <f>LOOKUP($E134,OBRAS!$D:$D,OBRAS!B:B)</f>
        <v>PROYECTOS Y CONSTRUCCIONES ALHER, S.A. DE C.V.</v>
      </c>
      <c r="R134" s="4" t="str">
        <f>LOOKUP($E134,OBRAS!$D:$D,OBRAS!A:A)</f>
        <v>CAJEME</v>
      </c>
      <c r="S134" s="4" t="str">
        <f>LOOKUP($E134,OBRAS!$D:$D,OBRAS!F:F)</f>
        <v>11000002002303E412K27152A622102162A211</v>
      </c>
      <c r="T134" s="4" t="str">
        <f>LOOKUP($E134,OBRAS!$D:$D,OBRAS!G:G)</f>
        <v>CE-926006995-E61-2016</v>
      </c>
      <c r="U134" s="4" t="s">
        <v>863</v>
      </c>
      <c r="V134" s="89">
        <v>42632</v>
      </c>
      <c r="W134" s="6">
        <f>LOOKUP($E134,OBRAS!$D:$D,OBRAS!K:K)</f>
        <v>38949797.340000004</v>
      </c>
      <c r="X134" s="109" t="str">
        <f t="shared" si="33"/>
        <v/>
      </c>
      <c r="Y134" s="109">
        <f t="shared" si="35"/>
        <v>0.1762</v>
      </c>
      <c r="Z134" s="109">
        <f t="shared" si="34"/>
        <v>0.4229</v>
      </c>
      <c r="AA134" s="4" t="str">
        <f>LOOKUP($E134,OBRAS!$D:$D,OBRAS!H:H)</f>
        <v>SH-ED-17-R-004</v>
      </c>
    </row>
    <row r="135" spans="2:27" x14ac:dyDescent="0.25">
      <c r="C135" s="49">
        <v>133</v>
      </c>
      <c r="D135" s="4" t="e">
        <f>LOOKUP($E135,OBRAS!$D:$D,OBRAS!C:C)</f>
        <v>#N/A</v>
      </c>
      <c r="E135" s="4"/>
      <c r="F135" s="4"/>
      <c r="G135" s="4" t="e">
        <f>LOOKUP($E135,OBRAS!$D:$D,OBRAS!E:E)</f>
        <v>#N/A</v>
      </c>
      <c r="H135" s="80" t="s">
        <v>23</v>
      </c>
      <c r="I135" s="6">
        <v>118055.81</v>
      </c>
      <c r="J135" s="6"/>
      <c r="K135" s="6"/>
      <c r="L135" s="6">
        <f t="shared" si="30"/>
        <v>118055.81</v>
      </c>
      <c r="M135" s="6">
        <f t="shared" si="31"/>
        <v>18888.93</v>
      </c>
      <c r="N135" s="6">
        <f t="shared" si="36"/>
        <v>136944.74</v>
      </c>
      <c r="O135" s="6"/>
      <c r="P135" s="6">
        <f t="shared" si="32"/>
        <v>136944.74</v>
      </c>
      <c r="Q135" s="4" t="e">
        <f>LOOKUP($E135,OBRAS!$D:$D,OBRAS!B:B)</f>
        <v>#N/A</v>
      </c>
      <c r="R135" s="4" t="e">
        <f>LOOKUP($E135,OBRAS!$D:$D,OBRAS!A:A)</f>
        <v>#N/A</v>
      </c>
      <c r="S135" s="4" t="e">
        <f>LOOKUP($E135,OBRAS!$D:$D,OBRAS!F:F)</f>
        <v>#N/A</v>
      </c>
      <c r="T135" s="4" t="e">
        <f>LOOKUP($E135,OBRAS!$D:$D,OBRAS!G:G)</f>
        <v>#N/A</v>
      </c>
      <c r="U135" s="4"/>
      <c r="V135" s="4"/>
      <c r="W135" s="6" t="e">
        <f>LOOKUP($E135,OBRAS!$D:$D,OBRAS!K:K)</f>
        <v>#N/A</v>
      </c>
      <c r="X135" s="109" t="str">
        <f t="shared" si="33"/>
        <v/>
      </c>
      <c r="Y135" s="109">
        <f t="shared" si="35"/>
        <v>0</v>
      </c>
      <c r="Z135" s="109" t="e">
        <f t="shared" si="34"/>
        <v>#N/A</v>
      </c>
      <c r="AA135" s="4" t="e">
        <f>LOOKUP($E135,OBRAS!$D:$D,OBRAS!H:H)</f>
        <v>#N/A</v>
      </c>
    </row>
    <row r="136" spans="2:27" ht="45" x14ac:dyDescent="0.25">
      <c r="C136" s="49">
        <v>134</v>
      </c>
      <c r="D136" s="4" t="str">
        <f>LOOKUP($E136,OBRAS!$D:$D,OBRAS!C:C)</f>
        <v>RECONSTRUCCION DEL CAMINO E.C. FEDERAL- LAS BOCAS EN VARIAS LOCALIDADES DEL MUNICIPIO DE HUATABAMPO, SONORA.</v>
      </c>
      <c r="E136" s="4" t="s">
        <v>279</v>
      </c>
      <c r="F136" s="4" t="s">
        <v>224</v>
      </c>
      <c r="G136" s="4" t="str">
        <f>LOOKUP($E136,OBRAS!$D:$D,OBRAS!E:E)</f>
        <v>C-00054/0020</v>
      </c>
      <c r="H136" s="80" t="s">
        <v>221</v>
      </c>
      <c r="I136" s="6">
        <v>2417719.67</v>
      </c>
      <c r="J136" s="6"/>
      <c r="K136" s="6">
        <f>ROUND(I136*0.3,2)</f>
        <v>725315.9</v>
      </c>
      <c r="L136" s="6">
        <f t="shared" si="30"/>
        <v>1692403.77</v>
      </c>
      <c r="M136" s="6">
        <f t="shared" si="31"/>
        <v>270784.59999999998</v>
      </c>
      <c r="N136" s="6">
        <f t="shared" si="36"/>
        <v>1963188.37</v>
      </c>
      <c r="O136" s="6">
        <v>11846.84</v>
      </c>
      <c r="P136" s="6">
        <f t="shared" si="32"/>
        <v>1951341.53</v>
      </c>
      <c r="Q136" s="4" t="str">
        <f>LOOKUP($E136,OBRAS!$D:$D,OBRAS!B:B)</f>
        <v>EDIFICACIÓN INTEGRAL DEL NOROESTE, S.A. DE C.V.</v>
      </c>
      <c r="R136" s="4" t="str">
        <f>LOOKUP($E136,OBRAS!$D:$D,OBRAS!A:A)</f>
        <v>HUATABAMPO</v>
      </c>
      <c r="S136" s="4" t="str">
        <f>LOOKUP($E136,OBRAS!$D:$D,OBRAS!F:F)</f>
        <v>11000002003501E203K03203A625012162A212</v>
      </c>
      <c r="T136" s="4" t="str">
        <f>LOOKUP($E136,OBRAS!$D:$D,OBRAS!G:G)</f>
        <v>CE-926006995-E2-2016</v>
      </c>
      <c r="U136" s="4" t="s">
        <v>863</v>
      </c>
      <c r="V136" s="89">
        <v>42535</v>
      </c>
      <c r="W136" s="6">
        <f>LOOKUP($E136,OBRAS!$D:$D,OBRAS!K:K)</f>
        <v>22980026.969999999</v>
      </c>
      <c r="X136" s="109">
        <f t="shared" si="33"/>
        <v>0.122</v>
      </c>
      <c r="Y136" s="109">
        <f>ROUND(SUMIF(E:E,E136,X:X),2)</f>
        <v>1</v>
      </c>
      <c r="Z136" s="109">
        <f t="shared" si="34"/>
        <v>1</v>
      </c>
      <c r="AA136" s="4" t="str">
        <f>LOOKUP($E136,OBRAS!$D:$D,OBRAS!H:H)</f>
        <v>OM-ED-16-002</v>
      </c>
    </row>
    <row r="137" spans="2:27" ht="60" x14ac:dyDescent="0.25">
      <c r="C137" s="84">
        <v>135</v>
      </c>
      <c r="D137" s="4" t="str">
        <f>LOOKUP($E137,OBRAS!$D:$D,OBRAS!C:C)</f>
        <v>CONSTRUCCION Y EQUIPAMIENTO DE UNIDAD DEPORTIVA MUNICIPAL EL ANDADOR EN LA LOCALIDAD Y MUNICIPIO DE SANTA ANA, SONORA.</v>
      </c>
      <c r="E137" s="4" t="s">
        <v>625</v>
      </c>
      <c r="F137" s="4"/>
      <c r="G137" s="4" t="str">
        <f>LOOKUP($E137,OBRAS!$D:$D,OBRAS!E:E)</f>
        <v>C-00109/0004</v>
      </c>
      <c r="H137" s="80" t="s">
        <v>23</v>
      </c>
      <c r="I137" s="6">
        <v>1742095.54</v>
      </c>
      <c r="J137" s="6"/>
      <c r="K137" s="6"/>
      <c r="L137" s="6">
        <f t="shared" si="30"/>
        <v>1742095.54</v>
      </c>
      <c r="M137" s="6">
        <f t="shared" si="31"/>
        <v>278735.28999999998</v>
      </c>
      <c r="N137" s="6">
        <f t="shared" si="36"/>
        <v>2020830.83</v>
      </c>
      <c r="O137" s="6"/>
      <c r="P137" s="6">
        <f t="shared" si="32"/>
        <v>2020830.83</v>
      </c>
      <c r="Q137" s="4" t="str">
        <f>LOOKUP($E137,OBRAS!$D:$D,OBRAS!B:B)</f>
        <v>BARREDA PROYECTO Y CONSTRUCCIONES, S.A. DE C.V.</v>
      </c>
      <c r="R137" s="4" t="str">
        <f>LOOKUP($E137,OBRAS!$D:$D,OBRAS!A:A)</f>
        <v>SANTA ANA</v>
      </c>
      <c r="S137" s="4"/>
      <c r="T137" s="4"/>
      <c r="U137" s="4" t="s">
        <v>863</v>
      </c>
      <c r="V137" s="4"/>
      <c r="W137" s="6">
        <f>LOOKUP($E137,OBRAS!$D:$D,OBRAS!K:K)</f>
        <v>6736102.7800000003</v>
      </c>
      <c r="X137" s="109" t="str">
        <f t="shared" si="33"/>
        <v/>
      </c>
      <c r="Y137" s="109">
        <f t="shared" ref="Y137:Y168" si="37">SUMIF(E:E,E137,X:X)</f>
        <v>0.99990000000000001</v>
      </c>
      <c r="Z137" s="109">
        <f t="shared" si="34"/>
        <v>1</v>
      </c>
      <c r="AA137" s="4"/>
    </row>
    <row r="138" spans="2:27" ht="60" x14ac:dyDescent="0.25">
      <c r="C138" s="84">
        <v>136</v>
      </c>
      <c r="D138" s="4" t="str">
        <f>LOOKUP($E138,OBRAS!$D:$D,OBRAS!C:C)</f>
        <v>CONSTRUCCION Y EQUIPAMIENTO DE UNIDAD DEPORTIVA MUNICIPAL EL ANDADOR EN LA LOCALIDAD Y MUNICIPIO DE SANTA ANA, SONORA.</v>
      </c>
      <c r="E138" s="4" t="s">
        <v>625</v>
      </c>
      <c r="F138" s="4" t="s">
        <v>217</v>
      </c>
      <c r="G138" s="4" t="str">
        <f>LOOKUP($E138,OBRAS!$D:$D,OBRAS!E:E)</f>
        <v>C-00109/0004</v>
      </c>
      <c r="H138" s="80" t="s">
        <v>103</v>
      </c>
      <c r="I138" s="6">
        <v>1518568.77</v>
      </c>
      <c r="J138" s="6"/>
      <c r="K138" s="6">
        <f>ROUND(I138*0.3,2)</f>
        <v>455570.63</v>
      </c>
      <c r="L138" s="6">
        <f t="shared" si="30"/>
        <v>1062998.1399999999</v>
      </c>
      <c r="M138" s="6">
        <f t="shared" si="31"/>
        <v>170079.7</v>
      </c>
      <c r="N138" s="6">
        <f t="shared" si="36"/>
        <v>1233077.8400000001</v>
      </c>
      <c r="O138" s="6">
        <f>ROUND(I138*0.005,2)</f>
        <v>7592.84</v>
      </c>
      <c r="P138" s="6">
        <f t="shared" si="32"/>
        <v>1225485</v>
      </c>
      <c r="Q138" s="4" t="str">
        <f>LOOKUP($E138,OBRAS!$D:$D,OBRAS!B:B)</f>
        <v>BARREDA PROYECTO Y CONSTRUCCIONES, S.A. DE C.V.</v>
      </c>
      <c r="R138" s="4" t="str">
        <f>LOOKUP($E138,OBRAS!$D:$D,OBRAS!A:A)</f>
        <v>SANTA ANA</v>
      </c>
      <c r="S138" s="4"/>
      <c r="T138" s="4"/>
      <c r="U138" s="4" t="s">
        <v>863</v>
      </c>
      <c r="V138" s="4"/>
      <c r="W138" s="6">
        <f>LOOKUP($E138,OBRAS!$D:$D,OBRAS!K:K)</f>
        <v>6736102.7800000003</v>
      </c>
      <c r="X138" s="109">
        <f t="shared" si="33"/>
        <v>0.26150000000000001</v>
      </c>
      <c r="Y138" s="109">
        <f t="shared" si="37"/>
        <v>0.99990000000000001</v>
      </c>
      <c r="Z138" s="109">
        <f t="shared" si="34"/>
        <v>1</v>
      </c>
      <c r="AA138" s="4"/>
    </row>
    <row r="139" spans="2:27" ht="60" x14ac:dyDescent="0.25">
      <c r="C139" s="84">
        <v>137</v>
      </c>
      <c r="D139" s="4" t="str">
        <f>LOOKUP($E139,OBRAS!$D:$D,OBRAS!C:C)</f>
        <v>CONSTRUCCION Y EQUIPAMIENTO DE UNIDAD DEPORTIVA MUNICIPAL EL ANDADOR EN LA LOCALIDAD Y MUNICIPIO DE SANTA ANA, SONORA.</v>
      </c>
      <c r="E139" s="4" t="s">
        <v>625</v>
      </c>
      <c r="F139" s="4" t="s">
        <v>217</v>
      </c>
      <c r="G139" s="4" t="str">
        <f>LOOKUP($E139,OBRAS!$D:$D,OBRAS!E:E)</f>
        <v>C-00109/0004</v>
      </c>
      <c r="H139" s="80" t="s">
        <v>55</v>
      </c>
      <c r="I139" s="6">
        <v>2958175.39</v>
      </c>
      <c r="J139" s="6"/>
      <c r="K139" s="6">
        <f>ROUND(I139*0.3,2)</f>
        <v>887452.62</v>
      </c>
      <c r="L139" s="6">
        <f t="shared" si="30"/>
        <v>2070722.77</v>
      </c>
      <c r="M139" s="6">
        <f t="shared" si="31"/>
        <v>331315.64</v>
      </c>
      <c r="N139" s="6">
        <f t="shared" si="36"/>
        <v>2402038.41</v>
      </c>
      <c r="O139" s="6">
        <f>ROUND(I139*0.005,2)</f>
        <v>14790.88</v>
      </c>
      <c r="P139" s="6">
        <f t="shared" si="32"/>
        <v>2387247.5299999998</v>
      </c>
      <c r="Q139" s="4" t="str">
        <f>LOOKUP($E139,OBRAS!$D:$D,OBRAS!B:B)</f>
        <v>BARREDA PROYECTO Y CONSTRUCCIONES, S.A. DE C.V.</v>
      </c>
      <c r="R139" s="4" t="str">
        <f>LOOKUP($E139,OBRAS!$D:$D,OBRAS!A:A)</f>
        <v>SANTA ANA</v>
      </c>
      <c r="S139" s="4"/>
      <c r="T139" s="4"/>
      <c r="U139" s="4" t="s">
        <v>863</v>
      </c>
      <c r="V139" s="4"/>
      <c r="W139" s="6">
        <f>LOOKUP($E139,OBRAS!$D:$D,OBRAS!K:K)</f>
        <v>6736102.7800000003</v>
      </c>
      <c r="X139" s="109">
        <f t="shared" si="33"/>
        <v>0.50939999999999996</v>
      </c>
      <c r="Y139" s="109">
        <f t="shared" si="37"/>
        <v>0.99990000000000001</v>
      </c>
      <c r="Z139" s="109">
        <f t="shared" si="34"/>
        <v>1</v>
      </c>
      <c r="AA139" s="4"/>
    </row>
    <row r="140" spans="2:27" x14ac:dyDescent="0.25">
      <c r="B140" s="56">
        <v>1459</v>
      </c>
      <c r="C140" s="49">
        <v>138</v>
      </c>
      <c r="D140" s="4"/>
      <c r="E140" s="4"/>
      <c r="F140" s="4"/>
      <c r="G140" s="4"/>
      <c r="H140" s="80"/>
      <c r="I140" s="6"/>
      <c r="J140" s="6"/>
      <c r="K140" s="6"/>
      <c r="L140" s="6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6" t="e">
        <f>LOOKUP($E140,OBRAS!$D:$D,OBRAS!K:K)</f>
        <v>#N/A</v>
      </c>
      <c r="X140" s="109" t="e">
        <f t="shared" si="33"/>
        <v>#N/A</v>
      </c>
      <c r="Y140" s="109">
        <f t="shared" si="37"/>
        <v>0</v>
      </c>
      <c r="Z140" s="109" t="e">
        <f t="shared" si="34"/>
        <v>#N/A</v>
      </c>
      <c r="AA140" s="4"/>
    </row>
    <row r="141" spans="2:27" x14ac:dyDescent="0.25">
      <c r="B141" s="56">
        <v>1460</v>
      </c>
      <c r="C141" s="49">
        <v>139</v>
      </c>
      <c r="D141" s="4"/>
      <c r="E141" s="4"/>
      <c r="F141" s="4"/>
      <c r="G141" s="4"/>
      <c r="H141" s="80"/>
      <c r="I141" s="6"/>
      <c r="J141" s="6"/>
      <c r="K141" s="6"/>
      <c r="L141" s="6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6" t="e">
        <f>LOOKUP($E141,OBRAS!$D:$D,OBRAS!K:K)</f>
        <v>#N/A</v>
      </c>
      <c r="X141" s="109" t="e">
        <f t="shared" si="33"/>
        <v>#N/A</v>
      </c>
      <c r="Y141" s="109">
        <f t="shared" si="37"/>
        <v>0</v>
      </c>
      <c r="Z141" s="109" t="e">
        <f t="shared" si="34"/>
        <v>#N/A</v>
      </c>
      <c r="AA141" s="4"/>
    </row>
    <row r="142" spans="2:27" x14ac:dyDescent="0.25">
      <c r="B142" s="56">
        <v>1517</v>
      </c>
      <c r="C142" s="49">
        <v>140</v>
      </c>
      <c r="D142" s="4"/>
      <c r="E142" s="4"/>
      <c r="F142" s="4"/>
      <c r="G142" s="4"/>
      <c r="H142" s="80"/>
      <c r="I142" s="6"/>
      <c r="J142" s="6"/>
      <c r="K142" s="6"/>
      <c r="L142" s="6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6" t="e">
        <f>LOOKUP($E142,OBRAS!$D:$D,OBRAS!K:K)</f>
        <v>#N/A</v>
      </c>
      <c r="X142" s="109" t="e">
        <f t="shared" si="33"/>
        <v>#N/A</v>
      </c>
      <c r="Y142" s="109">
        <f t="shared" si="37"/>
        <v>0</v>
      </c>
      <c r="Z142" s="109" t="e">
        <f t="shared" si="34"/>
        <v>#N/A</v>
      </c>
      <c r="AA142" s="4"/>
    </row>
    <row r="143" spans="2:27" x14ac:dyDescent="0.25">
      <c r="B143" s="56">
        <v>1539</v>
      </c>
      <c r="C143" s="49">
        <v>141</v>
      </c>
      <c r="D143" s="4"/>
      <c r="E143" s="4"/>
      <c r="F143" s="4"/>
      <c r="G143" s="4"/>
      <c r="H143" s="80"/>
      <c r="I143" s="6"/>
      <c r="J143" s="6"/>
      <c r="K143" s="6"/>
      <c r="L143" s="6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6" t="e">
        <f>LOOKUP($E143,OBRAS!$D:$D,OBRAS!K:K)</f>
        <v>#N/A</v>
      </c>
      <c r="X143" s="109" t="e">
        <f t="shared" si="33"/>
        <v>#N/A</v>
      </c>
      <c r="Y143" s="109">
        <f t="shared" si="37"/>
        <v>0</v>
      </c>
      <c r="Z143" s="109" t="e">
        <f t="shared" si="34"/>
        <v>#N/A</v>
      </c>
      <c r="AA143" s="4"/>
    </row>
    <row r="144" spans="2:27" x14ac:dyDescent="0.25">
      <c r="B144" s="56">
        <v>1540</v>
      </c>
      <c r="C144" s="49">
        <v>142</v>
      </c>
      <c r="D144" s="4"/>
      <c r="E144" s="4"/>
      <c r="F144" s="4"/>
      <c r="G144" s="4"/>
      <c r="H144" s="80"/>
      <c r="I144" s="6"/>
      <c r="J144" s="6"/>
      <c r="K144" s="6"/>
      <c r="L144" s="6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6" t="e">
        <f>LOOKUP($E144,OBRAS!$D:$D,OBRAS!K:K)</f>
        <v>#N/A</v>
      </c>
      <c r="X144" s="109" t="e">
        <f t="shared" si="33"/>
        <v>#N/A</v>
      </c>
      <c r="Y144" s="109">
        <f t="shared" si="37"/>
        <v>0</v>
      </c>
      <c r="Z144" s="109" t="e">
        <f t="shared" si="34"/>
        <v>#N/A</v>
      </c>
      <c r="AA144" s="4"/>
    </row>
    <row r="145" spans="2:27" x14ac:dyDescent="0.25">
      <c r="B145" s="56">
        <v>1541</v>
      </c>
      <c r="C145" s="49">
        <v>143</v>
      </c>
      <c r="D145" s="4"/>
      <c r="E145" s="4"/>
      <c r="F145" s="4"/>
      <c r="G145" s="4"/>
      <c r="H145" s="80"/>
      <c r="I145" s="6"/>
      <c r="J145" s="6"/>
      <c r="K145" s="6"/>
      <c r="L145" s="6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6" t="e">
        <f>LOOKUP($E145,OBRAS!$D:$D,OBRAS!K:K)</f>
        <v>#N/A</v>
      </c>
      <c r="X145" s="109" t="e">
        <f t="shared" si="33"/>
        <v>#N/A</v>
      </c>
      <c r="Y145" s="109">
        <f t="shared" si="37"/>
        <v>0</v>
      </c>
      <c r="Z145" s="109" t="e">
        <f t="shared" si="34"/>
        <v>#N/A</v>
      </c>
      <c r="AA145" s="4"/>
    </row>
    <row r="146" spans="2:27" ht="45" x14ac:dyDescent="0.25">
      <c r="C146" s="84">
        <v>144</v>
      </c>
      <c r="D146" s="4" t="str">
        <f>LOOKUP($E146,OBRAS!$D:$D,OBRAS!C:C)</f>
        <v>CONSTRUCCION, REHABILITACION Y EQUIPAMIENTO DE UNIDAD DEPORTIVA FAUSTINO FELIX ETAPA 3</v>
      </c>
      <c r="E146" s="4" t="s">
        <v>389</v>
      </c>
      <c r="F146" s="4"/>
      <c r="G146" s="4" t="str">
        <f>LOOKUP($E146,OBRAS!$D:$D,OBRAS!E:E)</f>
        <v>C-00109/0003</v>
      </c>
      <c r="H146" s="80" t="s">
        <v>103</v>
      </c>
      <c r="I146" s="6">
        <v>2818204.72</v>
      </c>
      <c r="J146" s="6"/>
      <c r="K146" s="6">
        <f>ROUND(I146*0.3,2)</f>
        <v>845461.42</v>
      </c>
      <c r="L146" s="6">
        <f t="shared" ref="L146:L152" si="38">I146-K146</f>
        <v>1972743.3</v>
      </c>
      <c r="M146" s="6">
        <f t="shared" ref="M146:M152" si="39">ROUND(L146*0.16,2)</f>
        <v>315638.93</v>
      </c>
      <c r="N146" s="6">
        <f t="shared" ref="N146:N152" si="40">M146+L146</f>
        <v>2288382.23</v>
      </c>
      <c r="O146" s="6">
        <f>ROUND(I146*0.005,2)</f>
        <v>14091.02</v>
      </c>
      <c r="P146" s="6">
        <f t="shared" ref="P146:P152" si="41">N146-O146</f>
        <v>2274291.21</v>
      </c>
      <c r="Q146" s="4" t="str">
        <f>LOOKUP($E146,OBRAS!$D:$D,OBRAS!B:B)</f>
        <v>EDIFICACIONES BOZA S.A. DE C.V.</v>
      </c>
      <c r="R146" s="4" t="str">
        <f>LOOKUP($E146,OBRAS!$D:$D,OBRAS!A:A)</f>
        <v>NAVOJOA</v>
      </c>
      <c r="S146" s="4" t="str">
        <f>LOOKUP($E146,OBRAS!$D:$D,OBRAS!F:F)</f>
        <v>10800003002401E406K07203A411061155GZ12C-00109/0003</v>
      </c>
      <c r="T146" s="4">
        <f>LOOKUP($E146,OBRAS!$D:$D,OBRAS!G:G)</f>
        <v>0</v>
      </c>
      <c r="U146" s="4" t="s">
        <v>863</v>
      </c>
      <c r="V146" s="4"/>
      <c r="W146" s="6">
        <f>LOOKUP($E146,OBRAS!$D:$D,OBRAS!K:K)</f>
        <v>12932638.52</v>
      </c>
      <c r="X146" s="109">
        <f t="shared" si="33"/>
        <v>0.25280000000000002</v>
      </c>
      <c r="Y146" s="109">
        <f t="shared" si="37"/>
        <v>1</v>
      </c>
      <c r="Z146" s="109">
        <f t="shared" si="34"/>
        <v>0.98929999999999996</v>
      </c>
      <c r="AA146" s="4">
        <f>LOOKUP($E146,OBRAS!$D:$D,OBRAS!H:H)</f>
        <v>0</v>
      </c>
    </row>
    <row r="147" spans="2:27" ht="45" x14ac:dyDescent="0.25">
      <c r="C147" s="84">
        <v>145</v>
      </c>
      <c r="D147" s="4" t="str">
        <f>LOOKUP($E147,OBRAS!$D:$D,OBRAS!C:C)</f>
        <v>RECONSTRUCCION DE CAMINO CALLE 600 VARIOS TRAMOS DEL KM 20+100 AL KM 40+700, EN VARIAS LOCALIDADES DE CAJEME, SONORA.</v>
      </c>
      <c r="E147" s="4" t="s">
        <v>393</v>
      </c>
      <c r="F147" s="4"/>
      <c r="G147" s="4"/>
      <c r="H147" s="80" t="s">
        <v>103</v>
      </c>
      <c r="I147" s="6">
        <v>3268619.29</v>
      </c>
      <c r="J147" s="6"/>
      <c r="K147" s="6">
        <f>ROUND(I147*0.3,2)</f>
        <v>980585.79</v>
      </c>
      <c r="L147" s="6">
        <f t="shared" si="38"/>
        <v>2288033.5</v>
      </c>
      <c r="M147" s="6">
        <f t="shared" si="39"/>
        <v>366085.36</v>
      </c>
      <c r="N147" s="6">
        <f t="shared" si="40"/>
        <v>2654118.86</v>
      </c>
      <c r="O147" s="6">
        <f>ROUND(I147*0.005,2)</f>
        <v>16343.1</v>
      </c>
      <c r="P147" s="6">
        <f t="shared" si="41"/>
        <v>2637775.7599999998</v>
      </c>
      <c r="Q147" s="4" t="str">
        <f>LOOKUP($E147,OBRAS!$D:$D,OBRAS!B:B)</f>
        <v>MEZQUITE CONSTRUCCIONES, S.A. DE C.V.</v>
      </c>
      <c r="R147" s="4" t="s">
        <v>258</v>
      </c>
      <c r="S147" s="4"/>
      <c r="T147" s="4"/>
      <c r="U147" s="4" t="s">
        <v>863</v>
      </c>
      <c r="V147" s="4"/>
      <c r="W147" s="6">
        <f>LOOKUP($E147,OBRAS!$D:$D,OBRAS!K:K)</f>
        <v>7382663.6299999999</v>
      </c>
      <c r="X147" s="109">
        <f t="shared" si="33"/>
        <v>0.51359999999999995</v>
      </c>
      <c r="Y147" s="109">
        <f t="shared" si="37"/>
        <v>0.99750000000000005</v>
      </c>
      <c r="Z147" s="109">
        <f t="shared" si="34"/>
        <v>0.99739999999999995</v>
      </c>
      <c r="AA147" s="4"/>
    </row>
    <row r="148" spans="2:27" ht="45" x14ac:dyDescent="0.25">
      <c r="B148" s="56">
        <v>1595</v>
      </c>
      <c r="C148" s="49">
        <v>146</v>
      </c>
      <c r="D148" s="4" t="str">
        <f>LOOKUP($E148,OBRAS!$D:$D,OBRAS!C:C)</f>
        <v>RECONSTRUCCIÓN DEL CAMINO CALLE 16 EN VARIAS LOCALIDADES DEL MUNICIPIO DE CAJEME, SONORA.</v>
      </c>
      <c r="E148" s="4" t="s">
        <v>394</v>
      </c>
      <c r="F148" s="4" t="s">
        <v>224</v>
      </c>
      <c r="G148" s="4" t="str">
        <f>LOOKUP($E148,OBRAS!$D:$D,OBRAS!E:E)</f>
        <v>C-00054/0021</v>
      </c>
      <c r="H148" s="80" t="s">
        <v>103</v>
      </c>
      <c r="I148" s="6">
        <v>2998878.73</v>
      </c>
      <c r="J148" s="6"/>
      <c r="K148" s="6">
        <f>ROUND(I148*0.3,2)</f>
        <v>899663.62</v>
      </c>
      <c r="L148" s="6">
        <f t="shared" si="38"/>
        <v>2099215.11</v>
      </c>
      <c r="M148" s="6">
        <f t="shared" si="39"/>
        <v>335874.42</v>
      </c>
      <c r="N148" s="6">
        <f t="shared" si="40"/>
        <v>2435089.5299999998</v>
      </c>
      <c r="O148" s="6">
        <v>14694.5</v>
      </c>
      <c r="P148" s="6">
        <f t="shared" si="41"/>
        <v>2420395.0299999998</v>
      </c>
      <c r="Q148" s="4" t="str">
        <f>LOOKUP($E148,OBRAS!$D:$D,OBRAS!B:B)</f>
        <v>TEKTON INGENIERIA, S.A. DE C.V.</v>
      </c>
      <c r="R148" s="4" t="str">
        <f>LOOKUP($E148,OBRAS!$D:$D,OBRAS!A:A)</f>
        <v>CAJEME</v>
      </c>
      <c r="S148" s="4" t="str">
        <f>LOOKUP($E148,OBRAS!$D:$D,OBRAS!F:F)</f>
        <v>11000002003501E203K03203A625012162A211</v>
      </c>
      <c r="T148" s="4" t="str">
        <f>LOOKUP($E148,OBRAS!$D:$D,OBRAS!G:G)</f>
        <v>CE-926006995-E3-2016</v>
      </c>
      <c r="U148" s="4" t="s">
        <v>863</v>
      </c>
      <c r="V148" s="89">
        <v>42544</v>
      </c>
      <c r="W148" s="6">
        <f>LOOKUP($E148,OBRAS!$D:$D,OBRAS!K:K)</f>
        <v>26465400</v>
      </c>
      <c r="X148" s="109">
        <f t="shared" si="33"/>
        <v>0.13139999999999999</v>
      </c>
      <c r="Y148" s="109">
        <f t="shared" si="37"/>
        <v>1</v>
      </c>
      <c r="Z148" s="109">
        <f t="shared" si="34"/>
        <v>1</v>
      </c>
      <c r="AA148" s="4" t="str">
        <f>LOOKUP($E148,OBRAS!$D:$D,OBRAS!H:H)</f>
        <v>SH-ED-17-R-013</v>
      </c>
    </row>
    <row r="149" spans="2:27" ht="45" x14ac:dyDescent="0.25">
      <c r="B149" s="56">
        <v>1594</v>
      </c>
      <c r="C149" s="49">
        <v>147</v>
      </c>
      <c r="D149" s="4" t="str">
        <f>LOOKUP($E149,OBRAS!$D:$D,OBRAS!C:C)</f>
        <v>CONSTRUCCION Y MODERNIZACION EN DISTRIBUIDOR VIAL EN LA LOCALIDAD Y MUNICIPIO DE NOGALES, SONORA</v>
      </c>
      <c r="E149" s="4" t="s">
        <v>233</v>
      </c>
      <c r="F149" s="4" t="s">
        <v>400</v>
      </c>
      <c r="G149" s="4" t="str">
        <f>LOOKUP($E149,OBRAS!$D:$D,OBRAS!E:E)</f>
        <v>C-00052/0136</v>
      </c>
      <c r="H149" s="80" t="s">
        <v>55</v>
      </c>
      <c r="I149" s="6">
        <v>2339658.5</v>
      </c>
      <c r="J149" s="6"/>
      <c r="K149" s="6">
        <f>ROUND(I149*0.4,2)</f>
        <v>935863.4</v>
      </c>
      <c r="L149" s="6">
        <f t="shared" si="38"/>
        <v>1403795.1</v>
      </c>
      <c r="M149" s="6">
        <f t="shared" si="39"/>
        <v>224607.22</v>
      </c>
      <c r="N149" s="6">
        <f t="shared" si="40"/>
        <v>1628402.32</v>
      </c>
      <c r="O149" s="6">
        <v>11464.34</v>
      </c>
      <c r="P149" s="6">
        <f t="shared" si="41"/>
        <v>1616937.98</v>
      </c>
      <c r="Q149" s="4" t="str">
        <f>LOOKUP($E149,OBRAS!$D:$D,OBRAS!B:B)</f>
        <v>LA GRANDE CONSTRUCTORA S.A. DE C.V.</v>
      </c>
      <c r="R149" s="4" t="str">
        <f>LOOKUP($E149,OBRAS!$D:$D,OBRAS!A:A)</f>
        <v>NOGALES</v>
      </c>
      <c r="S149" s="4" t="str">
        <f>LOOKUP($E149,OBRAS!$D:$D,OBRAS!F:F)</f>
        <v>11000002002201E201K13303A614202155DM03</v>
      </c>
      <c r="T149" s="4">
        <f>LOOKUP($E149,OBRAS!$D:$D,OBRAS!G:G)</f>
        <v>0</v>
      </c>
      <c r="U149" s="4" t="s">
        <v>863</v>
      </c>
      <c r="V149" s="89">
        <v>42571</v>
      </c>
      <c r="W149" s="6">
        <f>LOOKUP($E149,OBRAS!$D:$D,OBRAS!K:K)</f>
        <v>25515708.309999999</v>
      </c>
      <c r="X149" s="109">
        <f t="shared" si="33"/>
        <v>0.10639999999999999</v>
      </c>
      <c r="Y149" s="109">
        <f t="shared" si="37"/>
        <v>0.52910000000000001</v>
      </c>
      <c r="Z149" s="109">
        <f t="shared" si="34"/>
        <v>0.20300000000000001</v>
      </c>
      <c r="AA149" s="4" t="str">
        <f>LOOKUP($E149,OBRAS!$D:$D,OBRAS!H:H)</f>
        <v>SH-FAFEF-16-R-007</v>
      </c>
    </row>
    <row r="150" spans="2:27" ht="45" x14ac:dyDescent="0.25">
      <c r="B150" s="56">
        <v>1593</v>
      </c>
      <c r="C150" s="49">
        <v>148</v>
      </c>
      <c r="D150" s="4" t="str">
        <f>LOOKUP($E150,OBRAS!$D:$D,OBRAS!C:C)</f>
        <v>SUPERVISION EXTERNA DE LA OBRA: CONSTRUCCION Y MODERNIZACION EN DISTRIBUIDOR VIAL</v>
      </c>
      <c r="E150" s="4" t="s">
        <v>301</v>
      </c>
      <c r="F150" s="4" t="s">
        <v>401</v>
      </c>
      <c r="G150" s="4" t="str">
        <f>LOOKUP($E150,OBRAS!$D:$D,OBRAS!E:E)</f>
        <v>C-00052/0136</v>
      </c>
      <c r="H150" s="80" t="s">
        <v>55</v>
      </c>
      <c r="I150" s="6">
        <v>134878.76</v>
      </c>
      <c r="J150" s="6"/>
      <c r="K150" s="6">
        <f>ROUND(I150*0.3,2)</f>
        <v>40463.629999999997</v>
      </c>
      <c r="L150" s="6">
        <f t="shared" si="38"/>
        <v>94415.13</v>
      </c>
      <c r="M150" s="6">
        <f t="shared" si="39"/>
        <v>15106.42</v>
      </c>
      <c r="N150" s="6">
        <f t="shared" si="40"/>
        <v>109521.55</v>
      </c>
      <c r="O150" s="6">
        <v>391.14</v>
      </c>
      <c r="P150" s="6">
        <f t="shared" si="41"/>
        <v>109130.41</v>
      </c>
      <c r="Q150" s="4" t="str">
        <f>LOOKUP($E150,OBRAS!$D:$D,OBRAS!B:B)</f>
        <v>ING. SERGIO HUMBERTO LOPEZ ARAUJO</v>
      </c>
      <c r="R150" s="4" t="str">
        <f>LOOKUP($E150,OBRAS!$D:$D,OBRAS!A:A)</f>
        <v>NOGALES</v>
      </c>
      <c r="S150" s="4" t="str">
        <f>LOOKUP($E150,OBRAS!$D:$D,OBRAS!F:F)</f>
        <v>11000002002201E201K13303A614202155DM03C-00052/0136</v>
      </c>
      <c r="T150" s="4" t="str">
        <f>LOOKUP($E150,OBRAS!$D:$D,OBRAS!G:G)</f>
        <v>LICITACIÓN SIMPLIFICADA</v>
      </c>
      <c r="U150" s="4" t="s">
        <v>863</v>
      </c>
      <c r="V150" s="89">
        <v>42551</v>
      </c>
      <c r="W150" s="6">
        <f>LOOKUP($E150,OBRAS!$D:$D,OBRAS!K:K)</f>
        <v>778404.8</v>
      </c>
      <c r="X150" s="109">
        <f t="shared" si="33"/>
        <v>0.20100000000000001</v>
      </c>
      <c r="Y150" s="109">
        <f t="shared" si="37"/>
        <v>0.52100000000000002</v>
      </c>
      <c r="Z150" s="109">
        <f t="shared" si="34"/>
        <v>0.36470000000000002</v>
      </c>
      <c r="AA150" s="4" t="str">
        <f>LOOKUP($E150,OBRAS!$D:$D,OBRAS!H:H)</f>
        <v>SH-FAFEF-16-R-007</v>
      </c>
    </row>
    <row r="151" spans="2:27" ht="60" x14ac:dyDescent="0.25">
      <c r="C151" s="84">
        <v>149</v>
      </c>
      <c r="D151" s="4" t="str">
        <f>LOOKUP($E151,OBRAS!$D:$D,OBRAS!C:C)</f>
        <v>CONSTRUCCION, REHABILITACION Y EQUIPAMIENTO DE UNIDAD DEPORTIVA BALDOMERO ALDAMA EN LA LOCALIDAD Y MUNICIPIO DE HUATABAMPO, SONORA</v>
      </c>
      <c r="E151" s="4" t="s">
        <v>755</v>
      </c>
      <c r="F151" s="4"/>
      <c r="G151" s="4">
        <f>LOOKUP($E151,OBRAS!$D:$D,OBRAS!E:E)</f>
        <v>0</v>
      </c>
      <c r="H151" s="80" t="s">
        <v>103</v>
      </c>
      <c r="I151" s="6">
        <v>1880750.93</v>
      </c>
      <c r="J151" s="6"/>
      <c r="K151" s="6">
        <f>ROUND(I151*0.3,2)</f>
        <v>564225.28000000003</v>
      </c>
      <c r="L151" s="6">
        <f t="shared" si="38"/>
        <v>1316525.6499999999</v>
      </c>
      <c r="M151" s="6">
        <f t="shared" si="39"/>
        <v>210644.1</v>
      </c>
      <c r="N151" s="6">
        <f t="shared" si="40"/>
        <v>1527169.75</v>
      </c>
      <c r="O151" s="6">
        <f>ROUND(I151*0.005,2)</f>
        <v>9403.75</v>
      </c>
      <c r="P151" s="6">
        <f t="shared" si="41"/>
        <v>1517766</v>
      </c>
      <c r="Q151" s="4" t="str">
        <f>LOOKUP($E151,OBRAS!$D:$D,OBRAS!B:B)</f>
        <v>SIGNS MANUFACTURAS Y CONSTRUCCIONES, S.A. DE C.V.</v>
      </c>
      <c r="R151" s="4" t="str">
        <f>LOOKUP($E151,OBRAS!$D:$D,OBRAS!A:A)</f>
        <v>HUATABAMPO</v>
      </c>
      <c r="S151" s="4"/>
      <c r="T151" s="4"/>
      <c r="U151" s="4" t="s">
        <v>863</v>
      </c>
      <c r="V151" s="4"/>
      <c r="W151" s="6">
        <f>LOOKUP($E151,OBRAS!$D:$D,OBRAS!K:K)</f>
        <v>12019389.67</v>
      </c>
      <c r="X151" s="109">
        <f t="shared" si="33"/>
        <v>0.18149999999999999</v>
      </c>
      <c r="Y151" s="109">
        <f t="shared" si="37"/>
        <v>1</v>
      </c>
      <c r="Z151" s="109">
        <f t="shared" si="34"/>
        <v>1</v>
      </c>
      <c r="AA151" s="4" t="str">
        <f>LOOKUP($E151,OBRAS!$D:$D,OBRAS!H:H)</f>
        <v>OM-NC-15-203</v>
      </c>
    </row>
    <row r="152" spans="2:27" ht="45" x14ac:dyDescent="0.25">
      <c r="B152" s="56">
        <v>1621</v>
      </c>
      <c r="C152" s="49">
        <v>150</v>
      </c>
      <c r="D152" s="4" t="str">
        <f>LOOKUP($E152,OBRAS!$D:$D,OBRAS!C:C)</f>
        <v>CONSTRUCCION DE CONSERVATORIO DE MUSICA FRAY IVO TONECK EN LA LOCALIDAD Y MUNICIPIO DE GUAYMAS, SONORA</v>
      </c>
      <c r="E152" s="4" t="s">
        <v>147</v>
      </c>
      <c r="F152" s="4"/>
      <c r="G152" s="4" t="str">
        <f>LOOKUP($E152,OBRAS!$D:$D,OBRAS!E:E)</f>
        <v>C-00093/0009</v>
      </c>
      <c r="H152" s="80" t="s">
        <v>215</v>
      </c>
      <c r="I152" s="6">
        <v>4965132.1399999997</v>
      </c>
      <c r="J152" s="6"/>
      <c r="K152" s="6">
        <f>ROUND(I152*0.4,2)</f>
        <v>1986052.86</v>
      </c>
      <c r="L152" s="6">
        <f t="shared" si="38"/>
        <v>2979079.28</v>
      </c>
      <c r="M152" s="6">
        <f t="shared" si="39"/>
        <v>476652.68</v>
      </c>
      <c r="N152" s="6">
        <f t="shared" si="40"/>
        <v>3455731.96</v>
      </c>
      <c r="O152" s="6">
        <v>24825.66</v>
      </c>
      <c r="P152" s="6">
        <f t="shared" si="41"/>
        <v>3430906.3</v>
      </c>
      <c r="Q152" s="4" t="str">
        <f>LOOKUP($E152,OBRAS!$D:$D,OBRAS!B:B)</f>
        <v>EDIFICADORA CABO HARO, S.A. DE C.V.</v>
      </c>
      <c r="R152" s="4" t="str">
        <f>LOOKUP($E152,OBRAS!$D:$D,OBRAS!A:A)</f>
        <v>GUAYMAS</v>
      </c>
      <c r="S152" s="4" t="str">
        <f>LOOKUP($E152,OBRAS!$D:$D,OBRAS!F:F)</f>
        <v>11000002002402E406K06106A612012155GL10</v>
      </c>
      <c r="T152" s="4" t="str">
        <f>LOOKUP($E152,OBRAS!$D:$D,OBRAS!G:G)</f>
        <v>LO-926006995-N14-2015</v>
      </c>
      <c r="U152" s="4" t="s">
        <v>863</v>
      </c>
      <c r="V152" s="89">
        <v>42501</v>
      </c>
      <c r="W152" s="6">
        <f>LOOKUP($E152,OBRAS!$D:$D,OBRAS!K:K)</f>
        <v>17439154.870000001</v>
      </c>
      <c r="X152" s="109">
        <f t="shared" si="33"/>
        <v>0.33029999999999998</v>
      </c>
      <c r="Y152" s="109">
        <f t="shared" si="37"/>
        <v>1.1156999999999999</v>
      </c>
      <c r="Z152" s="109">
        <f t="shared" si="34"/>
        <v>0.7198</v>
      </c>
      <c r="AA152" s="4" t="str">
        <f>LOOKUP($E152,OBRAS!$D:$D,OBRAS!H:H)</f>
        <v>SH-NC-16-R-007</v>
      </c>
    </row>
    <row r="153" spans="2:27" x14ac:dyDescent="0.25">
      <c r="B153" s="56">
        <v>1622</v>
      </c>
      <c r="C153" s="49">
        <v>151</v>
      </c>
      <c r="D153" s="4"/>
      <c r="E153" s="4"/>
      <c r="F153" s="4"/>
      <c r="G153" s="4"/>
      <c r="H153" s="80"/>
      <c r="I153" s="6"/>
      <c r="J153" s="6"/>
      <c r="K153" s="6"/>
      <c r="L153" s="6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6" t="e">
        <f>LOOKUP($E153,OBRAS!$D:$D,OBRAS!K:K)</f>
        <v>#N/A</v>
      </c>
      <c r="X153" s="109" t="e">
        <f t="shared" si="33"/>
        <v>#N/A</v>
      </c>
      <c r="Y153" s="109">
        <f t="shared" si="37"/>
        <v>0</v>
      </c>
      <c r="Z153" s="109" t="e">
        <f t="shared" si="34"/>
        <v>#N/A</v>
      </c>
      <c r="AA153" s="4"/>
    </row>
    <row r="154" spans="2:27" x14ac:dyDescent="0.25">
      <c r="B154" s="56">
        <v>1641</v>
      </c>
      <c r="C154" s="49">
        <v>152</v>
      </c>
      <c r="D154" s="4"/>
      <c r="E154" s="4"/>
      <c r="F154" s="4"/>
      <c r="G154" s="4"/>
      <c r="H154" s="80"/>
      <c r="I154" s="6"/>
      <c r="J154" s="6"/>
      <c r="K154" s="6"/>
      <c r="L154" s="6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6" t="e">
        <f>LOOKUP($E154,OBRAS!$D:$D,OBRAS!K:K)</f>
        <v>#N/A</v>
      </c>
      <c r="X154" s="109" t="e">
        <f t="shared" si="33"/>
        <v>#N/A</v>
      </c>
      <c r="Y154" s="109">
        <f t="shared" si="37"/>
        <v>0</v>
      </c>
      <c r="Z154" s="109" t="e">
        <f t="shared" si="34"/>
        <v>#N/A</v>
      </c>
      <c r="AA154" s="4"/>
    </row>
    <row r="155" spans="2:27" x14ac:dyDescent="0.25">
      <c r="B155" s="56">
        <v>162</v>
      </c>
      <c r="C155" s="49">
        <v>153</v>
      </c>
      <c r="D155" s="4"/>
      <c r="E155" s="4"/>
      <c r="F155" s="4"/>
      <c r="G155" s="4"/>
      <c r="H155" s="80"/>
      <c r="I155" s="6"/>
      <c r="J155" s="6"/>
      <c r="K155" s="6"/>
      <c r="L155" s="6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6" t="e">
        <f>LOOKUP($E155,OBRAS!$D:$D,OBRAS!K:K)</f>
        <v>#N/A</v>
      </c>
      <c r="X155" s="109" t="e">
        <f t="shared" si="33"/>
        <v>#N/A</v>
      </c>
      <c r="Y155" s="109">
        <f t="shared" si="37"/>
        <v>0</v>
      </c>
      <c r="Z155" s="109" t="e">
        <f t="shared" si="34"/>
        <v>#N/A</v>
      </c>
      <c r="AA155" s="4"/>
    </row>
    <row r="156" spans="2:27" x14ac:dyDescent="0.25">
      <c r="C156" s="49">
        <v>154</v>
      </c>
      <c r="D156" s="4"/>
      <c r="E156" s="4"/>
      <c r="F156" s="4"/>
      <c r="G156" s="4"/>
      <c r="H156" s="80"/>
      <c r="I156" s="6"/>
      <c r="J156" s="6"/>
      <c r="K156" s="6"/>
      <c r="L156" s="6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6" t="e">
        <f>LOOKUP($E156,OBRAS!$D:$D,OBRAS!K:K)</f>
        <v>#N/A</v>
      </c>
      <c r="X156" s="109" t="e">
        <f t="shared" si="33"/>
        <v>#N/A</v>
      </c>
      <c r="Y156" s="109">
        <f t="shared" si="37"/>
        <v>0</v>
      </c>
      <c r="Z156" s="109" t="e">
        <f t="shared" si="34"/>
        <v>#N/A</v>
      </c>
      <c r="AA156" s="4"/>
    </row>
    <row r="157" spans="2:27" x14ac:dyDescent="0.25">
      <c r="C157" s="49">
        <v>155</v>
      </c>
      <c r="D157" s="4"/>
      <c r="E157" s="4"/>
      <c r="F157" s="4"/>
      <c r="G157" s="4"/>
      <c r="H157" s="80"/>
      <c r="I157" s="6"/>
      <c r="J157" s="6"/>
      <c r="K157" s="6"/>
      <c r="L157" s="6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6" t="e">
        <f>LOOKUP($E157,OBRAS!$D:$D,OBRAS!K:K)</f>
        <v>#N/A</v>
      </c>
      <c r="X157" s="109" t="e">
        <f t="shared" si="33"/>
        <v>#N/A</v>
      </c>
      <c r="Y157" s="109">
        <f t="shared" si="37"/>
        <v>0</v>
      </c>
      <c r="Z157" s="109" t="e">
        <f t="shared" si="34"/>
        <v>#N/A</v>
      </c>
      <c r="AA157" s="4"/>
    </row>
    <row r="158" spans="2:27" x14ac:dyDescent="0.25">
      <c r="C158" s="49">
        <v>156</v>
      </c>
      <c r="D158" s="4"/>
      <c r="E158" s="4"/>
      <c r="F158" s="4"/>
      <c r="G158" s="4"/>
      <c r="H158" s="80"/>
      <c r="I158" s="6"/>
      <c r="J158" s="6"/>
      <c r="K158" s="6"/>
      <c r="L158" s="6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6" t="e">
        <f>LOOKUP($E158,OBRAS!$D:$D,OBRAS!K:K)</f>
        <v>#N/A</v>
      </c>
      <c r="X158" s="109" t="e">
        <f t="shared" si="33"/>
        <v>#N/A</v>
      </c>
      <c r="Y158" s="109">
        <f t="shared" si="37"/>
        <v>0</v>
      </c>
      <c r="Z158" s="109" t="e">
        <f t="shared" si="34"/>
        <v>#N/A</v>
      </c>
      <c r="AA158" s="4"/>
    </row>
    <row r="159" spans="2:27" x14ac:dyDescent="0.25">
      <c r="B159" s="56">
        <v>1717</v>
      </c>
      <c r="C159" s="49">
        <v>157</v>
      </c>
      <c r="D159" s="4"/>
      <c r="E159" s="4"/>
      <c r="F159" s="4"/>
      <c r="G159" s="4"/>
      <c r="H159" s="80"/>
      <c r="I159" s="6"/>
      <c r="J159" s="6"/>
      <c r="K159" s="6"/>
      <c r="L159" s="6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6" t="e">
        <f>LOOKUP($E159,OBRAS!$D:$D,OBRAS!K:K)</f>
        <v>#N/A</v>
      </c>
      <c r="X159" s="109" t="e">
        <f t="shared" si="33"/>
        <v>#N/A</v>
      </c>
      <c r="Y159" s="109">
        <f t="shared" si="37"/>
        <v>0</v>
      </c>
      <c r="Z159" s="109" t="e">
        <f t="shared" si="34"/>
        <v>#N/A</v>
      </c>
      <c r="AA159" s="4"/>
    </row>
    <row r="160" spans="2:27" x14ac:dyDescent="0.25">
      <c r="B160" s="56">
        <v>1718</v>
      </c>
      <c r="C160" s="49">
        <v>158</v>
      </c>
      <c r="D160" s="4"/>
      <c r="E160" s="4"/>
      <c r="F160" s="4"/>
      <c r="G160" s="4"/>
      <c r="H160" s="80"/>
      <c r="I160" s="6"/>
      <c r="J160" s="6"/>
      <c r="K160" s="6"/>
      <c r="L160" s="6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6" t="e">
        <f>LOOKUP($E160,OBRAS!$D:$D,OBRAS!K:K)</f>
        <v>#N/A</v>
      </c>
      <c r="X160" s="109" t="e">
        <f t="shared" si="33"/>
        <v>#N/A</v>
      </c>
      <c r="Y160" s="109">
        <f t="shared" si="37"/>
        <v>0</v>
      </c>
      <c r="Z160" s="109" t="e">
        <f t="shared" si="34"/>
        <v>#N/A</v>
      </c>
      <c r="AA160" s="4"/>
    </row>
    <row r="161" spans="2:29" x14ac:dyDescent="0.25">
      <c r="B161" s="56">
        <v>1719</v>
      </c>
      <c r="C161" s="49">
        <v>159</v>
      </c>
      <c r="D161" s="4"/>
      <c r="E161" s="4"/>
      <c r="F161" s="4"/>
      <c r="G161" s="4"/>
      <c r="H161" s="80"/>
      <c r="I161" s="6"/>
      <c r="J161" s="6"/>
      <c r="K161" s="6"/>
      <c r="L161" s="6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6" t="e">
        <f>LOOKUP($E161,OBRAS!$D:$D,OBRAS!K:K)</f>
        <v>#N/A</v>
      </c>
      <c r="X161" s="109" t="e">
        <f t="shared" si="33"/>
        <v>#N/A</v>
      </c>
      <c r="Y161" s="109">
        <f t="shared" si="37"/>
        <v>0</v>
      </c>
      <c r="Z161" s="109" t="e">
        <f t="shared" si="34"/>
        <v>#N/A</v>
      </c>
      <c r="AA161" s="4"/>
    </row>
    <row r="162" spans="2:29" x14ac:dyDescent="0.25">
      <c r="B162" s="56">
        <v>1720</v>
      </c>
      <c r="C162" s="49">
        <v>160</v>
      </c>
      <c r="D162" s="4"/>
      <c r="E162" s="4"/>
      <c r="F162" s="4"/>
      <c r="G162" s="4"/>
      <c r="H162" s="80"/>
      <c r="I162" s="6"/>
      <c r="J162" s="6"/>
      <c r="K162" s="6"/>
      <c r="L162" s="6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6" t="e">
        <f>LOOKUP($E162,OBRAS!$D:$D,OBRAS!K:K)</f>
        <v>#N/A</v>
      </c>
      <c r="X162" s="109" t="e">
        <f t="shared" si="33"/>
        <v>#N/A</v>
      </c>
      <c r="Y162" s="109">
        <f t="shared" si="37"/>
        <v>0</v>
      </c>
      <c r="Z162" s="109" t="e">
        <f t="shared" si="34"/>
        <v>#N/A</v>
      </c>
      <c r="AA162" s="4"/>
    </row>
    <row r="163" spans="2:29" x14ac:dyDescent="0.25">
      <c r="B163" s="56">
        <v>1952</v>
      </c>
      <c r="C163" s="49">
        <v>161</v>
      </c>
      <c r="D163" s="4"/>
      <c r="E163" s="4"/>
      <c r="F163" s="4"/>
      <c r="G163" s="4"/>
      <c r="H163" s="80"/>
      <c r="I163" s="6"/>
      <c r="J163" s="6"/>
      <c r="K163" s="6"/>
      <c r="L163" s="6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6" t="e">
        <f>LOOKUP($E163,OBRAS!$D:$D,OBRAS!K:K)</f>
        <v>#N/A</v>
      </c>
      <c r="X163" s="109" t="e">
        <f t="shared" si="33"/>
        <v>#N/A</v>
      </c>
      <c r="Y163" s="109">
        <f t="shared" si="37"/>
        <v>0</v>
      </c>
      <c r="Z163" s="109" t="e">
        <f t="shared" si="34"/>
        <v>#N/A</v>
      </c>
      <c r="AA163" s="4"/>
      <c r="AB163" s="2">
        <v>4500049969</v>
      </c>
      <c r="AC163" s="2">
        <v>5000066464</v>
      </c>
    </row>
    <row r="164" spans="2:29" x14ac:dyDescent="0.25">
      <c r="B164" s="56">
        <v>1722</v>
      </c>
      <c r="C164" s="49">
        <v>162</v>
      </c>
      <c r="D164" s="4"/>
      <c r="E164" s="4"/>
      <c r="F164" s="4"/>
      <c r="G164" s="4"/>
      <c r="H164" s="80"/>
      <c r="I164" s="6"/>
      <c r="J164" s="6"/>
      <c r="K164" s="6"/>
      <c r="L164" s="6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6" t="e">
        <f>LOOKUP($E164,OBRAS!$D:$D,OBRAS!K:K)</f>
        <v>#N/A</v>
      </c>
      <c r="X164" s="109" t="e">
        <f t="shared" si="33"/>
        <v>#N/A</v>
      </c>
      <c r="Y164" s="109">
        <f t="shared" si="37"/>
        <v>0</v>
      </c>
      <c r="Z164" s="109" t="e">
        <f t="shared" si="34"/>
        <v>#N/A</v>
      </c>
      <c r="AA164" s="4"/>
    </row>
    <row r="165" spans="2:29" ht="30" x14ac:dyDescent="0.25">
      <c r="C165" s="84">
        <v>163</v>
      </c>
      <c r="D165" s="4" t="str">
        <f>LOOKUP($E165,OBRAS!$D:$D,OBRAS!C:C)</f>
        <v>RECONSTRUCCION DE CAMINO CALLE 900 VARIOS TRAMOS DEL KM 8+200 AL KM 36+139</v>
      </c>
      <c r="E165" s="4" t="s">
        <v>697</v>
      </c>
      <c r="F165" s="4" t="s">
        <v>217</v>
      </c>
      <c r="G165" s="4" t="str">
        <f>LOOKUP($E165,OBRAS!$D:$D,OBRAS!E:E)</f>
        <v>C-00110/0002</v>
      </c>
      <c r="H165" s="80" t="s">
        <v>103</v>
      </c>
      <c r="I165" s="6">
        <v>3109360.65</v>
      </c>
      <c r="J165" s="6"/>
      <c r="K165" s="6">
        <f>ROUND(I165*0.3,2)</f>
        <v>932808.2</v>
      </c>
      <c r="L165" s="6">
        <f>I165-K165</f>
        <v>2176552.4500000002</v>
      </c>
      <c r="M165" s="6">
        <f>ROUND(L165*0.16,2)</f>
        <v>348248.39</v>
      </c>
      <c r="N165" s="6">
        <f>M165+L165</f>
        <v>2524800.84</v>
      </c>
      <c r="O165" s="6">
        <f>ROUND(I165*0.005,2)</f>
        <v>15546.8</v>
      </c>
      <c r="P165" s="6">
        <f>N165-O165</f>
        <v>2509254.04</v>
      </c>
      <c r="Q165" s="4" t="str">
        <f>LOOKUP($E165,OBRAS!$D:$D,OBRAS!B:B)</f>
        <v>EXPLORACIONES MINERAS DEL DESIERTO, S.A. DE C.V.</v>
      </c>
      <c r="R165" s="4" t="str">
        <f>LOOKUP($E165,OBRAS!$D:$D,OBRAS!A:A)</f>
        <v>CAJEME</v>
      </c>
      <c r="S165" s="4" t="str">
        <f>LOOKUP($E165,OBRAS!$D:$D,OBRAS!F:F)</f>
        <v>11000016003501E203K03203A411061155GZ11</v>
      </c>
      <c r="T165" s="4" t="str">
        <f>LOOKUP($E165,OBRAS!$D:$D,OBRAS!G:G)</f>
        <v>LO-926006995-N40-2015</v>
      </c>
      <c r="U165" s="4" t="s">
        <v>863</v>
      </c>
      <c r="V165" s="4"/>
      <c r="W165" s="6">
        <f>LOOKUP($E165,OBRAS!$D:$D,OBRAS!K:K)</f>
        <v>7521996.9299999997</v>
      </c>
      <c r="X165" s="109">
        <f t="shared" si="33"/>
        <v>0.47949999999999998</v>
      </c>
      <c r="Y165" s="109">
        <f t="shared" si="37"/>
        <v>0.97889999999999999</v>
      </c>
      <c r="Z165" s="109">
        <f t="shared" si="34"/>
        <v>0.97889999999999999</v>
      </c>
      <c r="AA165" s="4" t="str">
        <f>LOOKUP($E165,OBRAS!$D:$D,OBRAS!H:H)</f>
        <v>SH-NC-16-R-004.</v>
      </c>
    </row>
    <row r="166" spans="2:29" x14ac:dyDescent="0.25">
      <c r="B166" s="56">
        <v>1762</v>
      </c>
      <c r="C166" s="49">
        <v>164</v>
      </c>
      <c r="D166" s="4"/>
      <c r="E166" s="4"/>
      <c r="F166" s="4"/>
      <c r="G166" s="4"/>
      <c r="H166" s="80"/>
      <c r="I166" s="6"/>
      <c r="J166" s="6"/>
      <c r="K166" s="6"/>
      <c r="L166" s="6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6" t="e">
        <f>LOOKUP($E166,OBRAS!$D:$D,OBRAS!K:K)</f>
        <v>#N/A</v>
      </c>
      <c r="X166" s="109" t="e">
        <f t="shared" si="33"/>
        <v>#N/A</v>
      </c>
      <c r="Y166" s="109">
        <f t="shared" si="37"/>
        <v>0</v>
      </c>
      <c r="Z166" s="109" t="e">
        <f t="shared" si="34"/>
        <v>#N/A</v>
      </c>
      <c r="AA166" s="4"/>
    </row>
    <row r="167" spans="2:29" ht="60" x14ac:dyDescent="0.25">
      <c r="C167" s="84">
        <v>165</v>
      </c>
      <c r="D167" s="4" t="str">
        <f>LOOKUP($E167,OBRAS!$D:$D,OBRAS!C:C)</f>
        <v>CONSTRUCCION DE EQUIPAMIENTO DE UNIDAD DEPORTIVA MUNICIPAL HONOFRE GRACIA SANCHEZ EN LA LOCALIDAD Y MUNICIPIO DE MAZATAN</v>
      </c>
      <c r="E167" s="4" t="s">
        <v>457</v>
      </c>
      <c r="F167" s="4" t="s">
        <v>217</v>
      </c>
      <c r="G167" s="4" t="str">
        <f>LOOKUP($E167,OBRAS!$D:$D,OBRAS!E:E)</f>
        <v>C-00109/0002</v>
      </c>
      <c r="H167" s="80" t="s">
        <v>103</v>
      </c>
      <c r="I167" s="6">
        <v>1106383.06</v>
      </c>
      <c r="J167" s="6"/>
      <c r="K167" s="6">
        <f>ROUND(I167*0.3,2)</f>
        <v>331914.92</v>
      </c>
      <c r="L167" s="6">
        <f>I167-K167</f>
        <v>774468.14</v>
      </c>
      <c r="M167" s="6">
        <f>ROUND(L167*0.16,2)</f>
        <v>123914.9</v>
      </c>
      <c r="N167" s="6">
        <f>M167+L167</f>
        <v>898383.04</v>
      </c>
      <c r="O167" s="6">
        <f>ROUND(I167*0.005,2)</f>
        <v>5531.92</v>
      </c>
      <c r="P167" s="6">
        <f>N167-O167</f>
        <v>892851.12</v>
      </c>
      <c r="Q167" s="4" t="str">
        <f>LOOKUP($E167,OBRAS!$D:$D,OBRAS!B:B)</f>
        <v>OBRAS Y BASTIMENTOS DEL NOROESTE, S.A. DE C.V.</v>
      </c>
      <c r="R167" s="4" t="str">
        <f>LOOKUP($E167,OBRAS!$D:$D,OBRAS!A:A)</f>
        <v>MAZATAN</v>
      </c>
      <c r="S167" s="4"/>
      <c r="T167" s="4"/>
      <c r="U167" s="4" t="s">
        <v>863</v>
      </c>
      <c r="V167" s="4"/>
      <c r="W167" s="6">
        <f>LOOKUP($E167,OBRAS!$D:$D,OBRAS!K:K)</f>
        <v>6682427.0199999996</v>
      </c>
      <c r="X167" s="109">
        <f t="shared" si="33"/>
        <v>0.19209999999999999</v>
      </c>
      <c r="Y167" s="109">
        <f t="shared" si="37"/>
        <v>1</v>
      </c>
      <c r="Z167" s="109">
        <f t="shared" si="34"/>
        <v>1</v>
      </c>
      <c r="AA167" s="4" t="str">
        <f>LOOKUP($E167,OBRAS!$D:$D,OBRAS!H:H)</f>
        <v>OM-NC-15-196</v>
      </c>
    </row>
    <row r="168" spans="2:29" x14ac:dyDescent="0.25">
      <c r="B168" s="56">
        <v>1786</v>
      </c>
      <c r="C168" s="49">
        <v>166</v>
      </c>
      <c r="D168" s="4"/>
      <c r="E168" s="4"/>
      <c r="F168" s="4"/>
      <c r="G168" s="4"/>
      <c r="H168" s="80"/>
      <c r="I168" s="6"/>
      <c r="J168" s="6"/>
      <c r="K168" s="6"/>
      <c r="L168" s="6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6" t="e">
        <f>LOOKUP($E168,OBRAS!$D:$D,OBRAS!K:K)</f>
        <v>#N/A</v>
      </c>
      <c r="X168" s="109" t="e">
        <f t="shared" si="33"/>
        <v>#N/A</v>
      </c>
      <c r="Y168" s="109">
        <f t="shared" si="37"/>
        <v>0</v>
      </c>
      <c r="Z168" s="109" t="e">
        <f t="shared" si="34"/>
        <v>#N/A</v>
      </c>
      <c r="AA168" s="4"/>
    </row>
    <row r="169" spans="2:29" x14ac:dyDescent="0.25">
      <c r="B169" s="56">
        <v>1861</v>
      </c>
      <c r="C169" s="49">
        <v>167</v>
      </c>
      <c r="D169" s="4"/>
      <c r="E169" s="4"/>
      <c r="F169" s="4"/>
      <c r="G169" s="4"/>
      <c r="H169" s="80"/>
      <c r="I169" s="6"/>
      <c r="J169" s="6"/>
      <c r="K169" s="6"/>
      <c r="L169" s="6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6" t="e">
        <f>LOOKUP($E169,OBRAS!$D:$D,OBRAS!K:K)</f>
        <v>#N/A</v>
      </c>
      <c r="X169" s="109" t="e">
        <f t="shared" si="33"/>
        <v>#N/A</v>
      </c>
      <c r="Y169" s="109">
        <f t="shared" ref="Y169:Y200" si="42">SUMIF(E:E,E169,X:X)</f>
        <v>0</v>
      </c>
      <c r="Z169" s="109" t="e">
        <f t="shared" si="34"/>
        <v>#N/A</v>
      </c>
      <c r="AA169" s="4"/>
    </row>
    <row r="170" spans="2:29" ht="45" x14ac:dyDescent="0.25">
      <c r="B170" s="56">
        <v>1862</v>
      </c>
      <c r="C170" s="49">
        <v>168</v>
      </c>
      <c r="D170" s="4" t="str">
        <f>LOOKUP($E170,OBRAS!$D:$D,OBRAS!C:C)</f>
        <v>RECONSTRUCCIÓN DEL CAMINO CALLE 16 EN VARIAS LOCALIDADES DEL MUNICIPIO DE CAJEME, SONORA.</v>
      </c>
      <c r="E170" s="4" t="s">
        <v>394</v>
      </c>
      <c r="F170" s="4" t="s">
        <v>224</v>
      </c>
      <c r="G170" s="4" t="str">
        <f>LOOKUP($E170,OBRAS!$D:$D,OBRAS!E:E)</f>
        <v>C-00054/0021</v>
      </c>
      <c r="H170" s="80" t="s">
        <v>221</v>
      </c>
      <c r="I170" s="6">
        <v>4506488.53</v>
      </c>
      <c r="J170" s="6"/>
      <c r="K170" s="6">
        <f>ROUND(I170*0.3,2)</f>
        <v>1351946.56</v>
      </c>
      <c r="L170" s="6">
        <f>I170-K170</f>
        <v>3154541.97</v>
      </c>
      <c r="M170" s="6">
        <f>ROUND(L170*0.16,2)</f>
        <v>504726.72</v>
      </c>
      <c r="N170" s="6">
        <f>M170+L170</f>
        <v>3659268.69</v>
      </c>
      <c r="O170" s="6">
        <v>22081.81</v>
      </c>
      <c r="P170" s="6">
        <f>N170-O170</f>
        <v>3637186.88</v>
      </c>
      <c r="Q170" s="4" t="str">
        <f>LOOKUP($E170,OBRAS!$D:$D,OBRAS!B:B)</f>
        <v>TEKTON INGENIERIA, S.A. DE C.V.</v>
      </c>
      <c r="R170" s="4" t="str">
        <f>LOOKUP($E170,OBRAS!$D:$D,OBRAS!A:A)</f>
        <v>CAJEME</v>
      </c>
      <c r="S170" s="4" t="str">
        <f>LOOKUP($E170,OBRAS!$D:$D,OBRAS!F:F)</f>
        <v>11000002003501E203K03203A625012162A211</v>
      </c>
      <c r="T170" s="4" t="str">
        <f>LOOKUP($E170,OBRAS!$D:$D,OBRAS!G:G)</f>
        <v>CE-926006995-E3-2016</v>
      </c>
      <c r="U170" s="4" t="s">
        <v>863</v>
      </c>
      <c r="V170" s="89">
        <v>42593</v>
      </c>
      <c r="W170" s="6">
        <f>LOOKUP($E170,OBRAS!$D:$D,OBRAS!K:K)</f>
        <v>26465400</v>
      </c>
      <c r="X170" s="109">
        <f t="shared" si="33"/>
        <v>0.19750000000000001</v>
      </c>
      <c r="Y170" s="109">
        <f t="shared" si="42"/>
        <v>1</v>
      </c>
      <c r="Z170" s="109">
        <f t="shared" si="34"/>
        <v>1</v>
      </c>
      <c r="AA170" s="4" t="str">
        <f>LOOKUP($E170,OBRAS!$D:$D,OBRAS!H:H)</f>
        <v>SH-ED-17-R-013</v>
      </c>
    </row>
    <row r="171" spans="2:29" ht="45" x14ac:dyDescent="0.25">
      <c r="B171" s="56">
        <v>1953</v>
      </c>
      <c r="C171" s="49">
        <v>169</v>
      </c>
      <c r="D171" s="4" t="str">
        <f>LOOKUP($E171,OBRAS!$D:$D,OBRAS!C:C)</f>
        <v>SUPERVISION EXTERNA: CONSTRUCCION DE PARQUE DE ACCESO DEL MUSEO MUSAS EN LA LOCALIDAD Y MUNICIPIO DE HERMOSILLO</v>
      </c>
      <c r="E171" s="4" t="s">
        <v>470</v>
      </c>
      <c r="F171" s="4" t="s">
        <v>217</v>
      </c>
      <c r="G171" s="4" t="str">
        <f>LOOKUP($E171,OBRAS!$D:$D,OBRAS!E:E)</f>
        <v>C-00093/0010</v>
      </c>
      <c r="H171" s="80" t="s">
        <v>55</v>
      </c>
      <c r="I171" s="6">
        <v>27272.25</v>
      </c>
      <c r="J171" s="6"/>
      <c r="K171" s="6">
        <f>ROUND(I171*0.3,2)</f>
        <v>8181.68</v>
      </c>
      <c r="L171" s="6">
        <f>I171-K171</f>
        <v>19090.57</v>
      </c>
      <c r="M171" s="6">
        <f>ROUND(L171*0.16,2)</f>
        <v>3054.49</v>
      </c>
      <c r="N171" s="6">
        <f>M171+L171</f>
        <v>22145.06</v>
      </c>
      <c r="O171" s="6">
        <f>ROUND(I171*0.005,2)</f>
        <v>136.36000000000001</v>
      </c>
      <c r="P171" s="6">
        <f>N171-O171</f>
        <v>22008.7</v>
      </c>
      <c r="Q171" s="4" t="str">
        <f>LOOKUP($E171,OBRAS!$D:$D,OBRAS!B:B)</f>
        <v>ING. MARTIN GRAJEDA ARAGON</v>
      </c>
      <c r="R171" s="4" t="str">
        <f>LOOKUP($E171,OBRAS!$D:$D,OBRAS!A:A)</f>
        <v>HERMOSILLO</v>
      </c>
      <c r="S171" s="4" t="str">
        <f>LOOKUP($E171,OBRAS!$D:$D,OBRAS!F:F)</f>
        <v>11000002002402E406K06106A612222155GL07</v>
      </c>
      <c r="T171" s="4" t="str">
        <f>LOOKUP($E171,OBRAS!$D:$D,OBRAS!G:G)</f>
        <v>SO-926006995-N22-2015
DIRECTA</v>
      </c>
      <c r="U171" s="4" t="s">
        <v>863</v>
      </c>
      <c r="V171" s="89">
        <v>42558</v>
      </c>
      <c r="W171" s="6">
        <f>LOOKUP($E171,OBRAS!$D:$D,OBRAS!K:K)</f>
        <v>183692.58</v>
      </c>
      <c r="X171" s="109">
        <f t="shared" si="33"/>
        <v>0.17219999999999999</v>
      </c>
      <c r="Y171" s="109">
        <f t="shared" si="42"/>
        <v>0.99990000000000001</v>
      </c>
      <c r="Z171" s="109">
        <f t="shared" si="34"/>
        <v>0.7</v>
      </c>
      <c r="AA171" s="4" t="str">
        <f>LOOKUP($E171,OBRAS!$D:$D,OBRAS!H:H)</f>
        <v>SH-NC-16-R-007</v>
      </c>
      <c r="AB171" s="2">
        <v>5000067991</v>
      </c>
    </row>
    <row r="172" spans="2:29" ht="45" x14ac:dyDescent="0.25">
      <c r="B172" s="56">
        <v>1954</v>
      </c>
      <c r="C172" s="49">
        <v>170</v>
      </c>
      <c r="D172" s="4" t="str">
        <f>LOOKUP($E172,OBRAS!$D:$D,OBRAS!C:C)</f>
        <v>SUPERVISION EXTERNA: CONSTRUCCION DE PARQUE DE ACCESO DEL MUSEO MUSAS EN LA LOCALIDAD Y MUNICIPIO DE HERMOSILLO</v>
      </c>
      <c r="E172" s="4" t="s">
        <v>470</v>
      </c>
      <c r="F172" s="4" t="s">
        <v>217</v>
      </c>
      <c r="G172" s="4" t="str">
        <f>LOOKUP($E172,OBRAS!$D:$D,OBRAS!E:E)</f>
        <v>C-00093/0010</v>
      </c>
      <c r="H172" s="80" t="s">
        <v>215</v>
      </c>
      <c r="I172" s="6">
        <v>25512.75</v>
      </c>
      <c r="J172" s="6"/>
      <c r="K172" s="6">
        <f>ROUND(I172*0.3,2)</f>
        <v>7653.83</v>
      </c>
      <c r="L172" s="6">
        <f>I172-K172</f>
        <v>17858.919999999998</v>
      </c>
      <c r="M172" s="6">
        <f>ROUND(L172*0.16,2)</f>
        <v>2857.43</v>
      </c>
      <c r="N172" s="6">
        <f>M172+L172</f>
        <v>20716.349999999999</v>
      </c>
      <c r="O172" s="6">
        <f>ROUND(I172*0.005,2)</f>
        <v>127.56</v>
      </c>
      <c r="P172" s="6">
        <f>N172-O172</f>
        <v>20588.79</v>
      </c>
      <c r="Q172" s="4" t="str">
        <f>LOOKUP($E172,OBRAS!$D:$D,OBRAS!B:B)</f>
        <v>ING. MARTIN GRAJEDA ARAGON</v>
      </c>
      <c r="R172" s="4" t="str">
        <f>LOOKUP($E172,OBRAS!$D:$D,OBRAS!A:A)</f>
        <v>HERMOSILLO</v>
      </c>
      <c r="S172" s="4" t="str">
        <f>LOOKUP($E172,OBRAS!$D:$D,OBRAS!F:F)</f>
        <v>11000002002402E406K06106A612222155GL07</v>
      </c>
      <c r="T172" s="4" t="str">
        <f>LOOKUP($E172,OBRAS!$D:$D,OBRAS!G:G)</f>
        <v>SO-926006995-N22-2015
DIRECTA</v>
      </c>
      <c r="U172" s="4" t="s">
        <v>863</v>
      </c>
      <c r="V172" s="89">
        <v>42558</v>
      </c>
      <c r="W172" s="6">
        <f>LOOKUP($E172,OBRAS!$D:$D,OBRAS!K:K)</f>
        <v>183692.58</v>
      </c>
      <c r="X172" s="109">
        <f t="shared" si="33"/>
        <v>0.16109999999999999</v>
      </c>
      <c r="Y172" s="109">
        <f t="shared" si="42"/>
        <v>0.99990000000000001</v>
      </c>
      <c r="Z172" s="109">
        <f t="shared" si="34"/>
        <v>0.7</v>
      </c>
      <c r="AA172" s="4" t="str">
        <f>LOOKUP($E172,OBRAS!$D:$D,OBRAS!H:H)</f>
        <v>SH-NC-16-R-007</v>
      </c>
      <c r="AB172" s="2">
        <v>5000067992</v>
      </c>
    </row>
    <row r="173" spans="2:29" x14ac:dyDescent="0.25">
      <c r="B173" s="56">
        <v>1865</v>
      </c>
      <c r="C173" s="49">
        <v>171</v>
      </c>
      <c r="D173" s="4"/>
      <c r="E173" s="4"/>
      <c r="F173" s="4"/>
      <c r="G173" s="4"/>
      <c r="H173" s="80"/>
      <c r="I173" s="6"/>
      <c r="J173" s="6"/>
      <c r="K173" s="6"/>
      <c r="L173" s="6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6" t="e">
        <f>LOOKUP($E173,OBRAS!$D:$D,OBRAS!K:K)</f>
        <v>#N/A</v>
      </c>
      <c r="X173" s="109" t="e">
        <f t="shared" si="33"/>
        <v>#N/A</v>
      </c>
      <c r="Y173" s="109">
        <f t="shared" si="42"/>
        <v>0</v>
      </c>
      <c r="Z173" s="109" t="e">
        <f t="shared" si="34"/>
        <v>#N/A</v>
      </c>
      <c r="AA173" s="4"/>
    </row>
    <row r="174" spans="2:29" ht="45" x14ac:dyDescent="0.25">
      <c r="B174" s="56">
        <v>1866</v>
      </c>
      <c r="C174" s="49">
        <v>172</v>
      </c>
      <c r="D174" s="4" t="str">
        <f>LOOKUP($E174,OBRAS!$D:$D,OBRAS!C:C)</f>
        <v>SUPERVISION Y CONTROL DE CALIDAD DE LA CONSERVACION Y RECONSTRUCCION DE LA CARRETERA SAN IGNACIO-JUPATAHUECA</v>
      </c>
      <c r="E174" s="4" t="s">
        <v>683</v>
      </c>
      <c r="F174" s="4"/>
      <c r="G174" s="4" t="str">
        <f>LOOKUP($E174,OBRAS!$D:$D,OBRAS!E:E)</f>
        <v>C-00098/0021</v>
      </c>
      <c r="H174" s="80" t="s">
        <v>23</v>
      </c>
      <c r="I174" s="6">
        <v>58104.71</v>
      </c>
      <c r="J174" s="6"/>
      <c r="K174" s="6"/>
      <c r="L174" s="6">
        <f>I174-K174</f>
        <v>58104.71</v>
      </c>
      <c r="M174" s="6">
        <f>ROUND(L174*0.16,2)</f>
        <v>9296.75</v>
      </c>
      <c r="N174" s="6">
        <f>M174+L174</f>
        <v>67401.460000000006</v>
      </c>
      <c r="O174" s="6"/>
      <c r="P174" s="6">
        <f>N174-O174</f>
        <v>67401.460000000006</v>
      </c>
      <c r="Q174" s="4" t="str">
        <f>LOOKUP($E174,OBRAS!$D:$D,OBRAS!B:B)</f>
        <v>ACSA CONSTRUCTORES S.A. DE C.V.</v>
      </c>
      <c r="R174" s="4" t="str">
        <f>LOOKUP($E174,OBRAS!$D:$D,OBRAS!A:A)</f>
        <v>VARIOS</v>
      </c>
      <c r="S174" s="4" t="str">
        <f>LOOKUP($E174,OBRAS!$D:$D,OBRAS!F:F)</f>
        <v>11000002003501E203K03203A625132161A013</v>
      </c>
      <c r="T174" s="4" t="str">
        <f>LOOKUP($E174,OBRAS!$D:$D,OBRAS!G:G)</f>
        <v>LICITACIÓN SIMPLIFICADA</v>
      </c>
      <c r="U174" s="4" t="s">
        <v>863</v>
      </c>
      <c r="V174" s="89">
        <v>42632</v>
      </c>
      <c r="W174" s="6">
        <f>LOOKUP($E174,OBRAS!$D:$D,OBRAS!K:K)</f>
        <v>674014.68</v>
      </c>
      <c r="X174" s="109" t="str">
        <f t="shared" si="33"/>
        <v/>
      </c>
      <c r="Y174" s="109">
        <f t="shared" si="42"/>
        <v>1</v>
      </c>
      <c r="Z174" s="109">
        <f t="shared" si="34"/>
        <v>1</v>
      </c>
      <c r="AA174" s="4" t="str">
        <f>LOOKUP($E174,OBRAS!$D:$D,OBRAS!H:H)</f>
        <v>SH-ED-16-051</v>
      </c>
    </row>
    <row r="175" spans="2:29" ht="45" x14ac:dyDescent="0.25">
      <c r="C175" s="84">
        <v>173</v>
      </c>
      <c r="D175" s="4" t="str">
        <f>LOOKUP($E175,OBRAS!$D:$D,OBRAS!C:C)</f>
        <v>RECONSTRUCCION DE CAMINO CALLE 600 VARIOS TRAMOS DEL KM 20+100 AL KM 40+700, EN VARIAS LOCALIDADES DE CAJEME, SONORA.</v>
      </c>
      <c r="E175" s="4" t="s">
        <v>393</v>
      </c>
      <c r="F175" s="4"/>
      <c r="G175" s="4"/>
      <c r="H175" s="80" t="s">
        <v>221</v>
      </c>
      <c r="I175" s="6">
        <v>668636.69999999995</v>
      </c>
      <c r="J175" s="6"/>
      <c r="K175" s="6">
        <f>ROUND(I175*0.3,2)</f>
        <v>200591.01</v>
      </c>
      <c r="L175" s="6">
        <f>I175-K175</f>
        <v>468045.69</v>
      </c>
      <c r="M175" s="6">
        <f>ROUND(L175*0.16,2)</f>
        <v>74887.31</v>
      </c>
      <c r="N175" s="6">
        <f>M175+L175</f>
        <v>542933</v>
      </c>
      <c r="O175" s="6">
        <f>ROUND(I175*0.005,2)</f>
        <v>3343.18</v>
      </c>
      <c r="P175" s="6">
        <f>N175-O175</f>
        <v>539589.81999999995</v>
      </c>
      <c r="Q175" s="4" t="str">
        <f>LOOKUP($E175,OBRAS!$D:$D,OBRAS!B:B)</f>
        <v>MEZQUITE CONSTRUCCIONES, S.A. DE C.V.</v>
      </c>
      <c r="R175" s="4" t="s">
        <v>258</v>
      </c>
      <c r="S175" s="4"/>
      <c r="T175" s="4"/>
      <c r="U175" s="4" t="s">
        <v>863</v>
      </c>
      <c r="V175" s="4"/>
      <c r="W175" s="6">
        <f>LOOKUP($E175,OBRAS!$D:$D,OBRAS!K:K)</f>
        <v>7382663.6299999999</v>
      </c>
      <c r="X175" s="109">
        <f t="shared" si="33"/>
        <v>0.1051</v>
      </c>
      <c r="Y175" s="109">
        <f t="shared" si="42"/>
        <v>0.99750000000000005</v>
      </c>
      <c r="Z175" s="109">
        <f t="shared" si="34"/>
        <v>0.99739999999999995</v>
      </c>
      <c r="AA175" s="4"/>
    </row>
    <row r="176" spans="2:29" ht="45" x14ac:dyDescent="0.25">
      <c r="B176" s="56">
        <v>1926</v>
      </c>
      <c r="C176" s="84">
        <v>174</v>
      </c>
      <c r="D176" s="4" t="str">
        <f>LOOKUP($E176,OBRAS!$D:$D,OBRAS!C:C)</f>
        <v>RECONSTRUCCION DE CAMINO CALLE 600 VARIOS TRAMOS DEL KM 20+100 AL KM 40+700, EN VARIAS LOCALIDADES DE CAJEME, SONORA.</v>
      </c>
      <c r="E176" s="4" t="s">
        <v>393</v>
      </c>
      <c r="F176" s="4"/>
      <c r="G176" s="4"/>
      <c r="H176" s="80" t="s">
        <v>23</v>
      </c>
      <c r="I176" s="6">
        <v>1904306.63</v>
      </c>
      <c r="J176" s="6"/>
      <c r="K176" s="6"/>
      <c r="L176" s="6">
        <f>I176-K176</f>
        <v>1904306.63</v>
      </c>
      <c r="M176" s="6">
        <f>ROUND(L176*0.16,2)</f>
        <v>304689.06</v>
      </c>
      <c r="N176" s="6">
        <f>M176+L176</f>
        <v>2208995.69</v>
      </c>
      <c r="O176" s="6"/>
      <c r="P176" s="6">
        <f>N176-O176</f>
        <v>2208995.69</v>
      </c>
      <c r="Q176" s="4" t="str">
        <f>LOOKUP($E176,OBRAS!$D:$D,OBRAS!B:B)</f>
        <v>MEZQUITE CONSTRUCCIONES, S.A. DE C.V.</v>
      </c>
      <c r="R176" s="4" t="s">
        <v>258</v>
      </c>
      <c r="S176" s="4"/>
      <c r="T176" s="4"/>
      <c r="U176" s="4" t="s">
        <v>863</v>
      </c>
      <c r="V176" s="4"/>
      <c r="W176" s="6">
        <f>LOOKUP($E176,OBRAS!$D:$D,OBRAS!K:K)</f>
        <v>7382663.6299999999</v>
      </c>
      <c r="X176" s="109" t="str">
        <f t="shared" si="33"/>
        <v/>
      </c>
      <c r="Y176" s="109">
        <f t="shared" si="42"/>
        <v>0.99750000000000005</v>
      </c>
      <c r="Z176" s="109">
        <f t="shared" si="34"/>
        <v>0.99739999999999995</v>
      </c>
      <c r="AA176" s="4"/>
    </row>
    <row r="177" spans="2:27" x14ac:dyDescent="0.25">
      <c r="B177" s="56">
        <v>1927</v>
      </c>
      <c r="C177" s="49">
        <v>175</v>
      </c>
      <c r="D177" s="4"/>
      <c r="E177" s="4"/>
      <c r="F177" s="4"/>
      <c r="G177" s="4"/>
      <c r="H177" s="80"/>
      <c r="I177" s="6"/>
      <c r="J177" s="6"/>
      <c r="K177" s="6"/>
      <c r="L177" s="6">
        <f>I177-K177</f>
        <v>0</v>
      </c>
      <c r="M177" s="6">
        <f>ROUND(L177*0.16,2)</f>
        <v>0</v>
      </c>
      <c r="N177" s="6">
        <f>M177+L177</f>
        <v>0</v>
      </c>
      <c r="O177" s="6"/>
      <c r="P177" s="6">
        <f>N177-O177</f>
        <v>0</v>
      </c>
      <c r="Q177" s="4"/>
      <c r="R177" s="4"/>
      <c r="S177" s="4"/>
      <c r="T177" s="4"/>
      <c r="U177" s="4"/>
      <c r="V177" s="4"/>
      <c r="W177" s="6" t="e">
        <f>LOOKUP($E177,OBRAS!$D:$D,OBRAS!K:K)</f>
        <v>#N/A</v>
      </c>
      <c r="X177" s="109" t="e">
        <f t="shared" si="33"/>
        <v>#N/A</v>
      </c>
      <c r="Y177" s="109">
        <f t="shared" si="42"/>
        <v>0</v>
      </c>
      <c r="Z177" s="109" t="e">
        <f t="shared" si="34"/>
        <v>#N/A</v>
      </c>
      <c r="AA177" s="4"/>
    </row>
    <row r="178" spans="2:27" x14ac:dyDescent="0.25">
      <c r="B178" s="56">
        <v>1928</v>
      </c>
      <c r="C178" s="49">
        <v>176</v>
      </c>
      <c r="D178" s="4"/>
      <c r="E178" s="4"/>
      <c r="F178" s="4"/>
      <c r="G178" s="4"/>
      <c r="H178" s="80"/>
      <c r="I178" s="6"/>
      <c r="J178" s="6"/>
      <c r="K178" s="6"/>
      <c r="L178" s="6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6" t="e">
        <f>LOOKUP($E178,OBRAS!$D:$D,OBRAS!K:K)</f>
        <v>#N/A</v>
      </c>
      <c r="X178" s="109" t="e">
        <f t="shared" si="33"/>
        <v>#N/A</v>
      </c>
      <c r="Y178" s="109">
        <f t="shared" si="42"/>
        <v>0</v>
      </c>
      <c r="Z178" s="109" t="e">
        <f t="shared" si="34"/>
        <v>#N/A</v>
      </c>
      <c r="AA178" s="4"/>
    </row>
    <row r="179" spans="2:27" x14ac:dyDescent="0.25">
      <c r="B179" s="56">
        <v>1929</v>
      </c>
      <c r="C179" s="49">
        <v>177</v>
      </c>
      <c r="D179" s="4"/>
      <c r="E179" s="4"/>
      <c r="F179" s="4"/>
      <c r="G179" s="4"/>
      <c r="H179" s="80"/>
      <c r="I179" s="6"/>
      <c r="J179" s="6"/>
      <c r="K179" s="6"/>
      <c r="L179" s="6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6" t="e">
        <f>LOOKUP($E179,OBRAS!$D:$D,OBRAS!K:K)</f>
        <v>#N/A</v>
      </c>
      <c r="X179" s="109" t="e">
        <f t="shared" si="33"/>
        <v>#N/A</v>
      </c>
      <c r="Y179" s="109">
        <f t="shared" si="42"/>
        <v>0</v>
      </c>
      <c r="Z179" s="109" t="e">
        <f t="shared" si="34"/>
        <v>#N/A</v>
      </c>
      <c r="AA179" s="4"/>
    </row>
    <row r="180" spans="2:27" x14ac:dyDescent="0.25">
      <c r="B180" s="56">
        <v>1930</v>
      </c>
      <c r="C180" s="49">
        <v>178</v>
      </c>
      <c r="D180" s="4"/>
      <c r="E180" s="4"/>
      <c r="F180" s="4"/>
      <c r="G180" s="4"/>
      <c r="H180" s="80"/>
      <c r="I180" s="6"/>
      <c r="J180" s="6"/>
      <c r="K180" s="6"/>
      <c r="L180" s="6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6" t="e">
        <f>LOOKUP($E180,OBRAS!$D:$D,OBRAS!K:K)</f>
        <v>#N/A</v>
      </c>
      <c r="X180" s="109" t="e">
        <f t="shared" si="33"/>
        <v>#N/A</v>
      </c>
      <c r="Y180" s="109">
        <f t="shared" si="42"/>
        <v>0</v>
      </c>
      <c r="Z180" s="109" t="e">
        <f t="shared" si="34"/>
        <v>#N/A</v>
      </c>
      <c r="AA180" s="4"/>
    </row>
    <row r="181" spans="2:27" x14ac:dyDescent="0.25">
      <c r="B181" s="56">
        <v>1931</v>
      </c>
      <c r="C181" s="49">
        <v>179</v>
      </c>
      <c r="D181" s="4"/>
      <c r="E181" s="4"/>
      <c r="F181" s="4"/>
      <c r="G181" s="4"/>
      <c r="H181" s="80"/>
      <c r="I181" s="6"/>
      <c r="J181" s="6"/>
      <c r="K181" s="6"/>
      <c r="L181" s="6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6" t="e">
        <f>LOOKUP($E181,OBRAS!$D:$D,OBRAS!K:K)</f>
        <v>#N/A</v>
      </c>
      <c r="X181" s="109" t="e">
        <f t="shared" si="33"/>
        <v>#N/A</v>
      </c>
      <c r="Y181" s="109">
        <f t="shared" si="42"/>
        <v>0</v>
      </c>
      <c r="Z181" s="109" t="e">
        <f t="shared" si="34"/>
        <v>#N/A</v>
      </c>
      <c r="AA181" s="4"/>
    </row>
    <row r="182" spans="2:27" x14ac:dyDescent="0.25">
      <c r="B182" s="56">
        <v>1932</v>
      </c>
      <c r="C182" s="49">
        <v>180</v>
      </c>
      <c r="D182" s="4"/>
      <c r="E182" s="4"/>
      <c r="F182" s="4"/>
      <c r="G182" s="4"/>
      <c r="H182" s="80"/>
      <c r="I182" s="6"/>
      <c r="J182" s="6"/>
      <c r="K182" s="6"/>
      <c r="L182" s="6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6" t="e">
        <f>LOOKUP($E182,OBRAS!$D:$D,OBRAS!K:K)</f>
        <v>#N/A</v>
      </c>
      <c r="X182" s="109" t="e">
        <f t="shared" si="33"/>
        <v>#N/A</v>
      </c>
      <c r="Y182" s="109">
        <f t="shared" si="42"/>
        <v>0</v>
      </c>
      <c r="Z182" s="109" t="e">
        <f t="shared" si="34"/>
        <v>#N/A</v>
      </c>
      <c r="AA182" s="4"/>
    </row>
    <row r="183" spans="2:27" x14ac:dyDescent="0.25">
      <c r="B183" s="56">
        <v>1933</v>
      </c>
      <c r="C183" s="49">
        <v>181</v>
      </c>
      <c r="D183" s="4"/>
      <c r="E183" s="4"/>
      <c r="F183" s="4"/>
      <c r="G183" s="4"/>
      <c r="H183" s="80"/>
      <c r="I183" s="6"/>
      <c r="J183" s="6"/>
      <c r="K183" s="6"/>
      <c r="L183" s="6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6" t="e">
        <f>LOOKUP($E183,OBRAS!$D:$D,OBRAS!K:K)</f>
        <v>#N/A</v>
      </c>
      <c r="X183" s="109" t="e">
        <f t="shared" si="33"/>
        <v>#N/A</v>
      </c>
      <c r="Y183" s="109">
        <f t="shared" si="42"/>
        <v>0</v>
      </c>
      <c r="Z183" s="109" t="e">
        <f t="shared" si="34"/>
        <v>#N/A</v>
      </c>
      <c r="AA183" s="4"/>
    </row>
    <row r="184" spans="2:27" ht="60" x14ac:dyDescent="0.25">
      <c r="B184" s="56">
        <v>2028</v>
      </c>
      <c r="C184" s="49">
        <v>182</v>
      </c>
      <c r="D184" s="4" t="str">
        <f>LOOKUP($E184,OBRAS!$D:$D,OBRAS!C:C)</f>
        <v>RECARPETEO CON MICROCARPETA ASFALTICA DE 3 CM DE ESPESOR EN VARIAS CALLES Y AVENIDAS DE LA LOCALIDAD Y MUNICIPIO DE HUATABAMPO, SONORA.</v>
      </c>
      <c r="E184" s="4" t="s">
        <v>27</v>
      </c>
      <c r="F184" s="4" t="s">
        <v>217</v>
      </c>
      <c r="G184" s="4" t="str">
        <f>LOOKUP($E184,OBRAS!$D:$D,OBRAS!E:E)</f>
        <v>C-00093/0047</v>
      </c>
      <c r="H184" s="80" t="s">
        <v>103</v>
      </c>
      <c r="I184" s="6">
        <v>3606205.24</v>
      </c>
      <c r="J184" s="6"/>
      <c r="K184" s="6">
        <f>ROUND(I184*0.3,2)</f>
        <v>1081861.57</v>
      </c>
      <c r="L184" s="6">
        <f t="shared" ref="L184:L215" si="43">I184-K184</f>
        <v>2524343.67</v>
      </c>
      <c r="M184" s="6">
        <f t="shared" ref="M184:M247" si="44">ROUND(L184*0.16,2)</f>
        <v>403894.99</v>
      </c>
      <c r="N184" s="6">
        <f t="shared" ref="N184:N247" si="45">M184+L184</f>
        <v>2928238.66</v>
      </c>
      <c r="O184" s="6">
        <f>ROUND(I184*0.005,2)</f>
        <v>18031.03</v>
      </c>
      <c r="P184" s="6">
        <f t="shared" ref="P184:P247" si="46">N184-O184</f>
        <v>2910207.63</v>
      </c>
      <c r="Q184" s="4" t="str">
        <f>LOOKUP($E184,OBRAS!$D:$D,OBRAS!B:B)</f>
        <v>TESIA CONSTRUCCIONES, S.A. DE C.V.</v>
      </c>
      <c r="R184" s="4" t="str">
        <f>LOOKUP($E184,OBRAS!$D:$D,OBRAS!A:A)</f>
        <v>HUATABAMPO</v>
      </c>
      <c r="S184" s="4" t="str">
        <f>LOOKUP($E184,OBRAS!$D:$D,OBRAS!F:F)</f>
        <v>11000002002201E201K02203A614202155GL12</v>
      </c>
      <c r="T184" s="4" t="str">
        <f>LOOKUP($E184,OBRAS!$D:$D,OBRAS!G:G)</f>
        <v>IO-926006995-E70-2015</v>
      </c>
      <c r="U184" s="4" t="s">
        <v>863</v>
      </c>
      <c r="V184" s="89">
        <v>42564</v>
      </c>
      <c r="W184" s="6">
        <f>LOOKUP($E184,OBRAS!$D:$D,OBRAS!K:K)</f>
        <v>4556109.0199999996</v>
      </c>
      <c r="X184" s="109">
        <f t="shared" si="33"/>
        <v>0.91820000000000002</v>
      </c>
      <c r="Y184" s="109">
        <f t="shared" si="42"/>
        <v>1</v>
      </c>
      <c r="Z184" s="109">
        <f t="shared" si="34"/>
        <v>1</v>
      </c>
      <c r="AA184" s="4" t="str">
        <f>LOOKUP($E184,OBRAS!$D:$D,OBRAS!H:H)</f>
        <v>SH-NC-16-R-003</v>
      </c>
    </row>
    <row r="185" spans="2:27" ht="60" x14ac:dyDescent="0.25">
      <c r="B185" s="56">
        <v>2029</v>
      </c>
      <c r="C185" s="49">
        <v>183</v>
      </c>
      <c r="D185" s="4" t="str">
        <f>LOOKUP($E185,OBRAS!$D:$D,OBRAS!C:C)</f>
        <v>RECARPETEO CON MICROCARPETA ASFALTICA DE 3 CM DE ESPESOR EN VARIAS CALLES Y AVENIDAS DE LA LOCALIDAD Y MUNICIPIO DE HUATABAMPO, SONORA.</v>
      </c>
      <c r="E185" s="4" t="s">
        <v>27</v>
      </c>
      <c r="F185" s="4" t="s">
        <v>217</v>
      </c>
      <c r="G185" s="4" t="str">
        <f>LOOKUP($E185,OBRAS!$D:$D,OBRAS!E:E)</f>
        <v>C-00093/0047</v>
      </c>
      <c r="H185" s="80" t="s">
        <v>221</v>
      </c>
      <c r="I185" s="6">
        <v>321474.89</v>
      </c>
      <c r="J185" s="6"/>
      <c r="K185" s="6">
        <v>96442.49</v>
      </c>
      <c r="L185" s="6">
        <f t="shared" si="43"/>
        <v>225032.4</v>
      </c>
      <c r="M185" s="6">
        <f t="shared" si="44"/>
        <v>36005.18</v>
      </c>
      <c r="N185" s="6">
        <f t="shared" si="45"/>
        <v>261037.58</v>
      </c>
      <c r="O185" s="6">
        <f>ROUND(I185*0.005,2)</f>
        <v>1607.37</v>
      </c>
      <c r="P185" s="6">
        <f t="shared" si="46"/>
        <v>259430.21</v>
      </c>
      <c r="Q185" s="4" t="str">
        <f>LOOKUP($E185,OBRAS!$D:$D,OBRAS!B:B)</f>
        <v>TESIA CONSTRUCCIONES, S.A. DE C.V.</v>
      </c>
      <c r="R185" s="4" t="str">
        <f>LOOKUP($E185,OBRAS!$D:$D,OBRAS!A:A)</f>
        <v>HUATABAMPO</v>
      </c>
      <c r="S185" s="4" t="str">
        <f>LOOKUP($E185,OBRAS!$D:$D,OBRAS!F:F)</f>
        <v>11000002002201E201K02203A614202155GL12</v>
      </c>
      <c r="T185" s="4" t="str">
        <f>LOOKUP($E185,OBRAS!$D:$D,OBRAS!G:G)</f>
        <v>IO-926006995-E70-2015</v>
      </c>
      <c r="U185" s="4" t="s">
        <v>863</v>
      </c>
      <c r="V185" s="89">
        <v>42564</v>
      </c>
      <c r="W185" s="6">
        <f>LOOKUP($E185,OBRAS!$D:$D,OBRAS!K:K)</f>
        <v>4556109.0199999996</v>
      </c>
      <c r="X185" s="109">
        <f t="shared" si="33"/>
        <v>8.1799999999999998E-2</v>
      </c>
      <c r="Y185" s="109">
        <f t="shared" si="42"/>
        <v>1</v>
      </c>
      <c r="Z185" s="109">
        <f t="shared" si="34"/>
        <v>1</v>
      </c>
      <c r="AA185" s="4" t="str">
        <f>LOOKUP($E185,OBRAS!$D:$D,OBRAS!H:H)</f>
        <v>SH-NC-16-R-003</v>
      </c>
    </row>
    <row r="186" spans="2:27" ht="75" x14ac:dyDescent="0.25">
      <c r="B186" s="56">
        <v>2030</v>
      </c>
      <c r="C186" s="49">
        <v>184</v>
      </c>
      <c r="D186" s="4" t="str">
        <f>LOOKUP($E186,OBRAS!$D:$D,OBRAS!C:C)</f>
        <v>REHABILITACION DE UNIDAD DEPORTIVA EN LA COMUNIDAD DE LOS MUERTOS (REHABILITACION DEL ESTADIO DE BEISBOL) EN LA LOCALIDAD DE LOS MUERTOS EN EL MUNICIPIO DE ALAMOS, SONORA.</v>
      </c>
      <c r="E186" s="4" t="s">
        <v>93</v>
      </c>
      <c r="F186" s="4" t="s">
        <v>217</v>
      </c>
      <c r="G186" s="4" t="str">
        <f>LOOKUP($E186,OBRAS!$D:$D,OBRAS!E:E)</f>
        <v>C-00064/0036</v>
      </c>
      <c r="H186" s="80" t="s">
        <v>103</v>
      </c>
      <c r="I186" s="6">
        <v>417779.25</v>
      </c>
      <c r="J186" s="6"/>
      <c r="K186" s="6">
        <f t="shared" ref="K186:K200" si="47">ROUND(I186*0.3,2)</f>
        <v>125333.78</v>
      </c>
      <c r="L186" s="6">
        <f t="shared" si="43"/>
        <v>292445.46999999997</v>
      </c>
      <c r="M186" s="6">
        <f t="shared" si="44"/>
        <v>46791.28</v>
      </c>
      <c r="N186" s="6">
        <f t="shared" si="45"/>
        <v>339236.75</v>
      </c>
      <c r="O186" s="6">
        <v>2047.11</v>
      </c>
      <c r="P186" s="6">
        <f t="shared" si="46"/>
        <v>337189.64</v>
      </c>
      <c r="Q186" s="4" t="str">
        <f>LOOKUP($E186,OBRAS!$D:$D,OBRAS!B:B)</f>
        <v>ING. LUIS ENRIQUE PEÑA RODRIGO</v>
      </c>
      <c r="R186" s="4" t="str">
        <f>LOOKUP($E186,OBRAS!$D:$D,OBRAS!A:A)</f>
        <v>ALAMOS</v>
      </c>
      <c r="S186" s="4" t="str">
        <f>LOOKUP($E186,OBRAS!$D:$D,OBRAS!F:F)</f>
        <v>11000002002401E406K07203A612112135DM12</v>
      </c>
      <c r="T186" s="4" t="str">
        <f>LOOKUP($E186,OBRAS!$D:$D,OBRAS!G:G)</f>
        <v>ADJUDICACIÓN DIRECTA</v>
      </c>
      <c r="U186" s="4" t="s">
        <v>863</v>
      </c>
      <c r="V186" s="89">
        <v>42571</v>
      </c>
      <c r="W186" s="6">
        <f>LOOKUP($E186,OBRAS!$D:$D,OBRAS!K:K)</f>
        <v>484623.94</v>
      </c>
      <c r="X186" s="109">
        <f t="shared" ref="X186:X249" si="48">IF(H186&lt;&gt;"ANTICIPO",I186/(W186/1.16),"")</f>
        <v>1</v>
      </c>
      <c r="Y186" s="109">
        <f t="shared" si="42"/>
        <v>1</v>
      </c>
      <c r="Z186" s="109">
        <f t="shared" ref="Z186:Z249" si="49">SUMIF(E:E,E186,N:N)/W186</f>
        <v>1</v>
      </c>
      <c r="AA186" s="4" t="str">
        <f>LOOKUP($E186,OBRAS!$D:$D,OBRAS!H:H)</f>
        <v>SH-FAFEF-16-R-008</v>
      </c>
    </row>
    <row r="187" spans="2:27" ht="75" x14ac:dyDescent="0.25">
      <c r="B187" s="56">
        <v>2031</v>
      </c>
      <c r="C187" s="49">
        <v>185</v>
      </c>
      <c r="D187" s="4" t="str">
        <f>LOOKUP($E187,OBRAS!$D:$D,OBRAS!C:C)</f>
        <v>REHABILITACION DE UNIDAD DEPORTIVA EN LA COMUNIDAD DE TAPIZUELAS (REHABILITACION DE ESTADIO DE BEISBOL), EN LA LOCALIDAD DE TAPIZUELAS, EN EL MUNICIPIO DE ALAMOS, SONORA.</v>
      </c>
      <c r="E187" s="4" t="s">
        <v>111</v>
      </c>
      <c r="F187" s="4" t="s">
        <v>217</v>
      </c>
      <c r="G187" s="4" t="str">
        <f>LOOKUP($E187,OBRAS!$D:$D,OBRAS!E:E)</f>
        <v>C-00064/0035</v>
      </c>
      <c r="H187" s="80" t="s">
        <v>103</v>
      </c>
      <c r="I187" s="6">
        <v>417779.25</v>
      </c>
      <c r="J187" s="6"/>
      <c r="K187" s="6">
        <f t="shared" si="47"/>
        <v>125333.78</v>
      </c>
      <c r="L187" s="6">
        <f t="shared" si="43"/>
        <v>292445.46999999997</v>
      </c>
      <c r="M187" s="6">
        <f t="shared" si="44"/>
        <v>46791.28</v>
      </c>
      <c r="N187" s="6">
        <f t="shared" si="45"/>
        <v>339236.75</v>
      </c>
      <c r="O187" s="6">
        <v>2047.11</v>
      </c>
      <c r="P187" s="6">
        <f t="shared" si="46"/>
        <v>337189.64</v>
      </c>
      <c r="Q187" s="4" t="str">
        <f>LOOKUP($E187,OBRAS!$D:$D,OBRAS!B:B)</f>
        <v>ING. LUIS ENRIQUE PEÑA RODRIGO</v>
      </c>
      <c r="R187" s="4" t="str">
        <f>LOOKUP($E187,OBRAS!$D:$D,OBRAS!A:A)</f>
        <v>ALAMOS</v>
      </c>
      <c r="S187" s="4" t="str">
        <f>LOOKUP($E187,OBRAS!$D:$D,OBRAS!F:F)</f>
        <v>11000002002401E406K07203A612112135DM12</v>
      </c>
      <c r="T187" s="4" t="str">
        <f>LOOKUP($E187,OBRAS!$D:$D,OBRAS!G:G)</f>
        <v>ADJUDICACIÓN DIRECTA</v>
      </c>
      <c r="U187" s="4" t="s">
        <v>863</v>
      </c>
      <c r="V187" s="89">
        <v>42636</v>
      </c>
      <c r="W187" s="6">
        <f>LOOKUP($E187,OBRAS!$D:$D,OBRAS!K:K)</f>
        <v>484623.94</v>
      </c>
      <c r="X187" s="109">
        <f t="shared" si="48"/>
        <v>1</v>
      </c>
      <c r="Y187" s="109">
        <f t="shared" si="42"/>
        <v>1</v>
      </c>
      <c r="Z187" s="109">
        <f t="shared" si="49"/>
        <v>1</v>
      </c>
      <c r="AA187" s="4" t="str">
        <f>LOOKUP($E187,OBRAS!$D:$D,OBRAS!H:H)</f>
        <v>SH-FAFEF-16-R-008</v>
      </c>
    </row>
    <row r="188" spans="2:27" ht="75" x14ac:dyDescent="0.25">
      <c r="B188" s="56">
        <v>2032</v>
      </c>
      <c r="C188" s="49">
        <v>186</v>
      </c>
      <c r="D188" s="4" t="str">
        <f>LOOKUP($E188,OBRAS!$D:$D,OBRAS!C:C)</f>
        <v>REHABILITACION DE UNIDAD DEPORTIVA EN LA COMUNIDAD DE OSOBAMPO (REHABILITACION DE ESTADIO DE BEISBOL), EN LA LOCALIDAD DE OSOBAMPO, EN EL MUNICIPIO DE ALAMOS, SONORA.</v>
      </c>
      <c r="E188" s="4" t="s">
        <v>123</v>
      </c>
      <c r="F188" s="4" t="s">
        <v>217</v>
      </c>
      <c r="G188" s="4" t="str">
        <f>LOOKUP($E188,OBRAS!$D:$D,OBRAS!E:E)</f>
        <v>C-00064/0037</v>
      </c>
      <c r="H188" s="80" t="s">
        <v>103</v>
      </c>
      <c r="I188" s="6">
        <v>417779.25</v>
      </c>
      <c r="J188" s="6"/>
      <c r="K188" s="6">
        <f t="shared" si="47"/>
        <v>125333.78</v>
      </c>
      <c r="L188" s="6">
        <f t="shared" si="43"/>
        <v>292445.46999999997</v>
      </c>
      <c r="M188" s="6">
        <f t="shared" si="44"/>
        <v>46791.28</v>
      </c>
      <c r="N188" s="6">
        <f t="shared" si="45"/>
        <v>339236.75</v>
      </c>
      <c r="O188" s="6">
        <v>2047.11</v>
      </c>
      <c r="P188" s="6">
        <f t="shared" si="46"/>
        <v>337189.64</v>
      </c>
      <c r="Q188" s="4" t="str">
        <f>LOOKUP($E188,OBRAS!$D:$D,OBRAS!B:B)</f>
        <v>ING. LUIS ENRIQUE PEÑA RODRIGO</v>
      </c>
      <c r="R188" s="4" t="str">
        <f>LOOKUP($E188,OBRAS!$D:$D,OBRAS!A:A)</f>
        <v>ALAMOS</v>
      </c>
      <c r="S188" s="4" t="str">
        <f>LOOKUP($E188,OBRAS!$D:$D,OBRAS!F:F)</f>
        <v>11000002002401E406K07203A612112135DM12</v>
      </c>
      <c r="T188" s="4" t="str">
        <f>LOOKUP($E188,OBRAS!$D:$D,OBRAS!G:G)</f>
        <v>ADJUDICACIÓN DIRECTA</v>
      </c>
      <c r="U188" s="4" t="s">
        <v>863</v>
      </c>
      <c r="V188" s="89">
        <v>42636</v>
      </c>
      <c r="W188" s="6">
        <f>LOOKUP($E188,OBRAS!$D:$D,OBRAS!K:K)</f>
        <v>484623.94</v>
      </c>
      <c r="X188" s="109">
        <f t="shared" si="48"/>
        <v>1</v>
      </c>
      <c r="Y188" s="109">
        <f t="shared" si="42"/>
        <v>1</v>
      </c>
      <c r="Z188" s="109">
        <f t="shared" si="49"/>
        <v>1</v>
      </c>
      <c r="AA188" s="4" t="str">
        <f>LOOKUP($E188,OBRAS!$D:$D,OBRAS!H:H)</f>
        <v>SH-FAFEF-16-R-008</v>
      </c>
    </row>
    <row r="189" spans="2:27" ht="45" x14ac:dyDescent="0.25">
      <c r="C189" s="84">
        <v>187</v>
      </c>
      <c r="D189" s="4" t="str">
        <f>LOOKUP($E189,OBRAS!$D:$D,OBRAS!C:C)</f>
        <v>CONSTRUCCION, REHABILITACION Y EQUIPAMIENTO DE UNIDAD DEPORTIVA FAUSTINO FELIX ETAPA 3</v>
      </c>
      <c r="E189" s="4" t="s">
        <v>389</v>
      </c>
      <c r="F189" s="4" t="s">
        <v>217</v>
      </c>
      <c r="G189" s="4" t="str">
        <f>LOOKUP($E189,OBRAS!$D:$D,OBRAS!E:E)</f>
        <v>C-00109/0003</v>
      </c>
      <c r="H189" s="80" t="s">
        <v>221</v>
      </c>
      <c r="I189" s="6">
        <v>534560.81999999995</v>
      </c>
      <c r="J189" s="6"/>
      <c r="K189" s="6">
        <f t="shared" si="47"/>
        <v>160368.25</v>
      </c>
      <c r="L189" s="6">
        <f t="shared" si="43"/>
        <v>374192.57</v>
      </c>
      <c r="M189" s="6">
        <f t="shared" si="44"/>
        <v>59870.81</v>
      </c>
      <c r="N189" s="6">
        <f t="shared" si="45"/>
        <v>434063.38</v>
      </c>
      <c r="O189" s="6">
        <f>ROUND(I189*0.005,2)</f>
        <v>2672.8</v>
      </c>
      <c r="P189" s="6">
        <f t="shared" si="46"/>
        <v>431390.58</v>
      </c>
      <c r="Q189" s="4" t="str">
        <f>LOOKUP($E189,OBRAS!$D:$D,OBRAS!B:B)</f>
        <v>EDIFICACIONES BOZA S.A. DE C.V.</v>
      </c>
      <c r="R189" s="4" t="str">
        <f>LOOKUP($E189,OBRAS!$D:$D,OBRAS!A:A)</f>
        <v>NAVOJOA</v>
      </c>
      <c r="S189" s="4" t="str">
        <f>LOOKUP($E189,OBRAS!$D:$D,OBRAS!F:F)</f>
        <v>10800003002401E406K07203A411061155GZ12C-00109/0003</v>
      </c>
      <c r="T189" s="4">
        <f>LOOKUP($E189,OBRAS!$D:$D,OBRAS!G:G)</f>
        <v>0</v>
      </c>
      <c r="U189" s="4" t="s">
        <v>863</v>
      </c>
      <c r="V189" s="4"/>
      <c r="W189" s="6">
        <f>LOOKUP($E189,OBRAS!$D:$D,OBRAS!K:K)</f>
        <v>12932638.52</v>
      </c>
      <c r="X189" s="109">
        <f t="shared" si="48"/>
        <v>4.7899999999999998E-2</v>
      </c>
      <c r="Y189" s="109">
        <f t="shared" si="42"/>
        <v>1</v>
      </c>
      <c r="Z189" s="109">
        <f t="shared" si="49"/>
        <v>0.98929999999999996</v>
      </c>
      <c r="AA189" s="4">
        <f>LOOKUP($E189,OBRAS!$D:$D,OBRAS!H:H)</f>
        <v>0</v>
      </c>
    </row>
    <row r="190" spans="2:27" ht="45" x14ac:dyDescent="0.25">
      <c r="C190" s="84">
        <v>188</v>
      </c>
      <c r="D190" s="4" t="str">
        <f>LOOKUP($E190,OBRAS!$D:$D,OBRAS!C:C)</f>
        <v>CONSTRUCCION, REHABILITACION Y EQUIPAMIENTO DE UNIDAD DEPORTIVA FAUSTINO FELIX ETAPA 3</v>
      </c>
      <c r="E190" s="4" t="s">
        <v>389</v>
      </c>
      <c r="F190" s="4" t="s">
        <v>217</v>
      </c>
      <c r="G190" s="4" t="str">
        <f>LOOKUP($E190,OBRAS!$D:$D,OBRAS!E:E)</f>
        <v>C-00109/0003</v>
      </c>
      <c r="H190" s="80" t="s">
        <v>55</v>
      </c>
      <c r="I190" s="6">
        <v>5472669.6900000004</v>
      </c>
      <c r="J190" s="6"/>
      <c r="K190" s="6">
        <f t="shared" si="47"/>
        <v>1641800.91</v>
      </c>
      <c r="L190" s="6">
        <f t="shared" si="43"/>
        <v>3830868.78</v>
      </c>
      <c r="M190" s="6">
        <f t="shared" si="44"/>
        <v>612939</v>
      </c>
      <c r="N190" s="6">
        <f t="shared" si="45"/>
        <v>4443807.78</v>
      </c>
      <c r="O190" s="6">
        <f>ROUND(I190*0.005,2)</f>
        <v>27363.35</v>
      </c>
      <c r="P190" s="6">
        <f t="shared" si="46"/>
        <v>4416444.43</v>
      </c>
      <c r="Q190" s="4" t="str">
        <f>LOOKUP($E190,OBRAS!$D:$D,OBRAS!B:B)</f>
        <v>EDIFICACIONES BOZA S.A. DE C.V.</v>
      </c>
      <c r="R190" s="4" t="str">
        <f>LOOKUP($E190,OBRAS!$D:$D,OBRAS!A:A)</f>
        <v>NAVOJOA</v>
      </c>
      <c r="S190" s="4" t="str">
        <f>LOOKUP($E190,OBRAS!$D:$D,OBRAS!F:F)</f>
        <v>10800003002401E406K07203A411061155GZ12C-00109/0003</v>
      </c>
      <c r="T190" s="4">
        <f>LOOKUP($E190,OBRAS!$D:$D,OBRAS!G:G)</f>
        <v>0</v>
      </c>
      <c r="U190" s="4" t="s">
        <v>863</v>
      </c>
      <c r="V190" s="4"/>
      <c r="W190" s="6">
        <f>LOOKUP($E190,OBRAS!$D:$D,OBRAS!K:K)</f>
        <v>12932638.52</v>
      </c>
      <c r="X190" s="109">
        <f t="shared" si="48"/>
        <v>0.4909</v>
      </c>
      <c r="Y190" s="109">
        <f t="shared" si="42"/>
        <v>1</v>
      </c>
      <c r="Z190" s="109">
        <f t="shared" si="49"/>
        <v>0.98929999999999996</v>
      </c>
      <c r="AA190" s="4">
        <f>LOOKUP($E190,OBRAS!$D:$D,OBRAS!H:H)</f>
        <v>0</v>
      </c>
    </row>
    <row r="191" spans="2:27" ht="45" x14ac:dyDescent="0.25">
      <c r="C191" s="84">
        <v>189</v>
      </c>
      <c r="D191" s="4" t="str">
        <f>LOOKUP($E191,OBRAS!$D:$D,OBRAS!C:C)</f>
        <v>CONSTRUCCION, REHABILITACION Y EQUIPAMIENTO DE UNIDAD DEPORTIVA FAUSTINO FELIX ETAPA 3</v>
      </c>
      <c r="E191" s="4" t="s">
        <v>389</v>
      </c>
      <c r="F191" s="4" t="s">
        <v>217</v>
      </c>
      <c r="G191" s="4" t="str">
        <f>LOOKUP($E191,OBRAS!$D:$D,OBRAS!E:E)</f>
        <v>C-00109/0003</v>
      </c>
      <c r="H191" s="80" t="s">
        <v>215</v>
      </c>
      <c r="I191" s="6">
        <v>1032619.63</v>
      </c>
      <c r="J191" s="6"/>
      <c r="K191" s="6">
        <f t="shared" si="47"/>
        <v>309785.89</v>
      </c>
      <c r="L191" s="6">
        <f t="shared" si="43"/>
        <v>722833.74</v>
      </c>
      <c r="M191" s="6">
        <f t="shared" si="44"/>
        <v>115653.4</v>
      </c>
      <c r="N191" s="6">
        <f t="shared" si="45"/>
        <v>838487.14</v>
      </c>
      <c r="O191" s="6">
        <f>ROUND(I191*0.005,2)</f>
        <v>5163.1000000000004</v>
      </c>
      <c r="P191" s="6">
        <f t="shared" si="46"/>
        <v>833324.04</v>
      </c>
      <c r="Q191" s="4" t="str">
        <f>LOOKUP($E191,OBRAS!$D:$D,OBRAS!B:B)</f>
        <v>EDIFICACIONES BOZA S.A. DE C.V.</v>
      </c>
      <c r="R191" s="4" t="str">
        <f>LOOKUP($E191,OBRAS!$D:$D,OBRAS!A:A)</f>
        <v>NAVOJOA</v>
      </c>
      <c r="S191" s="4" t="str">
        <f>LOOKUP($E191,OBRAS!$D:$D,OBRAS!F:F)</f>
        <v>10800003002401E406K07203A411061155GZ12C-00109/0003</v>
      </c>
      <c r="T191" s="4">
        <f>LOOKUP($E191,OBRAS!$D:$D,OBRAS!G:G)</f>
        <v>0</v>
      </c>
      <c r="U191" s="4" t="s">
        <v>863</v>
      </c>
      <c r="V191" s="4"/>
      <c r="W191" s="6">
        <f>LOOKUP($E191,OBRAS!$D:$D,OBRAS!K:K)</f>
        <v>12932638.52</v>
      </c>
      <c r="X191" s="109">
        <f t="shared" si="48"/>
        <v>9.2600000000000002E-2</v>
      </c>
      <c r="Y191" s="109">
        <f t="shared" si="42"/>
        <v>1</v>
      </c>
      <c r="Z191" s="109">
        <f t="shared" si="49"/>
        <v>0.98929999999999996</v>
      </c>
      <c r="AA191" s="4">
        <f>LOOKUP($E191,OBRAS!$D:$D,OBRAS!H:H)</f>
        <v>0</v>
      </c>
    </row>
    <row r="192" spans="2:27" ht="45" x14ac:dyDescent="0.25">
      <c r="C192" s="84">
        <v>190</v>
      </c>
      <c r="D192" s="4" t="str">
        <f>LOOKUP($E192,OBRAS!$D:$D,OBRAS!C:C)</f>
        <v>RECONSTRUCCION DE CAMINO CALLE 600 VARIOS TRAMOS DEL KM 20+100 AL KM 40+700, EN VARIAS LOCALIDADES DE CAJEME, SONORA.</v>
      </c>
      <c r="E192" s="4" t="s">
        <v>393</v>
      </c>
      <c r="F192" s="4" t="s">
        <v>217</v>
      </c>
      <c r="G192" s="4"/>
      <c r="H192" s="80" t="s">
        <v>55</v>
      </c>
      <c r="I192" s="6">
        <v>2208121.4900000002</v>
      </c>
      <c r="J192" s="6"/>
      <c r="K192" s="6">
        <f t="shared" si="47"/>
        <v>662436.44999999995</v>
      </c>
      <c r="L192" s="6">
        <f t="shared" si="43"/>
        <v>1545685.04</v>
      </c>
      <c r="M192" s="6">
        <f t="shared" si="44"/>
        <v>247309.61</v>
      </c>
      <c r="N192" s="6">
        <f t="shared" si="45"/>
        <v>1792994.65</v>
      </c>
      <c r="O192" s="6">
        <f>ROUND(I192*0.005,2)</f>
        <v>11040.61</v>
      </c>
      <c r="P192" s="6">
        <f t="shared" si="46"/>
        <v>1781954.04</v>
      </c>
      <c r="Q192" s="4" t="str">
        <f>LOOKUP($E192,OBRAS!$D:$D,OBRAS!B:B)</f>
        <v>MEZQUITE CONSTRUCCIONES, S.A. DE C.V.</v>
      </c>
      <c r="R192" s="4" t="s">
        <v>258</v>
      </c>
      <c r="S192" s="4"/>
      <c r="T192" s="4"/>
      <c r="U192" s="4" t="s">
        <v>863</v>
      </c>
      <c r="V192" s="4"/>
      <c r="W192" s="6">
        <f>LOOKUP($E192,OBRAS!$D:$D,OBRAS!K:K)</f>
        <v>7382663.6299999999</v>
      </c>
      <c r="X192" s="109">
        <f t="shared" si="48"/>
        <v>0.34699999999999998</v>
      </c>
      <c r="Y192" s="109">
        <f t="shared" si="42"/>
        <v>0.99750000000000005</v>
      </c>
      <c r="Z192" s="109">
        <f t="shared" si="49"/>
        <v>0.99739999999999995</v>
      </c>
      <c r="AA192" s="4"/>
    </row>
    <row r="193" spans="2:27" x14ac:dyDescent="0.25">
      <c r="B193" s="56">
        <v>2077</v>
      </c>
      <c r="C193" s="84">
        <v>191</v>
      </c>
      <c r="D193" s="4" t="s">
        <v>716</v>
      </c>
      <c r="E193" s="4"/>
      <c r="F193" s="4" t="s">
        <v>224</v>
      </c>
      <c r="G193" s="4" t="e">
        <f>LOOKUP($E193,OBRAS!$D:$D,OBRAS!E:E)</f>
        <v>#N/A</v>
      </c>
      <c r="H193" s="80" t="s">
        <v>55</v>
      </c>
      <c r="I193" s="6">
        <v>1445880.12</v>
      </c>
      <c r="J193" s="6"/>
      <c r="K193" s="6">
        <f t="shared" si="47"/>
        <v>433764.04</v>
      </c>
      <c r="L193" s="6">
        <f t="shared" si="43"/>
        <v>1012116.08</v>
      </c>
      <c r="M193" s="6">
        <f t="shared" si="44"/>
        <v>161938.57</v>
      </c>
      <c r="N193" s="6">
        <f t="shared" si="45"/>
        <v>1174054.6499999999</v>
      </c>
      <c r="O193" s="6">
        <v>7084.8</v>
      </c>
      <c r="P193" s="6">
        <f t="shared" si="46"/>
        <v>1166969.8500000001</v>
      </c>
      <c r="Q193" s="4" t="e">
        <f>LOOKUP($E193,OBRAS!$D:$D,OBRAS!B:B)</f>
        <v>#N/A</v>
      </c>
      <c r="R193" s="4" t="e">
        <f>LOOKUP($E193,OBRAS!$D:$D,OBRAS!A:A)</f>
        <v>#N/A</v>
      </c>
      <c r="S193" s="4" t="e">
        <f>LOOKUP($E193,OBRAS!$D:$D,OBRAS!F:F)</f>
        <v>#N/A</v>
      </c>
      <c r="T193" s="4" t="e">
        <f>LOOKUP($E193,OBRAS!$D:$D,OBRAS!G:G)</f>
        <v>#N/A</v>
      </c>
      <c r="U193" s="4"/>
      <c r="V193" s="4"/>
      <c r="W193" s="6" t="e">
        <f>LOOKUP($E193,OBRAS!$D:$D,OBRAS!K:K)</f>
        <v>#N/A</v>
      </c>
      <c r="X193" s="109" t="e">
        <f t="shared" si="48"/>
        <v>#N/A</v>
      </c>
      <c r="Y193" s="109">
        <f t="shared" si="42"/>
        <v>0</v>
      </c>
      <c r="Z193" s="109" t="e">
        <f t="shared" si="49"/>
        <v>#N/A</v>
      </c>
      <c r="AA193" s="4" t="e">
        <f>LOOKUP($E193,OBRAS!$D:$D,OBRAS!H:H)</f>
        <v>#N/A</v>
      </c>
    </row>
    <row r="194" spans="2:27" ht="30" x14ac:dyDescent="0.25">
      <c r="B194" s="56">
        <v>2078</v>
      </c>
      <c r="C194" s="49">
        <v>192</v>
      </c>
      <c r="D194" s="4" t="str">
        <f>LOOKUP($E194,OBRAS!$D:$D,OBRAS!C:C)</f>
        <v>RECONSTRUCCIÓN DEL CAMINO BACAME NUEVO</v>
      </c>
      <c r="E194" s="4" t="s">
        <v>503</v>
      </c>
      <c r="F194" s="4" t="s">
        <v>224</v>
      </c>
      <c r="G194" s="4" t="str">
        <f>LOOKUP($E194,OBRAS!$D:$D,OBRAS!E:E)</f>
        <v>C-00054/0023</v>
      </c>
      <c r="H194" s="80" t="s">
        <v>103</v>
      </c>
      <c r="I194" s="6">
        <v>551668.18999999994</v>
      </c>
      <c r="J194" s="6"/>
      <c r="K194" s="6">
        <f t="shared" si="47"/>
        <v>165500.46</v>
      </c>
      <c r="L194" s="6">
        <f t="shared" si="43"/>
        <v>386167.73</v>
      </c>
      <c r="M194" s="6">
        <f t="shared" si="44"/>
        <v>61786.84</v>
      </c>
      <c r="N194" s="6">
        <f t="shared" si="45"/>
        <v>447954.57</v>
      </c>
      <c r="O194" s="6">
        <v>2703.18</v>
      </c>
      <c r="P194" s="6">
        <f t="shared" si="46"/>
        <v>445251.39</v>
      </c>
      <c r="Q194" s="4" t="str">
        <f>LOOKUP($E194,OBRAS!$D:$D,OBRAS!B:B)</f>
        <v>GIBHER CONSTRUCTORES, S.A. DE C.V.</v>
      </c>
      <c r="R194" s="4" t="str">
        <f>LOOKUP($E194,OBRAS!$D:$D,OBRAS!A:A)</f>
        <v>ETCHOJOA</v>
      </c>
      <c r="S194" s="4" t="str">
        <f>LOOKUP($E194,OBRAS!$D:$D,OBRAS!F:F)</f>
        <v>11000002003501E204K08063A625012162A212</v>
      </c>
      <c r="T194" s="4" t="str">
        <f>LOOKUP($E194,OBRAS!$D:$D,OBRAS!G:G)</f>
        <v>CE-926006995-E5-2016</v>
      </c>
      <c r="U194" s="4" t="s">
        <v>863</v>
      </c>
      <c r="V194" s="89">
        <v>42593</v>
      </c>
      <c r="W194" s="6">
        <f>LOOKUP($E194,OBRAS!$D:$D,OBRAS!K:K)</f>
        <v>6757250.3700000001</v>
      </c>
      <c r="X194" s="109">
        <f t="shared" si="48"/>
        <v>9.4700000000000006E-2</v>
      </c>
      <c r="Y194" s="109">
        <f t="shared" si="42"/>
        <v>1</v>
      </c>
      <c r="Z194" s="109">
        <f t="shared" si="49"/>
        <v>1</v>
      </c>
      <c r="AA194" s="4" t="str">
        <f>LOOKUP($E194,OBRAS!$D:$D,OBRAS!H:H)</f>
        <v>SH-ED-17-R-013</v>
      </c>
    </row>
    <row r="195" spans="2:27" ht="30" x14ac:dyDescent="0.25">
      <c r="B195" s="56">
        <v>2079</v>
      </c>
      <c r="C195" s="49">
        <v>193</v>
      </c>
      <c r="D195" s="4" t="str">
        <f>LOOKUP($E195,OBRAS!$D:$D,OBRAS!C:C)</f>
        <v>RECONSTRUCCIÓN DEL CAMINO BACAME NUEVO</v>
      </c>
      <c r="E195" s="4" t="s">
        <v>503</v>
      </c>
      <c r="F195" s="4" t="s">
        <v>224</v>
      </c>
      <c r="G195" s="4" t="str">
        <f>LOOKUP($E195,OBRAS!$D:$D,OBRAS!E:E)</f>
        <v>C-00054/0023</v>
      </c>
      <c r="H195" s="80" t="s">
        <v>221</v>
      </c>
      <c r="I195" s="6">
        <v>2263567.85</v>
      </c>
      <c r="J195" s="6"/>
      <c r="K195" s="6">
        <f t="shared" si="47"/>
        <v>679070.36</v>
      </c>
      <c r="L195" s="6">
        <f t="shared" si="43"/>
        <v>1584497.49</v>
      </c>
      <c r="M195" s="6">
        <f t="shared" si="44"/>
        <v>253519.6</v>
      </c>
      <c r="N195" s="6">
        <f t="shared" si="45"/>
        <v>1838017.09</v>
      </c>
      <c r="O195" s="6">
        <v>11091.49</v>
      </c>
      <c r="P195" s="6">
        <f t="shared" si="46"/>
        <v>1826925.6</v>
      </c>
      <c r="Q195" s="4" t="str">
        <f>LOOKUP($E195,OBRAS!$D:$D,OBRAS!B:B)</f>
        <v>GIBHER CONSTRUCTORES, S.A. DE C.V.</v>
      </c>
      <c r="R195" s="4" t="str">
        <f>LOOKUP($E195,OBRAS!$D:$D,OBRAS!A:A)</f>
        <v>ETCHOJOA</v>
      </c>
      <c r="S195" s="4" t="str">
        <f>LOOKUP($E195,OBRAS!$D:$D,OBRAS!F:F)</f>
        <v>11000002003501E204K08063A625012162A212</v>
      </c>
      <c r="T195" s="4" t="str">
        <f>LOOKUP($E195,OBRAS!$D:$D,OBRAS!G:G)</f>
        <v>CE-926006995-E5-2016</v>
      </c>
      <c r="U195" s="4" t="s">
        <v>863</v>
      </c>
      <c r="V195" s="89">
        <v>42593</v>
      </c>
      <c r="W195" s="6">
        <f>LOOKUP($E195,OBRAS!$D:$D,OBRAS!K:K)</f>
        <v>6757250.3700000001</v>
      </c>
      <c r="X195" s="109">
        <f t="shared" si="48"/>
        <v>0.3886</v>
      </c>
      <c r="Y195" s="109">
        <f t="shared" si="42"/>
        <v>1</v>
      </c>
      <c r="Z195" s="109">
        <f t="shared" si="49"/>
        <v>1</v>
      </c>
      <c r="AA195" s="4" t="str">
        <f>LOOKUP($E195,OBRAS!$D:$D,OBRAS!H:H)</f>
        <v>SH-ED-17-R-013</v>
      </c>
    </row>
    <row r="196" spans="2:27" ht="30" x14ac:dyDescent="0.25">
      <c r="B196" s="56">
        <v>2080</v>
      </c>
      <c r="C196" s="49">
        <v>194</v>
      </c>
      <c r="D196" s="4" t="str">
        <f>LOOKUP($E196,OBRAS!$D:$D,OBRAS!C:C)</f>
        <v>RECONSTRUCCIÓN DEL CAMINO BACAME NUEVO</v>
      </c>
      <c r="E196" s="4" t="s">
        <v>503</v>
      </c>
      <c r="F196" s="4" t="s">
        <v>224</v>
      </c>
      <c r="G196" s="4" t="str">
        <f>LOOKUP($E196,OBRAS!$D:$D,OBRAS!E:E)</f>
        <v>C-00054/0023</v>
      </c>
      <c r="H196" s="80" t="s">
        <v>55</v>
      </c>
      <c r="I196" s="6">
        <v>1398864.47</v>
      </c>
      <c r="J196" s="6"/>
      <c r="K196" s="6">
        <f t="shared" si="47"/>
        <v>419659.34</v>
      </c>
      <c r="L196" s="6">
        <f t="shared" si="43"/>
        <v>979205.13</v>
      </c>
      <c r="M196" s="6">
        <f t="shared" si="44"/>
        <v>156672.82</v>
      </c>
      <c r="N196" s="6">
        <f t="shared" si="45"/>
        <v>1135877.95</v>
      </c>
      <c r="O196" s="6">
        <v>6854.44</v>
      </c>
      <c r="P196" s="6">
        <f t="shared" si="46"/>
        <v>1129023.51</v>
      </c>
      <c r="Q196" s="4" t="str">
        <f>LOOKUP($E196,OBRAS!$D:$D,OBRAS!B:B)</f>
        <v>GIBHER CONSTRUCTORES, S.A. DE C.V.</v>
      </c>
      <c r="R196" s="4" t="str">
        <f>LOOKUP($E196,OBRAS!$D:$D,OBRAS!A:A)</f>
        <v>ETCHOJOA</v>
      </c>
      <c r="S196" s="4" t="str">
        <f>LOOKUP($E196,OBRAS!$D:$D,OBRAS!F:F)</f>
        <v>11000002003501E204K08063A625012162A212</v>
      </c>
      <c r="T196" s="4" t="str">
        <f>LOOKUP($E196,OBRAS!$D:$D,OBRAS!G:G)</f>
        <v>CE-926006995-E5-2016</v>
      </c>
      <c r="U196" s="4" t="s">
        <v>863</v>
      </c>
      <c r="V196" s="89">
        <v>42593</v>
      </c>
      <c r="W196" s="6">
        <f>LOOKUP($E196,OBRAS!$D:$D,OBRAS!K:K)</f>
        <v>6757250.3700000001</v>
      </c>
      <c r="X196" s="109">
        <f t="shared" si="48"/>
        <v>0.24010000000000001</v>
      </c>
      <c r="Y196" s="109">
        <f t="shared" si="42"/>
        <v>1</v>
      </c>
      <c r="Z196" s="109">
        <f t="shared" si="49"/>
        <v>1</v>
      </c>
      <c r="AA196" s="4" t="str">
        <f>LOOKUP($E196,OBRAS!$D:$D,OBRAS!H:H)</f>
        <v>SH-ED-17-R-013</v>
      </c>
    </row>
    <row r="197" spans="2:27" ht="60" x14ac:dyDescent="0.25">
      <c r="B197" s="56">
        <v>2081</v>
      </c>
      <c r="C197" s="49">
        <v>195</v>
      </c>
      <c r="D197" s="4" t="str">
        <f>LOOKUP($E197,OBRAS!$D:$D,OBRAS!C:C)</f>
        <v>SUPERVISION EXTERNA Y CONTROL DE CALIDAD DE LA OBRA: CONSTRUCCION DE CONSERVATORIO DE MUSICA FRAY IVO TONECK, EN LA LOCALIDAD Y MUNICIPIO DE GUAYMAS, SONORA.</v>
      </c>
      <c r="E197" s="4" t="s">
        <v>501</v>
      </c>
      <c r="F197" s="4" t="s">
        <v>217</v>
      </c>
      <c r="G197" s="4" t="str">
        <f>LOOKUP($E197,OBRAS!$D:$D,OBRAS!E:E)</f>
        <v>C-00093/0009</v>
      </c>
      <c r="H197" s="80" t="s">
        <v>103</v>
      </c>
      <c r="I197" s="6">
        <v>27418.2</v>
      </c>
      <c r="J197" s="6"/>
      <c r="K197" s="6">
        <f t="shared" si="47"/>
        <v>8225.4599999999991</v>
      </c>
      <c r="L197" s="6">
        <f t="shared" si="43"/>
        <v>19192.740000000002</v>
      </c>
      <c r="M197" s="6">
        <f t="shared" si="44"/>
        <v>3070.84</v>
      </c>
      <c r="N197" s="6">
        <f t="shared" si="45"/>
        <v>22263.58</v>
      </c>
      <c r="O197" s="6">
        <f t="shared" ref="O197:O205" si="50">ROUND(I197*0.005,2)</f>
        <v>137.09</v>
      </c>
      <c r="P197" s="6">
        <f t="shared" si="46"/>
        <v>22126.49</v>
      </c>
      <c r="Q197" s="4" t="str">
        <f>LOOKUP($E197,OBRAS!$D:$D,OBRAS!B:B)</f>
        <v>ING. MARTIN GRAJEDA ARAGON</v>
      </c>
      <c r="R197" s="4" t="str">
        <f>LOOKUP($E197,OBRAS!$D:$D,OBRAS!A:A)</f>
        <v>GUAYMAS</v>
      </c>
      <c r="S197" s="4" t="str">
        <f>LOOKUP($E197,OBRAS!$D:$D,OBRAS!F:F)</f>
        <v>11000002002402E406K06106A612222155GL10</v>
      </c>
      <c r="T197" s="4" t="str">
        <f>LOOKUP($E197,OBRAS!$D:$D,OBRAS!G:G)</f>
        <v>ADJUDICACIÓN DIRECTA</v>
      </c>
      <c r="U197" s="4" t="s">
        <v>863</v>
      </c>
      <c r="V197" s="89">
        <v>42565</v>
      </c>
      <c r="W197" s="6">
        <f>LOOKUP($E197,OBRAS!$D:$D,OBRAS!K:K)</f>
        <v>343063.19</v>
      </c>
      <c r="X197" s="109">
        <f t="shared" si="48"/>
        <v>9.2700000000000005E-2</v>
      </c>
      <c r="Y197" s="109">
        <f t="shared" si="42"/>
        <v>1</v>
      </c>
      <c r="Z197" s="109">
        <f t="shared" si="49"/>
        <v>0.7</v>
      </c>
      <c r="AA197" s="4" t="str">
        <f>LOOKUP($E197,OBRAS!$D:$D,OBRAS!H:H)</f>
        <v>SH-NC-16-R-007.</v>
      </c>
    </row>
    <row r="198" spans="2:27" ht="60" x14ac:dyDescent="0.25">
      <c r="B198" s="56">
        <v>2082</v>
      </c>
      <c r="C198" s="49">
        <v>196</v>
      </c>
      <c r="D198" s="4" t="str">
        <f>LOOKUP($E198,OBRAS!$D:$D,OBRAS!C:C)</f>
        <v>SUPERVISION EXTERNA Y CONTROL DE CALIDAD DE LA OBRA: CONSTRUCCION DE CONSERVATORIO DE MUSICA FRAY IVO TONECK, EN LA LOCALIDAD Y MUNICIPIO DE GUAYMAS, SONORA.</v>
      </c>
      <c r="E198" s="4" t="s">
        <v>501</v>
      </c>
      <c r="F198" s="4" t="s">
        <v>217</v>
      </c>
      <c r="G198" s="4" t="str">
        <f>LOOKUP($E198,OBRAS!$D:$D,OBRAS!E:E)</f>
        <v>C-00093/0009</v>
      </c>
      <c r="H198" s="80" t="s">
        <v>221</v>
      </c>
      <c r="I198" s="6">
        <v>13985.98</v>
      </c>
      <c r="J198" s="6"/>
      <c r="K198" s="6">
        <f t="shared" si="47"/>
        <v>4195.79</v>
      </c>
      <c r="L198" s="6">
        <f t="shared" si="43"/>
        <v>9790.19</v>
      </c>
      <c r="M198" s="6">
        <f t="shared" si="44"/>
        <v>1566.43</v>
      </c>
      <c r="N198" s="6">
        <f t="shared" si="45"/>
        <v>11356.62</v>
      </c>
      <c r="O198" s="6">
        <f t="shared" si="50"/>
        <v>69.930000000000007</v>
      </c>
      <c r="P198" s="6">
        <f t="shared" si="46"/>
        <v>11286.69</v>
      </c>
      <c r="Q198" s="4" t="str">
        <f>LOOKUP($E198,OBRAS!$D:$D,OBRAS!B:B)</f>
        <v>ING. MARTIN GRAJEDA ARAGON</v>
      </c>
      <c r="R198" s="4" t="str">
        <f>LOOKUP($E198,OBRAS!$D:$D,OBRAS!A:A)</f>
        <v>GUAYMAS</v>
      </c>
      <c r="S198" s="4" t="str">
        <f>LOOKUP($E198,OBRAS!$D:$D,OBRAS!F:F)</f>
        <v>11000002002402E406K06106A612222155GL10</v>
      </c>
      <c r="T198" s="4" t="str">
        <f>LOOKUP($E198,OBRAS!$D:$D,OBRAS!G:G)</f>
        <v>ADJUDICACIÓN DIRECTA</v>
      </c>
      <c r="U198" s="4" t="s">
        <v>863</v>
      </c>
      <c r="V198" s="89">
        <v>42565</v>
      </c>
      <c r="W198" s="6">
        <f>LOOKUP($E198,OBRAS!$D:$D,OBRAS!K:K)</f>
        <v>343063.19</v>
      </c>
      <c r="X198" s="109">
        <f t="shared" si="48"/>
        <v>4.7300000000000002E-2</v>
      </c>
      <c r="Y198" s="109">
        <f t="shared" si="42"/>
        <v>1</v>
      </c>
      <c r="Z198" s="109">
        <f t="shared" si="49"/>
        <v>0.7</v>
      </c>
      <c r="AA198" s="4" t="str">
        <f>LOOKUP($E198,OBRAS!$D:$D,OBRAS!H:H)</f>
        <v>SH-NC-16-R-007.</v>
      </c>
    </row>
    <row r="199" spans="2:27" ht="60" x14ac:dyDescent="0.25">
      <c r="B199" s="56">
        <v>2083</v>
      </c>
      <c r="C199" s="49">
        <v>197</v>
      </c>
      <c r="D199" s="4" t="str">
        <f>LOOKUP($E199,OBRAS!$D:$D,OBRAS!C:C)</f>
        <v>SUPERVISION EXTERNA Y CONTROL DE CALIDAD DE LA OBRA: CONSTRUCCION DE CONSERVATORIO DE MUSICA FRAY IVO TONECK, EN LA LOCALIDAD Y MUNICIPIO DE GUAYMAS, SONORA.</v>
      </c>
      <c r="E199" s="4" t="s">
        <v>501</v>
      </c>
      <c r="F199" s="4" t="s">
        <v>217</v>
      </c>
      <c r="G199" s="4" t="str">
        <f>LOOKUP($E199,OBRAS!$D:$D,OBRAS!E:E)</f>
        <v>C-00093/0009</v>
      </c>
      <c r="H199" s="80" t="s">
        <v>55</v>
      </c>
      <c r="I199" s="6">
        <v>39168.86</v>
      </c>
      <c r="J199" s="6"/>
      <c r="K199" s="6">
        <f t="shared" si="47"/>
        <v>11750.66</v>
      </c>
      <c r="L199" s="6">
        <f t="shared" si="43"/>
        <v>27418.2</v>
      </c>
      <c r="M199" s="6">
        <f t="shared" si="44"/>
        <v>4386.91</v>
      </c>
      <c r="N199" s="6">
        <f t="shared" si="45"/>
        <v>31805.11</v>
      </c>
      <c r="O199" s="6">
        <f t="shared" si="50"/>
        <v>195.84</v>
      </c>
      <c r="P199" s="6">
        <f t="shared" si="46"/>
        <v>31609.27</v>
      </c>
      <c r="Q199" s="4" t="str">
        <f>LOOKUP($E199,OBRAS!$D:$D,OBRAS!B:B)</f>
        <v>ING. MARTIN GRAJEDA ARAGON</v>
      </c>
      <c r="R199" s="4" t="str">
        <f>LOOKUP($E199,OBRAS!$D:$D,OBRAS!A:A)</f>
        <v>GUAYMAS</v>
      </c>
      <c r="S199" s="4" t="str">
        <f>LOOKUP($E199,OBRAS!$D:$D,OBRAS!F:F)</f>
        <v>11000002002402E406K06106A612222155GL10</v>
      </c>
      <c r="T199" s="4" t="str">
        <f>LOOKUP($E199,OBRAS!$D:$D,OBRAS!G:G)</f>
        <v>ADJUDICACIÓN DIRECTA</v>
      </c>
      <c r="U199" s="4" t="s">
        <v>863</v>
      </c>
      <c r="V199" s="89">
        <v>42565</v>
      </c>
      <c r="W199" s="6">
        <f>LOOKUP($E199,OBRAS!$D:$D,OBRAS!K:K)</f>
        <v>343063.19</v>
      </c>
      <c r="X199" s="109">
        <f t="shared" si="48"/>
        <v>0.13239999999999999</v>
      </c>
      <c r="Y199" s="109">
        <f t="shared" si="42"/>
        <v>1</v>
      </c>
      <c r="Z199" s="109">
        <f t="shared" si="49"/>
        <v>0.7</v>
      </c>
      <c r="AA199" s="4" t="str">
        <f>LOOKUP($E199,OBRAS!$D:$D,OBRAS!H:H)</f>
        <v>SH-NC-16-R-007.</v>
      </c>
    </row>
    <row r="200" spans="2:27" ht="60" x14ac:dyDescent="0.25">
      <c r="B200" s="56">
        <v>2084</v>
      </c>
      <c r="C200" s="49">
        <v>198</v>
      </c>
      <c r="D200" s="4" t="str">
        <f>LOOKUP($E200,OBRAS!$D:$D,OBRAS!C:C)</f>
        <v>SUPERVISION EXTERNA Y CONTROL DE CALIDAD DE LA OBRA: CONSTRUCCION DE CONSERVATORIO DE MUSICA FRAY IVO TONECK, EN LA LOCALIDAD Y MUNICIPIO DE GUAYMAS, SONORA.</v>
      </c>
      <c r="E200" s="4" t="s">
        <v>501</v>
      </c>
      <c r="F200" s="4" t="s">
        <v>217</v>
      </c>
      <c r="G200" s="4" t="str">
        <f>LOOKUP($E200,OBRAS!$D:$D,OBRAS!E:E)</f>
        <v>C-00093/0009</v>
      </c>
      <c r="H200" s="80" t="s">
        <v>215</v>
      </c>
      <c r="I200" s="6">
        <v>19979.97</v>
      </c>
      <c r="J200" s="6"/>
      <c r="K200" s="6">
        <f t="shared" si="47"/>
        <v>5993.99</v>
      </c>
      <c r="L200" s="6">
        <f t="shared" si="43"/>
        <v>13985.98</v>
      </c>
      <c r="M200" s="6">
        <f t="shared" si="44"/>
        <v>2237.7600000000002</v>
      </c>
      <c r="N200" s="6">
        <f t="shared" si="45"/>
        <v>16223.74</v>
      </c>
      <c r="O200" s="6">
        <f t="shared" si="50"/>
        <v>99.9</v>
      </c>
      <c r="P200" s="6">
        <f t="shared" si="46"/>
        <v>16123.84</v>
      </c>
      <c r="Q200" s="4" t="str">
        <f>LOOKUP($E200,OBRAS!$D:$D,OBRAS!B:B)</f>
        <v>ING. MARTIN GRAJEDA ARAGON</v>
      </c>
      <c r="R200" s="4" t="str">
        <f>LOOKUP($E200,OBRAS!$D:$D,OBRAS!A:A)</f>
        <v>GUAYMAS</v>
      </c>
      <c r="S200" s="4" t="str">
        <f>LOOKUP($E200,OBRAS!$D:$D,OBRAS!F:F)</f>
        <v>11000002002402E406K06106A612222155GL10</v>
      </c>
      <c r="T200" s="4" t="str">
        <f>LOOKUP($E200,OBRAS!$D:$D,OBRAS!G:G)</f>
        <v>ADJUDICACIÓN DIRECTA</v>
      </c>
      <c r="U200" s="4" t="s">
        <v>863</v>
      </c>
      <c r="V200" s="89">
        <v>42580</v>
      </c>
      <c r="W200" s="6">
        <f>LOOKUP($E200,OBRAS!$D:$D,OBRAS!K:K)</f>
        <v>343063.19</v>
      </c>
      <c r="X200" s="109">
        <f t="shared" si="48"/>
        <v>6.7599999999999993E-2</v>
      </c>
      <c r="Y200" s="109">
        <f t="shared" si="42"/>
        <v>1</v>
      </c>
      <c r="Z200" s="109">
        <f t="shared" si="49"/>
        <v>0.7</v>
      </c>
      <c r="AA200" s="4" t="str">
        <f>LOOKUP($E200,OBRAS!$D:$D,OBRAS!H:H)</f>
        <v>SH-NC-16-R-007.</v>
      </c>
    </row>
    <row r="201" spans="2:27" ht="45" x14ac:dyDescent="0.25">
      <c r="B201" s="56">
        <v>2085</v>
      </c>
      <c r="C201" s="49">
        <v>199</v>
      </c>
      <c r="D201" s="4" t="str">
        <f>LOOKUP($E201,OBRAS!$D:$D,OBRAS!C:C)</f>
        <v>CONSTRUCCION DE PARQUE DE ACCESO DEL MUSEO MUSAS EN LA LOCALIDAD Y MUNICIPIO DE HERMOSILLO</v>
      </c>
      <c r="E201" s="4" t="s">
        <v>89</v>
      </c>
      <c r="F201" s="4" t="s">
        <v>225</v>
      </c>
      <c r="G201" s="4" t="str">
        <f>LOOKUP($E201,OBRAS!$D:$D,OBRAS!E:E)</f>
        <v>C-00093/0010</v>
      </c>
      <c r="H201" s="80" t="s">
        <v>15</v>
      </c>
      <c r="I201" s="6">
        <v>1305948.48</v>
      </c>
      <c r="J201" s="6"/>
      <c r="K201" s="6">
        <v>522379.39</v>
      </c>
      <c r="L201" s="6">
        <f t="shared" si="43"/>
        <v>783569.09</v>
      </c>
      <c r="M201" s="6">
        <f t="shared" si="44"/>
        <v>125371.05</v>
      </c>
      <c r="N201" s="6">
        <f t="shared" si="45"/>
        <v>908940.14</v>
      </c>
      <c r="O201" s="6">
        <f t="shared" si="50"/>
        <v>6529.74</v>
      </c>
      <c r="P201" s="6">
        <f t="shared" si="46"/>
        <v>902410.4</v>
      </c>
      <c r="Q201" s="4" t="str">
        <f>LOOKUP($E201,OBRAS!$D:$D,OBRAS!B:B)</f>
        <v>CONSTRUCTORES LISTABLANCA, S.A. DE C.V.</v>
      </c>
      <c r="R201" s="4" t="str">
        <f>LOOKUP($E201,OBRAS!$D:$D,OBRAS!A:A)</f>
        <v>HERMOSILLO</v>
      </c>
      <c r="S201" s="4" t="str">
        <f>LOOKUP($E201,OBRAS!$D:$D,OBRAS!F:F)</f>
        <v>11000002002402E406K06106A612012155GL07</v>
      </c>
      <c r="T201" s="4" t="str">
        <f>LOOKUP($E201,OBRAS!$D:$D,OBRAS!G:G)</f>
        <v>LO-926006995-N8-2015</v>
      </c>
      <c r="U201" s="4" t="s">
        <v>863</v>
      </c>
      <c r="V201" s="89">
        <v>42565</v>
      </c>
      <c r="W201" s="6">
        <f>LOOKUP($E201,OBRAS!$D:$D,OBRAS!K:K)</f>
        <v>10308275.199999999</v>
      </c>
      <c r="X201" s="109">
        <f t="shared" si="48"/>
        <v>0.14699999999999999</v>
      </c>
      <c r="Y201" s="109">
        <f t="shared" ref="Y201:Y223" si="51">SUMIF(E:E,E201,X:X)</f>
        <v>1.0001</v>
      </c>
      <c r="Z201" s="109">
        <f t="shared" si="49"/>
        <v>0.6</v>
      </c>
      <c r="AA201" s="4" t="str">
        <f>LOOKUP($E201,OBRAS!$D:$D,OBRAS!H:H)</f>
        <v>SH-NC-16-R-007</v>
      </c>
    </row>
    <row r="202" spans="2:27" ht="45" x14ac:dyDescent="0.25">
      <c r="B202" s="56">
        <v>2086</v>
      </c>
      <c r="C202" s="49">
        <v>200</v>
      </c>
      <c r="D202" s="4" t="str">
        <f>LOOKUP($E202,OBRAS!$D:$D,OBRAS!C:C)</f>
        <v>REMODELACION DEL PARQUE INFANTIL EN LA LOCALIDAD Y MUNICIPIO DE HERMOSILLO, SONORA</v>
      </c>
      <c r="E202" s="4" t="s">
        <v>45</v>
      </c>
      <c r="F202" s="4" t="s">
        <v>226</v>
      </c>
      <c r="G202" s="4" t="str">
        <f>LOOKUP($E202,OBRAS!$D:$D,OBRAS!E:E)</f>
        <v>C-00093/0004</v>
      </c>
      <c r="H202" s="80" t="s">
        <v>616</v>
      </c>
      <c r="I202" s="6">
        <v>661880.18999999994</v>
      </c>
      <c r="J202" s="6"/>
      <c r="K202" s="6">
        <v>264752.08</v>
      </c>
      <c r="L202" s="6">
        <f t="shared" si="43"/>
        <v>397128.11</v>
      </c>
      <c r="M202" s="6">
        <f t="shared" si="44"/>
        <v>63540.5</v>
      </c>
      <c r="N202" s="6">
        <f t="shared" si="45"/>
        <v>460668.61</v>
      </c>
      <c r="O202" s="6">
        <f t="shared" si="50"/>
        <v>3309.4</v>
      </c>
      <c r="P202" s="6">
        <f t="shared" si="46"/>
        <v>457359.21</v>
      </c>
      <c r="Q202" s="4" t="str">
        <f>LOOKUP($E202,OBRAS!$D:$D,OBRAS!B:B)</f>
        <v>GYCR SOLUCIONES INTEGRALES PARA LA CONSTRUCCION, S.A. DE C.V.</v>
      </c>
      <c r="R202" s="4" t="str">
        <f>LOOKUP($E202,OBRAS!$D:$D,OBRAS!A:A)</f>
        <v>HERMOSILLO</v>
      </c>
      <c r="S202" s="4" t="str">
        <f>LOOKUP($E202,OBRAS!$D:$D,OBRAS!F:F)</f>
        <v>11000002002202E406K17104A622202155GL07</v>
      </c>
      <c r="T202" s="4" t="str">
        <f>LOOKUP($E202,OBRAS!$D:$D,OBRAS!G:G)</f>
        <v>LO-926006995-N12-2015</v>
      </c>
      <c r="U202" s="7" t="s">
        <v>863</v>
      </c>
      <c r="V202" s="89">
        <v>42633</v>
      </c>
      <c r="W202" s="6">
        <f>LOOKUP($E202,OBRAS!$D:$D,OBRAS!K:K)</f>
        <v>53569288.82</v>
      </c>
      <c r="X202" s="109">
        <f t="shared" si="48"/>
        <v>1.43E-2</v>
      </c>
      <c r="Y202" s="109">
        <f t="shared" si="51"/>
        <v>0.85470000000000002</v>
      </c>
      <c r="Z202" s="109">
        <f t="shared" si="49"/>
        <v>0.55269999999999997</v>
      </c>
      <c r="AA202" s="4" t="str">
        <f>LOOKUP($E202,OBRAS!$D:$D,OBRAS!H:H)</f>
        <v>SH-NC-16-R-003</v>
      </c>
    </row>
    <row r="203" spans="2:27" ht="30" x14ac:dyDescent="0.25">
      <c r="B203" s="56">
        <v>2087</v>
      </c>
      <c r="C203" s="49">
        <v>201</v>
      </c>
      <c r="D203" s="4" t="str">
        <f>LOOKUP($E203,OBRAS!$D:$D,OBRAS!C:C)</f>
        <v>CONSTRUCCION DE LINEA DE CONDUCCION DEL POZO EXISTENTE A LA CAJA DE ALMACENAMIENTO</v>
      </c>
      <c r="E203" s="4" t="s">
        <v>331</v>
      </c>
      <c r="F203" s="4" t="s">
        <v>224</v>
      </c>
      <c r="G203" s="4" t="str">
        <f>LOOKUP($E203,OBRAS!$D:$D,OBRAS!E:E)</f>
        <v>C-00050/0003</v>
      </c>
      <c r="H203" s="80" t="s">
        <v>103</v>
      </c>
      <c r="I203" s="6">
        <v>460019.43</v>
      </c>
      <c r="J203" s="6"/>
      <c r="K203" s="6">
        <f>ROUND(I203*0.3,2)</f>
        <v>138005.82999999999</v>
      </c>
      <c r="L203" s="6">
        <f t="shared" si="43"/>
        <v>322013.59999999998</v>
      </c>
      <c r="M203" s="6">
        <f t="shared" si="44"/>
        <v>51522.18</v>
      </c>
      <c r="N203" s="6">
        <f t="shared" si="45"/>
        <v>373535.78</v>
      </c>
      <c r="O203" s="6">
        <f t="shared" si="50"/>
        <v>2300.1</v>
      </c>
      <c r="P203" s="6">
        <f t="shared" si="46"/>
        <v>371235.68</v>
      </c>
      <c r="Q203" s="4" t="str">
        <f>LOOKUP($E203,OBRAS!$D:$D,OBRAS!B:B)</f>
        <v>CONSTRUCCIONES Y DISEÑOS OPOSURA, S.A. DE C.V.</v>
      </c>
      <c r="R203" s="4" t="str">
        <f>LOOKUP($E203,OBRAS!$D:$D,OBRAS!A:A)</f>
        <v>SAN PEDRO DE LA CUEVA</v>
      </c>
      <c r="S203" s="4" t="str">
        <f>LOOKUP($E203,OBRAS!$D:$D,OBRAS!F:F)</f>
        <v>11000002002203E208K13020A614082162A208</v>
      </c>
      <c r="T203" s="4" t="str">
        <f>LOOKUP($E203,OBRAS!$D:$D,OBRAS!G:G)</f>
        <v>CE-926006995-E47-2016</v>
      </c>
      <c r="U203" s="4" t="s">
        <v>863</v>
      </c>
      <c r="V203" s="89">
        <v>42564</v>
      </c>
      <c r="W203" s="6">
        <f>LOOKUP($E203,OBRAS!$D:$D,OBRAS!K:K)</f>
        <v>2209859.44</v>
      </c>
      <c r="X203" s="109">
        <f t="shared" si="48"/>
        <v>0.24149999999999999</v>
      </c>
      <c r="Y203" s="109">
        <f t="shared" si="51"/>
        <v>1</v>
      </c>
      <c r="Z203" s="109">
        <f t="shared" si="49"/>
        <v>1</v>
      </c>
      <c r="AA203" s="4" t="str">
        <f>LOOKUP($E203,OBRAS!$D:$D,OBRAS!H:H)</f>
        <v>SH-ED-17-R-007</v>
      </c>
    </row>
    <row r="204" spans="2:27" ht="60" x14ac:dyDescent="0.25">
      <c r="C204" s="84">
        <v>202</v>
      </c>
      <c r="D204" s="4" t="str">
        <f>LOOKUP($E204,OBRAS!$D:$D,OBRAS!C:C)</f>
        <v>CONSTRUCCION Y EQUIPAMIENTO DE UNIDAD DEPORTIVA MUNICIPAL EL ANDADOR EN LA LOCALIDAD Y MUNICIPIO DE SANTA ANA, SONORA.</v>
      </c>
      <c r="E204" s="4" t="s">
        <v>625</v>
      </c>
      <c r="F204" s="4" t="s">
        <v>217</v>
      </c>
      <c r="G204" s="4" t="str">
        <f>LOOKUP($E204,OBRAS!$D:$D,OBRAS!E:E)</f>
        <v>C-00109/0004</v>
      </c>
      <c r="H204" s="80" t="s">
        <v>221</v>
      </c>
      <c r="I204" s="6">
        <v>600709.39</v>
      </c>
      <c r="J204" s="6"/>
      <c r="K204" s="6">
        <f>ROUND(I204*0.3,2)</f>
        <v>180212.82</v>
      </c>
      <c r="L204" s="6">
        <f t="shared" si="43"/>
        <v>420496.57</v>
      </c>
      <c r="M204" s="6">
        <f t="shared" si="44"/>
        <v>67279.45</v>
      </c>
      <c r="N204" s="6">
        <f t="shared" si="45"/>
        <v>487776.02</v>
      </c>
      <c r="O204" s="6">
        <f t="shared" si="50"/>
        <v>3003.55</v>
      </c>
      <c r="P204" s="6">
        <f t="shared" si="46"/>
        <v>484772.47</v>
      </c>
      <c r="Q204" s="4" t="str">
        <f>LOOKUP($E204,OBRAS!$D:$D,OBRAS!B:B)</f>
        <v>BARREDA PROYECTO Y CONSTRUCCIONES, S.A. DE C.V.</v>
      </c>
      <c r="R204" s="4" t="str">
        <f>LOOKUP($E204,OBRAS!$D:$D,OBRAS!A:A)</f>
        <v>SANTA ANA</v>
      </c>
      <c r="S204" s="4"/>
      <c r="T204" s="4"/>
      <c r="U204" s="4" t="s">
        <v>863</v>
      </c>
      <c r="V204" s="4"/>
      <c r="W204" s="6">
        <f>LOOKUP($E204,OBRAS!$D:$D,OBRAS!K:K)</f>
        <v>6736102.7800000003</v>
      </c>
      <c r="X204" s="109">
        <f t="shared" si="48"/>
        <v>0.10340000000000001</v>
      </c>
      <c r="Y204" s="109">
        <f t="shared" si="51"/>
        <v>0.99990000000000001</v>
      </c>
      <c r="Z204" s="109">
        <f t="shared" si="49"/>
        <v>1</v>
      </c>
      <c r="AA204" s="4"/>
    </row>
    <row r="205" spans="2:27" ht="45" x14ac:dyDescent="0.25">
      <c r="B205" s="56">
        <v>2123</v>
      </c>
      <c r="C205" s="49">
        <v>203</v>
      </c>
      <c r="D205" s="4" t="str">
        <f>LOOKUP($E205,OBRAS!$D:$D,OBRAS!C:C)</f>
        <v>REMODELACION DEL PARQUE INFANTIL EN LA LOCALIDAD Y MUNICIPIO DE HERMOSILLO, SONORA</v>
      </c>
      <c r="E205" s="4" t="s">
        <v>45</v>
      </c>
      <c r="F205" s="4" t="s">
        <v>226</v>
      </c>
      <c r="G205" s="4" t="str">
        <f>LOOKUP($E205,OBRAS!$D:$D,OBRAS!E:E)</f>
        <v>C-00093/0004</v>
      </c>
      <c r="H205" s="80" t="s">
        <v>626</v>
      </c>
      <c r="I205" s="6">
        <v>1450105.09</v>
      </c>
      <c r="J205" s="6"/>
      <c r="K205" s="6">
        <v>580042.04</v>
      </c>
      <c r="L205" s="6">
        <f t="shared" si="43"/>
        <v>870063.05</v>
      </c>
      <c r="M205" s="6">
        <f t="shared" si="44"/>
        <v>139210.09</v>
      </c>
      <c r="N205" s="6">
        <f t="shared" si="45"/>
        <v>1009273.14</v>
      </c>
      <c r="O205" s="6">
        <f t="shared" si="50"/>
        <v>7250.53</v>
      </c>
      <c r="P205" s="6">
        <f t="shared" si="46"/>
        <v>1002022.61</v>
      </c>
      <c r="Q205" s="4" t="str">
        <f>LOOKUP($E205,OBRAS!$D:$D,OBRAS!B:B)</f>
        <v>GYCR SOLUCIONES INTEGRALES PARA LA CONSTRUCCION, S.A. DE C.V.</v>
      </c>
      <c r="R205" s="4" t="str">
        <f>LOOKUP($E205,OBRAS!$D:$D,OBRAS!A:A)</f>
        <v>HERMOSILLO</v>
      </c>
      <c r="S205" s="4" t="str">
        <f>LOOKUP($E205,OBRAS!$D:$D,OBRAS!F:F)</f>
        <v>11000002002202E406K17104A622202155GL07</v>
      </c>
      <c r="T205" s="4" t="str">
        <f>LOOKUP($E205,OBRAS!$D:$D,OBRAS!G:G)</f>
        <v>LO-926006995-N12-2015</v>
      </c>
      <c r="U205" s="7" t="s">
        <v>863</v>
      </c>
      <c r="V205" s="89">
        <v>42633</v>
      </c>
      <c r="W205" s="6">
        <f>LOOKUP($E205,OBRAS!$D:$D,OBRAS!K:K)</f>
        <v>53569288.82</v>
      </c>
      <c r="X205" s="109">
        <f t="shared" si="48"/>
        <v>3.1399999999999997E-2</v>
      </c>
      <c r="Y205" s="109">
        <f t="shared" si="51"/>
        <v>0.85470000000000002</v>
      </c>
      <c r="Z205" s="109">
        <f t="shared" si="49"/>
        <v>0.55269999999999997</v>
      </c>
      <c r="AA205" s="4" t="str">
        <f>LOOKUP($E205,OBRAS!$D:$D,OBRAS!H:H)</f>
        <v>SH-NC-16-R-003</v>
      </c>
    </row>
    <row r="206" spans="2:27" ht="45" x14ac:dyDescent="0.25">
      <c r="B206" s="56">
        <v>2124</v>
      </c>
      <c r="C206" s="49">
        <v>204</v>
      </c>
      <c r="D206" s="4" t="str">
        <f>LOOKUP($E206,OBRAS!$D:$D,OBRAS!C:C)</f>
        <v>SUPERVISION EXTERNA Y CONTROL DE CALIDAD DE CONSTRUCCION DE LA BODEGA DE EVIDENCIAS DEL DISTRITO DE HERMOSILLO, PRIMERA ETAPA</v>
      </c>
      <c r="E206" s="4" t="s">
        <v>628</v>
      </c>
      <c r="F206" s="4"/>
      <c r="G206" s="4" t="str">
        <f>LOOKUP($E206,OBRAS!$D:$D,OBRAS!E:E)</f>
        <v>C-00098/0016-7</v>
      </c>
      <c r="H206" s="80" t="s">
        <v>103</v>
      </c>
      <c r="I206" s="6">
        <v>53408.25</v>
      </c>
      <c r="J206" s="6"/>
      <c r="K206" s="6">
        <v>0</v>
      </c>
      <c r="L206" s="6">
        <f t="shared" si="43"/>
        <v>53408.25</v>
      </c>
      <c r="M206" s="6">
        <f t="shared" si="44"/>
        <v>8545.32</v>
      </c>
      <c r="N206" s="6">
        <f t="shared" si="45"/>
        <v>61953.57</v>
      </c>
      <c r="O206" s="6">
        <v>154.88</v>
      </c>
      <c r="P206" s="6">
        <f t="shared" si="46"/>
        <v>61798.69</v>
      </c>
      <c r="Q206" s="4" t="str">
        <f>LOOKUP($E206,OBRAS!$D:$D,OBRAS!B:B)</f>
        <v>GYS CONSTRUCTORES S.A. DE C.V.</v>
      </c>
      <c r="R206" s="4" t="str">
        <f>LOOKUP($E206,OBRAS!$D:$D,OBRAS!A:A)</f>
        <v>HERMOSILLO</v>
      </c>
      <c r="S206" s="4" t="str">
        <f>LOOKUP($E206,OBRAS!$D:$D,OBRAS!F:F)</f>
        <v>11000002002207E201K02104A622212161A013</v>
      </c>
      <c r="T206" s="4" t="str">
        <f>LOOKUP($E206,OBRAS!$D:$D,OBRAS!G:G)</f>
        <v>ADJUDICACIÓN DIRECTA</v>
      </c>
      <c r="U206" s="4" t="s">
        <v>863</v>
      </c>
      <c r="V206" s="89">
        <v>42573</v>
      </c>
      <c r="W206" s="6">
        <f>LOOKUP($E206,OBRAS!$D:$D,OBRAS!K:K)</f>
        <v>247814.28</v>
      </c>
      <c r="X206" s="109">
        <f t="shared" si="48"/>
        <v>0.25</v>
      </c>
      <c r="Y206" s="109">
        <f t="shared" si="51"/>
        <v>1</v>
      </c>
      <c r="Z206" s="109">
        <f t="shared" si="49"/>
        <v>1</v>
      </c>
      <c r="AA206" s="4" t="str">
        <f>LOOKUP($E206,OBRAS!$D:$D,OBRAS!H:H)</f>
        <v>SH-ED-16-011</v>
      </c>
    </row>
    <row r="207" spans="2:27" ht="30" x14ac:dyDescent="0.25">
      <c r="B207" s="56">
        <v>2201</v>
      </c>
      <c r="C207" s="49">
        <v>205</v>
      </c>
      <c r="D207" s="4" t="str">
        <f>LOOKUP($E207,OBRAS!$D:$D,OBRAS!C:C)</f>
        <v>REMODELACION DE BIBLIOTECA EN UNIDAD NAVOJOA CAMPUS SUR EN NAVOJOA(ITSON)</v>
      </c>
      <c r="E207" s="4" t="s">
        <v>637</v>
      </c>
      <c r="F207" s="4" t="s">
        <v>400</v>
      </c>
      <c r="G207" s="4" t="str">
        <f>LOOKUP($E207,OBRAS!$D:$D,OBRAS!E:E)</f>
        <v>C-00064/0039</v>
      </c>
      <c r="H207" s="80" t="s">
        <v>221</v>
      </c>
      <c r="I207" s="6">
        <v>1390055.61</v>
      </c>
      <c r="J207" s="6"/>
      <c r="K207" s="6">
        <v>554554.93999999994</v>
      </c>
      <c r="L207" s="6">
        <f t="shared" si="43"/>
        <v>835500.67</v>
      </c>
      <c r="M207" s="6">
        <f t="shared" si="44"/>
        <v>133680.10999999999</v>
      </c>
      <c r="N207" s="6">
        <f t="shared" si="45"/>
        <v>969180.78</v>
      </c>
      <c r="O207" s="6">
        <f>ROUND(I207*0.005,2)</f>
        <v>6950.28</v>
      </c>
      <c r="P207" s="6">
        <f t="shared" si="46"/>
        <v>962230.5</v>
      </c>
      <c r="Q207" s="4" t="str">
        <f>LOOKUP($E207,OBRAS!$D:$D,OBRAS!B:B)</f>
        <v>HEMONT CONSTRUCTORA S.A. DE C.V.</v>
      </c>
      <c r="R207" s="4" t="str">
        <f>LOOKUP($E207,OBRAS!$D:$D,OBRAS!A:A)</f>
        <v>NAVOJOA</v>
      </c>
      <c r="S207" s="4" t="str">
        <f>LOOKUP($E207,OBRAS!$D:$D,OBRAS!F:F)</f>
        <v>11000002002503E404K03105N612172161A012</v>
      </c>
      <c r="T207" s="4">
        <f>LOOKUP($E207,OBRAS!$D:$D,OBRAS!G:G)</f>
        <v>0</v>
      </c>
      <c r="U207" s="4" t="s">
        <v>863</v>
      </c>
      <c r="V207" s="89">
        <v>42632</v>
      </c>
      <c r="W207" s="6">
        <f>LOOKUP($E207,OBRAS!$D:$D,OBRAS!K:K)</f>
        <v>7588548.3700000001</v>
      </c>
      <c r="X207" s="109">
        <f t="shared" si="48"/>
        <v>0.21249999999999999</v>
      </c>
      <c r="Y207" s="109">
        <f t="shared" si="51"/>
        <v>0.21249999999999999</v>
      </c>
      <c r="Z207" s="109">
        <f t="shared" si="49"/>
        <v>0.12770000000000001</v>
      </c>
      <c r="AA207" s="4" t="str">
        <f>LOOKUP($E207,OBRAS!$D:$D,OBRAS!H:H)</f>
        <v>SH-ED-16-080</v>
      </c>
    </row>
    <row r="208" spans="2:27" ht="45" x14ac:dyDescent="0.25">
      <c r="B208" s="56">
        <v>2202</v>
      </c>
      <c r="C208" s="49">
        <v>206</v>
      </c>
      <c r="D208" s="4" t="str">
        <f>LOOKUP($E208,OBRAS!$D:$D,OBRAS!C:C)</f>
        <v>CONSTRUCCION DE CANCHA DE HANDBALL UNIDAD NAVOJOA CAMPUS SUR, EN NAVOJOA (ITSON)</v>
      </c>
      <c r="E208" s="4" t="s">
        <v>641</v>
      </c>
      <c r="F208" s="4" t="s">
        <v>400</v>
      </c>
      <c r="G208" s="4" t="str">
        <f>LOOKUP($E208,OBRAS!$D:$D,OBRAS!E:E)</f>
        <v>C-00064/0040</v>
      </c>
      <c r="H208" s="80" t="s">
        <v>221</v>
      </c>
      <c r="I208" s="6">
        <v>301679.75</v>
      </c>
      <c r="J208" s="6"/>
      <c r="K208" s="6">
        <v>163426.73000000001</v>
      </c>
      <c r="L208" s="6">
        <f t="shared" si="43"/>
        <v>138253.01999999999</v>
      </c>
      <c r="M208" s="6">
        <f t="shared" si="44"/>
        <v>22120.48</v>
      </c>
      <c r="N208" s="6">
        <f t="shared" si="45"/>
        <v>160373.5</v>
      </c>
      <c r="O208" s="6">
        <f>ROUND(I208*0.005,2)</f>
        <v>1508.4</v>
      </c>
      <c r="P208" s="6">
        <f t="shared" si="46"/>
        <v>158865.1</v>
      </c>
      <c r="Q208" s="4" t="str">
        <f>LOOKUP($E208,OBRAS!$D:$D,OBRAS!B:B)</f>
        <v>HEMONT CONSTRUCTORA S.A. DE C.V.</v>
      </c>
      <c r="R208" s="4" t="str">
        <f>LOOKUP($E208,OBRAS!$D:$D,OBRAS!A:A)</f>
        <v>NAVOJOA</v>
      </c>
      <c r="S208" s="4" t="str">
        <f>LOOKUP($E208,OBRAS!$D:$D,OBRAS!F:F)</f>
        <v>11000002002503E404K03105N612172161A012</v>
      </c>
      <c r="T208" s="4">
        <f>LOOKUP($E208,OBRAS!$D:$D,OBRAS!G:G)</f>
        <v>0</v>
      </c>
      <c r="U208" s="4" t="s">
        <v>863</v>
      </c>
      <c r="V208" s="89">
        <v>42664</v>
      </c>
      <c r="W208" s="6">
        <f>LOOKUP($E208,OBRAS!$D:$D,OBRAS!K:K)</f>
        <v>7588548.3700000001</v>
      </c>
      <c r="X208" s="109">
        <f t="shared" si="48"/>
        <v>4.6100000000000002E-2</v>
      </c>
      <c r="Y208" s="109">
        <f t="shared" si="51"/>
        <v>4.6100000000000002E-2</v>
      </c>
      <c r="Z208" s="109">
        <f t="shared" si="49"/>
        <v>2.1100000000000001E-2</v>
      </c>
      <c r="AA208" s="4" t="str">
        <f>LOOKUP($E208,OBRAS!$D:$D,OBRAS!H:H)</f>
        <v>SH-ED-16-080</v>
      </c>
    </row>
    <row r="209" spans="2:27" ht="45" x14ac:dyDescent="0.25">
      <c r="B209" s="56">
        <v>2203</v>
      </c>
      <c r="C209" s="49">
        <v>207</v>
      </c>
      <c r="D209" s="4" t="str">
        <f>LOOKUP($E209,OBRAS!$D:$D,OBRAS!C:C)</f>
        <v>SUMINISTRO E INSTALACION DE PASTO ARTIFICIAL PARA CANCHA DE FUTBOL SOCCER EN UNIDAD NAVOJOA CAMPUS SUR (ITSON)</v>
      </c>
      <c r="E209" s="4" t="s">
        <v>642</v>
      </c>
      <c r="F209" s="4" t="s">
        <v>400</v>
      </c>
      <c r="G209" s="4" t="str">
        <f>LOOKUP($E209,OBRAS!$D:$D,OBRAS!E:E)</f>
        <v>C-00064/0041</v>
      </c>
      <c r="H209" s="80" t="s">
        <v>221</v>
      </c>
      <c r="I209" s="6">
        <v>1982169</v>
      </c>
      <c r="J209" s="6"/>
      <c r="K209" s="6">
        <v>769181.65</v>
      </c>
      <c r="L209" s="6">
        <f t="shared" si="43"/>
        <v>1212987.3500000001</v>
      </c>
      <c r="M209" s="6">
        <f t="shared" si="44"/>
        <v>194077.98</v>
      </c>
      <c r="N209" s="6">
        <f t="shared" si="45"/>
        <v>1407065.33</v>
      </c>
      <c r="O209" s="6">
        <f>ROUND(I209*0.005,2)</f>
        <v>9910.85</v>
      </c>
      <c r="P209" s="6">
        <f t="shared" si="46"/>
        <v>1397154.48</v>
      </c>
      <c r="Q209" s="4" t="str">
        <f>LOOKUP($E209,OBRAS!$D:$D,OBRAS!B:B)</f>
        <v>HEMONT CONSTRUCTORA S.A. DE C.V.</v>
      </c>
      <c r="R209" s="4" t="str">
        <f>LOOKUP($E209,OBRAS!$D:$D,OBRAS!A:A)</f>
        <v>NAVOJOA</v>
      </c>
      <c r="S209" s="4" t="str">
        <f>LOOKUP($E209,OBRAS!$D:$D,OBRAS!F:F)</f>
        <v>11000002002503E404K03105N612172161A012</v>
      </c>
      <c r="T209" s="4">
        <f>LOOKUP($E209,OBRAS!$D:$D,OBRAS!G:G)</f>
        <v>0</v>
      </c>
      <c r="U209" s="4" t="s">
        <v>863</v>
      </c>
      <c r="V209" s="89">
        <v>42583</v>
      </c>
      <c r="W209" s="6">
        <f>LOOKUP($E209,OBRAS!$D:$D,OBRAS!K:K)</f>
        <v>7588548.3700000001</v>
      </c>
      <c r="X209" s="109">
        <f t="shared" si="48"/>
        <v>0.30299999999999999</v>
      </c>
      <c r="Y209" s="109">
        <f t="shared" si="51"/>
        <v>0.30299999999999999</v>
      </c>
      <c r="Z209" s="109">
        <f t="shared" si="49"/>
        <v>0.18540000000000001</v>
      </c>
      <c r="AA209" s="4" t="str">
        <f>LOOKUP($E209,OBRAS!$D:$D,OBRAS!H:H)</f>
        <v>SH-ED-16-080</v>
      </c>
    </row>
    <row r="210" spans="2:27" ht="60" x14ac:dyDescent="0.25">
      <c r="B210" s="56">
        <v>2204</v>
      </c>
      <c r="C210" s="49">
        <v>208</v>
      </c>
      <c r="D210" s="4" t="str">
        <f>LOOKUP($E210,OBRAS!$D:$D,OBRAS!C:C)</f>
        <v>VERIFICACION DE INSTALACIONES ELECTRICAS EN LA  REHABILITACION DE EDIFICIO PARA ALBERGAR JUZGADO DE ORALIDAD PENAL CON SEDE EN SAN LUIS RIO COLORADO</v>
      </c>
      <c r="E210" s="4" t="s">
        <v>648</v>
      </c>
      <c r="F210" s="4"/>
      <c r="G210" s="4" t="str">
        <f>LOOKUP($E210,OBRAS!$D:$D,OBRAS!E:E)</f>
        <v>C-00098/0016-1</v>
      </c>
      <c r="H210" s="80" t="s">
        <v>103</v>
      </c>
      <c r="I210" s="6">
        <v>18142.23</v>
      </c>
      <c r="J210" s="6"/>
      <c r="K210" s="6"/>
      <c r="L210" s="6">
        <f t="shared" si="43"/>
        <v>18142.23</v>
      </c>
      <c r="M210" s="6">
        <f t="shared" si="44"/>
        <v>2902.76</v>
      </c>
      <c r="N210" s="6">
        <f t="shared" si="45"/>
        <v>21044.99</v>
      </c>
      <c r="O210" s="6">
        <v>52.6</v>
      </c>
      <c r="P210" s="6">
        <f t="shared" si="46"/>
        <v>20992.39</v>
      </c>
      <c r="Q210" s="4" t="str">
        <f>LOOKUP($E210,OBRAS!$D:$D,OBRAS!B:B)</f>
        <v>ING. MARIANO HOYOS ARVIZU</v>
      </c>
      <c r="R210" s="4" t="str">
        <f>LOOKUP($E210,OBRAS!$D:$D,OBRAS!A:A)</f>
        <v>S.L.R.C.</v>
      </c>
      <c r="S210" s="4" t="str">
        <f>LOOKUP($E210,OBRAS!$D:$D,OBRAS!F:F)</f>
        <v>11000002002207E201K02104A622212161A013</v>
      </c>
      <c r="T210" s="4" t="str">
        <f>LOOKUP($E210,OBRAS!$D:$D,OBRAS!G:G)</f>
        <v>ADJUDICACIÓN DIRECTA</v>
      </c>
      <c r="U210" s="4" t="s">
        <v>863</v>
      </c>
      <c r="V210" s="89">
        <v>42662</v>
      </c>
      <c r="W210" s="6">
        <f>LOOKUP($E210,OBRAS!$D:$D,OBRAS!K:K)</f>
        <v>36659</v>
      </c>
      <c r="X210" s="109">
        <f t="shared" si="48"/>
        <v>0.57410000000000005</v>
      </c>
      <c r="Y210" s="109">
        <f t="shared" si="51"/>
        <v>1.0001</v>
      </c>
      <c r="Z210" s="109">
        <f t="shared" si="49"/>
        <v>1</v>
      </c>
      <c r="AA210" s="4" t="str">
        <f>LOOKUP($E210,OBRAS!$D:$D,OBRAS!H:H)</f>
        <v>SH-ED-16-011</v>
      </c>
    </row>
    <row r="211" spans="2:27" ht="60" x14ac:dyDescent="0.25">
      <c r="B211" s="56">
        <v>2205</v>
      </c>
      <c r="C211" s="49">
        <v>209</v>
      </c>
      <c r="D211" s="4" t="str">
        <f>LOOKUP($E211,OBRAS!$D:$D,OBRAS!C:C)</f>
        <v>VERIFICACION DE INSTALACIONES ELECTRICAS DE LA CONSTRUCCION Y REMODELACION DEL CENTRO DE ATENCION TEMPRANA EN EL DISTRITO DE SAN LUIS RIO COLORADO</v>
      </c>
      <c r="E211" s="4" t="s">
        <v>651</v>
      </c>
      <c r="F211" s="4"/>
      <c r="G211" s="4" t="str">
        <f>LOOKUP($E211,OBRAS!$D:$D,OBRAS!E:E)</f>
        <v>C-00098/0016-2</v>
      </c>
      <c r="H211" s="80" t="s">
        <v>103</v>
      </c>
      <c r="I211" s="6">
        <v>33120.25</v>
      </c>
      <c r="J211" s="6"/>
      <c r="K211" s="6"/>
      <c r="L211" s="6">
        <f t="shared" si="43"/>
        <v>33120.25</v>
      </c>
      <c r="M211" s="6">
        <f t="shared" si="44"/>
        <v>5299.24</v>
      </c>
      <c r="N211" s="6">
        <f t="shared" si="45"/>
        <v>38419.49</v>
      </c>
      <c r="O211" s="6">
        <v>96.06</v>
      </c>
      <c r="P211" s="6">
        <f t="shared" si="46"/>
        <v>38323.43</v>
      </c>
      <c r="Q211" s="4" t="str">
        <f>LOOKUP($E211,OBRAS!$D:$D,OBRAS!B:B)</f>
        <v>ING. MARIANO HOYOS ARVIZU</v>
      </c>
      <c r="R211" s="4" t="str">
        <f>LOOKUP($E211,OBRAS!$D:$D,OBRAS!A:A)</f>
        <v>S.L.R.C.</v>
      </c>
      <c r="S211" s="4" t="str">
        <f>LOOKUP($E211,OBRAS!$D:$D,OBRAS!F:F)</f>
        <v>11000002002207E201K02104A622212161A013</v>
      </c>
      <c r="T211" s="4" t="str">
        <f>LOOKUP($E211,OBRAS!$D:$D,OBRAS!G:G)</f>
        <v>ADJUDICACIÓN DIRECTA</v>
      </c>
      <c r="U211" s="4" t="s">
        <v>863</v>
      </c>
      <c r="V211" s="89">
        <v>42632</v>
      </c>
      <c r="W211" s="6">
        <f>LOOKUP($E211,OBRAS!$D:$D,OBRAS!K:K)</f>
        <v>72670</v>
      </c>
      <c r="X211" s="109">
        <f t="shared" si="48"/>
        <v>0.52869999999999995</v>
      </c>
      <c r="Y211" s="109">
        <f t="shared" si="51"/>
        <v>1</v>
      </c>
      <c r="Z211" s="109">
        <f t="shared" si="49"/>
        <v>1</v>
      </c>
      <c r="AA211" s="4" t="str">
        <f>LOOKUP($E211,OBRAS!$D:$D,OBRAS!H:H)</f>
        <v>SH-ED-16-011</v>
      </c>
    </row>
    <row r="212" spans="2:27" ht="60" x14ac:dyDescent="0.25">
      <c r="B212" s="56">
        <v>2206</v>
      </c>
      <c r="C212" s="49">
        <v>210</v>
      </c>
      <c r="D212" s="4" t="str">
        <f>LOOKUP($E212,OBRAS!$D:$D,OBRAS!C:C)</f>
        <v>VERIFICACION DE INSTALACIONES ELECTRICAS DE LA AMPLIACION DE EDIFICIO PARA ALBERGAR JUZGADO DE ORALIDAD PENAL CON SEDE EN CABORCA</v>
      </c>
      <c r="E212" s="4" t="s">
        <v>655</v>
      </c>
      <c r="F212" s="4"/>
      <c r="G212" s="4" t="str">
        <f>LOOKUP($E212,OBRAS!$D:$D,OBRAS!E:E)</f>
        <v>C-00098/0016-3</v>
      </c>
      <c r="H212" s="80" t="s">
        <v>103</v>
      </c>
      <c r="I212" s="6">
        <v>24767.24</v>
      </c>
      <c r="J212" s="6"/>
      <c r="K212" s="6"/>
      <c r="L212" s="6">
        <f t="shared" si="43"/>
        <v>24767.24</v>
      </c>
      <c r="M212" s="6">
        <f t="shared" si="44"/>
        <v>3962.76</v>
      </c>
      <c r="N212" s="6">
        <f t="shared" si="45"/>
        <v>28730</v>
      </c>
      <c r="O212" s="6">
        <v>71.819999999999993</v>
      </c>
      <c r="P212" s="6">
        <f t="shared" si="46"/>
        <v>28658.18</v>
      </c>
      <c r="Q212" s="4" t="str">
        <f>LOOKUP($E212,OBRAS!$D:$D,OBRAS!B:B)</f>
        <v>ING. MARIANO HOYOS ARVIZU</v>
      </c>
      <c r="R212" s="4" t="str">
        <f>LOOKUP($E212,OBRAS!$D:$D,OBRAS!A:A)</f>
        <v>CABORCA</v>
      </c>
      <c r="S212" s="4" t="str">
        <f>LOOKUP($E212,OBRAS!$D:$D,OBRAS!F:F)</f>
        <v>11000002002207E201K02104A622212161A013</v>
      </c>
      <c r="T212" s="4" t="str">
        <f>LOOKUP($E212,OBRAS!$D:$D,OBRAS!G:G)</f>
        <v>ADJUDICACIÓN DIRECTA</v>
      </c>
      <c r="U212" s="4" t="s">
        <v>863</v>
      </c>
      <c r="V212" s="89">
        <v>42664</v>
      </c>
      <c r="W212" s="6">
        <f>LOOKUP($E212,OBRAS!$D:$D,OBRAS!K:K)</f>
        <v>57460</v>
      </c>
      <c r="X212" s="109">
        <f t="shared" si="48"/>
        <v>0.5</v>
      </c>
      <c r="Y212" s="109">
        <f t="shared" si="51"/>
        <v>1</v>
      </c>
      <c r="Z212" s="109">
        <f t="shared" si="49"/>
        <v>1</v>
      </c>
      <c r="AA212" s="4" t="str">
        <f>LOOKUP($E212,OBRAS!$D:$D,OBRAS!H:H)</f>
        <v>SH-ED-16-011</v>
      </c>
    </row>
    <row r="213" spans="2:27" ht="60" x14ac:dyDescent="0.25">
      <c r="B213" s="56">
        <v>2207</v>
      </c>
      <c r="C213" s="49">
        <v>211</v>
      </c>
      <c r="D213" s="4" t="str">
        <f>LOOKUP($E213,OBRAS!$D:$D,OBRAS!C:C)</f>
        <v>VERIFICACION DE INSTALACIONES ELECTRICAS DE LA CONTRUCCION DE CENTRO DE ATENCION TEMPRANA EN EL DISTRITO DE ALTAR CON SEDE EN CABORCA.</v>
      </c>
      <c r="E213" s="4" t="s">
        <v>658</v>
      </c>
      <c r="F213" s="4"/>
      <c r="G213" s="4" t="str">
        <f>LOOKUP($E213,OBRAS!$D:$D,OBRAS!E:E)</f>
        <v>C-00098/0016-4</v>
      </c>
      <c r="H213" s="80" t="s">
        <v>103</v>
      </c>
      <c r="I213" s="6">
        <v>19163.79</v>
      </c>
      <c r="J213" s="6"/>
      <c r="K213" s="6"/>
      <c r="L213" s="6">
        <f t="shared" si="43"/>
        <v>19163.79</v>
      </c>
      <c r="M213" s="6">
        <f t="shared" si="44"/>
        <v>3066.21</v>
      </c>
      <c r="N213" s="6">
        <f t="shared" si="45"/>
        <v>22230</v>
      </c>
      <c r="O213" s="6">
        <v>55.58</v>
      </c>
      <c r="P213" s="6">
        <f t="shared" si="46"/>
        <v>22174.42</v>
      </c>
      <c r="Q213" s="4" t="str">
        <f>LOOKUP($E213,OBRAS!$D:$D,OBRAS!B:B)</f>
        <v>ING. MARIANO HOYOS ARVIZU</v>
      </c>
      <c r="R213" s="4" t="str">
        <f>LOOKUP($E213,OBRAS!$D:$D,OBRAS!A:A)</f>
        <v>CABORCA</v>
      </c>
      <c r="S213" s="4" t="str">
        <f>LOOKUP($E213,OBRAS!$D:$D,OBRAS!F:F)</f>
        <v>11000002002207E201K02104A622212161A013</v>
      </c>
      <c r="T213" s="4" t="str">
        <f>LOOKUP($E213,OBRAS!$D:$D,OBRAS!G:G)</f>
        <v>ADJUDICACIÓN DIRECTA</v>
      </c>
      <c r="U213" s="4" t="s">
        <v>863</v>
      </c>
      <c r="V213" s="89">
        <v>42697</v>
      </c>
      <c r="W213" s="6">
        <f>LOOKUP($E213,OBRAS!$D:$D,OBRAS!K:K)</f>
        <v>44459.99</v>
      </c>
      <c r="X213" s="109">
        <f t="shared" si="48"/>
        <v>0.5</v>
      </c>
      <c r="Y213" s="109">
        <f t="shared" si="51"/>
        <v>1</v>
      </c>
      <c r="Z213" s="109">
        <f t="shared" si="49"/>
        <v>1</v>
      </c>
      <c r="AA213" s="4" t="str">
        <f>LOOKUP($E213,OBRAS!$D:$D,OBRAS!H:H)</f>
        <v>SH-ED-16-011</v>
      </c>
    </row>
    <row r="214" spans="2:27" ht="45" x14ac:dyDescent="0.25">
      <c r="B214" s="56">
        <v>2208</v>
      </c>
      <c r="C214" s="49">
        <v>212</v>
      </c>
      <c r="D214" s="4" t="str">
        <f>LOOKUP($E214,OBRAS!$D:$D,OBRAS!C:C)</f>
        <v>VERIFICACION DE INSTALACIONES ELECTRICAS EN LA CONSTRUCCION DE EDIFICIO PARA ALBERGAR EL JUZGADO DE ORALIDAD PENAL DE GUAYMAS</v>
      </c>
      <c r="E214" s="4" t="s">
        <v>661</v>
      </c>
      <c r="F214" s="4"/>
      <c r="G214" s="4" t="str">
        <f>LOOKUP($E214,OBRAS!$D:$D,OBRAS!E:E)</f>
        <v>C-00098/0016-8</v>
      </c>
      <c r="H214" s="80" t="s">
        <v>103</v>
      </c>
      <c r="I214" s="6">
        <v>24767.24</v>
      </c>
      <c r="J214" s="6"/>
      <c r="K214" s="6"/>
      <c r="L214" s="6">
        <f t="shared" si="43"/>
        <v>24767.24</v>
      </c>
      <c r="M214" s="6">
        <f t="shared" si="44"/>
        <v>3962.76</v>
      </c>
      <c r="N214" s="6">
        <f t="shared" si="45"/>
        <v>28730</v>
      </c>
      <c r="O214" s="6">
        <v>71.819999999999993</v>
      </c>
      <c r="P214" s="6">
        <f t="shared" si="46"/>
        <v>28658.18</v>
      </c>
      <c r="Q214" s="4" t="str">
        <f>LOOKUP($E214,OBRAS!$D:$D,OBRAS!B:B)</f>
        <v>ING. MARIANO HOYOS ARVIZU</v>
      </c>
      <c r="R214" s="4" t="str">
        <f>LOOKUP($E214,OBRAS!$D:$D,OBRAS!A:A)</f>
        <v>GUAYMAS</v>
      </c>
      <c r="S214" s="4" t="str">
        <f>LOOKUP($E214,OBRAS!$D:$D,OBRAS!F:F)</f>
        <v>11000002002207E201K02104A622212161A013</v>
      </c>
      <c r="T214" s="4" t="str">
        <f>LOOKUP($E214,OBRAS!$D:$D,OBRAS!G:G)</f>
        <v>ADJUDICACIÓN DIRECTA</v>
      </c>
      <c r="U214" s="4" t="s">
        <v>863</v>
      </c>
      <c r="V214" s="89">
        <v>42632</v>
      </c>
      <c r="W214" s="6">
        <f>LOOKUP($E214,OBRAS!$D:$D,OBRAS!K:K)</f>
        <v>57460</v>
      </c>
      <c r="X214" s="109">
        <f t="shared" si="48"/>
        <v>0.5</v>
      </c>
      <c r="Y214" s="109">
        <f t="shared" si="51"/>
        <v>0.5</v>
      </c>
      <c r="Z214" s="109">
        <f t="shared" si="49"/>
        <v>0.5</v>
      </c>
      <c r="AA214" s="4" t="str">
        <f>LOOKUP($E214,OBRAS!$D:$D,OBRAS!H:H)</f>
        <v>SH-ED-16-011</v>
      </c>
    </row>
    <row r="215" spans="2:27" ht="45" x14ac:dyDescent="0.25">
      <c r="B215" s="56">
        <v>2209</v>
      </c>
      <c r="C215" s="49">
        <v>213</v>
      </c>
      <c r="D215" s="4" t="str">
        <f>LOOKUP($E215,OBRAS!$D:$D,OBRAS!C:C)</f>
        <v>VERIFICACION DE INSTALACIONES ELECTRICAS DE LA CONSTRUCCION DE CENTRO DE ATENCION TEMPRANA EN EL DISTRITO DE GUAYMAS</v>
      </c>
      <c r="E215" s="4" t="s">
        <v>664</v>
      </c>
      <c r="F215" s="4"/>
      <c r="G215" s="4" t="str">
        <f>LOOKUP($E215,OBRAS!$D:$D,OBRAS!E:E)</f>
        <v>C-00098/0016-9</v>
      </c>
      <c r="H215" s="80" t="s">
        <v>103</v>
      </c>
      <c r="I215" s="6">
        <v>31547.41</v>
      </c>
      <c r="J215" s="6"/>
      <c r="K215" s="6"/>
      <c r="L215" s="6">
        <f t="shared" si="43"/>
        <v>31547.41</v>
      </c>
      <c r="M215" s="6">
        <f t="shared" si="44"/>
        <v>5047.59</v>
      </c>
      <c r="N215" s="6">
        <f t="shared" si="45"/>
        <v>36595</v>
      </c>
      <c r="O215" s="6">
        <v>91.47</v>
      </c>
      <c r="P215" s="6">
        <f t="shared" si="46"/>
        <v>36503.53</v>
      </c>
      <c r="Q215" s="4" t="str">
        <f>LOOKUP($E215,OBRAS!$D:$D,OBRAS!B:B)</f>
        <v>ING. MARIANO HOYOS ARVIZU</v>
      </c>
      <c r="R215" s="4" t="str">
        <f>LOOKUP($E215,OBRAS!$D:$D,OBRAS!A:A)</f>
        <v>GUAYMAS</v>
      </c>
      <c r="S215" s="4" t="str">
        <f>LOOKUP($E215,OBRAS!$D:$D,OBRAS!F:F)</f>
        <v>11000002002207E201K02104A622212161A013</v>
      </c>
      <c r="T215" s="4" t="str">
        <f>LOOKUP($E215,OBRAS!$D:$D,OBRAS!G:G)</f>
        <v>ADJUDICACIÓN DIRECTA</v>
      </c>
      <c r="U215" s="4" t="s">
        <v>863</v>
      </c>
      <c r="V215" s="89">
        <v>42632</v>
      </c>
      <c r="W215" s="6">
        <f>LOOKUP($E215,OBRAS!$D:$D,OBRAS!K:K)</f>
        <v>73189.990000000005</v>
      </c>
      <c r="X215" s="109">
        <f t="shared" si="48"/>
        <v>0.5</v>
      </c>
      <c r="Y215" s="109">
        <f t="shared" si="51"/>
        <v>0.5</v>
      </c>
      <c r="Z215" s="109">
        <f t="shared" si="49"/>
        <v>0.5</v>
      </c>
      <c r="AA215" s="4" t="str">
        <f>LOOKUP($E215,OBRAS!$D:$D,OBRAS!H:H)</f>
        <v>SH-ED-16-011</v>
      </c>
    </row>
    <row r="216" spans="2:27" ht="60" x14ac:dyDescent="0.25">
      <c r="B216" s="56">
        <v>2210</v>
      </c>
      <c r="C216" s="49">
        <v>214</v>
      </c>
      <c r="D216" s="4" t="str">
        <f>LOOKUP($E216,OBRAS!$D:$D,OBRAS!C:C)</f>
        <v>VERIFICACION DE INSTALACIONES ELECTRICAS DE LA CONSTRUCCION DEL EDIFICIO PARA ALBERGAR EL JUZGADO DE ORALIDAD PENAL CON SEDE EN CIUDAD OBREGON.</v>
      </c>
      <c r="E216" s="4" t="s">
        <v>667</v>
      </c>
      <c r="F216" s="4"/>
      <c r="G216" s="4" t="str">
        <f>LOOKUP($E216,OBRAS!$D:$D,OBRAS!E:E)</f>
        <v>C-00098/0016-14</v>
      </c>
      <c r="H216" s="80" t="s">
        <v>103</v>
      </c>
      <c r="I216" s="6">
        <v>111951.29</v>
      </c>
      <c r="J216" s="6"/>
      <c r="K216" s="6"/>
      <c r="L216" s="6">
        <f t="shared" ref="L216:L245" si="52">I216-K216</f>
        <v>111951.29</v>
      </c>
      <c r="M216" s="6">
        <f t="shared" si="44"/>
        <v>17912.21</v>
      </c>
      <c r="N216" s="6">
        <f t="shared" si="45"/>
        <v>129863.5</v>
      </c>
      <c r="O216" s="6">
        <v>324.67</v>
      </c>
      <c r="P216" s="6">
        <f t="shared" si="46"/>
        <v>129538.83</v>
      </c>
      <c r="Q216" s="4" t="str">
        <f>LOOKUP($E216,OBRAS!$D:$D,OBRAS!B:B)</f>
        <v>ING. MARIANO HOYOS ARVIZU</v>
      </c>
      <c r="R216" s="4" t="str">
        <f>LOOKUP($E216,OBRAS!$D:$D,OBRAS!A:A)</f>
        <v>CAJEME</v>
      </c>
      <c r="S216" s="4" t="str">
        <f>LOOKUP($E216,OBRAS!$D:$D,OBRAS!F:F)</f>
        <v>11000002002207E201K02104A622212161A013</v>
      </c>
      <c r="T216" s="4" t="str">
        <f>LOOKUP($E216,OBRAS!$D:$D,OBRAS!G:G)</f>
        <v>ADJUDICACIÓN DIRECTA</v>
      </c>
      <c r="U216" s="4" t="s">
        <v>863</v>
      </c>
      <c r="V216" s="89">
        <v>42632</v>
      </c>
      <c r="W216" s="6">
        <f>LOOKUP($E216,OBRAS!$D:$D,OBRAS!K:K)</f>
        <v>227629.99</v>
      </c>
      <c r="X216" s="109">
        <f t="shared" si="48"/>
        <v>0.57050000000000001</v>
      </c>
      <c r="Y216" s="109">
        <f t="shared" si="51"/>
        <v>0.57050000000000001</v>
      </c>
      <c r="Z216" s="109">
        <f t="shared" si="49"/>
        <v>0.57050000000000001</v>
      </c>
      <c r="AA216" s="4" t="str">
        <f>LOOKUP($E216,OBRAS!$D:$D,OBRAS!H:H)</f>
        <v>SH-ED-16-011</v>
      </c>
    </row>
    <row r="217" spans="2:27" ht="45" x14ac:dyDescent="0.25">
      <c r="B217" s="56">
        <v>2211</v>
      </c>
      <c r="C217" s="49">
        <v>215</v>
      </c>
      <c r="D217" s="4" t="str">
        <f>LOOKUP($E217,OBRAS!$D:$D,OBRAS!C:C)</f>
        <v>VERIFICACION DE INSTALACIONES ELECTRICAS DE LA CONSTRUCCION DE EDIFICIO PARA ALBERGAR EL JUZGADO DE ORALIDAD PENAL DE NOGALES.</v>
      </c>
      <c r="E217" s="4" t="s">
        <v>670</v>
      </c>
      <c r="F217" s="4"/>
      <c r="G217" s="4" t="str">
        <f>LOOKUP($E217,OBRAS!$D:$D,OBRAS!E:E)</f>
        <v>C-00098/0016-16</v>
      </c>
      <c r="H217" s="80" t="s">
        <v>103</v>
      </c>
      <c r="I217" s="6">
        <v>111951.29</v>
      </c>
      <c r="J217" s="6"/>
      <c r="K217" s="6"/>
      <c r="L217" s="6">
        <f t="shared" si="52"/>
        <v>111951.29</v>
      </c>
      <c r="M217" s="6">
        <f t="shared" si="44"/>
        <v>17912.21</v>
      </c>
      <c r="N217" s="6">
        <f t="shared" si="45"/>
        <v>129863.5</v>
      </c>
      <c r="O217" s="6">
        <v>324.67</v>
      </c>
      <c r="P217" s="6">
        <f t="shared" si="46"/>
        <v>129538.83</v>
      </c>
      <c r="Q217" s="4" t="str">
        <f>LOOKUP($E217,OBRAS!$D:$D,OBRAS!B:B)</f>
        <v>ING. MARIANO HOYOS ARVIZU</v>
      </c>
      <c r="R217" s="4" t="str">
        <f>LOOKUP($E217,OBRAS!$D:$D,OBRAS!A:A)</f>
        <v>NOGALES</v>
      </c>
      <c r="S217" s="4" t="str">
        <f>LOOKUP($E217,OBRAS!$D:$D,OBRAS!F:F)</f>
        <v>11000002002207E201K02104A622212161A013</v>
      </c>
      <c r="T217" s="4" t="str">
        <f>LOOKUP($E217,OBRAS!$D:$D,OBRAS!G:G)</f>
        <v>ADJUDICACIÓN DIRECTA</v>
      </c>
      <c r="U217" s="4" t="s">
        <v>863</v>
      </c>
      <c r="V217" s="89">
        <v>42591</v>
      </c>
      <c r="W217" s="6">
        <f>LOOKUP($E217,OBRAS!$D:$D,OBRAS!K:K)</f>
        <v>227629.99</v>
      </c>
      <c r="X217" s="109">
        <f t="shared" si="48"/>
        <v>0.57050000000000001</v>
      </c>
      <c r="Y217" s="109">
        <f t="shared" si="51"/>
        <v>0.57050000000000001</v>
      </c>
      <c r="Z217" s="109">
        <f t="shared" si="49"/>
        <v>0.57050000000000001</v>
      </c>
      <c r="AA217" s="4" t="str">
        <f>LOOKUP($E217,OBRAS!$D:$D,OBRAS!H:H)</f>
        <v>SH-ED-16-011</v>
      </c>
    </row>
    <row r="218" spans="2:27" ht="45" x14ac:dyDescent="0.25">
      <c r="B218" s="56">
        <v>2212</v>
      </c>
      <c r="C218" s="49">
        <v>216</v>
      </c>
      <c r="D218" s="4" t="str">
        <f>LOOKUP($E218,OBRAS!$D:$D,OBRAS!C:C)</f>
        <v>CONSTRUCCION DE CONSERVATORIO DE MUSICA FRAY IVO TONECK EN LA LOCALIDAD Y MUNICIPIO DE GUAYMAS, SONORA</v>
      </c>
      <c r="E218" s="4" t="s">
        <v>147</v>
      </c>
      <c r="F218" s="4" t="s">
        <v>248</v>
      </c>
      <c r="G218" s="4" t="str">
        <f>LOOKUP($E218,OBRAS!$D:$D,OBRAS!E:E)</f>
        <v>C-00093/0009</v>
      </c>
      <c r="H218" s="80" t="s">
        <v>15</v>
      </c>
      <c r="I218" s="6">
        <v>2309036.7000000002</v>
      </c>
      <c r="J218" s="6"/>
      <c r="K218" s="6">
        <v>923614.68</v>
      </c>
      <c r="L218" s="6">
        <f t="shared" si="52"/>
        <v>1385422.02</v>
      </c>
      <c r="M218" s="6">
        <f t="shared" si="44"/>
        <v>221667.52</v>
      </c>
      <c r="N218" s="6">
        <f t="shared" si="45"/>
        <v>1607089.54</v>
      </c>
      <c r="O218" s="6">
        <f>ROUND(I218*0.005,2)</f>
        <v>11545.18</v>
      </c>
      <c r="P218" s="6">
        <f t="shared" si="46"/>
        <v>1595544.36</v>
      </c>
      <c r="Q218" s="4" t="str">
        <f>LOOKUP($E218,OBRAS!$D:$D,OBRAS!B:B)</f>
        <v>EDIFICADORA CABO HARO, S.A. DE C.V.</v>
      </c>
      <c r="R218" s="4" t="str">
        <f>LOOKUP($E218,OBRAS!$D:$D,OBRAS!A:A)</f>
        <v>GUAYMAS</v>
      </c>
      <c r="S218" s="4" t="str">
        <f>LOOKUP($E218,OBRAS!$D:$D,OBRAS!F:F)</f>
        <v>11000002002402E406K06106A612012155GL10</v>
      </c>
      <c r="T218" s="4" t="str">
        <f>LOOKUP($E218,OBRAS!$D:$D,OBRAS!G:G)</f>
        <v>LO-926006995-N14-2015</v>
      </c>
      <c r="U218" s="4" t="s">
        <v>863</v>
      </c>
      <c r="V218" s="89">
        <v>42580</v>
      </c>
      <c r="W218" s="6">
        <f>LOOKUP($E218,OBRAS!$D:$D,OBRAS!K:K)</f>
        <v>17439154.870000001</v>
      </c>
      <c r="X218" s="109">
        <f t="shared" si="48"/>
        <v>0.15359999999999999</v>
      </c>
      <c r="Y218" s="109">
        <f t="shared" si="51"/>
        <v>1.1156999999999999</v>
      </c>
      <c r="Z218" s="109">
        <f t="shared" si="49"/>
        <v>0.7198</v>
      </c>
      <c r="AA218" s="4" t="str">
        <f>LOOKUP($E218,OBRAS!$D:$D,OBRAS!H:H)</f>
        <v>SH-NC-16-R-007</v>
      </c>
    </row>
    <row r="219" spans="2:27" ht="60" x14ac:dyDescent="0.25">
      <c r="B219" s="56">
        <v>2309</v>
      </c>
      <c r="C219" s="49">
        <v>217</v>
      </c>
      <c r="D219" s="4" t="str">
        <f>LOOKUP($E219,OBRAS!$D:$D,OBRAS!C:C)</f>
        <v>PROYECTO DE DESARROLLO TURISTICO PARA EL ESTADO DE SONORA( REHABILITACION DE PLAYA PUBLICA MIRAMAR) EN LA LOCALIDAD Y MUNICIPIO DE GUAYMAS, SONORA</v>
      </c>
      <c r="E219" s="4" t="s">
        <v>51</v>
      </c>
      <c r="F219" s="4" t="s">
        <v>248</v>
      </c>
      <c r="G219" s="4" t="str">
        <f>LOOKUP($E219,OBRAS!$D:$D,OBRAS!E:E)</f>
        <v>C-00053/0001</v>
      </c>
      <c r="H219" s="80" t="s">
        <v>215</v>
      </c>
      <c r="I219" s="6">
        <v>787041.58</v>
      </c>
      <c r="J219" s="6"/>
      <c r="K219" s="6">
        <v>314816.63</v>
      </c>
      <c r="L219" s="6">
        <f t="shared" si="52"/>
        <v>472224.95</v>
      </c>
      <c r="M219" s="6">
        <f t="shared" si="44"/>
        <v>75555.990000000005</v>
      </c>
      <c r="N219" s="6">
        <f t="shared" si="45"/>
        <v>547780.93999999994</v>
      </c>
      <c r="O219" s="6">
        <f>ROUND(I219*0.005,2)</f>
        <v>3935.21</v>
      </c>
      <c r="P219" s="6">
        <f t="shared" si="46"/>
        <v>543845.73</v>
      </c>
      <c r="Q219" s="4" t="str">
        <f>LOOKUP($E219,OBRAS!$D:$D,OBRAS!B:B)</f>
        <v>HEMONT CONSTRUCTORA S.A. DE C.V.</v>
      </c>
      <c r="R219" s="4" t="str">
        <f>LOOKUP($E219,OBRAS!$D:$D,OBRAS!A:A)</f>
        <v>GUAYMAS</v>
      </c>
      <c r="S219" s="4" t="str">
        <f>LOOKUP($E219,OBRAS!$D:$D,OBRAS!F:F)</f>
        <v>11000002003701E306K05101A612092161A010</v>
      </c>
      <c r="T219" s="4" t="str">
        <f>LOOKUP($E219,OBRAS!$D:$D,OBRAS!G:G)</f>
        <v>LO-926006995-N145-2014</v>
      </c>
      <c r="U219" s="4" t="s">
        <v>864</v>
      </c>
      <c r="V219" s="89">
        <v>42578</v>
      </c>
      <c r="W219" s="6">
        <f>LOOKUP($E219,OBRAS!$D:$D,OBRAS!K:K)</f>
        <v>24243908.91</v>
      </c>
      <c r="X219" s="109">
        <f t="shared" si="48"/>
        <v>3.7699999999999997E-2</v>
      </c>
      <c r="Y219" s="109">
        <f t="shared" si="51"/>
        <v>0.1794</v>
      </c>
      <c r="Z219" s="109">
        <f t="shared" si="49"/>
        <v>0.1076</v>
      </c>
      <c r="AA219" s="4" t="str">
        <f>LOOKUP($E219,OBRAS!$D:$D,OBRAS!H:H)</f>
        <v>SH-ED-16-R-005</v>
      </c>
    </row>
    <row r="220" spans="2:27" ht="45" x14ac:dyDescent="0.25">
      <c r="B220" s="56">
        <v>2310</v>
      </c>
      <c r="C220" s="49">
        <v>218</v>
      </c>
      <c r="D220" s="4" t="str">
        <f>LOOKUP($E220,OBRAS!$D:$D,OBRAS!C:C)</f>
        <v>SUPERVISION EXTERNA Y CONTROL DE CALIDAD DE LA RECONSTRUCCION DE CALLE 26, DEL KM 70+000 AL KM 101+300, HERMOSILLO</v>
      </c>
      <c r="E220" s="4" t="s">
        <v>678</v>
      </c>
      <c r="F220" s="4"/>
      <c r="G220" s="4" t="str">
        <f>LOOKUP($E220,OBRAS!$D:$D,OBRAS!E:E)</f>
        <v>C-00098/0022</v>
      </c>
      <c r="H220" s="80" t="s">
        <v>23</v>
      </c>
      <c r="I220" s="6">
        <v>118055.81</v>
      </c>
      <c r="J220" s="6"/>
      <c r="K220" s="6"/>
      <c r="L220" s="6">
        <f t="shared" si="52"/>
        <v>118055.81</v>
      </c>
      <c r="M220" s="6">
        <f t="shared" si="44"/>
        <v>18888.93</v>
      </c>
      <c r="N220" s="6">
        <f t="shared" si="45"/>
        <v>136944.74</v>
      </c>
      <c r="O220" s="6"/>
      <c r="P220" s="6">
        <f t="shared" si="46"/>
        <v>136944.74</v>
      </c>
      <c r="Q220" s="4" t="str">
        <f>LOOKUP($E220,OBRAS!$D:$D,OBRAS!B:B)</f>
        <v>GM3 INGENIERIA Y SERVICIOS, S. DE R.L. DE C.V.</v>
      </c>
      <c r="R220" s="4" t="str">
        <f>LOOKUP($E220,OBRAS!$D:$D,OBRAS!A:A)</f>
        <v>HERMOSILLO</v>
      </c>
      <c r="S220" s="4" t="str">
        <f>LOOKUP($E220,OBRAS!$D:$D,OBRAS!F:F)</f>
        <v>11000002002207E201K02104A622212161A013</v>
      </c>
      <c r="T220" s="4" t="str">
        <f>LOOKUP($E220,OBRAS!$D:$D,OBRAS!G:G)</f>
        <v>CE-926006995-E69-2016</v>
      </c>
      <c r="U220" s="4" t="s">
        <v>863</v>
      </c>
      <c r="V220" s="89">
        <v>42627</v>
      </c>
      <c r="W220" s="6">
        <f>LOOKUP($E220,OBRAS!$D:$D,OBRAS!K:K)</f>
        <v>1369447.44</v>
      </c>
      <c r="X220" s="109" t="str">
        <f t="shared" si="48"/>
        <v/>
      </c>
      <c r="Y220" s="109">
        <f t="shared" si="51"/>
        <v>1.0639000000000001</v>
      </c>
      <c r="Z220" s="109">
        <f t="shared" si="49"/>
        <v>1.0638000000000001</v>
      </c>
      <c r="AA220" s="4" t="str">
        <f>LOOKUP($E220,OBRAS!$D:$D,OBRAS!H:H)</f>
        <v>SH-ED-16-066</v>
      </c>
    </row>
    <row r="221" spans="2:27" ht="60" x14ac:dyDescent="0.25">
      <c r="B221" s="56">
        <v>2311</v>
      </c>
      <c r="C221" s="49">
        <v>219</v>
      </c>
      <c r="D221" s="4" t="str">
        <f>LOOKUP($E221,OBRAS!$D:$D,OBRAS!C:C)</f>
        <v>SUPERVISION EXTERNA Y CONTROL DE CALIDAD DE LA RECONSTRUCCION DE CALLE 28 NORTE, DEL KM 0 + 000 AL KM 10+160, Y DEL KM 17+210 AL 17+982, HERMOSILLO</v>
      </c>
      <c r="E221" s="4" t="s">
        <v>675</v>
      </c>
      <c r="F221" s="4"/>
      <c r="G221" s="4" t="str">
        <f>LOOKUP($E221,OBRAS!$D:$D,OBRAS!E:E)</f>
        <v>C-00098/0022</v>
      </c>
      <c r="H221" s="80" t="s">
        <v>23</v>
      </c>
      <c r="I221" s="6">
        <v>52454.53</v>
      </c>
      <c r="J221" s="6"/>
      <c r="K221" s="6"/>
      <c r="L221" s="6">
        <f t="shared" si="52"/>
        <v>52454.53</v>
      </c>
      <c r="M221" s="6">
        <f t="shared" si="44"/>
        <v>8392.7199999999993</v>
      </c>
      <c r="N221" s="6">
        <f t="shared" si="45"/>
        <v>60847.25</v>
      </c>
      <c r="O221" s="6"/>
      <c r="P221" s="6">
        <f t="shared" si="46"/>
        <v>60847.25</v>
      </c>
      <c r="Q221" s="4" t="str">
        <f>LOOKUP($E221,OBRAS!$D:$D,OBRAS!B:B)</f>
        <v>SATI CONSTRUCCIONES Y POYECTOS S.A. DE C.V.</v>
      </c>
      <c r="R221" s="4" t="str">
        <f>LOOKUP($E221,OBRAS!$D:$D,OBRAS!A:A)</f>
        <v>HERMOSILLO</v>
      </c>
      <c r="S221" s="4" t="str">
        <f>LOOKUP($E221,OBRAS!$D:$D,OBRAS!F:F)</f>
        <v>11000002002207E201K02104A622212161A013</v>
      </c>
      <c r="T221" s="4" t="str">
        <f>LOOKUP($E221,OBRAS!$D:$D,OBRAS!G:G)</f>
        <v>LICITACIÓN SIMPLIFICADA</v>
      </c>
      <c r="U221" s="4" t="s">
        <v>863</v>
      </c>
      <c r="V221" s="89">
        <v>42627</v>
      </c>
      <c r="W221" s="6">
        <f>LOOKUP($E221,OBRAS!$D:$D,OBRAS!K:K)</f>
        <v>608472.5</v>
      </c>
      <c r="X221" s="109" t="str">
        <f t="shared" si="48"/>
        <v/>
      </c>
      <c r="Y221" s="109">
        <f t="shared" si="51"/>
        <v>0.77780000000000005</v>
      </c>
      <c r="Z221" s="109">
        <f t="shared" si="49"/>
        <v>0.8</v>
      </c>
      <c r="AA221" s="4" t="str">
        <f>LOOKUP($E221,OBRAS!$D:$D,OBRAS!H:H)</f>
        <v>SH-ED-16-066</v>
      </c>
    </row>
    <row r="222" spans="2:27" ht="60" x14ac:dyDescent="0.25">
      <c r="B222" s="56">
        <v>2312</v>
      </c>
      <c r="C222" s="84">
        <v>220</v>
      </c>
      <c r="D222" s="4" t="s">
        <v>684</v>
      </c>
      <c r="E222" s="4"/>
      <c r="F222" s="4"/>
      <c r="G222" s="4" t="e">
        <f>LOOKUP($E222,OBRAS!$D:$D,OBRAS!E:E)</f>
        <v>#N/A</v>
      </c>
      <c r="H222" s="80"/>
      <c r="I222" s="6"/>
      <c r="J222" s="6"/>
      <c r="K222" s="6">
        <f t="shared" ref="K222:K227" si="53">ROUND(I222*0.3,2)</f>
        <v>0</v>
      </c>
      <c r="L222" s="6">
        <f t="shared" si="52"/>
        <v>0</v>
      </c>
      <c r="M222" s="6">
        <f t="shared" si="44"/>
        <v>0</v>
      </c>
      <c r="N222" s="6">
        <f t="shared" si="45"/>
        <v>0</v>
      </c>
      <c r="O222" s="6">
        <f>ROUND(I222*0.005,2)</f>
        <v>0</v>
      </c>
      <c r="P222" s="6">
        <f t="shared" si="46"/>
        <v>0</v>
      </c>
      <c r="Q222" s="4" t="e">
        <f>LOOKUP($E222,OBRAS!$D:$D,OBRAS!B:B)</f>
        <v>#N/A</v>
      </c>
      <c r="R222" s="4" t="e">
        <f>LOOKUP($E222,OBRAS!$D:$D,OBRAS!A:A)</f>
        <v>#N/A</v>
      </c>
      <c r="S222" s="4" t="e">
        <f>LOOKUP($E222,OBRAS!$D:$D,OBRAS!F:F)</f>
        <v>#N/A</v>
      </c>
      <c r="T222" s="4" t="e">
        <f>LOOKUP($E222,OBRAS!$D:$D,OBRAS!G:G)</f>
        <v>#N/A</v>
      </c>
      <c r="U222" s="4"/>
      <c r="V222" s="4"/>
      <c r="W222" s="6" t="e">
        <f>LOOKUP($E222,OBRAS!$D:$D,OBRAS!K:K)</f>
        <v>#N/A</v>
      </c>
      <c r="X222" s="109" t="e">
        <f t="shared" si="48"/>
        <v>#N/A</v>
      </c>
      <c r="Y222" s="109">
        <f t="shared" si="51"/>
        <v>0</v>
      </c>
      <c r="Z222" s="109" t="e">
        <f t="shared" si="49"/>
        <v>#N/A</v>
      </c>
      <c r="AA222" s="4" t="e">
        <f>LOOKUP($E222,OBRAS!$D:$D,OBRAS!H:H)</f>
        <v>#N/A</v>
      </c>
    </row>
    <row r="223" spans="2:27" ht="60" x14ac:dyDescent="0.25">
      <c r="B223" s="56">
        <v>2313</v>
      </c>
      <c r="C223" s="84">
        <v>221</v>
      </c>
      <c r="D223" s="4" t="s">
        <v>685</v>
      </c>
      <c r="E223" s="4"/>
      <c r="F223" s="4"/>
      <c r="G223" s="4" t="e">
        <f>LOOKUP($E223,OBRAS!$D:$D,OBRAS!E:E)</f>
        <v>#N/A</v>
      </c>
      <c r="H223" s="80"/>
      <c r="I223" s="6"/>
      <c r="J223" s="6"/>
      <c r="K223" s="6">
        <f t="shared" si="53"/>
        <v>0</v>
      </c>
      <c r="L223" s="6">
        <f t="shared" si="52"/>
        <v>0</v>
      </c>
      <c r="M223" s="6">
        <f t="shared" si="44"/>
        <v>0</v>
      </c>
      <c r="N223" s="6">
        <f t="shared" si="45"/>
        <v>0</v>
      </c>
      <c r="O223" s="6">
        <f>ROUND(I223*0.005,2)</f>
        <v>0</v>
      </c>
      <c r="P223" s="6">
        <f t="shared" si="46"/>
        <v>0</v>
      </c>
      <c r="Q223" s="4" t="e">
        <f>LOOKUP($E223,OBRAS!$D:$D,OBRAS!B:B)</f>
        <v>#N/A</v>
      </c>
      <c r="R223" s="4" t="e">
        <f>LOOKUP($E223,OBRAS!$D:$D,OBRAS!A:A)</f>
        <v>#N/A</v>
      </c>
      <c r="S223" s="4" t="e">
        <f>LOOKUP($E223,OBRAS!$D:$D,OBRAS!F:F)</f>
        <v>#N/A</v>
      </c>
      <c r="T223" s="4" t="e">
        <f>LOOKUP($E223,OBRAS!$D:$D,OBRAS!G:G)</f>
        <v>#N/A</v>
      </c>
      <c r="U223" s="4"/>
      <c r="V223" s="4"/>
      <c r="W223" s="6" t="e">
        <f>LOOKUP($E223,OBRAS!$D:$D,OBRAS!K:K)</f>
        <v>#N/A</v>
      </c>
      <c r="X223" s="109" t="e">
        <f t="shared" si="48"/>
        <v>#N/A</v>
      </c>
      <c r="Y223" s="109">
        <f t="shared" si="51"/>
        <v>0</v>
      </c>
      <c r="Z223" s="109" t="e">
        <f t="shared" si="49"/>
        <v>#N/A</v>
      </c>
      <c r="AA223" s="4" t="e">
        <f>LOOKUP($E223,OBRAS!$D:$D,OBRAS!H:H)</f>
        <v>#N/A</v>
      </c>
    </row>
    <row r="224" spans="2:27" ht="45" x14ac:dyDescent="0.25">
      <c r="B224" s="56">
        <v>2314</v>
      </c>
      <c r="C224" s="49">
        <v>222</v>
      </c>
      <c r="D224" s="4" t="str">
        <f>LOOKUP($E224,OBRAS!$D:$D,OBRAS!C:C)</f>
        <v>RECONSTRUCCION DEL CAMINO E.C. FEDERAL- LAS BOCAS EN VARIAS LOCALIDADES DEL MUNICIPIO DE HUATABAMPO, SONORA.</v>
      </c>
      <c r="E224" s="4" t="s">
        <v>279</v>
      </c>
      <c r="F224" s="4" t="s">
        <v>224</v>
      </c>
      <c r="G224" s="4" t="str">
        <f>LOOKUP($E224,OBRAS!$D:$D,OBRAS!E:E)</f>
        <v>C-00054/0020</v>
      </c>
      <c r="H224" s="80" t="s">
        <v>55</v>
      </c>
      <c r="I224" s="6">
        <v>1418222.76</v>
      </c>
      <c r="J224" s="6"/>
      <c r="K224" s="6">
        <f t="shared" si="53"/>
        <v>425466.83</v>
      </c>
      <c r="L224" s="6">
        <f t="shared" si="52"/>
        <v>992755.93</v>
      </c>
      <c r="M224" s="6">
        <f t="shared" si="44"/>
        <v>158840.95000000001</v>
      </c>
      <c r="N224" s="6">
        <f t="shared" si="45"/>
        <v>1151596.8799999999</v>
      </c>
      <c r="O224" s="6">
        <v>6949.31</v>
      </c>
      <c r="P224" s="6">
        <f t="shared" si="46"/>
        <v>1144647.57</v>
      </c>
      <c r="Q224" s="4" t="str">
        <f>LOOKUP($E224,OBRAS!$D:$D,OBRAS!B:B)</f>
        <v>EDIFICACIÓN INTEGRAL DEL NOROESTE, S.A. DE C.V.</v>
      </c>
      <c r="R224" s="4" t="str">
        <f>LOOKUP($E224,OBRAS!$D:$D,OBRAS!A:A)</f>
        <v>HUATABAMPO</v>
      </c>
      <c r="S224" s="4" t="str">
        <f>LOOKUP($E224,OBRAS!$D:$D,OBRAS!F:F)</f>
        <v>11000002003501E203K03203A625012162A212</v>
      </c>
      <c r="T224" s="4" t="str">
        <f>LOOKUP($E224,OBRAS!$D:$D,OBRAS!G:G)</f>
        <v>CE-926006995-E2-2016</v>
      </c>
      <c r="U224" s="4" t="s">
        <v>863</v>
      </c>
      <c r="V224" s="89">
        <v>42532</v>
      </c>
      <c r="W224" s="6">
        <f>LOOKUP($E224,OBRAS!$D:$D,OBRAS!K:K)</f>
        <v>22980026.969999999</v>
      </c>
      <c r="X224" s="109">
        <f t="shared" si="48"/>
        <v>7.1599999999999997E-2</v>
      </c>
      <c r="Y224" s="109">
        <f>ROUND(SUMIF(E:E,E224,X:X),2)</f>
        <v>1</v>
      </c>
      <c r="Z224" s="109">
        <f t="shared" si="49"/>
        <v>1</v>
      </c>
      <c r="AA224" s="4" t="str">
        <f>LOOKUP($E224,OBRAS!$D:$D,OBRAS!H:H)</f>
        <v>OM-ED-16-002</v>
      </c>
    </row>
    <row r="225" spans="2:27" ht="45" x14ac:dyDescent="0.25">
      <c r="B225" s="56">
        <v>2315</v>
      </c>
      <c r="C225" s="49">
        <v>223</v>
      </c>
      <c r="D225" s="4" t="str">
        <f>LOOKUP($E225,OBRAS!$D:$D,OBRAS!C:C)</f>
        <v>RECONSTRUCCION DEL CAMINO E.C. FEDERAL- LAS BOCAS EN VARIAS LOCALIDADES DEL MUNICIPIO DE HUATABAMPO, SONORA.</v>
      </c>
      <c r="E225" s="4" t="s">
        <v>279</v>
      </c>
      <c r="F225" s="4" t="s">
        <v>224</v>
      </c>
      <c r="G225" s="4" t="str">
        <f>LOOKUP($E225,OBRAS!$D:$D,OBRAS!E:E)</f>
        <v>C-00054/0020</v>
      </c>
      <c r="H225" s="80" t="s">
        <v>215</v>
      </c>
      <c r="I225" s="6">
        <v>3509998.42</v>
      </c>
      <c r="J225" s="6"/>
      <c r="K225" s="6">
        <f t="shared" si="53"/>
        <v>1052999.53</v>
      </c>
      <c r="L225" s="6">
        <f t="shared" si="52"/>
        <v>2456998.89</v>
      </c>
      <c r="M225" s="6">
        <f t="shared" si="44"/>
        <v>393119.82</v>
      </c>
      <c r="N225" s="6">
        <f t="shared" si="45"/>
        <v>2850118.71</v>
      </c>
      <c r="O225" s="6">
        <v>17199</v>
      </c>
      <c r="P225" s="6">
        <f t="shared" si="46"/>
        <v>2832919.71</v>
      </c>
      <c r="Q225" s="4" t="str">
        <f>LOOKUP($E225,OBRAS!$D:$D,OBRAS!B:B)</f>
        <v>EDIFICACIÓN INTEGRAL DEL NOROESTE, S.A. DE C.V.</v>
      </c>
      <c r="R225" s="4" t="str">
        <f>LOOKUP($E225,OBRAS!$D:$D,OBRAS!A:A)</f>
        <v>HUATABAMPO</v>
      </c>
      <c r="S225" s="4" t="str">
        <f>LOOKUP($E225,OBRAS!$D:$D,OBRAS!F:F)</f>
        <v>11000002003501E203K03203A625012162A212</v>
      </c>
      <c r="T225" s="4" t="str">
        <f>LOOKUP($E225,OBRAS!$D:$D,OBRAS!G:G)</f>
        <v>CE-926006995-E2-2016</v>
      </c>
      <c r="U225" s="4" t="s">
        <v>863</v>
      </c>
      <c r="V225" s="89">
        <v>42532</v>
      </c>
      <c r="W225" s="6">
        <f>LOOKUP($E225,OBRAS!$D:$D,OBRAS!K:K)</f>
        <v>22980026.969999999</v>
      </c>
      <c r="X225" s="109">
        <f t="shared" si="48"/>
        <v>0.1772</v>
      </c>
      <c r="Y225" s="109">
        <f>ROUND(SUMIF(E:E,E225,X:X),2)</f>
        <v>1</v>
      </c>
      <c r="Z225" s="109">
        <f t="shared" si="49"/>
        <v>1</v>
      </c>
      <c r="AA225" s="4" t="str">
        <f>LOOKUP($E225,OBRAS!$D:$D,OBRAS!H:H)</f>
        <v>OM-ED-16-002</v>
      </c>
    </row>
    <row r="226" spans="2:27" ht="30" x14ac:dyDescent="0.25">
      <c r="B226" s="56">
        <v>2346</v>
      </c>
      <c r="C226" s="49">
        <v>224</v>
      </c>
      <c r="D226" s="4" t="str">
        <f>LOOKUP($E226,OBRAS!$D:$D,OBRAS!C:C)</f>
        <v>CONSTRUCCION Y RECONSTRUCCION DEL TRAMO CABORCA-Y GRIEGA</v>
      </c>
      <c r="E226" s="4" t="s">
        <v>586</v>
      </c>
      <c r="F226" s="4"/>
      <c r="G226" s="4" t="str">
        <f>LOOKUP($E226,OBRAS!$D:$D,OBRAS!E:E)</f>
        <v>C-00054/0056</v>
      </c>
      <c r="H226" s="80" t="s">
        <v>103</v>
      </c>
      <c r="I226" s="6">
        <v>7203138.5099999998</v>
      </c>
      <c r="J226" s="6"/>
      <c r="K226" s="6">
        <f t="shared" si="53"/>
        <v>2160941.5499999998</v>
      </c>
      <c r="L226" s="6">
        <f t="shared" si="52"/>
        <v>5042196.96</v>
      </c>
      <c r="M226" s="6">
        <f t="shared" si="44"/>
        <v>806751.51</v>
      </c>
      <c r="N226" s="6">
        <f t="shared" si="45"/>
        <v>5848948.4699999997</v>
      </c>
      <c r="O226" s="6">
        <v>35295.379999999997</v>
      </c>
      <c r="P226" s="6">
        <f t="shared" si="46"/>
        <v>5813653.0899999999</v>
      </c>
      <c r="Q226" s="4" t="str">
        <f>LOOKUP($E226,OBRAS!$D:$D,OBRAS!B:B)</f>
        <v>MEZQUITE CONSTRUCCIONES,S.A.DE C.V.</v>
      </c>
      <c r="R226" s="4" t="str">
        <f>LOOKUP($E226,OBRAS!$D:$D,OBRAS!A:A)</f>
        <v>CABORCA</v>
      </c>
      <c r="S226" s="4" t="str">
        <f>LOOKUP($E226,OBRAS!$D:$D,OBRAS!F:F)</f>
        <v>11000002003501E204K08063A625012162A202</v>
      </c>
      <c r="T226" s="4" t="str">
        <f>LOOKUP($E226,OBRAS!$D:$D,OBRAS!G:G)</f>
        <v>CE-926006995-E20-2016</v>
      </c>
      <c r="U226" s="4" t="s">
        <v>863</v>
      </c>
      <c r="V226" s="89">
        <v>42593</v>
      </c>
      <c r="W226" s="6">
        <f>LOOKUP($E226,OBRAS!$D:$D,OBRAS!K:K)</f>
        <v>78902188.120000005</v>
      </c>
      <c r="X226" s="109">
        <f t="shared" si="48"/>
        <v>0.10589999999999999</v>
      </c>
      <c r="Y226" s="109">
        <f t="shared" ref="Y226:Y257" si="54">SUMIF(E:E,E226,X:X)</f>
        <v>0.74160000000000004</v>
      </c>
      <c r="Z226" s="109">
        <f t="shared" si="49"/>
        <v>0.74160000000000004</v>
      </c>
      <c r="AA226" s="4" t="str">
        <f>LOOKUP($E226,OBRAS!$D:$D,OBRAS!H:H)</f>
        <v>SH-ED-17-R-013</v>
      </c>
    </row>
    <row r="227" spans="2:27" ht="30" x14ac:dyDescent="0.25">
      <c r="B227" s="56">
        <v>2347</v>
      </c>
      <c r="C227" s="49">
        <v>225</v>
      </c>
      <c r="D227" s="4" t="str">
        <f>LOOKUP($E227,OBRAS!$D:$D,OBRAS!C:C)</f>
        <v>CONSTRUCCION Y RECONSTRUCCION DEL TRAMO CABORCA-Y GRIEGA</v>
      </c>
      <c r="E227" s="4" t="s">
        <v>586</v>
      </c>
      <c r="F227" s="4"/>
      <c r="G227" s="4" t="str">
        <f>LOOKUP($E227,OBRAS!$D:$D,OBRAS!E:E)</f>
        <v>C-00054/0056</v>
      </c>
      <c r="H227" s="80" t="s">
        <v>221</v>
      </c>
      <c r="I227" s="6">
        <v>9332494.8599999994</v>
      </c>
      <c r="J227" s="6"/>
      <c r="K227" s="6">
        <f t="shared" si="53"/>
        <v>2799748.46</v>
      </c>
      <c r="L227" s="6">
        <f t="shared" si="52"/>
        <v>6532746.4000000004</v>
      </c>
      <c r="M227" s="6">
        <f t="shared" si="44"/>
        <v>1045239.42</v>
      </c>
      <c r="N227" s="6">
        <f t="shared" si="45"/>
        <v>7577985.8200000003</v>
      </c>
      <c r="O227" s="6">
        <f>+ROUND(I227*0.002,2)+ROUND(I227*0.0003,2)+ROUND(I227*0.0003,2)+ROUND(I227*0.0003,2)+ROUND(I227*0.002,2)</f>
        <v>45729.23</v>
      </c>
      <c r="P227" s="6">
        <f t="shared" si="46"/>
        <v>7532256.5899999999</v>
      </c>
      <c r="Q227" s="4" t="str">
        <f>LOOKUP($E227,OBRAS!$D:$D,OBRAS!B:B)</f>
        <v>MEZQUITE CONSTRUCCIONES,S.A.DE C.V.</v>
      </c>
      <c r="R227" s="4" t="str">
        <f>LOOKUP($E227,OBRAS!$D:$D,OBRAS!A:A)</f>
        <v>CABORCA</v>
      </c>
      <c r="S227" s="4" t="str">
        <f>LOOKUP($E227,OBRAS!$D:$D,OBRAS!F:F)</f>
        <v>11000002003501E204K08063A625012162A202</v>
      </c>
      <c r="T227" s="4" t="str">
        <f>LOOKUP($E227,OBRAS!$D:$D,OBRAS!G:G)</f>
        <v>CE-926006995-E20-2016</v>
      </c>
      <c r="U227" s="4" t="s">
        <v>863</v>
      </c>
      <c r="V227" s="89">
        <v>42593</v>
      </c>
      <c r="W227" s="6">
        <f>LOOKUP($E227,OBRAS!$D:$D,OBRAS!K:K)</f>
        <v>78902188.120000005</v>
      </c>
      <c r="X227" s="109">
        <f t="shared" si="48"/>
        <v>0.13719999999999999</v>
      </c>
      <c r="Y227" s="109">
        <f t="shared" si="54"/>
        <v>0.74160000000000004</v>
      </c>
      <c r="Z227" s="109">
        <f t="shared" si="49"/>
        <v>0.74160000000000004</v>
      </c>
      <c r="AA227" s="4" t="str">
        <f>LOOKUP($E227,OBRAS!$D:$D,OBRAS!H:H)</f>
        <v>SH-ED-17-R-013</v>
      </c>
    </row>
    <row r="228" spans="2:27" ht="60" x14ac:dyDescent="0.25">
      <c r="B228" s="56">
        <v>2348</v>
      </c>
      <c r="C228" s="49">
        <v>226</v>
      </c>
      <c r="D228" s="4" t="str">
        <f>LOOKUP($E228,OBRAS!$D:$D,OBRAS!C:C)</f>
        <v>RECARPETEO CON MICROCARPETA ASFALTICA DE 3 CMS DE ESPESOR EN VARIAS CALLES Y AVENIDAS DE LA LOCALIDAD Y MUNICIPIO DE HERMOSILLO, SONORA.</v>
      </c>
      <c r="E228" s="4" t="s">
        <v>227</v>
      </c>
      <c r="F228" s="4" t="s">
        <v>217</v>
      </c>
      <c r="G228" s="4" t="str">
        <f>LOOKUP($E228,OBRAS!$D:$D,OBRAS!E:E)</f>
        <v>C-00052/0148</v>
      </c>
      <c r="H228" s="80" t="s">
        <v>215</v>
      </c>
      <c r="I228" s="6">
        <v>345299.78</v>
      </c>
      <c r="J228" s="6"/>
      <c r="K228" s="6">
        <v>103589.94</v>
      </c>
      <c r="L228" s="6">
        <f t="shared" si="52"/>
        <v>241709.84</v>
      </c>
      <c r="M228" s="6">
        <f t="shared" si="44"/>
        <v>38673.57</v>
      </c>
      <c r="N228" s="6">
        <f t="shared" si="45"/>
        <v>280383.40999999997</v>
      </c>
      <c r="O228" s="6">
        <v>1691.97</v>
      </c>
      <c r="P228" s="6">
        <f t="shared" si="46"/>
        <v>278691.44</v>
      </c>
      <c r="Q228" s="4" t="str">
        <f>LOOKUP($E228,OBRAS!$D:$D,OBRAS!B:B)</f>
        <v>TECNOASFALTOS Y TERRACERIAS, S.A. DE C.V.</v>
      </c>
      <c r="R228" s="4" t="str">
        <f>LOOKUP($E228,OBRAS!$D:$D,OBRAS!A:A)</f>
        <v>HERMOSILLO</v>
      </c>
      <c r="S228" s="4" t="str">
        <f>LOOKUP($E228,OBRAS!$D:$D,OBRAS!F:F)</f>
        <v>11000002002201E201K02203A614202155DM07</v>
      </c>
      <c r="T228" s="4" t="str">
        <f>LOOKUP($E228,OBRAS!$D:$D,OBRAS!G:G)</f>
        <v>XX-926006995-X33-2015</v>
      </c>
      <c r="U228" s="4" t="s">
        <v>863</v>
      </c>
      <c r="V228" s="89">
        <v>42572</v>
      </c>
      <c r="W228" s="6">
        <f>LOOKUP($E228,OBRAS!$D:$D,OBRAS!K:K)</f>
        <v>8412238.6600000001</v>
      </c>
      <c r="X228" s="109">
        <f t="shared" si="48"/>
        <v>4.7600000000000003E-2</v>
      </c>
      <c r="Y228" s="109">
        <f t="shared" si="54"/>
        <v>0.98519999999999996</v>
      </c>
      <c r="Z228" s="109">
        <f t="shared" si="49"/>
        <v>0.68969999999999998</v>
      </c>
      <c r="AA228" s="4" t="str">
        <f>LOOKUP($E228,OBRAS!$D:$D,OBRAS!H:H)</f>
        <v>SH-FAFEF-16-R-002</v>
      </c>
    </row>
    <row r="229" spans="2:27" ht="75" x14ac:dyDescent="0.25">
      <c r="B229" s="56">
        <v>2349</v>
      </c>
      <c r="C229" s="49">
        <v>227</v>
      </c>
      <c r="D229" s="4" t="str">
        <f>LOOKUP($E229,OBRAS!$D:$D,OBRAS!C:C)</f>
        <v>DIRECTOR RESPONSABLE DE OBRA: CONSTRUCCIÓN DE BODEGA DE EVIDENCIAS EN EL DISTRITO DE HERMOSILLO PRIMERA ETAPA, EN LA LOCALIDAD Y MUNICIPIO DE HERMOSILLO, SONORA.</v>
      </c>
      <c r="E229" s="4" t="s">
        <v>691</v>
      </c>
      <c r="F229" s="4"/>
      <c r="G229" s="4" t="str">
        <f>LOOKUP($E229,OBRAS!$D:$D,OBRAS!E:E)</f>
        <v>C-00098/0016-7</v>
      </c>
      <c r="H229" s="80" t="s">
        <v>103</v>
      </c>
      <c r="I229" s="6">
        <v>44732.1</v>
      </c>
      <c r="J229" s="6"/>
      <c r="K229" s="6"/>
      <c r="L229" s="6">
        <f t="shared" si="52"/>
        <v>44732.1</v>
      </c>
      <c r="M229" s="6">
        <f t="shared" si="44"/>
        <v>7157.14</v>
      </c>
      <c r="N229" s="6">
        <f t="shared" si="45"/>
        <v>51889.24</v>
      </c>
      <c r="O229" s="6">
        <v>129.72</v>
      </c>
      <c r="P229" s="6">
        <f t="shared" si="46"/>
        <v>51759.519999999997</v>
      </c>
      <c r="Q229" s="4" t="str">
        <f>LOOKUP($E229,OBRAS!$D:$D,OBRAS!B:B)</f>
        <v>ING. JOSE RAFAEL CANO AVILA</v>
      </c>
      <c r="R229" s="4" t="str">
        <f>LOOKUP($E229,OBRAS!$D:$D,OBRAS!A:A)</f>
        <v>HERMOSILLO</v>
      </c>
      <c r="S229" s="4" t="str">
        <f>LOOKUP($E229,OBRAS!$D:$D,OBRAS!F:F)</f>
        <v>11000002002207E201K02104A622212161A013</v>
      </c>
      <c r="T229" s="4" t="str">
        <f>LOOKUP($E229,OBRAS!$D:$D,OBRAS!G:G)</f>
        <v>ADJUDICACIÓN DIRECTA</v>
      </c>
      <c r="U229" s="4" t="s">
        <v>863</v>
      </c>
      <c r="V229" s="89">
        <v>42605</v>
      </c>
      <c r="W229" s="6">
        <f>LOOKUP($E229,OBRAS!$D:$D,OBRAS!K:K)</f>
        <v>110854.24</v>
      </c>
      <c r="X229" s="109">
        <f t="shared" si="48"/>
        <v>0.46810000000000002</v>
      </c>
      <c r="Y229" s="109">
        <f t="shared" si="54"/>
        <v>0.97199999999999998</v>
      </c>
      <c r="Z229" s="109">
        <f t="shared" si="49"/>
        <v>0.97199999999999998</v>
      </c>
      <c r="AA229" s="4" t="str">
        <f>LOOKUP($E229,OBRAS!$D:$D,OBRAS!H:H)</f>
        <v>SH-ED-16-011</v>
      </c>
    </row>
    <row r="230" spans="2:27" ht="45" x14ac:dyDescent="0.25">
      <c r="B230" s="56">
        <v>2350</v>
      </c>
      <c r="C230" s="49">
        <v>228</v>
      </c>
      <c r="D230" s="4" t="str">
        <f>LOOKUP($E230,OBRAS!$D:$D,OBRAS!C:C)</f>
        <v>SUPERVISION EXTERNA Y CONTROL DE CALIDAD DE LA RECONSTRUCCIÓN DEL CAMINO BACAME NUEVO</v>
      </c>
      <c r="E230" s="4" t="s">
        <v>287</v>
      </c>
      <c r="F230" s="4"/>
      <c r="G230" s="4" t="str">
        <f>LOOKUP($E230,OBRAS!$D:$D,OBRAS!E:E)</f>
        <v>C-00098/0021</v>
      </c>
      <c r="H230" s="80" t="s">
        <v>103</v>
      </c>
      <c r="I230" s="6">
        <v>130565.52</v>
      </c>
      <c r="J230" s="6"/>
      <c r="K230" s="6">
        <f>ROUND(I230*0.1,2)</f>
        <v>13056.55</v>
      </c>
      <c r="L230" s="6">
        <f t="shared" si="52"/>
        <v>117508.97</v>
      </c>
      <c r="M230" s="6">
        <f t="shared" si="44"/>
        <v>18801.439999999999</v>
      </c>
      <c r="N230" s="6">
        <f t="shared" si="45"/>
        <v>136310.41</v>
      </c>
      <c r="O230" s="6">
        <v>378.64</v>
      </c>
      <c r="P230" s="6">
        <f t="shared" si="46"/>
        <v>135931.76999999999</v>
      </c>
      <c r="Q230" s="4" t="str">
        <f>LOOKUP($E230,OBRAS!$D:$D,OBRAS!B:B)</f>
        <v>ING. FEDERICO SOLORIO VALENZUELA</v>
      </c>
      <c r="R230" s="4" t="str">
        <f>LOOKUP($E230,OBRAS!$D:$D,OBRAS!A:A)</f>
        <v>ETCHOJOA</v>
      </c>
      <c r="S230" s="4" t="str">
        <f>LOOKUP($E230,OBRAS!$D:$D,OBRAS!F:F)</f>
        <v>11000002003501E203K03203A625132161A013</v>
      </c>
      <c r="T230" s="4" t="str">
        <f>LOOKUP($E230,OBRAS!$D:$D,OBRAS!G:G)</f>
        <v>ADJUDICACIÓN DIRECTA</v>
      </c>
      <c r="U230" s="4" t="s">
        <v>863</v>
      </c>
      <c r="V230" s="89">
        <v>42632</v>
      </c>
      <c r="W230" s="6">
        <f>LOOKUP($E230,OBRAS!$D:$D,OBRAS!K:K)</f>
        <v>189320</v>
      </c>
      <c r="X230" s="109">
        <f t="shared" si="48"/>
        <v>0.8</v>
      </c>
      <c r="Y230" s="109">
        <f t="shared" si="54"/>
        <v>1</v>
      </c>
      <c r="Z230" s="109">
        <f t="shared" si="49"/>
        <v>1</v>
      </c>
      <c r="AA230" s="4" t="str">
        <f>LOOKUP($E230,OBRAS!$D:$D,OBRAS!H:H)</f>
        <v>SH-ED-16-020</v>
      </c>
    </row>
    <row r="231" spans="2:27" ht="60" x14ac:dyDescent="0.25">
      <c r="B231" s="56">
        <v>2351</v>
      </c>
      <c r="C231" s="49">
        <v>229</v>
      </c>
      <c r="D231" s="4" t="str">
        <f>LOOKUP($E231,OBRAS!$D:$D,OBRAS!C:C)</f>
        <v>SUPERVISION EXTERNA Y CONTROL DE CALIDAD CONSTRUCCION Y RECONSTRUCCION DEL TRAMO CABORCA-Y GRIEGA EN LA LOCALIDAD DE CABORCA, SONORA</v>
      </c>
      <c r="E231" s="4" t="s">
        <v>451</v>
      </c>
      <c r="F231" s="4"/>
      <c r="G231" s="4" t="str">
        <f>LOOKUP($E231,OBRAS!$D:$D,OBRAS!E:E)</f>
        <v>C-00098/0021</v>
      </c>
      <c r="H231" s="80" t="s">
        <v>103</v>
      </c>
      <c r="I231" s="6">
        <v>54900.78</v>
      </c>
      <c r="J231" s="6"/>
      <c r="K231" s="6">
        <f>ROUND(I231*0.1,2)</f>
        <v>5490.08</v>
      </c>
      <c r="L231" s="6">
        <f t="shared" si="52"/>
        <v>49410.7</v>
      </c>
      <c r="M231" s="6">
        <f t="shared" si="44"/>
        <v>7905.71</v>
      </c>
      <c r="N231" s="6">
        <f t="shared" si="45"/>
        <v>57316.41</v>
      </c>
      <c r="O231" s="6">
        <v>159.21</v>
      </c>
      <c r="P231" s="6">
        <f t="shared" si="46"/>
        <v>57157.2</v>
      </c>
      <c r="Q231" s="4" t="str">
        <f>LOOKUP($E231,OBRAS!$D:$D,OBRAS!B:B)</f>
        <v>JRM CONSULTORES, S.A. DE C.V</v>
      </c>
      <c r="R231" s="4" t="str">
        <f>LOOKUP($E231,OBRAS!$D:$D,OBRAS!A:A)</f>
        <v>CABORCA</v>
      </c>
      <c r="S231" s="4" t="str">
        <f>LOOKUP($E231,OBRAS!$D:$D,OBRAS!F:F)</f>
        <v>11000002003501E203K03203A625132161A013C-00098/0021</v>
      </c>
      <c r="T231" s="4" t="str">
        <f>LOOKUP($E231,OBRAS!$D:$D,OBRAS!G:G)</f>
        <v>CE-926006995-E48-2016</v>
      </c>
      <c r="U231" s="4" t="s">
        <v>863</v>
      </c>
      <c r="V231" s="89">
        <v>42664</v>
      </c>
      <c r="W231" s="6">
        <f>LOOKUP($E231,OBRAS!$D:$D,OBRAS!K:K)</f>
        <v>2299094.85</v>
      </c>
      <c r="X231" s="109">
        <f t="shared" si="48"/>
        <v>2.7699999999999999E-2</v>
      </c>
      <c r="Y231" s="109">
        <f t="shared" si="54"/>
        <v>1</v>
      </c>
      <c r="Z231" s="109">
        <f t="shared" si="49"/>
        <v>1</v>
      </c>
      <c r="AA231" s="4" t="str">
        <f>LOOKUP($E231,OBRAS!$D:$D,OBRAS!H:H)</f>
        <v>SH-ED-16-040</v>
      </c>
    </row>
    <row r="232" spans="2:27" ht="60" x14ac:dyDescent="0.25">
      <c r="B232" s="56">
        <v>2352</v>
      </c>
      <c r="C232" s="84">
        <v>230</v>
      </c>
      <c r="D232" s="28" t="s">
        <v>696</v>
      </c>
      <c r="E232" s="4"/>
      <c r="F232" s="4"/>
      <c r="G232" s="4" t="e">
        <f>LOOKUP($E232,OBRAS!$D:$D,OBRAS!E:E)</f>
        <v>#N/A</v>
      </c>
      <c r="H232" s="80"/>
      <c r="I232" s="6"/>
      <c r="J232" s="6"/>
      <c r="K232" s="6">
        <f>ROUND(I232*0.3,2)</f>
        <v>0</v>
      </c>
      <c r="L232" s="6">
        <f t="shared" si="52"/>
        <v>0</v>
      </c>
      <c r="M232" s="6">
        <f t="shared" si="44"/>
        <v>0</v>
      </c>
      <c r="N232" s="6">
        <f t="shared" si="45"/>
        <v>0</v>
      </c>
      <c r="O232" s="6">
        <f>ROUND(I232*0.005,2)</f>
        <v>0</v>
      </c>
      <c r="P232" s="6">
        <f t="shared" si="46"/>
        <v>0</v>
      </c>
      <c r="Q232" s="4" t="e">
        <f>LOOKUP($E232,OBRAS!$D:$D,OBRAS!B:B)</f>
        <v>#N/A</v>
      </c>
      <c r="R232" s="4" t="e">
        <f>LOOKUP($E232,OBRAS!$D:$D,OBRAS!A:A)</f>
        <v>#N/A</v>
      </c>
      <c r="S232" s="4" t="e">
        <f>LOOKUP($E232,OBRAS!$D:$D,OBRAS!F:F)</f>
        <v>#N/A</v>
      </c>
      <c r="T232" s="4" t="e">
        <f>LOOKUP($E232,OBRAS!$D:$D,OBRAS!G:G)</f>
        <v>#N/A</v>
      </c>
      <c r="U232" s="4"/>
      <c r="V232" s="4"/>
      <c r="W232" s="6" t="e">
        <f>LOOKUP($E232,OBRAS!$D:$D,OBRAS!K:K)</f>
        <v>#N/A</v>
      </c>
      <c r="X232" s="109" t="e">
        <f t="shared" si="48"/>
        <v>#N/A</v>
      </c>
      <c r="Y232" s="109">
        <f t="shared" si="54"/>
        <v>0</v>
      </c>
      <c r="Z232" s="109" t="e">
        <f t="shared" si="49"/>
        <v>#N/A</v>
      </c>
      <c r="AA232" s="4" t="e">
        <f>LOOKUP($E232,OBRAS!$D:$D,OBRAS!H:H)</f>
        <v>#N/A</v>
      </c>
    </row>
    <row r="233" spans="2:27" ht="75" x14ac:dyDescent="0.25">
      <c r="B233" s="56">
        <v>2360</v>
      </c>
      <c r="C233" s="49">
        <v>231</v>
      </c>
      <c r="D233" s="4" t="str">
        <f>LOOKUP($E233,OBRAS!$D:$D,OBRAS!C:C)</f>
        <v>DIRECTOR RESPONSABLE DE OBRA: CONSTRUCCIÓN DE BODEGA DE EVIDENCIAS EN EL DISTRITO DE HERMOSILLO PRIMERA ETAPA, EN LA LOCALIDAD Y MUNICIPIO DE HERMOSILLO, SONORA.</v>
      </c>
      <c r="E233" s="4" t="s">
        <v>691</v>
      </c>
      <c r="F233" s="4"/>
      <c r="G233" s="4" t="str">
        <f>LOOKUP($E233,OBRAS!$D:$D,OBRAS!E:E)</f>
        <v>C-00098/0016-7</v>
      </c>
      <c r="H233" s="80" t="s">
        <v>221</v>
      </c>
      <c r="I233" s="6">
        <v>31332.1</v>
      </c>
      <c r="J233" s="6"/>
      <c r="K233" s="6"/>
      <c r="L233" s="6">
        <f t="shared" si="52"/>
        <v>31332.1</v>
      </c>
      <c r="M233" s="6">
        <f t="shared" si="44"/>
        <v>5013.1400000000003</v>
      </c>
      <c r="N233" s="6">
        <f t="shared" si="45"/>
        <v>36345.24</v>
      </c>
      <c r="O233" s="6">
        <v>90.86</v>
      </c>
      <c r="P233" s="6">
        <f t="shared" si="46"/>
        <v>36254.379999999997</v>
      </c>
      <c r="Q233" s="4" t="str">
        <f>LOOKUP($E233,OBRAS!$D:$D,OBRAS!B:B)</f>
        <v>ING. JOSE RAFAEL CANO AVILA</v>
      </c>
      <c r="R233" s="4" t="str">
        <f>LOOKUP($E233,OBRAS!$D:$D,OBRAS!A:A)</f>
        <v>HERMOSILLO</v>
      </c>
      <c r="S233" s="4" t="str">
        <f>LOOKUP($E233,OBRAS!$D:$D,OBRAS!F:F)</f>
        <v>11000002002207E201K02104A622212161A013</v>
      </c>
      <c r="T233" s="4" t="str">
        <f>LOOKUP($E233,OBRAS!$D:$D,OBRAS!G:G)</f>
        <v>ADJUDICACIÓN DIRECTA</v>
      </c>
      <c r="U233" s="4" t="s">
        <v>863</v>
      </c>
      <c r="V233" s="89">
        <v>42486</v>
      </c>
      <c r="W233" s="6">
        <f>LOOKUP($E233,OBRAS!$D:$D,OBRAS!K:K)</f>
        <v>110854.24</v>
      </c>
      <c r="X233" s="109">
        <f t="shared" si="48"/>
        <v>0.32790000000000002</v>
      </c>
      <c r="Y233" s="109">
        <f t="shared" si="54"/>
        <v>0.97199999999999998</v>
      </c>
      <c r="Z233" s="109">
        <f t="shared" si="49"/>
        <v>0.97199999999999998</v>
      </c>
      <c r="AA233" s="4" t="str">
        <f>LOOKUP($E233,OBRAS!$D:$D,OBRAS!H:H)</f>
        <v>SH-ED-16-011</v>
      </c>
    </row>
    <row r="234" spans="2:27" ht="30" x14ac:dyDescent="0.25">
      <c r="B234" s="56">
        <v>2372</v>
      </c>
      <c r="C234" s="84">
        <v>232</v>
      </c>
      <c r="D234" s="4" t="str">
        <f>LOOKUP($E234,OBRAS!$D:$D,OBRAS!C:C)</f>
        <v>RECONSTRUCCION DE CAMINO CALLE 900 VARIOS TRAMOS DEL KM 8+200 AL KM 36+139</v>
      </c>
      <c r="E234" s="4" t="s">
        <v>697</v>
      </c>
      <c r="F234" s="4" t="s">
        <v>217</v>
      </c>
      <c r="G234" s="4" t="str">
        <f>LOOKUP($E234,OBRAS!$D:$D,OBRAS!E:E)</f>
        <v>C-00110/0002</v>
      </c>
      <c r="H234" s="80" t="s">
        <v>221</v>
      </c>
      <c r="I234" s="6">
        <v>1441188.71</v>
      </c>
      <c r="J234" s="6"/>
      <c r="K234" s="6">
        <f>ROUND(I234*0.3,2)</f>
        <v>432356.61</v>
      </c>
      <c r="L234" s="6">
        <f t="shared" si="52"/>
        <v>1008832.1</v>
      </c>
      <c r="M234" s="6">
        <f t="shared" si="44"/>
        <v>161413.14000000001</v>
      </c>
      <c r="N234" s="6">
        <f t="shared" si="45"/>
        <v>1170245.24</v>
      </c>
      <c r="O234" s="6">
        <f>ROUND(I234*0.005,2)</f>
        <v>7205.94</v>
      </c>
      <c r="P234" s="6">
        <f t="shared" si="46"/>
        <v>1163039.3</v>
      </c>
      <c r="Q234" s="4" t="str">
        <f>LOOKUP($E234,OBRAS!$D:$D,OBRAS!B:B)</f>
        <v>EXPLORACIONES MINERAS DEL DESIERTO, S.A. DE C.V.</v>
      </c>
      <c r="R234" s="4" t="str">
        <f>LOOKUP($E234,OBRAS!$D:$D,OBRAS!A:A)</f>
        <v>CAJEME</v>
      </c>
      <c r="S234" s="4" t="str">
        <f>LOOKUP($E234,OBRAS!$D:$D,OBRAS!F:F)</f>
        <v>11000016003501E203K03203A411061155GZ11</v>
      </c>
      <c r="T234" s="4" t="str">
        <f>LOOKUP($E234,OBRAS!$D:$D,OBRAS!G:G)</f>
        <v>LO-926006995-N40-2015</v>
      </c>
      <c r="U234" s="4" t="s">
        <v>863</v>
      </c>
      <c r="V234" s="4"/>
      <c r="W234" s="6">
        <f>LOOKUP($E234,OBRAS!$D:$D,OBRAS!K:K)</f>
        <v>7521996.9299999997</v>
      </c>
      <c r="X234" s="109">
        <f t="shared" si="48"/>
        <v>0.2223</v>
      </c>
      <c r="Y234" s="109">
        <f t="shared" si="54"/>
        <v>0.97889999999999999</v>
      </c>
      <c r="Z234" s="109">
        <f t="shared" si="49"/>
        <v>0.97889999999999999</v>
      </c>
      <c r="AA234" s="4" t="str">
        <f>LOOKUP($E234,OBRAS!$D:$D,OBRAS!H:H)</f>
        <v>SH-NC-16-R-004.</v>
      </c>
    </row>
    <row r="235" spans="2:27" ht="75" x14ac:dyDescent="0.25">
      <c r="B235" s="56">
        <v>2373</v>
      </c>
      <c r="C235" s="49">
        <v>233</v>
      </c>
      <c r="D235" s="86" t="str">
        <f>LOOKUP($E235,OBRAS!$D:$D,OBRAS!C:C)</f>
        <v>SUPERVISION Y CONTROL DE CALIDAD: CONSTRUCCIÓN DE SEGUNDO CUERPO DE LA CALLE 1A EN COMPLEJO PUERTA OESTE Y DRENAJE PLUVIAL PROVINCIAS EN LA LOCALIDAD Y MUNICIPIO DE HERMOSILLO, SONORA</v>
      </c>
      <c r="E235" s="4" t="s">
        <v>151</v>
      </c>
      <c r="F235" s="4" t="s">
        <v>224</v>
      </c>
      <c r="G235" s="4" t="str">
        <f>LOOKUP($E235,OBRAS!$D:$D,OBRAS!E:E)</f>
        <v>C-00093/0012</v>
      </c>
      <c r="H235" s="80" t="s">
        <v>215</v>
      </c>
      <c r="I235" s="6">
        <v>56917.2</v>
      </c>
      <c r="J235" s="6"/>
      <c r="K235" s="6">
        <f>ROUND(I235*0.3,2)</f>
        <v>17075.16</v>
      </c>
      <c r="L235" s="6">
        <f t="shared" si="52"/>
        <v>39842.04</v>
      </c>
      <c r="M235" s="6">
        <f t="shared" si="44"/>
        <v>6374.73</v>
      </c>
      <c r="N235" s="6">
        <f t="shared" si="45"/>
        <v>46216.77</v>
      </c>
      <c r="O235" s="6">
        <f>ROUND(I235*0.005,2)</f>
        <v>284.58999999999997</v>
      </c>
      <c r="P235" s="6">
        <f t="shared" si="46"/>
        <v>45932.18</v>
      </c>
      <c r="Q235" s="4" t="str">
        <f>LOOKUP($E235,OBRAS!$D:$D,OBRAS!B:B)</f>
        <v>ING. MARTIN GRAJEDA ARAGON</v>
      </c>
      <c r="R235" s="4" t="str">
        <f>LOOKUP($E235,OBRAS!$D:$D,OBRAS!A:A)</f>
        <v>HERMOSILLO</v>
      </c>
      <c r="S235" s="4" t="str">
        <f>LOOKUP($E235,OBRAS!$D:$D,OBRAS!F:F)</f>
        <v>11000002002201E201K02203A614242155GL07</v>
      </c>
      <c r="T235" s="4" t="str">
        <f>LOOKUP($E235,OBRAS!$D:$D,OBRAS!G:G)</f>
        <v>SO-926006995-N20-2015</v>
      </c>
      <c r="U235" s="4" t="s">
        <v>863</v>
      </c>
      <c r="V235" s="89">
        <v>42584</v>
      </c>
      <c r="W235" s="6">
        <f>LOOKUP($E235,OBRAS!$D:$D,OBRAS!K:K)</f>
        <v>463327.31</v>
      </c>
      <c r="X235" s="109">
        <f t="shared" si="48"/>
        <v>0.14249999999999999</v>
      </c>
      <c r="Y235" s="109">
        <f t="shared" si="54"/>
        <v>0.746</v>
      </c>
      <c r="Z235" s="109">
        <f t="shared" si="49"/>
        <v>0.52229999999999999</v>
      </c>
      <c r="AA235" s="4" t="str">
        <f>LOOKUP($E235,OBRAS!$D:$D,OBRAS!H:H)</f>
        <v>OM-NC-16-R-007</v>
      </c>
    </row>
    <row r="236" spans="2:27" ht="75" x14ac:dyDescent="0.25">
      <c r="B236" s="56">
        <v>2374</v>
      </c>
      <c r="C236" s="49">
        <v>234</v>
      </c>
      <c r="D236" s="86" t="str">
        <f>LOOKUP($E236,OBRAS!$D:$D,OBRAS!C:C)</f>
        <v>SUPERVISION Y CONTROL DE CALIDAD: CONSTRUCCIÓN DE SEGUNDO CUERPO DE LA CALLE 1A EN COMPLEJO PUERTA OESTE Y DRENAJE PLUVIAL PROVINCIAS EN LA LOCALIDAD Y MUNICIPIO DE HERMOSILLO, SONORA</v>
      </c>
      <c r="E236" s="4" t="s">
        <v>151</v>
      </c>
      <c r="F236" s="4" t="s">
        <v>224</v>
      </c>
      <c r="G236" s="4" t="str">
        <f>LOOKUP($E236,OBRAS!$D:$D,OBRAS!E:E)</f>
        <v>C-00093/0012</v>
      </c>
      <c r="H236" s="80" t="s">
        <v>15</v>
      </c>
      <c r="I236" s="6">
        <v>22966.799999999999</v>
      </c>
      <c r="J236" s="6"/>
      <c r="K236" s="6">
        <f>ROUND(I236*0.3,2)</f>
        <v>6890.04</v>
      </c>
      <c r="L236" s="6">
        <f t="shared" si="52"/>
        <v>16076.76</v>
      </c>
      <c r="M236" s="6">
        <f t="shared" si="44"/>
        <v>2572.2800000000002</v>
      </c>
      <c r="N236" s="6">
        <f t="shared" si="45"/>
        <v>18649.04</v>
      </c>
      <c r="O236" s="6">
        <f>ROUND(I236*0.005,2)</f>
        <v>114.83</v>
      </c>
      <c r="P236" s="6">
        <f t="shared" si="46"/>
        <v>18534.21</v>
      </c>
      <c r="Q236" s="4" t="str">
        <f>LOOKUP($E236,OBRAS!$D:$D,OBRAS!B:B)</f>
        <v>ING. MARTIN GRAJEDA ARAGON</v>
      </c>
      <c r="R236" s="4" t="str">
        <f>LOOKUP($E236,OBRAS!$D:$D,OBRAS!A:A)</f>
        <v>HERMOSILLO</v>
      </c>
      <c r="S236" s="4" t="str">
        <f>LOOKUP($E236,OBRAS!$D:$D,OBRAS!F:F)</f>
        <v>11000002002201E201K02203A614242155GL07</v>
      </c>
      <c r="T236" s="4" t="str">
        <f>LOOKUP($E236,OBRAS!$D:$D,OBRAS!G:G)</f>
        <v>SO-926006995-N20-2015</v>
      </c>
      <c r="U236" s="4" t="s">
        <v>863</v>
      </c>
      <c r="V236" s="89">
        <v>42580</v>
      </c>
      <c r="W236" s="6">
        <f>LOOKUP($E236,OBRAS!$D:$D,OBRAS!K:K)</f>
        <v>463327.31</v>
      </c>
      <c r="X236" s="109">
        <f t="shared" si="48"/>
        <v>5.7500000000000002E-2</v>
      </c>
      <c r="Y236" s="109">
        <f t="shared" si="54"/>
        <v>0.746</v>
      </c>
      <c r="Z236" s="109">
        <f t="shared" si="49"/>
        <v>0.52229999999999999</v>
      </c>
      <c r="AA236" s="4" t="str">
        <f>LOOKUP($E236,OBRAS!$D:$D,OBRAS!H:H)</f>
        <v>OM-NC-16-R-007</v>
      </c>
    </row>
    <row r="237" spans="2:27" ht="45" x14ac:dyDescent="0.25">
      <c r="B237" s="56">
        <v>2426</v>
      </c>
      <c r="C237" s="49">
        <v>235</v>
      </c>
      <c r="D237" s="4" t="str">
        <f>LOOKUP($E237,OBRAS!$D:$D,OBRAS!C:C)</f>
        <v>RECONSTRUCCIÓN DEL CAMINO CALLE 16 EN VARIAS LOCALIDADES DEL MUNICIPIO DE CAJEME, SONORA.</v>
      </c>
      <c r="E237" s="4" t="s">
        <v>394</v>
      </c>
      <c r="F237" s="4" t="s">
        <v>224</v>
      </c>
      <c r="G237" s="4" t="str">
        <f>LOOKUP($E237,OBRAS!$D:$D,OBRAS!E:E)</f>
        <v>C-00054/0021</v>
      </c>
      <c r="H237" s="80" t="s">
        <v>55</v>
      </c>
      <c r="I237" s="6">
        <v>4213018.88</v>
      </c>
      <c r="J237" s="6"/>
      <c r="K237" s="6">
        <f>ROUND(I237*0.3,2)</f>
        <v>1263905.6599999999</v>
      </c>
      <c r="L237" s="6">
        <f t="shared" si="52"/>
        <v>2949113.22</v>
      </c>
      <c r="M237" s="6">
        <f t="shared" si="44"/>
        <v>471858.12</v>
      </c>
      <c r="N237" s="6">
        <f t="shared" si="45"/>
        <v>3420971.34</v>
      </c>
      <c r="O237" s="6">
        <v>20643.810000000001</v>
      </c>
      <c r="P237" s="6">
        <f t="shared" si="46"/>
        <v>3400327.53</v>
      </c>
      <c r="Q237" s="4" t="str">
        <f>LOOKUP($E237,OBRAS!$D:$D,OBRAS!B:B)</f>
        <v>TEKTON INGENIERIA, S.A. DE C.V.</v>
      </c>
      <c r="R237" s="4" t="str">
        <f>LOOKUP($E237,OBRAS!$D:$D,OBRAS!A:A)</f>
        <v>CAJEME</v>
      </c>
      <c r="S237" s="4" t="str">
        <f>LOOKUP($E237,OBRAS!$D:$D,OBRAS!F:F)</f>
        <v>11000002003501E203K03203A625012162A211</v>
      </c>
      <c r="T237" s="4" t="str">
        <f>LOOKUP($E237,OBRAS!$D:$D,OBRAS!G:G)</f>
        <v>CE-926006995-E3-2016</v>
      </c>
      <c r="U237" s="4" t="s">
        <v>863</v>
      </c>
      <c r="V237" s="89">
        <v>42593</v>
      </c>
      <c r="W237" s="6">
        <f>LOOKUP($E237,OBRAS!$D:$D,OBRAS!K:K)</f>
        <v>26465400</v>
      </c>
      <c r="X237" s="109">
        <f t="shared" si="48"/>
        <v>0.1847</v>
      </c>
      <c r="Y237" s="109">
        <f t="shared" si="54"/>
        <v>1</v>
      </c>
      <c r="Z237" s="109">
        <f t="shared" si="49"/>
        <v>1</v>
      </c>
      <c r="AA237" s="4" t="str">
        <f>LOOKUP($E237,OBRAS!$D:$D,OBRAS!H:H)</f>
        <v>SH-ED-17-R-013</v>
      </c>
    </row>
    <row r="238" spans="2:27" ht="60" x14ac:dyDescent="0.25">
      <c r="B238" s="56">
        <v>2427</v>
      </c>
      <c r="C238" s="49">
        <v>236</v>
      </c>
      <c r="D238" s="4" t="str">
        <f>LOOKUP($E238,OBRAS!$D:$D,OBRAS!C:C)</f>
        <v>CONSTRUCCION DE ANDADOR PEATONAL EN LA CALLE INTERNACIONAL ENTRE AVENIDAS 4 Y 33 EN LA LOCALIDAD Y MUNICIPIO DE AGUA PRIETA, SONORA</v>
      </c>
      <c r="E238" s="4" t="s">
        <v>150</v>
      </c>
      <c r="F238" s="4" t="s">
        <v>217</v>
      </c>
      <c r="G238" s="4" t="str">
        <f>LOOKUP($E238,OBRAS!$D:$D,OBRAS!E:E)</f>
        <v>C-00093/0006</v>
      </c>
      <c r="H238" s="80" t="s">
        <v>215</v>
      </c>
      <c r="I238" s="6">
        <v>1113180.6200000001</v>
      </c>
      <c r="J238" s="6"/>
      <c r="K238" s="6">
        <v>445272.25</v>
      </c>
      <c r="L238" s="6">
        <f t="shared" si="52"/>
        <v>667908.37</v>
      </c>
      <c r="M238" s="6">
        <f t="shared" si="44"/>
        <v>106865.34</v>
      </c>
      <c r="N238" s="6">
        <f t="shared" si="45"/>
        <v>774773.71</v>
      </c>
      <c r="O238" s="6">
        <f>ROUND(I238*0.005,2)</f>
        <v>5565.9</v>
      </c>
      <c r="P238" s="6">
        <f t="shared" si="46"/>
        <v>769207.81</v>
      </c>
      <c r="Q238" s="4" t="str">
        <f>LOOKUP($E238,OBRAS!$D:$D,OBRAS!B:B)</f>
        <v>PROYECTOS Y CONSTRUCCIONES DEL DESIERTO PYCDE, A.S. DE C.V.</v>
      </c>
      <c r="R238" s="4" t="str">
        <f>LOOKUP($E238,OBRAS!$D:$D,OBRAS!A:A)</f>
        <v>AGUA PRIETA</v>
      </c>
      <c r="S238" s="4" t="str">
        <f>LOOKUP($E238,OBRAS!$D:$D,OBRAS!F:F)</f>
        <v>11000002002201E201K02203A612012155GL04</v>
      </c>
      <c r="T238" s="4" t="str">
        <f>LOOKUP($E238,OBRAS!$D:$D,OBRAS!G:G)</f>
        <v>IO-926006995-N15-2015</v>
      </c>
      <c r="U238" s="4" t="s">
        <v>863</v>
      </c>
      <c r="V238" s="89">
        <v>42580</v>
      </c>
      <c r="W238" s="6">
        <f>LOOKUP($E238,OBRAS!$D:$D,OBRAS!K:K)</f>
        <v>7864941.8700000001</v>
      </c>
      <c r="X238" s="109">
        <f t="shared" si="48"/>
        <v>0.16420000000000001</v>
      </c>
      <c r="Y238" s="109">
        <f t="shared" si="54"/>
        <v>0.51800000000000002</v>
      </c>
      <c r="Z238" s="109">
        <f t="shared" si="49"/>
        <v>0.28139999999999998</v>
      </c>
      <c r="AA238" s="4" t="str">
        <f>LOOKUP($E238,OBRAS!$D:$D,OBRAS!H:H)</f>
        <v>OM-NC-16-R-007</v>
      </c>
    </row>
    <row r="239" spans="2:27" ht="30" x14ac:dyDescent="0.25">
      <c r="B239" s="56">
        <v>2428</v>
      </c>
      <c r="C239" s="84">
        <v>237</v>
      </c>
      <c r="D239" s="28" t="s">
        <v>710</v>
      </c>
      <c r="E239" s="4"/>
      <c r="F239" s="4"/>
      <c r="G239" s="4" t="e">
        <f>LOOKUP($E239,OBRAS!$D:$D,OBRAS!E:E)</f>
        <v>#N/A</v>
      </c>
      <c r="H239" s="80"/>
      <c r="I239" s="6"/>
      <c r="J239" s="6"/>
      <c r="K239" s="6">
        <f>ROUND(I239*0.3,2)</f>
        <v>0</v>
      </c>
      <c r="L239" s="6">
        <f t="shared" si="52"/>
        <v>0</v>
      </c>
      <c r="M239" s="6">
        <f t="shared" si="44"/>
        <v>0</v>
      </c>
      <c r="N239" s="6">
        <f t="shared" si="45"/>
        <v>0</v>
      </c>
      <c r="O239" s="6">
        <f>ROUND(I239*0.005,2)</f>
        <v>0</v>
      </c>
      <c r="P239" s="6">
        <f t="shared" si="46"/>
        <v>0</v>
      </c>
      <c r="Q239" s="4" t="e">
        <f>LOOKUP($E239,OBRAS!$D:$D,OBRAS!B:B)</f>
        <v>#N/A</v>
      </c>
      <c r="R239" s="4" t="e">
        <f>LOOKUP($E239,OBRAS!$D:$D,OBRAS!A:A)</f>
        <v>#N/A</v>
      </c>
      <c r="S239" s="4" t="e">
        <f>LOOKUP($E239,OBRAS!$D:$D,OBRAS!F:F)</f>
        <v>#N/A</v>
      </c>
      <c r="T239" s="4" t="e">
        <f>LOOKUP($E239,OBRAS!$D:$D,OBRAS!G:G)</f>
        <v>#N/A</v>
      </c>
      <c r="U239" s="4"/>
      <c r="V239" s="4"/>
      <c r="W239" s="6" t="e">
        <f>LOOKUP($E239,OBRAS!$D:$D,OBRAS!K:K)</f>
        <v>#N/A</v>
      </c>
      <c r="X239" s="109" t="e">
        <f t="shared" si="48"/>
        <v>#N/A</v>
      </c>
      <c r="Y239" s="109">
        <f t="shared" si="54"/>
        <v>0</v>
      </c>
      <c r="Z239" s="109" t="e">
        <f t="shared" si="49"/>
        <v>#N/A</v>
      </c>
      <c r="AA239" s="4" t="e">
        <f>LOOKUP($E239,OBRAS!$D:$D,OBRAS!H:H)</f>
        <v>#N/A</v>
      </c>
    </row>
    <row r="240" spans="2:27" ht="30" x14ac:dyDescent="0.25">
      <c r="B240" s="56">
        <v>2429</v>
      </c>
      <c r="C240" s="84">
        <v>238</v>
      </c>
      <c r="D240" s="4" t="s">
        <v>715</v>
      </c>
      <c r="E240" s="4"/>
      <c r="F240" s="4"/>
      <c r="G240" s="4" t="e">
        <f>LOOKUP($E240,OBRAS!$D:$D,OBRAS!E:E)</f>
        <v>#N/A</v>
      </c>
      <c r="H240" s="80"/>
      <c r="I240" s="6"/>
      <c r="J240" s="6"/>
      <c r="K240" s="6">
        <f>ROUND(I240*0.3,2)</f>
        <v>0</v>
      </c>
      <c r="L240" s="6">
        <f t="shared" si="52"/>
        <v>0</v>
      </c>
      <c r="M240" s="6">
        <f t="shared" si="44"/>
        <v>0</v>
      </c>
      <c r="N240" s="6">
        <f t="shared" si="45"/>
        <v>0</v>
      </c>
      <c r="O240" s="6">
        <f>ROUND(I240*0.005,2)</f>
        <v>0</v>
      </c>
      <c r="P240" s="6">
        <f t="shared" si="46"/>
        <v>0</v>
      </c>
      <c r="Q240" s="4" t="e">
        <f>LOOKUP($E240,OBRAS!$D:$D,OBRAS!B:B)</f>
        <v>#N/A</v>
      </c>
      <c r="R240" s="4" t="e">
        <f>LOOKUP($E240,OBRAS!$D:$D,OBRAS!A:A)</f>
        <v>#N/A</v>
      </c>
      <c r="S240" s="4" t="e">
        <f>LOOKUP($E240,OBRAS!$D:$D,OBRAS!F:F)</f>
        <v>#N/A</v>
      </c>
      <c r="T240" s="4" t="e">
        <f>LOOKUP($E240,OBRAS!$D:$D,OBRAS!G:G)</f>
        <v>#N/A</v>
      </c>
      <c r="U240" s="4"/>
      <c r="V240" s="4"/>
      <c r="W240" s="6" t="e">
        <f>LOOKUP($E240,OBRAS!$D:$D,OBRAS!K:K)</f>
        <v>#N/A</v>
      </c>
      <c r="X240" s="109" t="e">
        <f t="shared" si="48"/>
        <v>#N/A</v>
      </c>
      <c r="Y240" s="109">
        <f t="shared" si="54"/>
        <v>0</v>
      </c>
      <c r="Z240" s="109" t="e">
        <f t="shared" si="49"/>
        <v>#N/A</v>
      </c>
      <c r="AA240" s="4" t="e">
        <f>LOOKUP($E240,OBRAS!$D:$D,OBRAS!H:H)</f>
        <v>#N/A</v>
      </c>
    </row>
    <row r="241" spans="2:27" ht="90" x14ac:dyDescent="0.25">
      <c r="B241" s="56">
        <v>2430</v>
      </c>
      <c r="C241" s="49">
        <v>239</v>
      </c>
      <c r="D241" s="4" t="str">
        <f>LOOKUP($E241,OBRAS!$D:$D,OBRAS!C:C)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241" s="4" t="s">
        <v>320</v>
      </c>
      <c r="F241" s="4"/>
      <c r="G241" s="4" t="str">
        <f>LOOKUP($E241,OBRAS!$D:$D,OBRAS!E:E)</f>
        <v>C-00098/0021</v>
      </c>
      <c r="H241" s="80" t="s">
        <v>103</v>
      </c>
      <c r="I241" s="6">
        <v>236819.84</v>
      </c>
      <c r="J241" s="6"/>
      <c r="K241" s="6">
        <f>ROUND(I241*0.1,2)</f>
        <v>23681.98</v>
      </c>
      <c r="L241" s="6">
        <f t="shared" si="52"/>
        <v>213137.86</v>
      </c>
      <c r="M241" s="6">
        <f t="shared" si="44"/>
        <v>34102.06</v>
      </c>
      <c r="N241" s="6">
        <f t="shared" si="45"/>
        <v>247239.92</v>
      </c>
      <c r="O241" s="6">
        <f>ROUND(I241*0.002,2)+ROUND(I241*0.0003,2)+ROUND(I241*0.0003,2)+ROUND(I241*0.0003,2)</f>
        <v>686.79</v>
      </c>
      <c r="P241" s="6">
        <f t="shared" si="46"/>
        <v>246553.13</v>
      </c>
      <c r="Q241" s="4" t="str">
        <f>LOOKUP($E241,OBRAS!$D:$D,OBRAS!B:B)</f>
        <v>PROYECTOS Y SUPERVISION, J.H. ROMERO, S.A. DE C.V.</v>
      </c>
      <c r="R241" s="4" t="str">
        <f>LOOKUP($E241,OBRAS!$D:$D,OBRAS!A:A)</f>
        <v>VARIOS</v>
      </c>
      <c r="S241" s="4" t="str">
        <f>LOOKUP($E241,OBRAS!$D:$D,OBRAS!F:F)</f>
        <v>11000002003501E203K03203A625132161A013</v>
      </c>
      <c r="T241" s="4" t="str">
        <f>LOOKUP($E241,OBRAS!$D:$D,OBRAS!G:G)</f>
        <v>CE-926006995-E50-2016</v>
      </c>
      <c r="U241" s="4" t="s">
        <v>863</v>
      </c>
      <c r="V241" s="89">
        <v>42664</v>
      </c>
      <c r="W241" s="6">
        <f>LOOKUP($E241,OBRAS!$D:$D,OBRAS!K:K)</f>
        <v>1648266.09</v>
      </c>
      <c r="X241" s="109">
        <f t="shared" si="48"/>
        <v>0.16669999999999999</v>
      </c>
      <c r="Y241" s="109">
        <f t="shared" si="54"/>
        <v>1.0002</v>
      </c>
      <c r="Z241" s="109">
        <f t="shared" si="49"/>
        <v>1</v>
      </c>
      <c r="AA241" s="4" t="str">
        <f>LOOKUP($E241,OBRAS!$D:$D,OBRAS!H:H)</f>
        <v>SH-ED-16-040</v>
      </c>
    </row>
    <row r="242" spans="2:27" ht="30" x14ac:dyDescent="0.25">
      <c r="B242" s="56">
        <v>2434</v>
      </c>
      <c r="C242" s="49">
        <v>240</v>
      </c>
      <c r="D242" s="4" t="str">
        <f>LOOKUP($E242,OBRAS!$D:$D,OBRAS!C:C)</f>
        <v>RECONSTRUCCIÓN DE CAMINO HORNOS-ROSARIO</v>
      </c>
      <c r="E242" s="4" t="s">
        <v>532</v>
      </c>
      <c r="F242" s="4" t="s">
        <v>224</v>
      </c>
      <c r="G242" s="4" t="str">
        <f>LOOKUP($E242,OBRAS!$D:$D,OBRAS!E:E)</f>
        <v>C-00054/0024</v>
      </c>
      <c r="H242" s="80" t="s">
        <v>103</v>
      </c>
      <c r="I242" s="6">
        <v>967272.05</v>
      </c>
      <c r="J242" s="6"/>
      <c r="K242" s="6">
        <f>ROUND(I242*0.3,2)</f>
        <v>290181.62</v>
      </c>
      <c r="L242" s="6">
        <f t="shared" si="52"/>
        <v>677090.43</v>
      </c>
      <c r="M242" s="6">
        <f t="shared" si="44"/>
        <v>108334.47</v>
      </c>
      <c r="N242" s="6">
        <f t="shared" si="45"/>
        <v>785424.9</v>
      </c>
      <c r="O242" s="6">
        <f>ROUND(I242*0.002,2)+ROUND(I242*0.002,2)+ROUND(I242*0.0003,2)+ROUND(I242*0.0003,2)+ROUND(I242*0.0003,2)</f>
        <v>4739.62</v>
      </c>
      <c r="P242" s="6">
        <f t="shared" si="46"/>
        <v>780685.28</v>
      </c>
      <c r="Q242" s="4" t="str">
        <f>LOOKUP($E242,OBRAS!$D:$D,OBRAS!B:B)</f>
        <v>ADMINISTRADORA DE OBRAS OACSA, S.A. DE C.V.</v>
      </c>
      <c r="R242" s="4" t="str">
        <f>LOOKUP($E242,OBRAS!$D:$D,OBRAS!A:A)</f>
        <v>VARIOS</v>
      </c>
      <c r="S242" s="4" t="str">
        <f>LOOKUP($E242,OBRAS!$D:$D,OBRAS!F:F)</f>
        <v>11000002003501E204K08063A625012162A213</v>
      </c>
      <c r="T242" s="4" t="str">
        <f>LOOKUP($E242,OBRAS!$D:$D,OBRAS!G:G)</f>
        <v>CE-926006995-E7-2016</v>
      </c>
      <c r="U242" s="4" t="s">
        <v>863</v>
      </c>
      <c r="V242" s="89">
        <v>42632</v>
      </c>
      <c r="W242" s="6">
        <f>LOOKUP($E242,OBRAS!$D:$D,OBRAS!K:K)</f>
        <v>83353232.650000006</v>
      </c>
      <c r="X242" s="109">
        <f t="shared" si="48"/>
        <v>1.35E-2</v>
      </c>
      <c r="Y242" s="109">
        <f t="shared" si="54"/>
        <v>0.99390000000000001</v>
      </c>
      <c r="Z242" s="109">
        <f t="shared" si="49"/>
        <v>0.99370000000000003</v>
      </c>
      <c r="AA242" s="4" t="str">
        <f>LOOKUP($E242,OBRAS!$D:$D,OBRAS!H:H)</f>
        <v>SH-ED-17-R-013</v>
      </c>
    </row>
    <row r="243" spans="2:27" ht="30" x14ac:dyDescent="0.25">
      <c r="B243" s="56">
        <v>2435</v>
      </c>
      <c r="C243" s="49">
        <v>241</v>
      </c>
      <c r="D243" s="4" t="str">
        <f>LOOKUP($E243,OBRAS!$D:$D,OBRAS!C:C)</f>
        <v>RECONSTRUCCIÓN DE CAMINO HORNOS-ROSARIO</v>
      </c>
      <c r="E243" s="4" t="s">
        <v>532</v>
      </c>
      <c r="F243" s="4" t="s">
        <v>224</v>
      </c>
      <c r="G243" s="4" t="str">
        <f>LOOKUP($E243,OBRAS!$D:$D,OBRAS!E:E)</f>
        <v>C-00054/0024</v>
      </c>
      <c r="H243" s="80" t="s">
        <v>221</v>
      </c>
      <c r="I243" s="6">
        <v>3875154.61</v>
      </c>
      <c r="J243" s="6"/>
      <c r="K243" s="6">
        <f>ROUND(I243*0.3,2)</f>
        <v>1162546.3799999999</v>
      </c>
      <c r="L243" s="6">
        <f t="shared" si="52"/>
        <v>2712608.23</v>
      </c>
      <c r="M243" s="6">
        <f t="shared" si="44"/>
        <v>434017.32</v>
      </c>
      <c r="N243" s="6">
        <f t="shared" si="45"/>
        <v>3146625.55</v>
      </c>
      <c r="O243" s="6">
        <f>ROUND(I243*0.002,2)+ROUND(I243*0.002,2)+ROUND(I243*0.0003,2)+ROUND(I243*0.0003,2)+ROUND(I243*0.0003,2)</f>
        <v>18988.27</v>
      </c>
      <c r="P243" s="6">
        <f t="shared" si="46"/>
        <v>3127637.28</v>
      </c>
      <c r="Q243" s="4" t="str">
        <f>LOOKUP($E243,OBRAS!$D:$D,OBRAS!B:B)</f>
        <v>ADMINISTRADORA DE OBRAS OACSA, S.A. DE C.V.</v>
      </c>
      <c r="R243" s="4" t="str">
        <f>LOOKUP($E243,OBRAS!$D:$D,OBRAS!A:A)</f>
        <v>VARIOS</v>
      </c>
      <c r="S243" s="4" t="str">
        <f>LOOKUP($E243,OBRAS!$D:$D,OBRAS!F:F)</f>
        <v>11000002003501E204K08063A625012162A213</v>
      </c>
      <c r="T243" s="4" t="str">
        <f>LOOKUP($E243,OBRAS!$D:$D,OBRAS!G:G)</f>
        <v>CE-926006995-E7-2016</v>
      </c>
      <c r="U243" s="4" t="s">
        <v>863</v>
      </c>
      <c r="V243" s="89">
        <v>42632</v>
      </c>
      <c r="W243" s="6">
        <f>LOOKUP($E243,OBRAS!$D:$D,OBRAS!K:K)</f>
        <v>83353232.650000006</v>
      </c>
      <c r="X243" s="109">
        <f t="shared" si="48"/>
        <v>5.3900000000000003E-2</v>
      </c>
      <c r="Y243" s="109">
        <f t="shared" si="54"/>
        <v>0.99390000000000001</v>
      </c>
      <c r="Z243" s="109">
        <f t="shared" si="49"/>
        <v>0.99370000000000003</v>
      </c>
      <c r="AA243" s="4" t="str">
        <f>LOOKUP($E243,OBRAS!$D:$D,OBRAS!H:H)</f>
        <v>SH-ED-17-R-013</v>
      </c>
    </row>
    <row r="244" spans="2:27" ht="60" x14ac:dyDescent="0.25">
      <c r="B244" s="56">
        <v>2431</v>
      </c>
      <c r="C244" s="49">
        <v>242</v>
      </c>
      <c r="D244" s="4" t="str">
        <f>LOOKUP($E244,OBRAS!$D:$D,OBRAS!C:C)</f>
        <v>SUPERVISION EXTERNA Y CONTROL DE CALIDAD DE LA CONSERVACION Y RECONSTRUCCION DEL TRAMO EL CRUCERO-GRANADOS DEL KM 0+000 AL KM 7+250</v>
      </c>
      <c r="E244" s="4" t="s">
        <v>490</v>
      </c>
      <c r="F244" s="4"/>
      <c r="G244" s="4" t="str">
        <f>LOOKUP($E244,OBRAS!$D:$D,OBRAS!E:E)</f>
        <v>C-00098/0021</v>
      </c>
      <c r="H244" s="80" t="s">
        <v>103</v>
      </c>
      <c r="I244" s="6">
        <v>135226.67000000001</v>
      </c>
      <c r="J244" s="6"/>
      <c r="K244" s="6"/>
      <c r="L244" s="6">
        <f t="shared" si="52"/>
        <v>135226.67000000001</v>
      </c>
      <c r="M244" s="6">
        <f t="shared" si="44"/>
        <v>21636.27</v>
      </c>
      <c r="N244" s="6">
        <f t="shared" si="45"/>
        <v>156862.94</v>
      </c>
      <c r="O244" s="6">
        <v>392.16</v>
      </c>
      <c r="P244" s="6">
        <f t="shared" si="46"/>
        <v>156470.78</v>
      </c>
      <c r="Q244" s="4" t="str">
        <f>LOOKUP($E244,OBRAS!$D:$D,OBRAS!B:B)</f>
        <v>PROYECTOS Y SUPERVISION, J.H. ROMERO, S.A. DE C.V.</v>
      </c>
      <c r="R244" s="4" t="str">
        <f>LOOKUP($E244,OBRAS!$D:$D,OBRAS!A:A)</f>
        <v>VARIOS</v>
      </c>
      <c r="S244" s="4" t="str">
        <f>LOOKUP($E244,OBRAS!$D:$D,OBRAS!F:F)</f>
        <v>11000002003501E203K03203A625132161A013</v>
      </c>
      <c r="T244" s="4" t="str">
        <f>LOOKUP($E244,OBRAS!$D:$D,OBRAS!G:G)</f>
        <v>LICITACIÓN SIMPLIFICADA</v>
      </c>
      <c r="U244" s="4" t="s">
        <v>863</v>
      </c>
      <c r="V244" s="89">
        <v>42664</v>
      </c>
      <c r="W244" s="6">
        <f>LOOKUP($E244,OBRAS!$D:$D,OBRAS!K:K)</f>
        <v>470588.81</v>
      </c>
      <c r="X244" s="109">
        <f t="shared" si="48"/>
        <v>0.33329999999999999</v>
      </c>
      <c r="Y244" s="109">
        <f t="shared" si="54"/>
        <v>0.66659999999999997</v>
      </c>
      <c r="Z244" s="109">
        <f t="shared" si="49"/>
        <v>0.66669999999999996</v>
      </c>
      <c r="AA244" s="4" t="str">
        <f>LOOKUP($E244,OBRAS!$D:$D,OBRAS!H:H)</f>
        <v>SH-ED-16-051</v>
      </c>
    </row>
    <row r="245" spans="2:27" ht="60" x14ac:dyDescent="0.25">
      <c r="B245" s="56">
        <v>2432</v>
      </c>
      <c r="C245" s="49">
        <v>243</v>
      </c>
      <c r="D245" s="4" t="str">
        <f>LOOKUP($E245,OBRAS!$D:$D,OBRAS!C:C)</f>
        <v>SUPERVISION EXTERNA Y CONTROL DE CALIDAD DE LA CONSERVACION Y RECONSTRUCCION DEL TRAMO EL CRUCERO- VILLA HIDALGO (KM 0+000 AL 28+500)</v>
      </c>
      <c r="E245" s="4" t="s">
        <v>492</v>
      </c>
      <c r="F245" s="4"/>
      <c r="G245" s="4" t="str">
        <f>LOOKUP($E245,OBRAS!$D:$D,OBRAS!E:E)</f>
        <v>C-00098/0021</v>
      </c>
      <c r="H245" s="80" t="s">
        <v>103</v>
      </c>
      <c r="I245" s="6">
        <v>236646</v>
      </c>
      <c r="J245" s="6"/>
      <c r="K245" s="6"/>
      <c r="L245" s="6">
        <f t="shared" si="52"/>
        <v>236646</v>
      </c>
      <c r="M245" s="6">
        <f t="shared" si="44"/>
        <v>37863.360000000001</v>
      </c>
      <c r="N245" s="6">
        <f t="shared" si="45"/>
        <v>274509.36</v>
      </c>
      <c r="O245" s="6">
        <v>686.26</v>
      </c>
      <c r="P245" s="6">
        <f t="shared" si="46"/>
        <v>273823.09999999998</v>
      </c>
      <c r="Q245" s="4" t="str">
        <f>LOOKUP($E245,OBRAS!$D:$D,OBRAS!B:B)</f>
        <v>PROYECTOS Y SUPERVISION, J.H. ROMERO, S.A. DE C.V.</v>
      </c>
      <c r="R245" s="4" t="str">
        <f>LOOKUP($E245,OBRAS!$D:$D,OBRAS!A:A)</f>
        <v>VARIOS</v>
      </c>
      <c r="S245" s="4" t="str">
        <f>LOOKUP($E245,OBRAS!$D:$D,OBRAS!F:F)</f>
        <v>11000002003501E203K03203A625132161A013</v>
      </c>
      <c r="T245" s="4" t="str">
        <f>LOOKUP($E245,OBRAS!$D:$D,OBRAS!G:G)</f>
        <v>LICITACIÓN SIMPLIFICADA</v>
      </c>
      <c r="U245" s="4" t="s">
        <v>863</v>
      </c>
      <c r="V245" s="89">
        <v>42671</v>
      </c>
      <c r="W245" s="6">
        <f>LOOKUP($E245,OBRAS!$D:$D,OBRAS!K:K)</f>
        <v>823528.08</v>
      </c>
      <c r="X245" s="109">
        <f t="shared" si="48"/>
        <v>0.33329999999999999</v>
      </c>
      <c r="Y245" s="109">
        <f t="shared" si="54"/>
        <v>0.66659999999999997</v>
      </c>
      <c r="Z245" s="109">
        <f t="shared" si="49"/>
        <v>0.66669999999999996</v>
      </c>
      <c r="AA245" s="4" t="str">
        <f>LOOKUP($E245,OBRAS!$D:$D,OBRAS!H:H)</f>
        <v>SH-ED-16-051</v>
      </c>
    </row>
    <row r="246" spans="2:27" ht="30" x14ac:dyDescent="0.25">
      <c r="B246" s="56">
        <v>2436</v>
      </c>
      <c r="C246" s="49">
        <v>244</v>
      </c>
      <c r="D246" s="4" t="str">
        <f>LOOKUP($E246,OBRAS!$D:$D,OBRAS!C:C)</f>
        <v>RECONSTRUCCIÓN DE CAMINO HORNOS-ROSARIO</v>
      </c>
      <c r="E246" s="4" t="s">
        <v>532</v>
      </c>
      <c r="F246" s="4" t="s">
        <v>224</v>
      </c>
      <c r="G246" s="4" t="str">
        <f>LOOKUP($E246,OBRAS!$D:$D,OBRAS!E:E)</f>
        <v>C-00054/0024</v>
      </c>
      <c r="H246" s="80" t="s">
        <v>55</v>
      </c>
      <c r="I246" s="6">
        <v>6312837.3499999996</v>
      </c>
      <c r="J246" s="6"/>
      <c r="K246" s="6">
        <f>I246-L246</f>
        <v>1893921.21</v>
      </c>
      <c r="L246" s="6">
        <v>4418916.1399999997</v>
      </c>
      <c r="M246" s="6">
        <f t="shared" si="44"/>
        <v>707026.58</v>
      </c>
      <c r="N246" s="6">
        <f t="shared" si="45"/>
        <v>5125942.72</v>
      </c>
      <c r="O246" s="6">
        <f>ROUND(I246*0.002,2)+ROUND(I246*0.002,2)+ROUND(I246*0.0003,2)+ROUND(I246*0.0003,2)+ROUND(I246*0.0003,2)</f>
        <v>30932.89</v>
      </c>
      <c r="P246" s="6">
        <f t="shared" si="46"/>
        <v>5095009.83</v>
      </c>
      <c r="Q246" s="4" t="str">
        <f>LOOKUP($E246,OBRAS!$D:$D,OBRAS!B:B)</f>
        <v>ADMINISTRADORA DE OBRAS OACSA, S.A. DE C.V.</v>
      </c>
      <c r="R246" s="4" t="str">
        <f>LOOKUP($E246,OBRAS!$D:$D,OBRAS!A:A)</f>
        <v>VARIOS</v>
      </c>
      <c r="S246" s="4" t="str">
        <f>LOOKUP($E246,OBRAS!$D:$D,OBRAS!F:F)</f>
        <v>11000002003501E204K08063A625012162A213</v>
      </c>
      <c r="T246" s="4" t="str">
        <f>LOOKUP($E246,OBRAS!$D:$D,OBRAS!G:G)</f>
        <v>CE-926006995-E7-2016</v>
      </c>
      <c r="U246" s="4" t="s">
        <v>863</v>
      </c>
      <c r="V246" s="89">
        <v>42643</v>
      </c>
      <c r="W246" s="6">
        <f>LOOKUP($E246,OBRAS!$D:$D,OBRAS!K:K)</f>
        <v>83353232.650000006</v>
      </c>
      <c r="X246" s="109">
        <f t="shared" si="48"/>
        <v>8.7900000000000006E-2</v>
      </c>
      <c r="Y246" s="109">
        <f t="shared" si="54"/>
        <v>0.99390000000000001</v>
      </c>
      <c r="Z246" s="109">
        <f t="shared" si="49"/>
        <v>0.99370000000000003</v>
      </c>
      <c r="AA246" s="4" t="str">
        <f>LOOKUP($E246,OBRAS!$D:$D,OBRAS!H:H)</f>
        <v>SH-ED-17-R-013</v>
      </c>
    </row>
    <row r="247" spans="2:27" ht="60" x14ac:dyDescent="0.25">
      <c r="B247" s="56">
        <v>2454</v>
      </c>
      <c r="C247" s="49">
        <v>245</v>
      </c>
      <c r="D247" s="4" t="str">
        <f>LOOKUP($E247,OBRAS!$D:$D,OBRAS!C:C)</f>
        <v>CONSERVACION Y RECONSTRUCCION DE CARRETERAS ALIMENTADORAS REGION GUAYMAS--EMPALME, TRAMO: AGUILITAS-BRINGAS DEL KM 0+000 AL KM 10+500</v>
      </c>
      <c r="E247" s="4" t="s">
        <v>566</v>
      </c>
      <c r="F247" s="4" t="s">
        <v>224</v>
      </c>
      <c r="G247" s="4" t="str">
        <f>LOOKUP($E247,OBRAS!$D:$D,OBRAS!E:E)</f>
        <v>C-00054/0058</v>
      </c>
      <c r="H247" s="80" t="s">
        <v>103</v>
      </c>
      <c r="I247" s="6">
        <v>2744465.6</v>
      </c>
      <c r="J247" s="6"/>
      <c r="K247" s="6">
        <f>ROUND(I247*0.3,2)</f>
        <v>823339.68</v>
      </c>
      <c r="L247" s="6">
        <f t="shared" ref="L247:L278" si="55">I247-K247</f>
        <v>1921125.92</v>
      </c>
      <c r="M247" s="6">
        <f t="shared" si="44"/>
        <v>307380.15000000002</v>
      </c>
      <c r="N247" s="6">
        <f t="shared" si="45"/>
        <v>2228506.0699999998</v>
      </c>
      <c r="O247" s="6">
        <f>ROUND(I247*0.002,2)+ROUND(I247*0.002,2)+ROUND(I247*0.0003,2)+ROUND(I247*0.0003,2)+ROUND(I247*0.0003,2)</f>
        <v>13447.88</v>
      </c>
      <c r="P247" s="6">
        <f t="shared" si="46"/>
        <v>2215058.19</v>
      </c>
      <c r="Q247" s="4" t="str">
        <f>LOOKUP($E247,OBRAS!$D:$D,OBRAS!B:B)</f>
        <v>MAQUINARIA Y AGREGADOS GALA S.A. DE C.V.</v>
      </c>
      <c r="R247" s="4" t="str">
        <f>LOOKUP($E247,OBRAS!$D:$D,OBRAS!A:A)</f>
        <v>VARIOS</v>
      </c>
      <c r="S247" s="4" t="str">
        <f>LOOKUP($E247,OBRAS!$D:$D,OBRAS!F:F)</f>
        <v>11000002003501E204K08063A625012162A213</v>
      </c>
      <c r="T247" s="4" t="str">
        <f>LOOKUP($E247,OBRAS!$D:$D,OBRAS!G:G)</f>
        <v>CE-926006995-E22-2016</v>
      </c>
      <c r="U247" s="4" t="s">
        <v>863</v>
      </c>
      <c r="V247" s="89">
        <v>42632</v>
      </c>
      <c r="W247" s="6">
        <f>LOOKUP($E247,OBRAS!$D:$D,OBRAS!K:K)</f>
        <v>21349397.859999999</v>
      </c>
      <c r="X247" s="109">
        <f t="shared" si="48"/>
        <v>0.14910000000000001</v>
      </c>
      <c r="Y247" s="109">
        <f t="shared" si="54"/>
        <v>0.96679999999999999</v>
      </c>
      <c r="Z247" s="109">
        <f t="shared" si="49"/>
        <v>0.96679999999999999</v>
      </c>
      <c r="AA247" s="4" t="str">
        <f>LOOKUP($E247,OBRAS!$D:$D,OBRAS!H:H)</f>
        <v>SH-ED-17-R-013</v>
      </c>
    </row>
    <row r="248" spans="2:27" ht="60" x14ac:dyDescent="0.25">
      <c r="B248" s="56">
        <v>2455</v>
      </c>
      <c r="C248" s="49">
        <v>246</v>
      </c>
      <c r="D248" s="4" t="str">
        <f>LOOKUP($E248,OBRAS!$D:$D,OBRAS!C:C)</f>
        <v>CONSERVACION Y RECONSTRUCCION DE CARRETERAS ALIMENTADORAS REGION GUAYMAS--EMPALME, TRAMO: AGUILITAS-BRINGAS DEL KM 0+000 AL KM 10+500</v>
      </c>
      <c r="E248" s="4" t="s">
        <v>566</v>
      </c>
      <c r="F248" s="4" t="s">
        <v>224</v>
      </c>
      <c r="G248" s="4" t="str">
        <f>LOOKUP($E248,OBRAS!$D:$D,OBRAS!E:E)</f>
        <v>C-00054/0058</v>
      </c>
      <c r="H248" s="80" t="s">
        <v>221</v>
      </c>
      <c r="I248" s="6">
        <v>2617549.91</v>
      </c>
      <c r="J248" s="6"/>
      <c r="K248" s="6">
        <f>ROUND(I248*0.3,2)</f>
        <v>785264.97</v>
      </c>
      <c r="L248" s="6">
        <f t="shared" si="55"/>
        <v>1832284.94</v>
      </c>
      <c r="M248" s="6">
        <f t="shared" ref="M248:M311" si="56">ROUND(L248*0.16,2)</f>
        <v>293165.59000000003</v>
      </c>
      <c r="N248" s="6">
        <f t="shared" ref="N248:N311" si="57">M248+L248</f>
        <v>2125450.5299999998</v>
      </c>
      <c r="O248" s="6">
        <v>12826.01</v>
      </c>
      <c r="P248" s="6">
        <f t="shared" ref="P248:P311" si="58">N248-O248</f>
        <v>2112624.52</v>
      </c>
      <c r="Q248" s="4" t="str">
        <f>LOOKUP($E248,OBRAS!$D:$D,OBRAS!B:B)</f>
        <v>MAQUINARIA Y AGREGADOS GALA S.A. DE C.V.</v>
      </c>
      <c r="R248" s="4" t="str">
        <f>LOOKUP($E248,OBRAS!$D:$D,OBRAS!A:A)</f>
        <v>VARIOS</v>
      </c>
      <c r="S248" s="4" t="str">
        <f>LOOKUP($E248,OBRAS!$D:$D,OBRAS!F:F)</f>
        <v>11000002003501E204K08063A625012162A213</v>
      </c>
      <c r="T248" s="4" t="str">
        <f>LOOKUP($E248,OBRAS!$D:$D,OBRAS!G:G)</f>
        <v>CE-926006995-E22-2016</v>
      </c>
      <c r="U248" s="4" t="s">
        <v>863</v>
      </c>
      <c r="V248" s="89">
        <v>42635</v>
      </c>
      <c r="W248" s="6">
        <f>LOOKUP($E248,OBRAS!$D:$D,OBRAS!K:K)</f>
        <v>21349397.859999999</v>
      </c>
      <c r="X248" s="109">
        <f t="shared" si="48"/>
        <v>0.14219999999999999</v>
      </c>
      <c r="Y248" s="109">
        <f t="shared" si="54"/>
        <v>0.96679999999999999</v>
      </c>
      <c r="Z248" s="109">
        <f t="shared" si="49"/>
        <v>0.96679999999999999</v>
      </c>
      <c r="AA248" s="4" t="str">
        <f>LOOKUP($E248,OBRAS!$D:$D,OBRAS!H:H)</f>
        <v>SH-ED-17-R-013</v>
      </c>
    </row>
    <row r="249" spans="2:27" ht="60" x14ac:dyDescent="0.25">
      <c r="B249" s="56">
        <v>2456</v>
      </c>
      <c r="C249" s="49">
        <v>247</v>
      </c>
      <c r="D249" s="4" t="str">
        <f>LOOKUP($E249,OBRAS!$D:$D,OBRAS!C:C)</f>
        <v>SUPERVISION EXTERNA Y CONTROL DE CALIDAD CONSTRUCCION Y RECONSTRUCCION DEL TRAMO CABORCA-Y GRIEGA EN LA LOCALIDAD DE CABORCA, SONORA</v>
      </c>
      <c r="E249" s="4" t="s">
        <v>451</v>
      </c>
      <c r="F249" s="4"/>
      <c r="G249" s="4" t="str">
        <f>LOOKUP($E249,OBRAS!$D:$D,OBRAS!E:E)</f>
        <v>C-00098/0021</v>
      </c>
      <c r="H249" s="80" t="s">
        <v>221</v>
      </c>
      <c r="I249" s="6">
        <v>350215.56</v>
      </c>
      <c r="J249" s="6"/>
      <c r="K249" s="6">
        <f>ROUND(I249*0.1,2)</f>
        <v>35021.56</v>
      </c>
      <c r="L249" s="6">
        <f t="shared" si="55"/>
        <v>315194</v>
      </c>
      <c r="M249" s="6">
        <f t="shared" si="56"/>
        <v>50431.040000000001</v>
      </c>
      <c r="N249" s="6">
        <f t="shared" si="57"/>
        <v>365625.04</v>
      </c>
      <c r="O249" s="6">
        <f>ROUND(I249*0.002,2)+ROUND(I249*0.0003,2)+ROUND(I249*0.0003,2)+ROUND(I249*0.0003,2)</f>
        <v>1015.61</v>
      </c>
      <c r="P249" s="6">
        <f t="shared" si="58"/>
        <v>364609.43</v>
      </c>
      <c r="Q249" s="4" t="str">
        <f>LOOKUP($E249,OBRAS!$D:$D,OBRAS!B:B)</f>
        <v>JRM CONSULTORES, S.A. DE C.V</v>
      </c>
      <c r="R249" s="4" t="str">
        <f>LOOKUP($E249,OBRAS!$D:$D,OBRAS!A:A)</f>
        <v>CABORCA</v>
      </c>
      <c r="S249" s="4" t="str">
        <f>LOOKUP($E249,OBRAS!$D:$D,OBRAS!F:F)</f>
        <v>11000002003501E203K03203A625132161A013C-00098/0021</v>
      </c>
      <c r="T249" s="4" t="str">
        <f>LOOKUP($E249,OBRAS!$D:$D,OBRAS!G:G)</f>
        <v>CE-926006995-E48-2016</v>
      </c>
      <c r="U249" s="4" t="s">
        <v>863</v>
      </c>
      <c r="V249" s="89">
        <v>42664</v>
      </c>
      <c r="W249" s="6">
        <f>LOOKUP($E249,OBRAS!$D:$D,OBRAS!K:K)</f>
        <v>2299094.85</v>
      </c>
      <c r="X249" s="109">
        <f t="shared" si="48"/>
        <v>0.1767</v>
      </c>
      <c r="Y249" s="109">
        <f t="shared" si="54"/>
        <v>1</v>
      </c>
      <c r="Z249" s="109">
        <f t="shared" si="49"/>
        <v>1</v>
      </c>
      <c r="AA249" s="4" t="str">
        <f>LOOKUP($E249,OBRAS!$D:$D,OBRAS!H:H)</f>
        <v>SH-ED-16-040</v>
      </c>
    </row>
    <row r="250" spans="2:27" ht="75" x14ac:dyDescent="0.25">
      <c r="B250" s="56">
        <v>2457</v>
      </c>
      <c r="C250" s="49">
        <v>248</v>
      </c>
      <c r="D250" s="4" t="str">
        <f>LOOKUP($E250,OBRAS!$D:$D,OBRAS!C:C)</f>
        <v>SUPERVISION EXYERNA Y CONTROL DE CALIDAD DE LA CONSERVACION Y RECONSTRUCCION DE CARRETERAS ALIMENTADORAS REGION GUAYMAS--EMPALME, TRAMO: AGUILITAS-BRINGAS DEL KM 0+000 AL KM 10+500</v>
      </c>
      <c r="E250" s="4" t="s">
        <v>416</v>
      </c>
      <c r="F250" s="4"/>
      <c r="G250" s="4" t="str">
        <f>LOOKUP($E250,OBRAS!$D:$D,OBRAS!E:E)</f>
        <v>C-00098/0021</v>
      </c>
      <c r="H250" s="80" t="s">
        <v>103</v>
      </c>
      <c r="I250" s="6">
        <v>179201.93</v>
      </c>
      <c r="J250" s="6"/>
      <c r="K250" s="6">
        <f>ROUND(I250*0.1,2)</f>
        <v>17920.189999999999</v>
      </c>
      <c r="L250" s="6">
        <f t="shared" si="55"/>
        <v>161281.74</v>
      </c>
      <c r="M250" s="6">
        <f t="shared" si="56"/>
        <v>25805.08</v>
      </c>
      <c r="N250" s="6">
        <f t="shared" si="57"/>
        <v>187086.82</v>
      </c>
      <c r="O250" s="6">
        <f>ROUND(I250*0.002,2)+ROUND(I250*0.0003,2)+ROUND(I250*0.0003,2)+ROUND(I250*0.0003,2)</f>
        <v>519.67999999999995</v>
      </c>
      <c r="P250" s="6">
        <f t="shared" si="58"/>
        <v>186567.14</v>
      </c>
      <c r="Q250" s="4" t="str">
        <f>LOOKUP($E250,OBRAS!$D:$D,OBRAS!B:B)</f>
        <v>ISAFRA CONSTRUCCIONES, S.A. DE C.V.</v>
      </c>
      <c r="R250" s="4" t="str">
        <f>LOOKUP($E250,OBRAS!$D:$D,OBRAS!A:A)</f>
        <v>VARIOS</v>
      </c>
      <c r="S250" s="4" t="str">
        <f>LOOKUP($E250,OBRAS!$D:$D,OBRAS!F:F)</f>
        <v>11000002003501E203K03203A625132161A013</v>
      </c>
      <c r="T250" s="4" t="str">
        <f>LOOKUP($E250,OBRAS!$D:$D,OBRAS!G:G)</f>
        <v>LICITACIÓN SIMPLIFICADA</v>
      </c>
      <c r="U250" s="4" t="s">
        <v>863</v>
      </c>
      <c r="V250" s="89">
        <v>42671</v>
      </c>
      <c r="W250" s="6">
        <f>LOOKUP($E250,OBRAS!$D:$D,OBRAS!K:K)</f>
        <v>623622.72</v>
      </c>
      <c r="X250" s="109">
        <f t="shared" ref="X250:X313" si="59">IF(H250&lt;&gt;"ANTICIPO",I250/(W250/1.16),"")</f>
        <v>0.33329999999999999</v>
      </c>
      <c r="Y250" s="109">
        <f t="shared" si="54"/>
        <v>1</v>
      </c>
      <c r="Z250" s="109">
        <f t="shared" ref="Z250:Z313" si="60">SUMIF(E:E,E250,N:N)/W250</f>
        <v>1</v>
      </c>
      <c r="AA250" s="4" t="str">
        <f>LOOKUP($E250,OBRAS!$D:$D,OBRAS!H:H)</f>
        <v>SH-ED-16-051</v>
      </c>
    </row>
    <row r="251" spans="2:27" ht="60" x14ac:dyDescent="0.25">
      <c r="B251" s="56">
        <v>2458</v>
      </c>
      <c r="C251" s="49">
        <v>249</v>
      </c>
      <c r="D251" s="4" t="str">
        <f>LOOKUP($E251,OBRAS!$D:$D,OBRAS!C:C)</f>
        <v>CONSERVACION Y RECONSTRUCCION DE CARRETERAS ALIMENTADORAS REGION GUAYMAS-EMPALME, TRAMO: E.C. (PROVIDENCIA-ORTIZ)-LA MISA</v>
      </c>
      <c r="E251" s="4" t="s">
        <v>582</v>
      </c>
      <c r="F251" s="4" t="s">
        <v>401</v>
      </c>
      <c r="G251" s="4" t="str">
        <f>LOOKUP($E251,OBRAS!$D:$D,OBRAS!E:E)</f>
        <v>C-00054/0065</v>
      </c>
      <c r="H251" s="80" t="s">
        <v>103</v>
      </c>
      <c r="I251" s="6">
        <v>2318761.9500000002</v>
      </c>
      <c r="J251" s="6"/>
      <c r="K251" s="6">
        <f t="shared" ref="K251:K261" si="61">ROUND(I251*0.3,2)</f>
        <v>695628.59</v>
      </c>
      <c r="L251" s="6">
        <f t="shared" si="55"/>
        <v>1623133.36</v>
      </c>
      <c r="M251" s="6">
        <f t="shared" si="56"/>
        <v>259701.34</v>
      </c>
      <c r="N251" s="6">
        <f t="shared" si="57"/>
        <v>1882834.7</v>
      </c>
      <c r="O251" s="6">
        <f>ROUND(I251*0.002,2)+ROUND(I251*0.002,2)+ROUND(I251*0.0003,2)+ROUND(I251*0.0003,2)+ROUND(I251*0.0003,2)</f>
        <v>11361.93</v>
      </c>
      <c r="P251" s="6">
        <f t="shared" si="58"/>
        <v>1871472.77</v>
      </c>
      <c r="Q251" s="4" t="str">
        <f>LOOKUP($E251,OBRAS!$D:$D,OBRAS!B:B)</f>
        <v>GILA MINAS Y DESARROLLOS SA DE CV</v>
      </c>
      <c r="R251" s="4" t="str">
        <f>LOOKUP($E251,OBRAS!$D:$D,OBRAS!A:A)</f>
        <v>VARIOS</v>
      </c>
      <c r="S251" s="4" t="str">
        <f>LOOKUP($E251,OBRAS!$D:$D,OBRAS!F:F)</f>
        <v>11000002003501E204K08063A625012162213</v>
      </c>
      <c r="T251" s="4" t="str">
        <f>LOOKUP($E251,OBRAS!$D:$D,OBRAS!G:G)</f>
        <v>CE-926006995-E29-2016</v>
      </c>
      <c r="U251" s="4" t="s">
        <v>863</v>
      </c>
      <c r="V251" s="89">
        <v>42632</v>
      </c>
      <c r="W251" s="6">
        <f>LOOKUP($E251,OBRAS!$D:$D,OBRAS!K:K)</f>
        <v>31555491.960000001</v>
      </c>
      <c r="X251" s="109">
        <f t="shared" si="59"/>
        <v>8.5199999999999998E-2</v>
      </c>
      <c r="Y251" s="109">
        <f t="shared" si="54"/>
        <v>0.9194</v>
      </c>
      <c r="Z251" s="109">
        <f t="shared" si="60"/>
        <v>0.9194</v>
      </c>
      <c r="AA251" s="4" t="str">
        <f>LOOKUP($E251,OBRAS!$D:$D,OBRAS!H:H)</f>
        <v>SH-ED-17-R-013</v>
      </c>
    </row>
    <row r="252" spans="2:27" ht="45" x14ac:dyDescent="0.25">
      <c r="B252" s="56">
        <v>2459</v>
      </c>
      <c r="C252" s="49">
        <v>250</v>
      </c>
      <c r="D252" s="4" t="str">
        <f>LOOKUP($E252,OBRAS!$D:$D,OBRAS!C:C)</f>
        <v>CONSERVACION Y RECONSTRUCCION DEL TRAMO MOCTEZUMA- EL CRUCERO (TRAMO KM 164+500 AL KM 210+750) EN LA REGION DE LA SIERRA.</v>
      </c>
      <c r="E252" s="4" t="s">
        <v>343</v>
      </c>
      <c r="F252" s="4"/>
      <c r="G252" s="4" t="str">
        <f>LOOKUP($E252,OBRAS!$D:$D,OBRAS!E:E)</f>
        <v>C-00054/0052</v>
      </c>
      <c r="H252" s="80" t="s">
        <v>103</v>
      </c>
      <c r="I252" s="6">
        <v>568615.68000000005</v>
      </c>
      <c r="J252" s="6"/>
      <c r="K252" s="6">
        <f t="shared" si="61"/>
        <v>170584.7</v>
      </c>
      <c r="L252" s="6">
        <f t="shared" si="55"/>
        <v>398030.98</v>
      </c>
      <c r="M252" s="6">
        <f t="shared" si="56"/>
        <v>63684.959999999999</v>
      </c>
      <c r="N252" s="6">
        <f t="shared" si="57"/>
        <v>461715.94</v>
      </c>
      <c r="O252" s="6">
        <f>ROUND(I252*0.002,2)+ROUND(I252*0.002,2)+ROUND(I252*0.0003,2)+ROUND(I252*0.0003,2)+ROUND(I252*0.0003,2)</f>
        <v>2786.2</v>
      </c>
      <c r="P252" s="6">
        <f t="shared" si="58"/>
        <v>458929.74</v>
      </c>
      <c r="Q252" s="4" t="str">
        <f>LOOKUP($E252,OBRAS!$D:$D,OBRAS!B:B)</f>
        <v>LA AZTECA CONSTRUCCIONES Y URBANIZACIONES, S.A. DE C.V.</v>
      </c>
      <c r="R252" s="4" t="str">
        <f>LOOKUP($E252,OBRAS!$D:$D,OBRAS!A:A)</f>
        <v>VARIOS</v>
      </c>
      <c r="S252" s="4" t="str">
        <f>LOOKUP($E252,OBRAS!$D:$D,OBRAS!F:F)</f>
        <v>11000002003501E204K08063A625012162A213</v>
      </c>
      <c r="T252" s="4" t="str">
        <f>LOOKUP($E252,OBRAS!$D:$D,OBRAS!G:G)</f>
        <v>CE-926006995-E16-2016</v>
      </c>
      <c r="U252" s="4" t="s">
        <v>863</v>
      </c>
      <c r="V252" s="89">
        <v>42643</v>
      </c>
      <c r="W252" s="6">
        <f>LOOKUP($E252,OBRAS!$D:$D,OBRAS!K:K)</f>
        <v>60543852.310000002</v>
      </c>
      <c r="X252" s="109">
        <f t="shared" si="59"/>
        <v>1.09E-2</v>
      </c>
      <c r="Y252" s="109">
        <f t="shared" si="54"/>
        <v>1</v>
      </c>
      <c r="Z252" s="109">
        <f t="shared" si="60"/>
        <v>1</v>
      </c>
      <c r="AA252" s="4" t="str">
        <f>LOOKUP($E252,OBRAS!$D:$D,OBRAS!H:H)</f>
        <v>SH-ED-17-R-013</v>
      </c>
    </row>
    <row r="253" spans="2:27" ht="45" x14ac:dyDescent="0.25">
      <c r="B253" s="56">
        <v>2460</v>
      </c>
      <c r="C253" s="49">
        <v>251</v>
      </c>
      <c r="D253" s="4" t="str">
        <f>LOOKUP($E253,OBRAS!$D:$D,OBRAS!C:C)</f>
        <v>CONSERVACION Y RECONSTRUCCION DEL TRAMO MOCTEZUMA- EL CRUCERO (TRAMO KM 164+500 AL KM 210+750) EN LA REGION DE LA SIERRA.</v>
      </c>
      <c r="E253" s="4" t="s">
        <v>343</v>
      </c>
      <c r="F253" s="4"/>
      <c r="G253" s="4" t="str">
        <f>LOOKUP($E253,OBRAS!$D:$D,OBRAS!E:E)</f>
        <v>C-00054/0052</v>
      </c>
      <c r="H253" s="80" t="s">
        <v>221</v>
      </c>
      <c r="I253" s="6">
        <v>1229366.27</v>
      </c>
      <c r="J253" s="6"/>
      <c r="K253" s="6">
        <f t="shared" si="61"/>
        <v>368809.88</v>
      </c>
      <c r="L253" s="6">
        <f t="shared" si="55"/>
        <v>860556.39</v>
      </c>
      <c r="M253" s="6">
        <f t="shared" si="56"/>
        <v>137689.01999999999</v>
      </c>
      <c r="N253" s="6">
        <f t="shared" si="57"/>
        <v>998245.41</v>
      </c>
      <c r="O253" s="6">
        <f>ROUND(I253*0.002,2)+ROUND(I253*0.002,2)+ROUND(I253*0.0003,2)+ROUND(I253*0.0003,2)+ROUND(I253*0.0003,2)</f>
        <v>6023.89</v>
      </c>
      <c r="P253" s="6">
        <f t="shared" si="58"/>
        <v>992221.52</v>
      </c>
      <c r="Q253" s="4" t="str">
        <f>LOOKUP($E253,OBRAS!$D:$D,OBRAS!B:B)</f>
        <v>LA AZTECA CONSTRUCCIONES Y URBANIZACIONES, S.A. DE C.V.</v>
      </c>
      <c r="R253" s="4" t="str">
        <f>LOOKUP($E253,OBRAS!$D:$D,OBRAS!A:A)</f>
        <v>VARIOS</v>
      </c>
      <c r="S253" s="4" t="str">
        <f>LOOKUP($E253,OBRAS!$D:$D,OBRAS!F:F)</f>
        <v>11000002003501E204K08063A625012162A213</v>
      </c>
      <c r="T253" s="4" t="str">
        <f>LOOKUP($E253,OBRAS!$D:$D,OBRAS!G:G)</f>
        <v>CE-926006995-E16-2016</v>
      </c>
      <c r="U253" s="4" t="s">
        <v>863</v>
      </c>
      <c r="V253" s="89">
        <v>42643</v>
      </c>
      <c r="W253" s="6">
        <f>LOOKUP($E253,OBRAS!$D:$D,OBRAS!K:K)</f>
        <v>60543852.310000002</v>
      </c>
      <c r="X253" s="109">
        <f t="shared" si="59"/>
        <v>2.3599999999999999E-2</v>
      </c>
      <c r="Y253" s="109">
        <f t="shared" si="54"/>
        <v>1</v>
      </c>
      <c r="Z253" s="109">
        <f t="shared" si="60"/>
        <v>1</v>
      </c>
      <c r="AA253" s="4" t="str">
        <f>LOOKUP($E253,OBRAS!$D:$D,OBRAS!H:H)</f>
        <v>SH-ED-17-R-013</v>
      </c>
    </row>
    <row r="254" spans="2:27" ht="45" x14ac:dyDescent="0.25">
      <c r="B254" s="56">
        <v>2461</v>
      </c>
      <c r="C254" s="49">
        <v>252</v>
      </c>
      <c r="D254" s="4" t="str">
        <f>LOOKUP($E254,OBRAS!$D:$D,OBRAS!C:C)</f>
        <v>CONSERVACION Y RECONSTRUCCION DEL TRAMO MOCTEZUMA- EL CRUCERO (TRAMO KM 164+500 AL KM 210+750) EN LA REGION DE LA SIERRA.</v>
      </c>
      <c r="E254" s="4" t="s">
        <v>343</v>
      </c>
      <c r="F254" s="4"/>
      <c r="G254" s="4" t="str">
        <f>LOOKUP($E254,OBRAS!$D:$D,OBRAS!E:E)</f>
        <v>C-00054/0052</v>
      </c>
      <c r="H254" s="80" t="s">
        <v>55</v>
      </c>
      <c r="I254" s="6">
        <v>17584882.829999998</v>
      </c>
      <c r="J254" s="6"/>
      <c r="K254" s="6">
        <f t="shared" si="61"/>
        <v>5275464.8499999996</v>
      </c>
      <c r="L254" s="6">
        <f t="shared" si="55"/>
        <v>12309417.98</v>
      </c>
      <c r="M254" s="6">
        <f t="shared" si="56"/>
        <v>1969506.88</v>
      </c>
      <c r="N254" s="6">
        <f t="shared" si="57"/>
        <v>14278924.859999999</v>
      </c>
      <c r="O254" s="6">
        <v>86165.95</v>
      </c>
      <c r="P254" s="6">
        <f t="shared" si="58"/>
        <v>14192758.91</v>
      </c>
      <c r="Q254" s="4" t="str">
        <f>LOOKUP($E254,OBRAS!$D:$D,OBRAS!B:B)</f>
        <v>LA AZTECA CONSTRUCCIONES Y URBANIZACIONES, S.A. DE C.V.</v>
      </c>
      <c r="R254" s="4" t="str">
        <f>LOOKUP($E254,OBRAS!$D:$D,OBRAS!A:A)</f>
        <v>VARIOS</v>
      </c>
      <c r="S254" s="4" t="str">
        <f>LOOKUP($E254,OBRAS!$D:$D,OBRAS!F:F)</f>
        <v>11000002003501E204K08063A625012162A213</v>
      </c>
      <c r="T254" s="4" t="str">
        <f>LOOKUP($E254,OBRAS!$D:$D,OBRAS!G:G)</f>
        <v>CE-926006995-E16-2016</v>
      </c>
      <c r="U254" s="4" t="s">
        <v>863</v>
      </c>
      <c r="V254" s="89">
        <v>42632</v>
      </c>
      <c r="W254" s="6">
        <f>LOOKUP($E254,OBRAS!$D:$D,OBRAS!K:K)</f>
        <v>60543852.310000002</v>
      </c>
      <c r="X254" s="109">
        <f t="shared" si="59"/>
        <v>0.33689999999999998</v>
      </c>
      <c r="Y254" s="109">
        <f t="shared" si="54"/>
        <v>1</v>
      </c>
      <c r="Z254" s="109">
        <f t="shared" si="60"/>
        <v>1</v>
      </c>
      <c r="AA254" s="4" t="str">
        <f>LOOKUP($E254,OBRAS!$D:$D,OBRAS!H:H)</f>
        <v>SH-ED-17-R-013</v>
      </c>
    </row>
    <row r="255" spans="2:27" ht="45" x14ac:dyDescent="0.25">
      <c r="B255" s="56">
        <v>2462</v>
      </c>
      <c r="C255" s="49">
        <v>253</v>
      </c>
      <c r="D255" s="4" t="str">
        <f>LOOKUP($E255,OBRAS!$D:$D,OBRAS!C:C)</f>
        <v>PAVIMENTACION DE LA CALLE ALLENDE ENTRE REFORMA Y CUAUHTEMOC EN LA LOCALIDAD DE SANTA ANA, SONORA</v>
      </c>
      <c r="E255" s="4" t="s">
        <v>307</v>
      </c>
      <c r="F255" s="4" t="s">
        <v>217</v>
      </c>
      <c r="G255" s="4" t="str">
        <f>LOOKUP($E255,OBRAS!$D:$D,OBRAS!E:E)</f>
        <v>C-00093/0026</v>
      </c>
      <c r="H255" s="80" t="s">
        <v>221</v>
      </c>
      <c r="I255" s="6">
        <v>129126.41</v>
      </c>
      <c r="J255" s="6"/>
      <c r="K255" s="6">
        <f t="shared" si="61"/>
        <v>38737.919999999998</v>
      </c>
      <c r="L255" s="6">
        <f t="shared" si="55"/>
        <v>90388.49</v>
      </c>
      <c r="M255" s="6">
        <f t="shared" si="56"/>
        <v>14462.16</v>
      </c>
      <c r="N255" s="6">
        <f t="shared" si="57"/>
        <v>104850.65</v>
      </c>
      <c r="O255" s="6">
        <f>ROUND(I255*0.005,2)</f>
        <v>645.63</v>
      </c>
      <c r="P255" s="6">
        <f t="shared" si="58"/>
        <v>104205.02</v>
      </c>
      <c r="Q255" s="4" t="str">
        <f>LOOKUP($E255,OBRAS!$D:$D,OBRAS!B:B)</f>
        <v>CORPORATIVO DE CAMINOS Y MINAS TUI</v>
      </c>
      <c r="R255" s="4" t="str">
        <f>LOOKUP($E255,OBRAS!$D:$D,OBRAS!A:A)</f>
        <v>SANTA ANA</v>
      </c>
      <c r="S255" s="4" t="str">
        <f>LOOKUP($E255,OBRAS!$D:$D,OBRAS!F:F)</f>
        <v>1100000200 2201E201K02203A 614202 155GL03 C-00093/0026</v>
      </c>
      <c r="T255" s="4" t="str">
        <f>LOOKUP($E255,OBRAS!$D:$D,OBRAS!G:G)</f>
        <v>SO-926006995-N28-2015</v>
      </c>
      <c r="U255" s="4" t="s">
        <v>863</v>
      </c>
      <c r="V255" s="89">
        <v>42601</v>
      </c>
      <c r="W255" s="6">
        <f>LOOKUP($E255,OBRAS!$D:$D,OBRAS!K:K)</f>
        <v>803832.44</v>
      </c>
      <c r="X255" s="109">
        <f t="shared" si="59"/>
        <v>0.18629999999999999</v>
      </c>
      <c r="Y255" s="109">
        <f t="shared" si="54"/>
        <v>1</v>
      </c>
      <c r="Z255" s="109">
        <f t="shared" si="60"/>
        <v>0.7</v>
      </c>
      <c r="AA255" s="4" t="str">
        <f>LOOKUP($E255,OBRAS!$D:$D,OBRAS!H:H)</f>
        <v>SH-NC-16-R-007.</v>
      </c>
    </row>
    <row r="256" spans="2:27" ht="30" x14ac:dyDescent="0.25">
      <c r="B256" s="56">
        <v>2463</v>
      </c>
      <c r="C256" s="49">
        <v>254</v>
      </c>
      <c r="D256" s="4" t="str">
        <f>LOOKUP($E256,OBRAS!$D:$D,OBRAS!C:C)</f>
        <v>RECONSTRUCCIÓN DEL CAMINO NAVOJOA-ETCHOJOA-HUATABAMPO</v>
      </c>
      <c r="E256" s="4" t="s">
        <v>520</v>
      </c>
      <c r="F256" s="4" t="s">
        <v>224</v>
      </c>
      <c r="G256" s="4" t="str">
        <f>LOOKUP($E256,OBRAS!$D:$D,OBRAS!E:E)</f>
        <v>C-00054/0019</v>
      </c>
      <c r="H256" s="80" t="s">
        <v>103</v>
      </c>
      <c r="I256" s="6">
        <v>7958973.3099999996</v>
      </c>
      <c r="J256" s="6"/>
      <c r="K256" s="6">
        <f t="shared" si="61"/>
        <v>2387691.9900000002</v>
      </c>
      <c r="L256" s="6">
        <f t="shared" si="55"/>
        <v>5571281.3200000003</v>
      </c>
      <c r="M256" s="6">
        <f t="shared" si="56"/>
        <v>891405.01</v>
      </c>
      <c r="N256" s="6">
        <f t="shared" si="57"/>
        <v>6462686.3300000001</v>
      </c>
      <c r="O256" s="6">
        <f t="shared" ref="O256:O261" si="62">ROUND(I256*0.002,2)+ROUND(I256*0.002,2)+ROUND(I256*0.0003,2)+ROUND(I256*0.0003,2)+ROUND(I256*0.0003,2)</f>
        <v>38998.97</v>
      </c>
      <c r="P256" s="6">
        <f t="shared" si="58"/>
        <v>6423687.3600000003</v>
      </c>
      <c r="Q256" s="4" t="str">
        <f>LOOKUP($E256,OBRAS!$D:$D,OBRAS!B:B)</f>
        <v>CONSTRUKINO, S.A. DE C.V.</v>
      </c>
      <c r="R256" s="4" t="str">
        <f>LOOKUP($E256,OBRAS!$D:$D,OBRAS!A:A)</f>
        <v>VARIOS</v>
      </c>
      <c r="S256" s="4" t="str">
        <f>LOOKUP($E256,OBRAS!$D:$D,OBRAS!F:F)</f>
        <v>11000002003501E204K08063A625012162A213</v>
      </c>
      <c r="T256" s="4" t="str">
        <f>LOOKUP($E256,OBRAS!$D:$D,OBRAS!G:G)</f>
        <v>CE-926006995-E1-2016</v>
      </c>
      <c r="U256" s="4" t="s">
        <v>863</v>
      </c>
      <c r="V256" s="89">
        <v>42593</v>
      </c>
      <c r="W256" s="6">
        <f>LOOKUP($E256,OBRAS!$D:$D,OBRAS!K:K)</f>
        <v>42349187.57</v>
      </c>
      <c r="X256" s="109">
        <f t="shared" si="59"/>
        <v>0.218</v>
      </c>
      <c r="Y256" s="109">
        <f t="shared" si="54"/>
        <v>1</v>
      </c>
      <c r="Z256" s="109">
        <f t="shared" si="60"/>
        <v>1</v>
      </c>
      <c r="AA256" s="4" t="str">
        <f>LOOKUP($E256,OBRAS!$D:$D,OBRAS!H:H)</f>
        <v>SH-ED-17-R-013</v>
      </c>
    </row>
    <row r="257" spans="2:27" ht="60" x14ac:dyDescent="0.25">
      <c r="B257" s="56">
        <v>2464</v>
      </c>
      <c r="C257" s="49">
        <v>255</v>
      </c>
      <c r="D257" s="4" t="str">
        <f>LOOKUP($E257,OBRAS!$D:$D,OBRAS!C:C)</f>
        <v>REHABILITACION DE RED DE CARRETERAS ALIMENTADORAS EN LA REGION DEL RIO SONORA EN EL ESTADO DE SONORA; SUBTRAMO KM 75+000 AL KM 149+000.</v>
      </c>
      <c r="E257" s="4" t="s">
        <v>381</v>
      </c>
      <c r="F257" s="4" t="s">
        <v>224</v>
      </c>
      <c r="G257" s="4" t="str">
        <f>LOOKUP($E257,OBRAS!$D:$D,OBRAS!E:E)</f>
        <v>C-00054/0070</v>
      </c>
      <c r="H257" s="80" t="s">
        <v>103</v>
      </c>
      <c r="I257" s="6">
        <v>963680.99</v>
      </c>
      <c r="J257" s="6"/>
      <c r="K257" s="6">
        <f t="shared" si="61"/>
        <v>289104.3</v>
      </c>
      <c r="L257" s="6">
        <f t="shared" si="55"/>
        <v>674576.69</v>
      </c>
      <c r="M257" s="6">
        <f t="shared" si="56"/>
        <v>107932.27</v>
      </c>
      <c r="N257" s="6">
        <f t="shared" si="57"/>
        <v>782508.96</v>
      </c>
      <c r="O257" s="6">
        <f t="shared" si="62"/>
        <v>4722.0200000000004</v>
      </c>
      <c r="P257" s="6">
        <f t="shared" si="58"/>
        <v>777786.94</v>
      </c>
      <c r="Q257" s="4" t="str">
        <f>LOOKUP($E257,OBRAS!$D:$D,OBRAS!B:B)</f>
        <v>RENTA, MOVIMIENTO DE CONSTRUCCION EQUIPEN, S.A. DE C.V.</v>
      </c>
      <c r="R257" s="4" t="str">
        <f>LOOKUP($E257,OBRAS!$D:$D,OBRAS!A:A)</f>
        <v>VARIOS</v>
      </c>
      <c r="S257" s="4" t="str">
        <f>LOOKUP($E257,OBRAS!$D:$D,OBRAS!F:F)</f>
        <v>110000002003501E204K08063A625012162A213</v>
      </c>
      <c r="T257" s="4" t="str">
        <f>LOOKUP($E257,OBRAS!$D:$D,OBRAS!G:G)</f>
        <v>CE-926006995-E39-2016</v>
      </c>
      <c r="U257" s="4" t="s">
        <v>863</v>
      </c>
      <c r="V257" s="89">
        <v>42643</v>
      </c>
      <c r="W257" s="6">
        <f>LOOKUP($E257,OBRAS!$D:$D,OBRAS!K:K)</f>
        <v>79270178.980000004</v>
      </c>
      <c r="X257" s="109">
        <f t="shared" si="59"/>
        <v>1.41E-2</v>
      </c>
      <c r="Y257" s="109">
        <f t="shared" si="54"/>
        <v>0.63300000000000001</v>
      </c>
      <c r="Z257" s="109">
        <f t="shared" si="60"/>
        <v>0.74309999999999998</v>
      </c>
      <c r="AA257" s="4" t="str">
        <f>LOOKUP($E257,OBRAS!$D:$D,OBRAS!H:H)</f>
        <v>SH-ED-17-R-013</v>
      </c>
    </row>
    <row r="258" spans="2:27" ht="30" x14ac:dyDescent="0.25">
      <c r="B258" s="56">
        <v>2468</v>
      </c>
      <c r="C258" s="49">
        <v>256</v>
      </c>
      <c r="D258" s="4" t="str">
        <f>LOOKUP($E258,OBRAS!$D:$D,OBRAS!C:C)</f>
        <v>RECONSTRUCCION DEL CAMINO HERMOSILLO-BAHIA DE KINO</v>
      </c>
      <c r="E258" s="4" t="s">
        <v>539</v>
      </c>
      <c r="F258" s="4" t="s">
        <v>401</v>
      </c>
      <c r="G258" s="4" t="str">
        <f>LOOKUP($E258,OBRAS!$D:$D,OBRAS!E:E)</f>
        <v>C-00054/0026</v>
      </c>
      <c r="H258" s="80" t="s">
        <v>103</v>
      </c>
      <c r="I258" s="6">
        <v>7907226.1299999999</v>
      </c>
      <c r="J258" s="6"/>
      <c r="K258" s="6">
        <f t="shared" si="61"/>
        <v>2372167.84</v>
      </c>
      <c r="L258" s="6">
        <f t="shared" si="55"/>
        <v>5535058.29</v>
      </c>
      <c r="M258" s="6">
        <f t="shared" si="56"/>
        <v>885609.33</v>
      </c>
      <c r="N258" s="6">
        <f t="shared" si="57"/>
        <v>6420667.6200000001</v>
      </c>
      <c r="O258" s="6">
        <f t="shared" si="62"/>
        <v>38745.410000000003</v>
      </c>
      <c r="P258" s="6">
        <f t="shared" si="58"/>
        <v>6381922.21</v>
      </c>
      <c r="Q258" s="4" t="str">
        <f>LOOKUP($E258,OBRAS!$D:$D,OBRAS!B:B)</f>
        <v>REVAL DESARROLLOS Y MATERIALES, S.A. DE C.V.</v>
      </c>
      <c r="R258" s="4" t="str">
        <f>LOOKUP($E258,OBRAS!$D:$D,OBRAS!A:A)</f>
        <v>HERMOSILLO</v>
      </c>
      <c r="S258" s="4" t="str">
        <f>LOOKUP($E258,OBRAS!$D:$D,OBRAS!F:F)</f>
        <v>11000002003501E203K03204k08063A625012162A207</v>
      </c>
      <c r="T258" s="4" t="str">
        <f>LOOKUP($E258,OBRAS!$D:$D,OBRAS!G:G)</f>
        <v>CE-926006995-E13-2016</v>
      </c>
      <c r="U258" s="4" t="s">
        <v>863</v>
      </c>
      <c r="V258" s="89">
        <v>42643</v>
      </c>
      <c r="W258" s="6">
        <f>LOOKUP($E258,OBRAS!$D:$D,OBRAS!K:K)</f>
        <v>37981342.780000001</v>
      </c>
      <c r="X258" s="109">
        <f t="shared" si="59"/>
        <v>0.24149999999999999</v>
      </c>
      <c r="Y258" s="109">
        <f t="shared" ref="Y258:Y289" si="63">SUMIF(E:E,E258,X:X)</f>
        <v>1</v>
      </c>
      <c r="Z258" s="109">
        <f t="shared" si="60"/>
        <v>1</v>
      </c>
      <c r="AA258" s="4" t="str">
        <f>LOOKUP($E258,OBRAS!$D:$D,OBRAS!H:H)</f>
        <v>SH-ED-17-R-013</v>
      </c>
    </row>
    <row r="259" spans="2:27" ht="45" x14ac:dyDescent="0.25">
      <c r="B259" s="56">
        <v>2469</v>
      </c>
      <c r="C259" s="49">
        <v>257</v>
      </c>
      <c r="D259" s="4" t="str">
        <f>LOOKUP($E259,OBRAS!$D:$D,OBRAS!C:C)</f>
        <v>RECONSTRUCCION DEL CAMINO CALLE 12 SUR EN VARIAS LOCALIDADES, MUNICIPIO DE HERMOSILLO, SONORA</v>
      </c>
      <c r="E259" s="4" t="s">
        <v>524</v>
      </c>
      <c r="F259" s="4" t="s">
        <v>401</v>
      </c>
      <c r="G259" s="4" t="str">
        <f>LOOKUP($E259,OBRAS!$D:$D,OBRAS!E:E)</f>
        <v>C-00054/0025</v>
      </c>
      <c r="H259" s="80" t="s">
        <v>103</v>
      </c>
      <c r="I259" s="6">
        <v>811152.71</v>
      </c>
      <c r="J259" s="6"/>
      <c r="K259" s="6">
        <f t="shared" si="61"/>
        <v>243345.81</v>
      </c>
      <c r="L259" s="6">
        <f t="shared" si="55"/>
        <v>567806.9</v>
      </c>
      <c r="M259" s="6">
        <f t="shared" si="56"/>
        <v>90849.1</v>
      </c>
      <c r="N259" s="6">
        <f t="shared" si="57"/>
        <v>658656</v>
      </c>
      <c r="O259" s="6">
        <f t="shared" si="62"/>
        <v>3974.67</v>
      </c>
      <c r="P259" s="6">
        <f t="shared" si="58"/>
        <v>654681.32999999996</v>
      </c>
      <c r="Q259" s="4" t="str">
        <f>LOOKUP($E259,OBRAS!$D:$D,OBRAS!B:B)</f>
        <v>GALEONEZS LM CONSTRUCCIONES, S. A. DE C. V.</v>
      </c>
      <c r="R259" s="4" t="str">
        <f>LOOKUP($E259,OBRAS!$D:$D,OBRAS!A:A)</f>
        <v>HERMOSILLO</v>
      </c>
      <c r="S259" s="4" t="str">
        <f>LOOKUP($E259,OBRAS!$D:$D,OBRAS!F:F)</f>
        <v>11000002003501E204K08063A625012162A207</v>
      </c>
      <c r="T259" s="4" t="str">
        <f>LOOKUP($E259,OBRAS!$D:$D,OBRAS!G:G)</f>
        <v>CE-926006995-E6-2016</v>
      </c>
      <c r="U259" s="4" t="s">
        <v>863</v>
      </c>
      <c r="V259" s="89">
        <v>42643</v>
      </c>
      <c r="W259" s="6">
        <f>LOOKUP($E259,OBRAS!$D:$D,OBRAS!K:K)</f>
        <v>22955014.68</v>
      </c>
      <c r="X259" s="109">
        <f t="shared" si="59"/>
        <v>4.1000000000000002E-2</v>
      </c>
      <c r="Y259" s="109">
        <f t="shared" si="63"/>
        <v>0.98119999999999996</v>
      </c>
      <c r="Z259" s="109">
        <f t="shared" si="60"/>
        <v>0.9869</v>
      </c>
      <c r="AA259" s="4" t="str">
        <f>LOOKUP($E259,OBRAS!$D:$D,OBRAS!H:H)</f>
        <v>SH-ED-17-R-013</v>
      </c>
    </row>
    <row r="260" spans="2:27" ht="30" x14ac:dyDescent="0.25">
      <c r="B260" s="56">
        <v>2470</v>
      </c>
      <c r="C260" s="49">
        <v>258</v>
      </c>
      <c r="D260" s="4" t="str">
        <f>LOOKUP($E260,OBRAS!$D:$D,OBRAS!C:C)</f>
        <v>RECONSTRUCCION DE LA CALLE GUERRERO DEL KM 0+000 AL KM 6+020</v>
      </c>
      <c r="E260" s="4" t="s">
        <v>300</v>
      </c>
      <c r="F260" s="4" t="s">
        <v>401</v>
      </c>
      <c r="G260" s="4" t="str">
        <f>LOOKUP($E260,OBRAS!$D:$D,OBRAS!E:E)</f>
        <v>C-00054/0074</v>
      </c>
      <c r="H260" s="80" t="s">
        <v>103</v>
      </c>
      <c r="I260" s="6">
        <v>403629.31</v>
      </c>
      <c r="J260" s="6"/>
      <c r="K260" s="6">
        <f t="shared" si="61"/>
        <v>121088.79</v>
      </c>
      <c r="L260" s="6">
        <f t="shared" si="55"/>
        <v>282540.52</v>
      </c>
      <c r="M260" s="6">
        <f t="shared" si="56"/>
        <v>45206.48</v>
      </c>
      <c r="N260" s="6">
        <f t="shared" si="57"/>
        <v>327747</v>
      </c>
      <c r="O260" s="6">
        <f t="shared" si="62"/>
        <v>1977.79</v>
      </c>
      <c r="P260" s="6">
        <f t="shared" si="58"/>
        <v>325769.21000000002</v>
      </c>
      <c r="Q260" s="4" t="str">
        <f>LOOKUP($E260,OBRAS!$D:$D,OBRAS!B:B)</f>
        <v>ZERO EDIFICACIONES,S.A. DE C.V.</v>
      </c>
      <c r="R260" s="4" t="str">
        <f>LOOKUP($E260,OBRAS!$D:$D,OBRAS!A:A)</f>
        <v>HERMOSILLO</v>
      </c>
      <c r="S260" s="4" t="str">
        <f>LOOKUP($E260,OBRAS!$D:$D,OBRAS!F:F)</f>
        <v>11000002003501E204K08063A625012162A207</v>
      </c>
      <c r="T260" s="4" t="str">
        <f>LOOKUP($E260,OBRAS!$D:$D,OBRAS!G:G)</f>
        <v>CE-926006995-E41-2016</v>
      </c>
      <c r="U260" s="4" t="s">
        <v>863</v>
      </c>
      <c r="V260" s="89">
        <v>42643</v>
      </c>
      <c r="W260" s="6">
        <f>LOOKUP($E260,OBRAS!$D:$D,OBRAS!K:K)</f>
        <v>18289741.390000001</v>
      </c>
      <c r="X260" s="109">
        <f t="shared" si="59"/>
        <v>2.5600000000000001E-2</v>
      </c>
      <c r="Y260" s="109">
        <f t="shared" si="63"/>
        <v>1</v>
      </c>
      <c r="Z260" s="109">
        <f t="shared" si="60"/>
        <v>1</v>
      </c>
      <c r="AA260" s="4" t="str">
        <f>LOOKUP($E260,OBRAS!$D:$D,OBRAS!H:H)</f>
        <v>SH-ED-17-R-013</v>
      </c>
    </row>
    <row r="261" spans="2:27" ht="75" x14ac:dyDescent="0.25">
      <c r="B261" s="56">
        <v>2471</v>
      </c>
      <c r="C261" s="49">
        <v>259</v>
      </c>
      <c r="D261" s="4" t="str">
        <f>LOOKUP($E261,OBRAS!$D:$D,OBRAS!C:C)</f>
        <v>CONSERVACION Y RECONSTRUCCION DE CARRETERAS ALIMENTADORAS REGION GUAYMAS-EMPALME, TRAMO: MI PATRIA ES PRIMERO DEL KM 0+000 AL 3+400 Y TRAMO BARCENAS-MAYTORENA, DEL KM 0+000 AL 3+400</v>
      </c>
      <c r="E261" s="4" t="s">
        <v>574</v>
      </c>
      <c r="F261" s="4" t="s">
        <v>401</v>
      </c>
      <c r="G261" s="4" t="str">
        <f>LOOKUP($E261,OBRAS!$D:$D,OBRAS!E:E)</f>
        <v>C-00054/0059</v>
      </c>
      <c r="H261" s="80" t="s">
        <v>103</v>
      </c>
      <c r="I261" s="6">
        <v>471724.26</v>
      </c>
      <c r="J261" s="6"/>
      <c r="K261" s="6">
        <f t="shared" si="61"/>
        <v>141517.28</v>
      </c>
      <c r="L261" s="6">
        <f t="shared" si="55"/>
        <v>330206.98</v>
      </c>
      <c r="M261" s="6">
        <f t="shared" si="56"/>
        <v>52833.120000000003</v>
      </c>
      <c r="N261" s="6">
        <f t="shared" si="57"/>
        <v>383040.1</v>
      </c>
      <c r="O261" s="6">
        <f t="shared" si="62"/>
        <v>2311.46</v>
      </c>
      <c r="P261" s="6">
        <f t="shared" si="58"/>
        <v>380728.64</v>
      </c>
      <c r="Q261" s="4" t="str">
        <f>LOOKUP($E261,OBRAS!$D:$D,OBRAS!B:B)</f>
        <v>DESARROLLOS TIBURCIO, S.A. DE C.V.</v>
      </c>
      <c r="R261" s="4" t="str">
        <f>LOOKUP($E261,OBRAS!$D:$D,OBRAS!A:A)</f>
        <v>VARIOS</v>
      </c>
      <c r="S261" s="4" t="str">
        <f>LOOKUP($E261,OBRAS!$D:$D,OBRAS!F:F)</f>
        <v>11000002003501E204K08063A625012162A213</v>
      </c>
      <c r="T261" s="4" t="str">
        <f>LOOKUP($E261,OBRAS!$D:$D,OBRAS!G:G)</f>
        <v>CE-926006995-C23-2016</v>
      </c>
      <c r="U261" s="4" t="s">
        <v>863</v>
      </c>
      <c r="V261" s="89">
        <v>42632</v>
      </c>
      <c r="W261" s="6">
        <f>LOOKUP($E261,OBRAS!$D:$D,OBRAS!K:K)</f>
        <v>11799981.390000001</v>
      </c>
      <c r="X261" s="109">
        <f t="shared" si="59"/>
        <v>4.6399999999999997E-2</v>
      </c>
      <c r="Y261" s="109">
        <f t="shared" si="63"/>
        <v>0.99529999999999996</v>
      </c>
      <c r="Z261" s="109">
        <f t="shared" si="60"/>
        <v>0.99670000000000003</v>
      </c>
      <c r="AA261" s="4" t="str">
        <f>LOOKUP($E261,OBRAS!$D:$D,OBRAS!H:H)</f>
        <v>SH-ED-17-R-013</v>
      </c>
    </row>
    <row r="262" spans="2:27" ht="105" x14ac:dyDescent="0.25">
      <c r="B262" s="56">
        <v>2476</v>
      </c>
      <c r="C262" s="49">
        <v>260</v>
      </c>
      <c r="D262" s="4" t="str">
        <f>LOOKUP($E262,OBRAS!$D:$D,OBRAS!C:C)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262" s="4" t="s">
        <v>403</v>
      </c>
      <c r="F262" s="4"/>
      <c r="G262" s="4" t="str">
        <f>LOOKUP($E262,OBRAS!$D:$D,OBRAS!E:E)</f>
        <v>C-00098/0032</v>
      </c>
      <c r="H262" s="80" t="s">
        <v>103</v>
      </c>
      <c r="I262" s="6">
        <v>96428.27</v>
      </c>
      <c r="J262" s="6"/>
      <c r="K262" s="6">
        <f>ROUND(I262*0.1,2)</f>
        <v>9642.83</v>
      </c>
      <c r="L262" s="6">
        <f t="shared" si="55"/>
        <v>86785.44</v>
      </c>
      <c r="M262" s="6">
        <f t="shared" si="56"/>
        <v>13885.67</v>
      </c>
      <c r="N262" s="6">
        <f t="shared" si="57"/>
        <v>100671.11</v>
      </c>
      <c r="O262" s="6">
        <f>ROUND(I262*0.002,2)+ROUND(I262*0.0003,2)+ROUND(I262*0.0003,2)+ROUND(I262*0.0003,2)</f>
        <v>279.64999999999998</v>
      </c>
      <c r="P262" s="6">
        <f t="shared" si="58"/>
        <v>100391.46</v>
      </c>
      <c r="Q262" s="4" t="str">
        <f>LOOKUP($E262,OBRAS!$D:$D,OBRAS!B:B)</f>
        <v>RL INFRAESTRUCTURA, S.A. DE C.V.</v>
      </c>
      <c r="R262" s="4" t="str">
        <f>LOOKUP($E262,OBRAS!$D:$D,OBRAS!A:A)</f>
        <v>VARIOS</v>
      </c>
      <c r="S262" s="4" t="str">
        <f>LOOKUP($E262,OBRAS!$D:$D,OBRAS!F:F)</f>
        <v>11000002003501E203K03203A625132161A013</v>
      </c>
      <c r="T262" s="4" t="str">
        <f>LOOKUP($E262,OBRAS!$D:$D,OBRAS!G:G)</f>
        <v>CE-926006995-E54-2016</v>
      </c>
      <c r="U262" s="4" t="s">
        <v>863</v>
      </c>
      <c r="V262" s="89">
        <v>42664</v>
      </c>
      <c r="W262" s="6">
        <f>LOOKUP($E262,OBRAS!$D:$D,OBRAS!K:K)</f>
        <v>4605867.6500000004</v>
      </c>
      <c r="X262" s="109">
        <f t="shared" si="59"/>
        <v>2.4299999999999999E-2</v>
      </c>
      <c r="Y262" s="109">
        <f t="shared" si="63"/>
        <v>1.0003</v>
      </c>
      <c r="Z262" s="109">
        <f t="shared" si="60"/>
        <v>1</v>
      </c>
      <c r="AA262" s="4" t="str">
        <f>LOOKUP($E262,OBRAS!$D:$D,OBRAS!H:H)</f>
        <v>SH-ED-16-039</v>
      </c>
    </row>
    <row r="263" spans="2:27" ht="105" x14ac:dyDescent="0.25">
      <c r="B263" s="56">
        <v>2477</v>
      </c>
      <c r="C263" s="49">
        <v>261</v>
      </c>
      <c r="D263" s="4" t="str">
        <f>LOOKUP($E263,OBRAS!$D:$D,OBRAS!C:C)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263" s="4" t="s">
        <v>403</v>
      </c>
      <c r="F263" s="4"/>
      <c r="G263" s="4" t="str">
        <f>LOOKUP($E263,OBRAS!$D:$D,OBRAS!E:E)</f>
        <v>C-00098/0032</v>
      </c>
      <c r="H263" s="80" t="s">
        <v>221</v>
      </c>
      <c r="I263" s="6">
        <v>567225.07999999996</v>
      </c>
      <c r="J263" s="6"/>
      <c r="K263" s="6">
        <f>ROUND(I263*0.1,2)</f>
        <v>56722.51</v>
      </c>
      <c r="L263" s="6">
        <f t="shared" si="55"/>
        <v>510502.57</v>
      </c>
      <c r="M263" s="6">
        <f t="shared" si="56"/>
        <v>81680.41</v>
      </c>
      <c r="N263" s="6">
        <f t="shared" si="57"/>
        <v>592182.98</v>
      </c>
      <c r="O263" s="6">
        <f>ROUND(I263*0.002,2)+ROUND(I263*0.0003,2)+ROUND(I263*0.0003,2)+ROUND(I263*0.0003,2)</f>
        <v>1644.96</v>
      </c>
      <c r="P263" s="6">
        <f t="shared" si="58"/>
        <v>590538.02</v>
      </c>
      <c r="Q263" s="4" t="str">
        <f>LOOKUP($E263,OBRAS!$D:$D,OBRAS!B:B)</f>
        <v>RL INFRAESTRUCTURA, S.A. DE C.V.</v>
      </c>
      <c r="R263" s="4" t="str">
        <f>LOOKUP($E263,OBRAS!$D:$D,OBRAS!A:A)</f>
        <v>VARIOS</v>
      </c>
      <c r="S263" s="4" t="str">
        <f>LOOKUP($E263,OBRAS!$D:$D,OBRAS!F:F)</f>
        <v>11000002003501E203K03203A625132161A013</v>
      </c>
      <c r="T263" s="4" t="str">
        <f>LOOKUP($E263,OBRAS!$D:$D,OBRAS!G:G)</f>
        <v>CE-926006995-E54-2016</v>
      </c>
      <c r="U263" s="4" t="s">
        <v>863</v>
      </c>
      <c r="V263" s="89">
        <v>42632</v>
      </c>
      <c r="W263" s="6">
        <f>LOOKUP($E263,OBRAS!$D:$D,OBRAS!K:K)</f>
        <v>4605867.6500000004</v>
      </c>
      <c r="X263" s="109">
        <f t="shared" si="59"/>
        <v>0.1429</v>
      </c>
      <c r="Y263" s="109">
        <f t="shared" si="63"/>
        <v>1.0003</v>
      </c>
      <c r="Z263" s="109">
        <f t="shared" si="60"/>
        <v>1</v>
      </c>
      <c r="AA263" s="4" t="str">
        <f>LOOKUP($E263,OBRAS!$D:$D,OBRAS!H:H)</f>
        <v>SH-ED-16-039</v>
      </c>
    </row>
    <row r="264" spans="2:27" ht="60" x14ac:dyDescent="0.25">
      <c r="B264" s="56">
        <v>2478</v>
      </c>
      <c r="C264" s="49">
        <v>262</v>
      </c>
      <c r="D264" s="4" t="str">
        <f>LOOKUP($E264,OBRAS!$D:$D,OBRAS!C:C)</f>
        <v>SUPERVISION EXTERNA Y CONTROL DE CALIDAD DE LA REHABILITACION DE RED DE CARRETERAS ALIMENTADORAS EN LA REGION DEL RIO SONORA; SUBTRAMO KM 0+000 AL KM 75+000</v>
      </c>
      <c r="E264" s="4" t="s">
        <v>732</v>
      </c>
      <c r="F264" s="4"/>
      <c r="G264" s="4" t="str">
        <f>LOOKUP($E264,OBRAS!$D:$D,OBRAS!E:E)</f>
        <v>C-00098/0021</v>
      </c>
      <c r="H264" s="80" t="s">
        <v>103</v>
      </c>
      <c r="I264" s="6">
        <v>174049.1</v>
      </c>
      <c r="J264" s="6"/>
      <c r="K264" s="6"/>
      <c r="L264" s="6">
        <f t="shared" si="55"/>
        <v>174049.1</v>
      </c>
      <c r="M264" s="6">
        <f t="shared" si="56"/>
        <v>27847.86</v>
      </c>
      <c r="N264" s="6">
        <f t="shared" si="57"/>
        <v>201896.95999999999</v>
      </c>
      <c r="O264" s="6">
        <v>504.76</v>
      </c>
      <c r="P264" s="6">
        <f t="shared" si="58"/>
        <v>201392.2</v>
      </c>
      <c r="Q264" s="4" t="str">
        <f>LOOKUP($E264,OBRAS!$D:$D,OBRAS!B:B)</f>
        <v>ESCOBO S.A. DE C.V.</v>
      </c>
      <c r="R264" s="4" t="str">
        <f>LOOKUP($E264,OBRAS!$D:$D,OBRAS!A:A)</f>
        <v>VARIOS</v>
      </c>
      <c r="S264" s="4" t="str">
        <f>LOOKUP($E264,OBRAS!$D:$D,OBRAS!F:F)</f>
        <v>11000002003501E203K03203A625132161A013</v>
      </c>
      <c r="T264" s="4" t="str">
        <f>LOOKUP($E264,OBRAS!$D:$D,OBRAS!G:G)</f>
        <v>CE-966006995-E67-2016</v>
      </c>
      <c r="U264" s="4" t="s">
        <v>863</v>
      </c>
      <c r="V264" s="89">
        <v>42632</v>
      </c>
      <c r="W264" s="6">
        <f>LOOKUP($E264,OBRAS!$D:$D,OBRAS!K:K)</f>
        <v>2329580.42</v>
      </c>
      <c r="X264" s="109">
        <f t="shared" si="59"/>
        <v>8.6699999999999999E-2</v>
      </c>
      <c r="Y264" s="109">
        <f t="shared" si="63"/>
        <v>0.92679999999999996</v>
      </c>
      <c r="Z264" s="109">
        <f t="shared" si="60"/>
        <v>0.92669999999999997</v>
      </c>
      <c r="AA264" s="4" t="str">
        <f>LOOKUP($E264,OBRAS!$D:$D,OBRAS!H:H)</f>
        <v>SH-ED-16-060</v>
      </c>
    </row>
    <row r="265" spans="2:27" ht="30" x14ac:dyDescent="0.25">
      <c r="B265" s="56">
        <v>2480</v>
      </c>
      <c r="C265" s="49">
        <v>263</v>
      </c>
      <c r="D265" s="4" t="str">
        <f>LOOKUP($E265,OBRAS!$D:$D,OBRAS!C:C)</f>
        <v>CONSERVACION Y RECONSTRUCCION DEL TRAMO URES-PUEBLO DE ALAMOS</v>
      </c>
      <c r="E265" s="4" t="s">
        <v>562</v>
      </c>
      <c r="F265" s="4"/>
      <c r="G265" s="4" t="str">
        <f>LOOKUP($E265,OBRAS!$D:$D,OBRAS!E:E)</f>
        <v>C-00054/0061</v>
      </c>
      <c r="H265" s="80" t="s">
        <v>103</v>
      </c>
      <c r="I265" s="6">
        <v>178114.63</v>
      </c>
      <c r="J265" s="6"/>
      <c r="K265" s="6">
        <f>ROUND(I265*0.3,2)</f>
        <v>53434.39</v>
      </c>
      <c r="L265" s="6">
        <f t="shared" si="55"/>
        <v>124680.24</v>
      </c>
      <c r="M265" s="6">
        <f t="shared" si="56"/>
        <v>19948.84</v>
      </c>
      <c r="N265" s="6">
        <f t="shared" si="57"/>
        <v>144629.07999999999</v>
      </c>
      <c r="O265" s="6">
        <f>ROUND(I265*0.002,2)+ROUND(I265*0.002,2)+ROUND(I265*0.0003,2)+ROUND(I265*0.0003,2)+ROUND(I265*0.0003,2)</f>
        <v>872.75</v>
      </c>
      <c r="P265" s="6">
        <f t="shared" si="58"/>
        <v>143756.32999999999</v>
      </c>
      <c r="Q265" s="4" t="str">
        <f>LOOKUP($E265,OBRAS!$D:$D,OBRAS!B:B)</f>
        <v>GLUYAS CONSTRUCCIONES S.A. DE C.V.</v>
      </c>
      <c r="R265" s="4" t="str">
        <f>LOOKUP($E265,OBRAS!$D:$D,OBRAS!A:A)</f>
        <v>URES</v>
      </c>
      <c r="S265" s="4" t="str">
        <f>LOOKUP($E265,OBRAS!$D:$D,OBRAS!F:F)</f>
        <v>11000002003501E204K08063A625012162A205</v>
      </c>
      <c r="T265" s="4" t="str">
        <f>LOOKUP($E265,OBRAS!$D:$D,OBRAS!G:G)</f>
        <v>CE-926006995-E25-2016</v>
      </c>
      <c r="U265" s="4" t="s">
        <v>863</v>
      </c>
      <c r="V265" s="89">
        <v>42632</v>
      </c>
      <c r="W265" s="6">
        <f>LOOKUP($E265,OBRAS!$D:$D,OBRAS!K:K)</f>
        <v>40380067.490000002</v>
      </c>
      <c r="X265" s="109">
        <f t="shared" si="59"/>
        <v>5.1000000000000004E-3</v>
      </c>
      <c r="Y265" s="109">
        <f t="shared" si="63"/>
        <v>0.94240000000000002</v>
      </c>
      <c r="Z265" s="109">
        <f t="shared" si="60"/>
        <v>0.9425</v>
      </c>
      <c r="AA265" s="4" t="str">
        <f>LOOKUP($E265,OBRAS!$D:$D,OBRAS!H:H)</f>
        <v>SH-ED-17-R-013</v>
      </c>
    </row>
    <row r="266" spans="2:27" ht="30" x14ac:dyDescent="0.25">
      <c r="B266" s="56">
        <v>2481</v>
      </c>
      <c r="C266" s="49">
        <v>264</v>
      </c>
      <c r="D266" s="4" t="str">
        <f>LOOKUP($E266,OBRAS!$D:$D,OBRAS!C:C)</f>
        <v>CONSERVACION Y RECONSTRUCCION DEL TRAMO URES-PUEBLO DE ALAMOS</v>
      </c>
      <c r="E266" s="4" t="s">
        <v>562</v>
      </c>
      <c r="F266" s="4"/>
      <c r="G266" s="4" t="str">
        <f>LOOKUP($E266,OBRAS!$D:$D,OBRAS!E:E)</f>
        <v>C-00054/0061</v>
      </c>
      <c r="H266" s="80" t="s">
        <v>221</v>
      </c>
      <c r="I266" s="6">
        <v>8903778.5500000007</v>
      </c>
      <c r="J266" s="6"/>
      <c r="K266" s="6">
        <f>ROUND(I266*0.3,2)</f>
        <v>2671133.5699999998</v>
      </c>
      <c r="L266" s="6">
        <f t="shared" si="55"/>
        <v>6232644.9800000004</v>
      </c>
      <c r="M266" s="6">
        <f t="shared" si="56"/>
        <v>997223.2</v>
      </c>
      <c r="N266" s="6">
        <f t="shared" si="57"/>
        <v>7229868.1799999997</v>
      </c>
      <c r="O266" s="6">
        <f>ROUND(I266*0.002,2)+ROUND(I266*0.002,2)+ROUND(I266*0.0003,2)+ROUND(I266*0.0003,2)+ROUND(I266*0.0003,2)</f>
        <v>43628.51</v>
      </c>
      <c r="P266" s="6">
        <f t="shared" si="58"/>
        <v>7186239.6699999999</v>
      </c>
      <c r="Q266" s="4" t="str">
        <f>LOOKUP($E266,OBRAS!$D:$D,OBRAS!B:B)</f>
        <v>GLUYAS CONSTRUCCIONES S.A. DE C.V.</v>
      </c>
      <c r="R266" s="4" t="str">
        <f>LOOKUP($E266,OBRAS!$D:$D,OBRAS!A:A)</f>
        <v>URES</v>
      </c>
      <c r="S266" s="4" t="str">
        <f>LOOKUP($E266,OBRAS!$D:$D,OBRAS!F:F)</f>
        <v>11000002003501E204K08063A625012162A205</v>
      </c>
      <c r="T266" s="4" t="str">
        <f>LOOKUP($E266,OBRAS!$D:$D,OBRAS!G:G)</f>
        <v>CE-926006995-E25-2016</v>
      </c>
      <c r="U266" s="4" t="s">
        <v>863</v>
      </c>
      <c r="V266" s="89">
        <v>42633</v>
      </c>
      <c r="W266" s="6">
        <f>LOOKUP($E266,OBRAS!$D:$D,OBRAS!K:K)</f>
        <v>40380067.490000002</v>
      </c>
      <c r="X266" s="109">
        <f t="shared" si="59"/>
        <v>0.25580000000000003</v>
      </c>
      <c r="Y266" s="109">
        <f t="shared" si="63"/>
        <v>0.94240000000000002</v>
      </c>
      <c r="Z266" s="109">
        <f t="shared" si="60"/>
        <v>0.9425</v>
      </c>
      <c r="AA266" s="4" t="str">
        <f>LOOKUP($E266,OBRAS!$D:$D,OBRAS!H:H)</f>
        <v>SH-ED-17-R-013</v>
      </c>
    </row>
    <row r="267" spans="2:27" ht="60" x14ac:dyDescent="0.25">
      <c r="B267" s="56">
        <v>2482</v>
      </c>
      <c r="C267" s="49">
        <v>265</v>
      </c>
      <c r="D267" s="4" t="str">
        <f>LOOKUP($E267,OBRAS!$D:$D,OBRAS!C:C)</f>
        <v>SUPERVISION EXTERNA Y CONSTROL DE CALIDAD DE LA OBRA: CONSERVACION Y RECONSTRUCCION DEL TRAMO URES - PUEBLO DE ALAMOS EN VARIAS LOCALIDADES DEL MUNICIPIO DE URES.</v>
      </c>
      <c r="E267" s="4" t="s">
        <v>695</v>
      </c>
      <c r="F267" s="4"/>
      <c r="G267" s="4" t="str">
        <f>LOOKUP($E267,OBRAS!$D:$D,OBRAS!E:E)</f>
        <v>C-00098/0021</v>
      </c>
      <c r="H267" s="80" t="s">
        <v>103</v>
      </c>
      <c r="I267" s="6">
        <v>220287.14</v>
      </c>
      <c r="J267" s="6"/>
      <c r="K267" s="6">
        <f>ROUND(I267*0.1,2)</f>
        <v>22028.71</v>
      </c>
      <c r="L267" s="6">
        <f t="shared" si="55"/>
        <v>198258.43</v>
      </c>
      <c r="M267" s="6">
        <f t="shared" si="56"/>
        <v>31721.35</v>
      </c>
      <c r="N267" s="6">
        <f t="shared" si="57"/>
        <v>229979.78</v>
      </c>
      <c r="O267" s="6">
        <f>+ROUND(I267*0.002,2)+ROUND(I267*0.0003,2)+ROUND(I267*0.0003,2)+ROUND(I267*0.0003,2)</f>
        <v>638.84</v>
      </c>
      <c r="P267" s="6">
        <f t="shared" si="58"/>
        <v>229340.94</v>
      </c>
      <c r="Q267" s="4" t="str">
        <f>LOOKUP($E267,OBRAS!$D:$D,OBRAS!B:B)</f>
        <v>GO SUPERVISION, PROYECTOS, ESTUDIOS Y CONSTROL DE CALIDAD DE OBRAS CIVILES, S.A. DE C.V.</v>
      </c>
      <c r="R267" s="4" t="str">
        <f>LOOKUP($E267,OBRAS!$D:$D,OBRAS!A:A)</f>
        <v>URES</v>
      </c>
      <c r="S267" s="4" t="str">
        <f>LOOKUP($E267,OBRAS!$D:$D,OBRAS!F:F)</f>
        <v>11000002003501E203K03203A625132161A013</v>
      </c>
      <c r="T267" s="4" t="str">
        <f>LOOKUP($E267,OBRAS!$D:$D,OBRAS!G:G)</f>
        <v>CE-926006995-E59-2016</v>
      </c>
      <c r="U267" s="92" t="s">
        <v>863</v>
      </c>
      <c r="V267" s="89">
        <v>42664</v>
      </c>
      <c r="W267" s="6">
        <f>LOOKUP($E267,OBRAS!$D:$D,OBRAS!K:K)</f>
        <v>1216824.22</v>
      </c>
      <c r="X267" s="109">
        <f t="shared" si="59"/>
        <v>0.21</v>
      </c>
      <c r="Y267" s="109">
        <f t="shared" si="63"/>
        <v>0.81</v>
      </c>
      <c r="Z267" s="109">
        <f t="shared" si="60"/>
        <v>0.82899999999999996</v>
      </c>
      <c r="AA267" s="4" t="str">
        <f>LOOKUP($E267,OBRAS!$D:$D,OBRAS!H:H)</f>
        <v>SH-ED-16-051</v>
      </c>
    </row>
    <row r="268" spans="2:27" ht="45" x14ac:dyDescent="0.25">
      <c r="B268" s="56">
        <v>2483</v>
      </c>
      <c r="C268" s="49">
        <v>266</v>
      </c>
      <c r="D268" s="4" t="str">
        <f>LOOKUP($E268,OBRAS!$D:$D,OBRAS!C:C)</f>
        <v>RECONSTRUCCION DEL CAMINO CALLE 12 SUR EN VARIAS LOCALIDADES, MUNICIPIO DE HERMOSILLO, SONORA</v>
      </c>
      <c r="E268" s="4" t="s">
        <v>524</v>
      </c>
      <c r="F268" s="4" t="s">
        <v>401</v>
      </c>
      <c r="G268" s="4" t="str">
        <f>LOOKUP($E268,OBRAS!$D:$D,OBRAS!E:E)</f>
        <v>C-00054/0025</v>
      </c>
      <c r="H268" s="80" t="s">
        <v>221</v>
      </c>
      <c r="I268" s="6">
        <v>5325785.83</v>
      </c>
      <c r="J268" s="6"/>
      <c r="K268" s="6">
        <f>ROUND(I268*0.3,2)</f>
        <v>1597735.75</v>
      </c>
      <c r="L268" s="6">
        <f t="shared" si="55"/>
        <v>3728050.08</v>
      </c>
      <c r="M268" s="6">
        <f t="shared" si="56"/>
        <v>596488.01</v>
      </c>
      <c r="N268" s="6">
        <f t="shared" si="57"/>
        <v>4324538.09</v>
      </c>
      <c r="O268" s="6">
        <f>ROUND(I268*0.002,2)+ROUND(I268*0.002,2)+ROUND(I268*0.0003,2)+ROUND(I268*0.0003,2)+ROUND(I268*0.0003,2)</f>
        <v>26096.36</v>
      </c>
      <c r="P268" s="6">
        <f t="shared" si="58"/>
        <v>4298441.7300000004</v>
      </c>
      <c r="Q268" s="4" t="str">
        <f>LOOKUP($E268,OBRAS!$D:$D,OBRAS!B:B)</f>
        <v>GALEONEZS LM CONSTRUCCIONES, S. A. DE C. V.</v>
      </c>
      <c r="R268" s="4" t="str">
        <f>LOOKUP($E268,OBRAS!$D:$D,OBRAS!A:A)</f>
        <v>HERMOSILLO</v>
      </c>
      <c r="S268" s="4" t="str">
        <f>LOOKUP($E268,OBRAS!$D:$D,OBRAS!F:F)</f>
        <v>11000002003501E204K08063A625012162A207</v>
      </c>
      <c r="T268" s="4" t="str">
        <f>LOOKUP($E268,OBRAS!$D:$D,OBRAS!G:G)</f>
        <v>CE-926006995-E6-2016</v>
      </c>
      <c r="U268" s="4" t="s">
        <v>863</v>
      </c>
      <c r="V268" s="89">
        <v>42643</v>
      </c>
      <c r="W268" s="6">
        <f>LOOKUP($E268,OBRAS!$D:$D,OBRAS!K:K)</f>
        <v>22955014.68</v>
      </c>
      <c r="X268" s="109">
        <f t="shared" si="59"/>
        <v>0.26910000000000001</v>
      </c>
      <c r="Y268" s="109">
        <f t="shared" si="63"/>
        <v>0.98119999999999996</v>
      </c>
      <c r="Z268" s="109">
        <f t="shared" si="60"/>
        <v>0.9869</v>
      </c>
      <c r="AA268" s="4" t="str">
        <f>LOOKUP($E268,OBRAS!$D:$D,OBRAS!H:H)</f>
        <v>SH-ED-17-R-013</v>
      </c>
    </row>
    <row r="269" spans="2:27" ht="75" x14ac:dyDescent="0.25">
      <c r="B269" s="56">
        <v>2484</v>
      </c>
      <c r="C269" s="49">
        <v>267</v>
      </c>
      <c r="D269" s="4" t="str">
        <f>LOOKUP($E269,OBRAS!$D:$D,OBRAS!C:C)</f>
        <v>SUPERVISION EXTERNA Y CONTROL DE CALIDAD PARA LA OBRA: CONSTRUCCION, REHABILITACION Y EQUIPAMIENTO DE UNIDAD DEPORTIVA FAUSTINO FELIX ETAPA 3, EN LA LOCALIDAD Y MUNICIPIO DE NAVOJOA, SONORA.</v>
      </c>
      <c r="E269" s="4" t="s">
        <v>296</v>
      </c>
      <c r="F269" s="4"/>
      <c r="G269" s="4" t="str">
        <f>LOOKUP($E269,OBRAS!$D:$D,OBRAS!E:E)</f>
        <v>C-00098/0034</v>
      </c>
      <c r="H269" s="80" t="s">
        <v>103</v>
      </c>
      <c r="I269" s="6">
        <v>72950.2</v>
      </c>
      <c r="J269" s="6"/>
      <c r="K269" s="6"/>
      <c r="L269" s="6">
        <f t="shared" si="55"/>
        <v>72950.2</v>
      </c>
      <c r="M269" s="6">
        <f t="shared" si="56"/>
        <v>11672.03</v>
      </c>
      <c r="N269" s="6">
        <f t="shared" si="57"/>
        <v>84622.23</v>
      </c>
      <c r="O269" s="6">
        <f>+ROUND(I269*0.002,2)+ROUND(I269*0.0003,2)+ROUND(I269*0.0003,2)+ROUND(I269*0.0003,2)</f>
        <v>211.57</v>
      </c>
      <c r="P269" s="6">
        <f t="shared" si="58"/>
        <v>84410.66</v>
      </c>
      <c r="Q269" s="4" t="str">
        <f>LOOKUP($E269,OBRAS!$D:$D,OBRAS!B:B)</f>
        <v>ARQ. JORGE LUIS CARDENAS LOPEZ</v>
      </c>
      <c r="R269" s="4" t="str">
        <f>LOOKUP($E269,OBRAS!$D:$D,OBRAS!A:A)</f>
        <v>NAVOJOA</v>
      </c>
      <c r="S269" s="4" t="str">
        <f>LOOKUP($E269,OBRAS!$D:$D,OBRAS!F:F)</f>
        <v>11000002002401E406K07202A625132161A013</v>
      </c>
      <c r="T269" s="4" t="str">
        <f>LOOKUP($E269,OBRAS!$D:$D,OBRAS!G:G)</f>
        <v>ADJUDICACIÓN DIRECTA</v>
      </c>
      <c r="U269" s="4" t="s">
        <v>863</v>
      </c>
      <c r="V269" s="89">
        <v>42662</v>
      </c>
      <c r="W269" s="6">
        <f>LOOKUP($E269,OBRAS!$D:$D,OBRAS!K:K)</f>
        <v>338488.93</v>
      </c>
      <c r="X269" s="109">
        <f t="shared" si="59"/>
        <v>0.25</v>
      </c>
      <c r="Y269" s="109">
        <f t="shared" si="63"/>
        <v>1</v>
      </c>
      <c r="Z269" s="109">
        <f t="shared" si="60"/>
        <v>1</v>
      </c>
      <c r="AA269" s="4" t="str">
        <f>LOOKUP($E269,OBRAS!$D:$D,OBRAS!H:H)</f>
        <v>SH-ED-16-045</v>
      </c>
    </row>
    <row r="270" spans="2:27" ht="75" x14ac:dyDescent="0.25">
      <c r="B270" s="56">
        <v>2485</v>
      </c>
      <c r="C270" s="49">
        <v>268</v>
      </c>
      <c r="D270" s="4" t="str">
        <f>LOOKUP($E270,OBRAS!$D:$D,OBRAS!C:C)</f>
        <v>SUPERVISION EXTERNA Y CONTROL DE CALIDAD PARA LA OBRA: CONSTRUCCION, REHABILITACION Y EQUIPAMIENTO DE UNIDAD DEPORTIVA FAUSTINO FELIX ETAPA 3, EN LA LOCALIDAD Y MUNICIPIO DE NAVOJOA, SONORA.</v>
      </c>
      <c r="E270" s="4" t="s">
        <v>296</v>
      </c>
      <c r="F270" s="4"/>
      <c r="G270" s="4" t="str">
        <f>LOOKUP($E270,OBRAS!$D:$D,OBRAS!E:E)</f>
        <v>C-00098/0034</v>
      </c>
      <c r="H270" s="80" t="s">
        <v>221</v>
      </c>
      <c r="I270" s="6">
        <v>72950.2</v>
      </c>
      <c r="J270" s="6"/>
      <c r="K270" s="6"/>
      <c r="L270" s="6">
        <f t="shared" si="55"/>
        <v>72950.2</v>
      </c>
      <c r="M270" s="6">
        <f t="shared" si="56"/>
        <v>11672.03</v>
      </c>
      <c r="N270" s="6">
        <f t="shared" si="57"/>
        <v>84622.23</v>
      </c>
      <c r="O270" s="6">
        <f>+ROUND(I270*0.002,2)+ROUND(I270*0.0003,2)+ROUND(I270*0.0003,2)+ROUND(I270*0.0003,2)</f>
        <v>211.57</v>
      </c>
      <c r="P270" s="6">
        <f t="shared" si="58"/>
        <v>84410.66</v>
      </c>
      <c r="Q270" s="4" t="str">
        <f>LOOKUP($E270,OBRAS!$D:$D,OBRAS!B:B)</f>
        <v>ARQ. JORGE LUIS CARDENAS LOPEZ</v>
      </c>
      <c r="R270" s="4" t="str">
        <f>LOOKUP($E270,OBRAS!$D:$D,OBRAS!A:A)</f>
        <v>NAVOJOA</v>
      </c>
      <c r="S270" s="4" t="str">
        <f>LOOKUP($E270,OBRAS!$D:$D,OBRAS!F:F)</f>
        <v>11000002002401E406K07202A625132161A013</v>
      </c>
      <c r="T270" s="4" t="str">
        <f>LOOKUP($E270,OBRAS!$D:$D,OBRAS!G:G)</f>
        <v>ADJUDICACIÓN DIRECTA</v>
      </c>
      <c r="U270" s="4" t="s">
        <v>863</v>
      </c>
      <c r="V270" s="89">
        <v>42664</v>
      </c>
      <c r="W270" s="6">
        <f>LOOKUP($E270,OBRAS!$D:$D,OBRAS!K:K)</f>
        <v>338488.93</v>
      </c>
      <c r="X270" s="109">
        <f t="shared" si="59"/>
        <v>0.25</v>
      </c>
      <c r="Y270" s="109">
        <f t="shared" si="63"/>
        <v>1</v>
      </c>
      <c r="Z270" s="109">
        <f t="shared" si="60"/>
        <v>1</v>
      </c>
      <c r="AA270" s="4" t="str">
        <f>LOOKUP($E270,OBRAS!$D:$D,OBRAS!H:H)</f>
        <v>SH-ED-16-045</v>
      </c>
    </row>
    <row r="271" spans="2:27" ht="45" x14ac:dyDescent="0.25">
      <c r="B271" s="56">
        <v>2486</v>
      </c>
      <c r="C271" s="49">
        <v>269</v>
      </c>
      <c r="D271" s="4" t="str">
        <f>LOOKUP($E271,OBRAS!$D:$D,OBRAS!C:C)</f>
        <v>SUPERVISION EXTERNA Y CONTROL DE CALIDAD DE LA CONSTRUCCION DE CENTRO DE ATENCION TEMPRANA EN EL DISTRITO DE NAVOJOA</v>
      </c>
      <c r="E271" s="4" t="s">
        <v>740</v>
      </c>
      <c r="F271" s="4"/>
      <c r="G271" s="4" t="str">
        <f>LOOKUP($E271,OBRAS!$D:$D,OBRAS!E:E)</f>
        <v>C-00098/0016-11</v>
      </c>
      <c r="H271" s="80" t="s">
        <v>103</v>
      </c>
      <c r="I271" s="6">
        <v>72950.2</v>
      </c>
      <c r="J271" s="6"/>
      <c r="K271" s="6"/>
      <c r="L271" s="6">
        <f t="shared" si="55"/>
        <v>72950.2</v>
      </c>
      <c r="M271" s="6">
        <f t="shared" si="56"/>
        <v>11672.03</v>
      </c>
      <c r="N271" s="6">
        <f t="shared" si="57"/>
        <v>84622.23</v>
      </c>
      <c r="O271" s="6">
        <f>+ROUND(I271*0.002,2)+ROUND(I271*0.0003,2)+ROUND(I271*0.0003,2)+ROUND(I271*0.0003,2)</f>
        <v>211.57</v>
      </c>
      <c r="P271" s="6">
        <f t="shared" si="58"/>
        <v>84410.66</v>
      </c>
      <c r="Q271" s="4" t="str">
        <f>LOOKUP($E271,OBRAS!$D:$D,OBRAS!B:B)</f>
        <v>ARQ. JORGE LUIS CARDENAS LOPEZ</v>
      </c>
      <c r="R271" s="4" t="str">
        <f>LOOKUP($E271,OBRAS!$D:$D,OBRAS!A:A)</f>
        <v>NAVOJOA</v>
      </c>
      <c r="S271" s="4" t="str">
        <f>LOOKUP($E271,OBRAS!$D:$D,OBRAS!F:F)</f>
        <v>11000002002207E201K02104A622212161A013</v>
      </c>
      <c r="T271" s="4" t="str">
        <f>LOOKUP($E271,OBRAS!$D:$D,OBRAS!G:G)</f>
        <v>ADJUDICACIÓN DIRECTA</v>
      </c>
      <c r="U271" s="4" t="s">
        <v>863</v>
      </c>
      <c r="V271" s="89">
        <v>42662</v>
      </c>
      <c r="W271" s="6">
        <f>LOOKUP($E271,OBRAS!$D:$D,OBRAS!K:K)</f>
        <v>338488.93</v>
      </c>
      <c r="X271" s="109">
        <f t="shared" si="59"/>
        <v>0.25</v>
      </c>
      <c r="Y271" s="109">
        <f t="shared" si="63"/>
        <v>1</v>
      </c>
      <c r="Z271" s="109">
        <f t="shared" si="60"/>
        <v>1</v>
      </c>
      <c r="AA271" s="4" t="str">
        <f>LOOKUP($E271,OBRAS!$D:$D,OBRAS!H:H)</f>
        <v>SH-ED-16-011</v>
      </c>
    </row>
    <row r="272" spans="2:27" ht="45" x14ac:dyDescent="0.25">
      <c r="B272" s="56">
        <v>2487</v>
      </c>
      <c r="C272" s="49">
        <v>270</v>
      </c>
      <c r="D272" s="4" t="str">
        <f>LOOKUP($E272,OBRAS!$D:$D,OBRAS!C:C)</f>
        <v>SUPERVISION EXTERNA Y CONTROL DE CALIDAD DE LA CONSTRUCCION DE CENTRO DE ATENCION TEMPRANA EN EL DISTRITO DE NAVOJOA</v>
      </c>
      <c r="E272" s="4" t="s">
        <v>740</v>
      </c>
      <c r="F272" s="4"/>
      <c r="G272" s="4" t="str">
        <f>LOOKUP($E272,OBRAS!$D:$D,OBRAS!E:E)</f>
        <v>C-00098/0016-11</v>
      </c>
      <c r="H272" s="80" t="s">
        <v>221</v>
      </c>
      <c r="I272" s="6">
        <v>72950.2</v>
      </c>
      <c r="J272" s="6"/>
      <c r="K272" s="6"/>
      <c r="L272" s="6">
        <f t="shared" si="55"/>
        <v>72950.2</v>
      </c>
      <c r="M272" s="6">
        <f t="shared" si="56"/>
        <v>11672.03</v>
      </c>
      <c r="N272" s="6">
        <f t="shared" si="57"/>
        <v>84622.23</v>
      </c>
      <c r="O272" s="6">
        <f>+ROUND(I272*0.002,2)+ROUND(I272*0.0003,2)+ROUND(I272*0.0003,2)+ROUND(I272*0.0003,2)</f>
        <v>211.57</v>
      </c>
      <c r="P272" s="6">
        <f t="shared" si="58"/>
        <v>84410.66</v>
      </c>
      <c r="Q272" s="4" t="str">
        <f>LOOKUP($E272,OBRAS!$D:$D,OBRAS!B:B)</f>
        <v>ARQ. JORGE LUIS CARDENAS LOPEZ</v>
      </c>
      <c r="R272" s="4" t="str">
        <f>LOOKUP($E272,OBRAS!$D:$D,OBRAS!A:A)</f>
        <v>NAVOJOA</v>
      </c>
      <c r="S272" s="4" t="str">
        <f>LOOKUP($E272,OBRAS!$D:$D,OBRAS!F:F)</f>
        <v>11000002002207E201K02104A622212161A013</v>
      </c>
      <c r="T272" s="4" t="str">
        <f>LOOKUP($E272,OBRAS!$D:$D,OBRAS!G:G)</f>
        <v>ADJUDICACIÓN DIRECTA</v>
      </c>
      <c r="U272" s="4" t="s">
        <v>863</v>
      </c>
      <c r="V272" s="89">
        <v>42662</v>
      </c>
      <c r="W272" s="6">
        <f>LOOKUP($E272,OBRAS!$D:$D,OBRAS!K:K)</f>
        <v>338488.93</v>
      </c>
      <c r="X272" s="109">
        <f t="shared" si="59"/>
        <v>0.25</v>
      </c>
      <c r="Y272" s="109">
        <f t="shared" si="63"/>
        <v>1</v>
      </c>
      <c r="Z272" s="109">
        <f t="shared" si="60"/>
        <v>1</v>
      </c>
      <c r="AA272" s="4" t="str">
        <f>LOOKUP($E272,OBRAS!$D:$D,OBRAS!H:H)</f>
        <v>SH-ED-16-011</v>
      </c>
    </row>
    <row r="273" spans="2:27" ht="45" x14ac:dyDescent="0.25">
      <c r="B273" s="56">
        <v>2488</v>
      </c>
      <c r="C273" s="49">
        <v>271</v>
      </c>
      <c r="D273" s="4" t="str">
        <f>LOOKUP($E273,OBRAS!$D:$D,OBRAS!C:C)</f>
        <v>SUPERVISION EXTERNA Y CONTROL DE CALIDAD DE LA CONSTRUCCION DE CENTRO DE ATENCION TEMPRANA EN EL DISTRITO DE NAVOJOA</v>
      </c>
      <c r="E273" s="4" t="s">
        <v>740</v>
      </c>
      <c r="F273" s="4"/>
      <c r="G273" s="4" t="str">
        <f>LOOKUP($E273,OBRAS!$D:$D,OBRAS!E:E)</f>
        <v>C-00098/0016-11</v>
      </c>
      <c r="H273" s="80" t="s">
        <v>55</v>
      </c>
      <c r="I273" s="6">
        <v>72950.2</v>
      </c>
      <c r="J273" s="6"/>
      <c r="K273" s="6"/>
      <c r="L273" s="6">
        <f t="shared" si="55"/>
        <v>72950.2</v>
      </c>
      <c r="M273" s="6">
        <f t="shared" si="56"/>
        <v>11672.03</v>
      </c>
      <c r="N273" s="6">
        <f t="shared" si="57"/>
        <v>84622.23</v>
      </c>
      <c r="O273" s="6">
        <f>+ROUND(I273*0.002,2)+ROUND(I273*0.0003,2)+ROUND(I273*0.0003,2)+ROUND(I273*0.0003,2)</f>
        <v>211.57</v>
      </c>
      <c r="P273" s="6">
        <f t="shared" si="58"/>
        <v>84410.66</v>
      </c>
      <c r="Q273" s="4" t="str">
        <f>LOOKUP($E273,OBRAS!$D:$D,OBRAS!B:B)</f>
        <v>ARQ. JORGE LUIS CARDENAS LOPEZ</v>
      </c>
      <c r="R273" s="4" t="str">
        <f>LOOKUP($E273,OBRAS!$D:$D,OBRAS!A:A)</f>
        <v>NAVOJOA</v>
      </c>
      <c r="S273" s="4" t="str">
        <f>LOOKUP($E273,OBRAS!$D:$D,OBRAS!F:F)</f>
        <v>11000002002207E201K02104A622212161A013</v>
      </c>
      <c r="T273" s="4" t="str">
        <f>LOOKUP($E273,OBRAS!$D:$D,OBRAS!G:G)</f>
        <v>ADJUDICACIÓN DIRECTA</v>
      </c>
      <c r="U273" s="4" t="s">
        <v>863</v>
      </c>
      <c r="V273" s="89">
        <v>42662</v>
      </c>
      <c r="W273" s="6">
        <f>LOOKUP($E273,OBRAS!$D:$D,OBRAS!K:K)</f>
        <v>338488.93</v>
      </c>
      <c r="X273" s="109">
        <f t="shared" si="59"/>
        <v>0.25</v>
      </c>
      <c r="Y273" s="109">
        <f t="shared" si="63"/>
        <v>1</v>
      </c>
      <c r="Z273" s="109">
        <f t="shared" si="60"/>
        <v>1</v>
      </c>
      <c r="AA273" s="4" t="str">
        <f>LOOKUP($E273,OBRAS!$D:$D,OBRAS!H:H)</f>
        <v>SH-ED-16-011</v>
      </c>
    </row>
    <row r="274" spans="2:27" ht="45" x14ac:dyDescent="0.25">
      <c r="C274" s="84">
        <v>272</v>
      </c>
      <c r="D274" s="4" t="str">
        <f>LOOKUP($E274,OBRAS!$D:$D,OBRAS!C:C)</f>
        <v>CONSTRUCCION Y EQUIPAMIENTO DE LA UNIDAD DEPORTIVA AURELIO RODRIGUEZ EN LA LOCALIDAD Y MUNICIPIO DE CANANEA, SONORA.</v>
      </c>
      <c r="E274" s="4" t="s">
        <v>896</v>
      </c>
      <c r="F274" s="4" t="s">
        <v>217</v>
      </c>
      <c r="G274" s="4" t="str">
        <f>LOOKUP($E274,OBRAS!$D:$D,OBRAS!E:E)</f>
        <v>C-00116/0002</v>
      </c>
      <c r="H274" s="80" t="s">
        <v>103</v>
      </c>
      <c r="I274" s="6">
        <v>1623668.46</v>
      </c>
      <c r="J274" s="6"/>
      <c r="K274" s="6">
        <f>ROUND(I274*0.3,2)</f>
        <v>487100.54</v>
      </c>
      <c r="L274" s="6">
        <f t="shared" si="55"/>
        <v>1136567.92</v>
      </c>
      <c r="M274" s="6">
        <f t="shared" si="56"/>
        <v>181850.87</v>
      </c>
      <c r="N274" s="6">
        <f t="shared" si="57"/>
        <v>1318418.79</v>
      </c>
      <c r="O274" s="6">
        <v>8118.34</v>
      </c>
      <c r="P274" s="6">
        <f t="shared" si="58"/>
        <v>1310300.45</v>
      </c>
      <c r="Q274" s="4" t="str">
        <f>LOOKUP($E274,OBRAS!$D:$D,OBRAS!B:B)</f>
        <v>CONSTRU ELECTRICA R Y R, S.A. DE C.V.</v>
      </c>
      <c r="R274" s="4" t="str">
        <f>LOOKUP($E274,OBRAS!$D:$D,OBRAS!A:A)</f>
        <v>CANANEA</v>
      </c>
      <c r="S274" s="4"/>
      <c r="T274" s="4"/>
      <c r="U274" s="4" t="s">
        <v>863</v>
      </c>
      <c r="V274" s="4"/>
      <c r="W274" s="6">
        <f>LOOKUP($E274,OBRAS!$D:$D,OBRAS!K:K)</f>
        <v>9190547.5</v>
      </c>
      <c r="X274" s="109">
        <f t="shared" si="59"/>
        <v>0.2049</v>
      </c>
      <c r="Y274" s="109">
        <f t="shared" si="63"/>
        <v>1</v>
      </c>
      <c r="Z274" s="109">
        <f t="shared" si="60"/>
        <v>1</v>
      </c>
      <c r="AA274" s="4" t="str">
        <f>LOOKUP($E274,OBRAS!$D:$D,OBRAS!H:H)</f>
        <v>OM-NC-15-203</v>
      </c>
    </row>
    <row r="275" spans="2:27" ht="45" x14ac:dyDescent="0.25">
      <c r="C275" s="84">
        <v>273</v>
      </c>
      <c r="D275" s="4" t="str">
        <f>LOOKUP($E275,OBRAS!$D:$D,OBRAS!C:C)</f>
        <v>CONSTRUCCION Y EQUIPAMIENTO DE LA UNIDAD DEPORTIVA AURELIO RODRIGUEZ EN LA LOCALIDAD Y MUNICIPIO DE CANANEA, SONORA.</v>
      </c>
      <c r="E275" s="4" t="s">
        <v>896</v>
      </c>
      <c r="F275" s="4" t="s">
        <v>217</v>
      </c>
      <c r="G275" s="4" t="str">
        <f>LOOKUP($E275,OBRAS!$D:$D,OBRAS!E:E)</f>
        <v>C-00116/0002</v>
      </c>
      <c r="H275" s="80" t="s">
        <v>221</v>
      </c>
      <c r="I275" s="6">
        <v>1096498.3700000001</v>
      </c>
      <c r="J275" s="6"/>
      <c r="K275" s="6">
        <f>ROUND(I275*0.3,2)</f>
        <v>328949.51</v>
      </c>
      <c r="L275" s="6">
        <f t="shared" si="55"/>
        <v>767548.86</v>
      </c>
      <c r="M275" s="6">
        <f t="shared" si="56"/>
        <v>122807.82</v>
      </c>
      <c r="N275" s="6">
        <f t="shared" si="57"/>
        <v>890356.68</v>
      </c>
      <c r="O275" s="6">
        <v>5482.49</v>
      </c>
      <c r="P275" s="6">
        <f t="shared" si="58"/>
        <v>884874.19</v>
      </c>
      <c r="Q275" s="4" t="str">
        <f>LOOKUP($E275,OBRAS!$D:$D,OBRAS!B:B)</f>
        <v>CONSTRU ELECTRICA R Y R, S.A. DE C.V.</v>
      </c>
      <c r="R275" s="4" t="str">
        <f>LOOKUP($E275,OBRAS!$D:$D,OBRAS!A:A)</f>
        <v>CANANEA</v>
      </c>
      <c r="S275" s="4"/>
      <c r="T275" s="4"/>
      <c r="U275" s="4" t="s">
        <v>863</v>
      </c>
      <c r="V275" s="4"/>
      <c r="W275" s="6">
        <f>LOOKUP($E275,OBRAS!$D:$D,OBRAS!K:K)</f>
        <v>9190547.5</v>
      </c>
      <c r="X275" s="109">
        <f t="shared" si="59"/>
        <v>0.1384</v>
      </c>
      <c r="Y275" s="109">
        <f t="shared" si="63"/>
        <v>1</v>
      </c>
      <c r="Z275" s="109">
        <f t="shared" si="60"/>
        <v>1</v>
      </c>
      <c r="AA275" s="4" t="str">
        <f>LOOKUP($E275,OBRAS!$D:$D,OBRAS!H:H)</f>
        <v>OM-NC-15-203</v>
      </c>
    </row>
    <row r="276" spans="2:27" ht="45" x14ac:dyDescent="0.25">
      <c r="C276" s="84">
        <v>274</v>
      </c>
      <c r="D276" s="4" t="str">
        <f>LOOKUP($E276,OBRAS!$D:$D,OBRAS!C:C)</f>
        <v>CONSTRUCCION Y EQUIPAMIENTO DE LA UNIDAD DEPORTIVA AURELIO RODRIGUEZ EN LA LOCALIDAD Y MUNICIPIO DE CANANEA, SONORA.</v>
      </c>
      <c r="E276" s="4" t="s">
        <v>896</v>
      </c>
      <c r="F276" s="4" t="s">
        <v>217</v>
      </c>
      <c r="G276" s="4" t="str">
        <f>LOOKUP($E276,OBRAS!$D:$D,OBRAS!E:E)</f>
        <v>C-00116/0002</v>
      </c>
      <c r="H276" s="81" t="s">
        <v>55</v>
      </c>
      <c r="I276" s="6">
        <v>4250695.99</v>
      </c>
      <c r="J276" s="6"/>
      <c r="K276" s="6">
        <f>ROUND(I276*0.3,2)</f>
        <v>1275208.8</v>
      </c>
      <c r="L276" s="6">
        <f t="shared" si="55"/>
        <v>2975487.19</v>
      </c>
      <c r="M276" s="6">
        <f t="shared" si="56"/>
        <v>476077.95</v>
      </c>
      <c r="N276" s="6">
        <f t="shared" si="57"/>
        <v>3451565.14</v>
      </c>
      <c r="O276" s="6">
        <v>21253.48</v>
      </c>
      <c r="P276" s="6">
        <f t="shared" si="58"/>
        <v>3430311.66</v>
      </c>
      <c r="Q276" s="4" t="str">
        <f>LOOKUP($E276,OBRAS!$D:$D,OBRAS!B:B)</f>
        <v>CONSTRU ELECTRICA R Y R, S.A. DE C.V.</v>
      </c>
      <c r="R276" s="4" t="str">
        <f>LOOKUP($E276,OBRAS!$D:$D,OBRAS!A:A)</f>
        <v>CANANEA</v>
      </c>
      <c r="S276" s="4"/>
      <c r="T276" s="4"/>
      <c r="U276" s="4" t="s">
        <v>863</v>
      </c>
      <c r="V276" s="4"/>
      <c r="W276" s="6">
        <f>LOOKUP($E276,OBRAS!$D:$D,OBRAS!K:K)</f>
        <v>9190547.5</v>
      </c>
      <c r="X276" s="109">
        <f t="shared" si="59"/>
        <v>0.53649999999999998</v>
      </c>
      <c r="Y276" s="109">
        <f t="shared" si="63"/>
        <v>1</v>
      </c>
      <c r="Z276" s="109">
        <f t="shared" si="60"/>
        <v>1</v>
      </c>
      <c r="AA276" s="4" t="str">
        <f>LOOKUP($E276,OBRAS!$D:$D,OBRAS!H:H)</f>
        <v>OM-NC-15-203</v>
      </c>
    </row>
    <row r="277" spans="2:27" ht="45" x14ac:dyDescent="0.25">
      <c r="B277" s="56">
        <v>2631</v>
      </c>
      <c r="C277" s="49">
        <v>275</v>
      </c>
      <c r="D277" s="4" t="str">
        <f>LOOKUP($E277,OBRAS!$D:$D,OBRAS!C:C)</f>
        <v>CONSTRUCCION DE PARQUE DE ACCESO DEL MUSEO MUSAS EN LA LOCALIDAD Y MUNICIPIO DE HERMOSILLO</v>
      </c>
      <c r="E277" s="4" t="s">
        <v>89</v>
      </c>
      <c r="F277" s="4" t="s">
        <v>225</v>
      </c>
      <c r="G277" s="4" t="str">
        <f>LOOKUP($E277,OBRAS!$D:$D,OBRAS!E:E)</f>
        <v>C-00093/0010</v>
      </c>
      <c r="H277" s="80" t="s">
        <v>214</v>
      </c>
      <c r="I277" s="6">
        <v>1473859.53</v>
      </c>
      <c r="J277" s="6"/>
      <c r="K277" s="6">
        <f>ROUND(I277*0.4,2)</f>
        <v>589543.81000000006</v>
      </c>
      <c r="L277" s="6">
        <f t="shared" si="55"/>
        <v>884315.72</v>
      </c>
      <c r="M277" s="6">
        <f t="shared" si="56"/>
        <v>141490.51999999999</v>
      </c>
      <c r="N277" s="6">
        <f t="shared" si="57"/>
        <v>1025806.24</v>
      </c>
      <c r="O277" s="6">
        <f>+ROUND(I277*0.005,2)</f>
        <v>7369.3</v>
      </c>
      <c r="P277" s="6">
        <f t="shared" si="58"/>
        <v>1018436.94</v>
      </c>
      <c r="Q277" s="4" t="str">
        <f>LOOKUP($E277,OBRAS!$D:$D,OBRAS!B:B)</f>
        <v>CONSTRUCTORES LISTABLANCA, S.A. DE C.V.</v>
      </c>
      <c r="R277" s="4" t="str">
        <f>LOOKUP($E277,OBRAS!$D:$D,OBRAS!A:A)</f>
        <v>HERMOSILLO</v>
      </c>
      <c r="S277" s="4" t="str">
        <f>LOOKUP($E277,OBRAS!$D:$D,OBRAS!F:F)</f>
        <v>11000002002402E406K06106A612012155GL07</v>
      </c>
      <c r="T277" s="4" t="str">
        <f>LOOKUP($E277,OBRAS!$D:$D,OBRAS!G:G)</f>
        <v>LO-926006995-N8-2015</v>
      </c>
      <c r="U277" s="4" t="s">
        <v>863</v>
      </c>
      <c r="V277" s="89">
        <v>42601</v>
      </c>
      <c r="W277" s="6">
        <f>LOOKUP($E277,OBRAS!$D:$D,OBRAS!K:K)</f>
        <v>10308275.199999999</v>
      </c>
      <c r="X277" s="109">
        <f t="shared" si="59"/>
        <v>0.16589999999999999</v>
      </c>
      <c r="Y277" s="109">
        <f t="shared" si="63"/>
        <v>1.0001</v>
      </c>
      <c r="Z277" s="109">
        <f t="shared" si="60"/>
        <v>0.6</v>
      </c>
      <c r="AA277" s="4" t="str">
        <f>LOOKUP($E277,OBRAS!$D:$D,OBRAS!H:H)</f>
        <v>SH-NC-16-R-007</v>
      </c>
    </row>
    <row r="278" spans="2:27" ht="60" x14ac:dyDescent="0.25">
      <c r="B278" s="56">
        <v>2632</v>
      </c>
      <c r="C278" s="49">
        <v>276</v>
      </c>
      <c r="D278" s="4" t="str">
        <f>LOOKUP($E278,OBRAS!$D:$D,OBRAS!C:C)</f>
        <v>CONSERVACION Y RECONSTRUCCION DE CARRETERAS ALIMENTADORAS REGION GUAYMAS-EMPALME, TRAMO: URSULO GALVAN-JUNELANCAHUI, DEL KM 0+000 AL KM 5+600</v>
      </c>
      <c r="E278" s="4" t="s">
        <v>550</v>
      </c>
      <c r="F278" s="4" t="s">
        <v>401</v>
      </c>
      <c r="G278" s="4" t="str">
        <f>LOOKUP($E278,OBRAS!$D:$D,OBRAS!E:E)</f>
        <v>C-00054/0060</v>
      </c>
      <c r="H278" s="80" t="s">
        <v>103</v>
      </c>
      <c r="I278" s="6">
        <v>549315.43999999994</v>
      </c>
      <c r="J278" s="6"/>
      <c r="K278" s="6">
        <f>ROUND(I278*0.3,2)</f>
        <v>164794.63</v>
      </c>
      <c r="L278" s="6">
        <f t="shared" si="55"/>
        <v>384520.81</v>
      </c>
      <c r="M278" s="6">
        <f t="shared" si="56"/>
        <v>61523.33</v>
      </c>
      <c r="N278" s="6">
        <f t="shared" si="57"/>
        <v>446044.14</v>
      </c>
      <c r="O278" s="6">
        <f>+ROUND(I278*0.002,2)+ROUND(I278*0.0003,2)+ROUND(I278*0.0003,2)+ROUND(I278*0.0003,2)+ROUND(I278*0.002,2)</f>
        <v>2691.63</v>
      </c>
      <c r="P278" s="6">
        <f t="shared" si="58"/>
        <v>443352.51</v>
      </c>
      <c r="Q278" s="4" t="str">
        <f>LOOKUP($E278,OBRAS!$D:$D,OBRAS!B:B)</f>
        <v>ACQUA  DREN  INGENIERIA S.A. DE C.V.</v>
      </c>
      <c r="R278" s="4" t="str">
        <f>LOOKUP($E278,OBRAS!$D:$D,OBRAS!A:A)</f>
        <v>VARIOS</v>
      </c>
      <c r="S278" s="4" t="str">
        <f>LOOKUP($E278,OBRAS!$D:$D,OBRAS!F:F)</f>
        <v>11000002003501E204K08063A625012162A213</v>
      </c>
      <c r="T278" s="4" t="str">
        <f>LOOKUP($E278,OBRAS!$D:$D,OBRAS!G:G)</f>
        <v>CE-926006995-E24-2016</v>
      </c>
      <c r="U278" s="4" t="s">
        <v>863</v>
      </c>
      <c r="V278" s="89">
        <v>42643</v>
      </c>
      <c r="W278" s="6">
        <f>LOOKUP($E278,OBRAS!$D:$D,OBRAS!K:K)</f>
        <v>14898875.880000001</v>
      </c>
      <c r="X278" s="109">
        <f t="shared" si="59"/>
        <v>4.2799999999999998E-2</v>
      </c>
      <c r="Y278" s="109">
        <f t="shared" si="63"/>
        <v>0.60219999999999996</v>
      </c>
      <c r="Z278" s="109">
        <f t="shared" si="60"/>
        <v>0.72150000000000003</v>
      </c>
      <c r="AA278" s="4" t="str">
        <f>LOOKUP($E278,OBRAS!$D:$D,OBRAS!H:H)</f>
        <v>SH-ED-17-R-013</v>
      </c>
    </row>
    <row r="279" spans="2:27" ht="75" x14ac:dyDescent="0.25">
      <c r="B279" s="56">
        <v>2633</v>
      </c>
      <c r="C279" s="49">
        <v>277</v>
      </c>
      <c r="D279" s="4" t="str">
        <f>LOOKUP($E279,OBRAS!$D:$D,OBRAS!C:C)</f>
        <v>OBRA COMPLEMENTARIA DE CONSTRUCCION DE PABELLON DE GIMNASIA Y HALTEROFILIA EN LA UNIDAD DEPORTIVA "JULIO ALFONSO ALFONSO" EN LA LOCALIDAD Y MUNICIPIO DE GUAYMAS, SONORA.</v>
      </c>
      <c r="E279" s="4" t="s">
        <v>114</v>
      </c>
      <c r="F279" s="4" t="s">
        <v>217</v>
      </c>
      <c r="G279" s="4" t="str">
        <f>LOOKUP($E279,OBRAS!$D:$D,OBRAS!E:E)</f>
        <v>C-00064/0008</v>
      </c>
      <c r="H279" s="80" t="s">
        <v>103</v>
      </c>
      <c r="I279" s="6">
        <v>1327643.67</v>
      </c>
      <c r="J279" s="6"/>
      <c r="K279" s="6">
        <f>ROUND(I279*0.3,2)</f>
        <v>398293.1</v>
      </c>
      <c r="L279" s="6">
        <f t="shared" ref="L279:L310" si="64">I279-K279</f>
        <v>929350.57</v>
      </c>
      <c r="M279" s="6">
        <f t="shared" si="56"/>
        <v>148696.09</v>
      </c>
      <c r="N279" s="6">
        <f t="shared" si="57"/>
        <v>1078046.6599999999</v>
      </c>
      <c r="O279" s="6">
        <f>+ROUND(I279*0.005,2)</f>
        <v>6638.22</v>
      </c>
      <c r="P279" s="6">
        <f t="shared" si="58"/>
        <v>1071408.44</v>
      </c>
      <c r="Q279" s="4" t="str">
        <f>LOOKUP($E279,OBRAS!$D:$D,OBRAS!B:B)</f>
        <v>PROYECTOS Y CONSULTORIA DEL DESIERTO, S.A. DE C.V.</v>
      </c>
      <c r="R279" s="4" t="str">
        <f>LOOKUP($E279,OBRAS!$D:$D,OBRAS!A:A)</f>
        <v>GUAYMAS</v>
      </c>
      <c r="S279" s="4" t="str">
        <f>LOOKUP($E279,OBRAS!$D:$D,OBRAS!F:F)</f>
        <v>11000002002401E406K07203A612112135DM10</v>
      </c>
      <c r="T279" s="4" t="str">
        <f>LOOKUP($E279,OBRAS!$D:$D,OBRAS!G:G)</f>
        <v>IO-926006995-N64-2015
INVITACION</v>
      </c>
      <c r="U279" s="4" t="s">
        <v>863</v>
      </c>
      <c r="V279" s="89">
        <v>42662</v>
      </c>
      <c r="W279" s="6">
        <f>LOOKUP($E279,OBRAS!$D:$D,OBRAS!K:K)</f>
        <v>1962379.1</v>
      </c>
      <c r="X279" s="109">
        <f t="shared" si="59"/>
        <v>0.78480000000000005</v>
      </c>
      <c r="Y279" s="109">
        <f t="shared" si="63"/>
        <v>0.91520000000000001</v>
      </c>
      <c r="Z279" s="109">
        <f t="shared" si="60"/>
        <v>0.91520000000000001</v>
      </c>
      <c r="AA279" s="4" t="str">
        <f>LOOKUP($E279,OBRAS!$D:$D,OBRAS!H:H)</f>
        <v>SH-FAFEF-16-R-008</v>
      </c>
    </row>
    <row r="280" spans="2:27" ht="75" x14ac:dyDescent="0.25">
      <c r="B280" s="56">
        <v>2634</v>
      </c>
      <c r="C280" s="49">
        <v>278</v>
      </c>
      <c r="D280" s="4" t="str">
        <f>LOOKUP($E280,OBRAS!$D:$D,OBRAS!C:C)</f>
        <v>OBRA COMPLEMENTARIA DE CONSTRUCCION DE PABELLON DE GIMNASIA Y HALTEROFILIA EN LA UNIDAD DEPORTIVA "JULIO ALFONSO ALFONSO" EN LA LOCALIDAD Y MUNICIPIO DE GUAYMAS, SONORA.</v>
      </c>
      <c r="E280" s="4" t="s">
        <v>114</v>
      </c>
      <c r="F280" s="4" t="s">
        <v>217</v>
      </c>
      <c r="G280" s="4" t="str">
        <f>LOOKUP($E280,OBRAS!$D:$D,OBRAS!E:E)</f>
        <v>C-00064/0008</v>
      </c>
      <c r="H280" s="80" t="s">
        <v>221</v>
      </c>
      <c r="I280" s="6">
        <v>220652.89</v>
      </c>
      <c r="J280" s="6"/>
      <c r="K280" s="6">
        <v>109218.74</v>
      </c>
      <c r="L280" s="6">
        <f t="shared" si="64"/>
        <v>111434.15</v>
      </c>
      <c r="M280" s="6">
        <f t="shared" si="56"/>
        <v>17829.46</v>
      </c>
      <c r="N280" s="6">
        <f t="shared" si="57"/>
        <v>129263.61</v>
      </c>
      <c r="O280" s="6">
        <f>+ROUND(I280*0.005,2)</f>
        <v>1103.26</v>
      </c>
      <c r="P280" s="6">
        <f t="shared" si="58"/>
        <v>128160.35</v>
      </c>
      <c r="Q280" s="4" t="str">
        <f>LOOKUP($E280,OBRAS!$D:$D,OBRAS!B:B)</f>
        <v>PROYECTOS Y CONSULTORIA DEL DESIERTO, S.A. DE C.V.</v>
      </c>
      <c r="R280" s="4" t="str">
        <f>LOOKUP($E280,OBRAS!$D:$D,OBRAS!A:A)</f>
        <v>GUAYMAS</v>
      </c>
      <c r="S280" s="4" t="str">
        <f>LOOKUP($E280,OBRAS!$D:$D,OBRAS!F:F)</f>
        <v>11000002002401E406K07203A612112135DM10</v>
      </c>
      <c r="T280" s="4" t="str">
        <f>LOOKUP($E280,OBRAS!$D:$D,OBRAS!G:G)</f>
        <v>IO-926006995-N64-2015
INVITACION</v>
      </c>
      <c r="U280" s="4" t="s">
        <v>863</v>
      </c>
      <c r="V280" s="89">
        <v>42662</v>
      </c>
      <c r="W280" s="6">
        <f>LOOKUP($E280,OBRAS!$D:$D,OBRAS!K:K)</f>
        <v>1962379.1</v>
      </c>
      <c r="X280" s="109">
        <f t="shared" si="59"/>
        <v>0.13039999999999999</v>
      </c>
      <c r="Y280" s="109">
        <f t="shared" si="63"/>
        <v>0.91520000000000001</v>
      </c>
      <c r="Z280" s="109">
        <f t="shared" si="60"/>
        <v>0.91520000000000001</v>
      </c>
      <c r="AA280" s="4" t="str">
        <f>LOOKUP($E280,OBRAS!$D:$D,OBRAS!H:H)</f>
        <v>SH-FAFEF-16-R-008</v>
      </c>
    </row>
    <row r="281" spans="2:27" ht="45" x14ac:dyDescent="0.25">
      <c r="B281" s="56">
        <v>2635</v>
      </c>
      <c r="C281" s="49">
        <v>279</v>
      </c>
      <c r="D281" s="4" t="str">
        <f>LOOKUP($E281,OBRAS!$D:$D,OBRAS!C:C)</f>
        <v>CONCLUSION DE LA MODERNIZACION Y RECONSTRUCCION DEL TRAMO ESPERANZA - HORNOS (DEL KM 8 + 800 AL KM 17 + 400)</v>
      </c>
      <c r="E281" s="4" t="s">
        <v>597</v>
      </c>
      <c r="F281" s="4" t="s">
        <v>224</v>
      </c>
      <c r="G281" s="4" t="str">
        <f>LOOKUP($E281,OBRAS!$D:$D,OBRAS!E:E)</f>
        <v>C-00054/0053</v>
      </c>
      <c r="H281" s="80" t="s">
        <v>103</v>
      </c>
      <c r="I281" s="6">
        <v>5435475.21</v>
      </c>
      <c r="J281" s="6"/>
      <c r="K281" s="6">
        <f>ROUND(I281*0.3,2)</f>
        <v>1630642.56</v>
      </c>
      <c r="L281" s="6">
        <f t="shared" si="64"/>
        <v>3804832.65</v>
      </c>
      <c r="M281" s="6">
        <f t="shared" si="56"/>
        <v>608773.22</v>
      </c>
      <c r="N281" s="6">
        <f t="shared" si="57"/>
        <v>4413605.87</v>
      </c>
      <c r="O281" s="6">
        <f>+ROUND(I281*0.002,2)+ROUND(I281*0.0003,2)+ROUND(I281*0.0003,2)+ROUND(I281*0.0003,2)+ROUND(I281*0.002,2)</f>
        <v>26633.82</v>
      </c>
      <c r="P281" s="6">
        <f t="shared" si="58"/>
        <v>4386972.05</v>
      </c>
      <c r="Q281" s="4" t="str">
        <f>LOOKUP($E281,OBRAS!$D:$D,OBRAS!B:B)</f>
        <v>INGENIEROS CIVILES, S.A. DE C.V.</v>
      </c>
      <c r="R281" s="4" t="str">
        <f>LOOKUP($E281,OBRAS!$D:$D,OBRAS!A:A)</f>
        <v>VARIOS</v>
      </c>
      <c r="S281" s="4" t="str">
        <f>LOOKUP($E281,OBRAS!$D:$D,OBRAS!F:F)</f>
        <v>11000002003501E204K08063A625012162A213</v>
      </c>
      <c r="T281" s="4" t="str">
        <f>LOOKUP($E281,OBRAS!$D:$D,OBRAS!G:G)</f>
        <v>CE-966006995-E17-2016</v>
      </c>
      <c r="U281" s="4" t="s">
        <v>863</v>
      </c>
      <c r="V281" s="89">
        <v>42632</v>
      </c>
      <c r="W281" s="6">
        <f>LOOKUP($E281,OBRAS!$D:$D,OBRAS!K:K)</f>
        <v>79892690.269999996</v>
      </c>
      <c r="X281" s="109">
        <f t="shared" si="59"/>
        <v>7.8899999999999998E-2</v>
      </c>
      <c r="Y281" s="109">
        <f t="shared" si="63"/>
        <v>0.98319999999999996</v>
      </c>
      <c r="Z281" s="109">
        <f t="shared" si="60"/>
        <v>0.98309999999999997</v>
      </c>
      <c r="AA281" s="4" t="str">
        <f>LOOKUP($E281,OBRAS!$D:$D,OBRAS!H:H)</f>
        <v>SH-ED-17-R-013</v>
      </c>
    </row>
    <row r="282" spans="2:27" ht="45" x14ac:dyDescent="0.25">
      <c r="B282" s="56">
        <v>2636</v>
      </c>
      <c r="C282" s="49">
        <v>280</v>
      </c>
      <c r="D282" s="4" t="str">
        <f>LOOKUP($E282,OBRAS!$D:$D,OBRAS!C:C)</f>
        <v>CONCLUSION DE LA MODERNIZACION Y RECONSTRUCCION DEL TRAMO ESPERANZA - HORNOS (DEL KM 8 + 800 AL KM 17 + 400)</v>
      </c>
      <c r="E282" s="4" t="s">
        <v>597</v>
      </c>
      <c r="F282" s="4" t="s">
        <v>224</v>
      </c>
      <c r="G282" s="4" t="str">
        <f>LOOKUP($E282,OBRAS!$D:$D,OBRAS!E:E)</f>
        <v>C-00054/0053</v>
      </c>
      <c r="H282" s="80" t="s">
        <v>221</v>
      </c>
      <c r="I282" s="6">
        <v>1973988.37</v>
      </c>
      <c r="J282" s="6"/>
      <c r="K282" s="6">
        <f>ROUND(I282*0.3,2)</f>
        <v>592196.51</v>
      </c>
      <c r="L282" s="6">
        <f t="shared" si="64"/>
        <v>1381791.86</v>
      </c>
      <c r="M282" s="6">
        <f t="shared" si="56"/>
        <v>221086.7</v>
      </c>
      <c r="N282" s="6">
        <f t="shared" si="57"/>
        <v>1602878.56</v>
      </c>
      <c r="O282" s="6">
        <f>+ROUND(I282*0.002,2)+ROUND(I282*0.0003,2)+ROUND(I282*0.0003,2)+ROUND(I282*0.0003,2)+ROUND(I282*0.002,2)</f>
        <v>9672.56</v>
      </c>
      <c r="P282" s="6">
        <f t="shared" si="58"/>
        <v>1593206</v>
      </c>
      <c r="Q282" s="4" t="str">
        <f>LOOKUP($E282,OBRAS!$D:$D,OBRAS!B:B)</f>
        <v>INGENIEROS CIVILES, S.A. DE C.V.</v>
      </c>
      <c r="R282" s="4" t="str">
        <f>LOOKUP($E282,OBRAS!$D:$D,OBRAS!A:A)</f>
        <v>VARIOS</v>
      </c>
      <c r="S282" s="4" t="str">
        <f>LOOKUP($E282,OBRAS!$D:$D,OBRAS!F:F)</f>
        <v>11000002003501E204K08063A625012162A213</v>
      </c>
      <c r="T282" s="4" t="str">
        <f>LOOKUP($E282,OBRAS!$D:$D,OBRAS!G:G)</f>
        <v>CE-966006995-E17-2016</v>
      </c>
      <c r="U282" s="4" t="s">
        <v>863</v>
      </c>
      <c r="V282" s="89">
        <v>42643</v>
      </c>
      <c r="W282" s="6">
        <f>LOOKUP($E282,OBRAS!$D:$D,OBRAS!K:K)</f>
        <v>79892690.269999996</v>
      </c>
      <c r="X282" s="109">
        <f t="shared" si="59"/>
        <v>2.87E-2</v>
      </c>
      <c r="Y282" s="109">
        <f t="shared" si="63"/>
        <v>0.98319999999999996</v>
      </c>
      <c r="Z282" s="109">
        <f t="shared" si="60"/>
        <v>0.98309999999999997</v>
      </c>
      <c r="AA282" s="4" t="str">
        <f>LOOKUP($E282,OBRAS!$D:$D,OBRAS!H:H)</f>
        <v>SH-ED-17-R-013</v>
      </c>
    </row>
    <row r="283" spans="2:27" ht="30" x14ac:dyDescent="0.25">
      <c r="B283" s="56">
        <v>2637</v>
      </c>
      <c r="C283" s="49">
        <v>281</v>
      </c>
      <c r="D283" s="4" t="str">
        <f>LOOKUP($E283,OBRAS!$D:$D,OBRAS!C:C)</f>
        <v>RECONSTRUCCIÓN DEL CAMINO NAVOJOA-ETCHOJOA-HUATABAMPO</v>
      </c>
      <c r="E283" s="4" t="s">
        <v>520</v>
      </c>
      <c r="F283" s="4" t="s">
        <v>224</v>
      </c>
      <c r="G283" s="4" t="str">
        <f>LOOKUP($E283,OBRAS!$D:$D,OBRAS!E:E)</f>
        <v>C-00054/0019</v>
      </c>
      <c r="H283" s="80" t="s">
        <v>221</v>
      </c>
      <c r="I283" s="6">
        <v>13499787.41</v>
      </c>
      <c r="J283" s="6"/>
      <c r="K283" s="6">
        <f>ROUND(I283*0.3,2)</f>
        <v>4049936.22</v>
      </c>
      <c r="L283" s="6">
        <f t="shared" si="64"/>
        <v>9449851.1899999995</v>
      </c>
      <c r="M283" s="6">
        <f t="shared" si="56"/>
        <v>1511976.19</v>
      </c>
      <c r="N283" s="6">
        <f t="shared" si="57"/>
        <v>10961827.380000001</v>
      </c>
      <c r="O283" s="6">
        <f>+ROUND(I283*0.002,2)+ROUND(I283*0.0003,2)+ROUND(I283*0.0003,2)+ROUND(I283*0.0003,2)+ROUND(I283*0.002,2)</f>
        <v>66148.960000000006</v>
      </c>
      <c r="P283" s="6">
        <f t="shared" si="58"/>
        <v>10895678.42</v>
      </c>
      <c r="Q283" s="4" t="str">
        <f>LOOKUP($E283,OBRAS!$D:$D,OBRAS!B:B)</f>
        <v>CONSTRUKINO, S.A. DE C.V.</v>
      </c>
      <c r="R283" s="4" t="str">
        <f>LOOKUP($E283,OBRAS!$D:$D,OBRAS!A:A)</f>
        <v>VARIOS</v>
      </c>
      <c r="S283" s="4" t="str">
        <f>LOOKUP($E283,OBRAS!$D:$D,OBRAS!F:F)</f>
        <v>11000002003501E204K08063A625012162A213</v>
      </c>
      <c r="T283" s="4" t="str">
        <f>LOOKUP($E283,OBRAS!$D:$D,OBRAS!G:G)</f>
        <v>CE-926006995-E1-2016</v>
      </c>
      <c r="U283" s="4" t="s">
        <v>863</v>
      </c>
      <c r="V283" s="89">
        <v>42632</v>
      </c>
      <c r="W283" s="6">
        <f>LOOKUP($E283,OBRAS!$D:$D,OBRAS!K:K)</f>
        <v>42349187.57</v>
      </c>
      <c r="X283" s="109">
        <f t="shared" si="59"/>
        <v>0.36980000000000002</v>
      </c>
      <c r="Y283" s="109">
        <f t="shared" si="63"/>
        <v>1</v>
      </c>
      <c r="Z283" s="109">
        <f t="shared" si="60"/>
        <v>1</v>
      </c>
      <c r="AA283" s="4" t="str">
        <f>LOOKUP($E283,OBRAS!$D:$D,OBRAS!H:H)</f>
        <v>SH-ED-17-R-013</v>
      </c>
    </row>
    <row r="284" spans="2:27" ht="60" x14ac:dyDescent="0.25">
      <c r="B284" s="56">
        <v>2638</v>
      </c>
      <c r="C284" s="49">
        <v>282</v>
      </c>
      <c r="D284" s="4" t="str">
        <f>LOOKUP($E284,OBRAS!$D:$D,OBRAS!C:C)</f>
        <v>CONSTRUCCIÓN DE SEGUNDO CUERPO DE LA CALLE 1A EN COMPLEJO PUERTA OESTE Y DRENAJE PLUVIAL PROVINCIAS EN LA LOCALIDAD Y MUNICIPIO DE HERMOSILLO, SONORA</v>
      </c>
      <c r="E284" s="4" t="s">
        <v>145</v>
      </c>
      <c r="F284" s="4" t="s">
        <v>225</v>
      </c>
      <c r="G284" s="4" t="str">
        <f>LOOKUP($E284,OBRAS!$D:$D,OBRAS!E:E)</f>
        <v>C-00093/0012</v>
      </c>
      <c r="H284" s="80" t="s">
        <v>748</v>
      </c>
      <c r="I284" s="6">
        <v>544405.44999999995</v>
      </c>
      <c r="J284" s="6"/>
      <c r="K284" s="6"/>
      <c r="L284" s="6">
        <f t="shared" si="64"/>
        <v>544405.44999999995</v>
      </c>
      <c r="M284" s="6">
        <f t="shared" si="56"/>
        <v>87104.87</v>
      </c>
      <c r="N284" s="6">
        <f t="shared" si="57"/>
        <v>631510.31999999995</v>
      </c>
      <c r="O284" s="6">
        <f>+ROUND(I284*0.005,2)</f>
        <v>2722.03</v>
      </c>
      <c r="P284" s="6">
        <f t="shared" si="58"/>
        <v>628788.29</v>
      </c>
      <c r="Q284" s="4" t="str">
        <f>LOOKUP($E284,OBRAS!$D:$D,OBRAS!B:B)</f>
        <v>CONSTRUMAQ, S.A. D E C.V.</v>
      </c>
      <c r="R284" s="4" t="str">
        <f>LOOKUP($E284,OBRAS!$D:$D,OBRAS!A:A)</f>
        <v>HERMOSILLO</v>
      </c>
      <c r="S284" s="4" t="str">
        <f>LOOKUP($E284,OBRAS!$D:$D,OBRAS!F:F)</f>
        <v>11000002002201E201K02203A614202155GL07</v>
      </c>
      <c r="T284" s="4" t="str">
        <f>LOOKUP($E284,OBRAS!$D:$D,OBRAS!G:G)</f>
        <v>LO-926006995-N11-2015</v>
      </c>
      <c r="U284" s="4" t="s">
        <v>863</v>
      </c>
      <c r="V284" s="89">
        <v>42600</v>
      </c>
      <c r="W284" s="6">
        <f>LOOKUP($E284,OBRAS!$D:$D,OBRAS!K:K)</f>
        <v>25909363.280000001</v>
      </c>
      <c r="X284" s="109">
        <f t="shared" si="59"/>
        <v>2.4400000000000002E-2</v>
      </c>
      <c r="Y284" s="109">
        <f t="shared" si="63"/>
        <v>0.18490000000000001</v>
      </c>
      <c r="Z284" s="109">
        <f t="shared" si="60"/>
        <v>0.10440000000000001</v>
      </c>
      <c r="AA284" s="4" t="str">
        <f>LOOKUP($E284,OBRAS!$D:$D,OBRAS!H:H)</f>
        <v>SH-NC-16-R-007</v>
      </c>
    </row>
    <row r="285" spans="2:27" ht="60" x14ac:dyDescent="0.25">
      <c r="B285" s="56">
        <v>2639</v>
      </c>
      <c r="C285" s="49">
        <v>283</v>
      </c>
      <c r="D285" s="4" t="str">
        <f>LOOKUP($E285,OBRAS!$D:$D,OBRAS!C:C)</f>
        <v>SUPERVISION EXTERNA Y CONTROL DE CALIDAD DE LA REHABILITACION DE RED DE CARRETERAS ALIMENTADORAS EN LA REGION DEL RIO SONORA; SUBTRAMO KM 0+000 AL KM 75+000</v>
      </c>
      <c r="E285" s="4" t="s">
        <v>732</v>
      </c>
      <c r="F285" s="4"/>
      <c r="G285" s="4" t="str">
        <f>LOOKUP($E285,OBRAS!$D:$D,OBRAS!E:E)</f>
        <v>C-00098/0021</v>
      </c>
      <c r="H285" s="80" t="s">
        <v>221</v>
      </c>
      <c r="I285" s="6">
        <v>160660.73000000001</v>
      </c>
      <c r="J285" s="6"/>
      <c r="K285" s="6"/>
      <c r="L285" s="6">
        <f t="shared" si="64"/>
        <v>160660.73000000001</v>
      </c>
      <c r="M285" s="6">
        <f t="shared" si="56"/>
        <v>25705.72</v>
      </c>
      <c r="N285" s="6">
        <f t="shared" si="57"/>
        <v>186366.45</v>
      </c>
      <c r="O285" s="6">
        <f>+ROUND(I285*0.002,2)+ROUND(I285*0.0003,2)+ROUND(I285*0.0003,2)+ROUND(I285*0.0003,2)</f>
        <v>465.92</v>
      </c>
      <c r="P285" s="6">
        <f t="shared" si="58"/>
        <v>185900.53</v>
      </c>
      <c r="Q285" s="4" t="str">
        <f>LOOKUP($E285,OBRAS!$D:$D,OBRAS!B:B)</f>
        <v>ESCOBO S.A. DE C.V.</v>
      </c>
      <c r="R285" s="4" t="str">
        <f>LOOKUP($E285,OBRAS!$D:$D,OBRAS!A:A)</f>
        <v>VARIOS</v>
      </c>
      <c r="S285" s="4" t="str">
        <f>LOOKUP($E285,OBRAS!$D:$D,OBRAS!F:F)</f>
        <v>11000002003501E203K03203A625132161A013</v>
      </c>
      <c r="T285" s="4" t="str">
        <f>LOOKUP($E285,OBRAS!$D:$D,OBRAS!G:G)</f>
        <v>CE-966006995-E67-2016</v>
      </c>
      <c r="U285" s="4" t="s">
        <v>863</v>
      </c>
      <c r="V285" s="89">
        <v>42632</v>
      </c>
      <c r="W285" s="6">
        <f>LOOKUP($E285,OBRAS!$D:$D,OBRAS!K:K)</f>
        <v>2329580.42</v>
      </c>
      <c r="X285" s="109">
        <f t="shared" si="59"/>
        <v>0.08</v>
      </c>
      <c r="Y285" s="109">
        <f t="shared" si="63"/>
        <v>0.92679999999999996</v>
      </c>
      <c r="Z285" s="109">
        <f t="shared" si="60"/>
        <v>0.92669999999999997</v>
      </c>
      <c r="AA285" s="4" t="str">
        <f>LOOKUP($E285,OBRAS!$D:$D,OBRAS!H:H)</f>
        <v>SH-ED-16-060</v>
      </c>
    </row>
    <row r="286" spans="2:27" ht="60" x14ac:dyDescent="0.25">
      <c r="B286" s="56">
        <v>2640</v>
      </c>
      <c r="C286" s="49">
        <v>284</v>
      </c>
      <c r="D286" s="4" t="str">
        <f>LOOKUP($E286,OBRAS!$D:$D,OBRAS!C:C)</f>
        <v>SUPERVISION EXTERNA Y CONTROL DE CALIDAD DE LA REHABILITACION DE RED DE CARRETERAS ALIMENTADORAS EN LA REGION DEL RIO SONORA; SUBTRAMO KM 75+000 AL KM 149+000</v>
      </c>
      <c r="E286" s="4" t="s">
        <v>749</v>
      </c>
      <c r="F286" s="4"/>
      <c r="G286" s="4" t="str">
        <f>LOOKUP($E286,OBRAS!$D:$D,OBRAS!E:E)</f>
        <v>C-00098/0021</v>
      </c>
      <c r="H286" s="80" t="s">
        <v>103</v>
      </c>
      <c r="I286" s="6">
        <v>175283.9</v>
      </c>
      <c r="J286" s="6"/>
      <c r="K286" s="6"/>
      <c r="L286" s="6">
        <f t="shared" si="64"/>
        <v>175283.9</v>
      </c>
      <c r="M286" s="6">
        <f t="shared" si="56"/>
        <v>28045.42</v>
      </c>
      <c r="N286" s="6">
        <f t="shared" si="57"/>
        <v>203329.32</v>
      </c>
      <c r="O286" s="6">
        <f>+ROUND(I286*0.002,2)+ROUND(I286*0.0003,2)+ROUND(I286*0.0003,2)+ROUND(I286*0.0003,2)</f>
        <v>508.34</v>
      </c>
      <c r="P286" s="6">
        <f t="shared" si="58"/>
        <v>202820.98</v>
      </c>
      <c r="Q286" s="4" t="str">
        <f>LOOKUP($E286,OBRAS!$D:$D,OBRAS!B:B)</f>
        <v>ESCOBO S.A. DE C.V.</v>
      </c>
      <c r="R286" s="4" t="str">
        <f>LOOKUP($E286,OBRAS!$D:$D,OBRAS!A:A)</f>
        <v>VARIOS</v>
      </c>
      <c r="S286" s="4" t="str">
        <f>LOOKUP($E286,OBRAS!$D:$D,OBRAS!F:F)</f>
        <v>11000002003501E203K03203A625132161A013</v>
      </c>
      <c r="T286" s="4" t="str">
        <f>LOOKUP($E286,OBRAS!$D:$D,OBRAS!G:G)</f>
        <v>CE-966006995-E68-2016</v>
      </c>
      <c r="U286" s="4" t="s">
        <v>863</v>
      </c>
      <c r="V286" s="89">
        <v>42671</v>
      </c>
      <c r="W286" s="6">
        <f>LOOKUP($E286,OBRAS!$D:$D,OBRAS!K:K)</f>
        <v>2346107.56</v>
      </c>
      <c r="X286" s="109">
        <f t="shared" si="59"/>
        <v>8.6699999999999999E-2</v>
      </c>
      <c r="Y286" s="109">
        <f t="shared" si="63"/>
        <v>0.78280000000000005</v>
      </c>
      <c r="Z286" s="109">
        <f t="shared" si="60"/>
        <v>0.78280000000000005</v>
      </c>
      <c r="AA286" s="4" t="str">
        <f>LOOKUP($E286,OBRAS!$D:$D,OBRAS!H:H)</f>
        <v>SH-ED-16-060</v>
      </c>
    </row>
    <row r="287" spans="2:27" ht="75" x14ac:dyDescent="0.25">
      <c r="B287" s="56">
        <v>2641</v>
      </c>
      <c r="C287" s="49">
        <v>285</v>
      </c>
      <c r="D287" s="4" t="str">
        <f>LOOKUP($E287,OBRAS!$D:$D,OBRAS!C:C)</f>
        <v xml:space="preserve"> SUPERVISION EXTERNA Y CONTROL DE CALIDAD DE LA CONSERVACION Y RECONSTRUCCION DE CARRETERAS ALIMENTADORAS REGION GUAYMAS-EMPALME, TRAMO: E.C. (PROVIDENCIA-ORTIZ)-LA MISA</v>
      </c>
      <c r="E287" s="4" t="s">
        <v>465</v>
      </c>
      <c r="F287" s="4"/>
      <c r="G287" s="4" t="str">
        <f>LOOKUP($E287,OBRAS!$D:$D,OBRAS!E:E)</f>
        <v>C-00098/0021</v>
      </c>
      <c r="H287" s="80" t="s">
        <v>103</v>
      </c>
      <c r="I287" s="6">
        <v>241032.14</v>
      </c>
      <c r="J287" s="6"/>
      <c r="K287" s="6">
        <f>ROUND(I287*0.1,2)</f>
        <v>24103.21</v>
      </c>
      <c r="L287" s="6">
        <f t="shared" si="64"/>
        <v>216928.93</v>
      </c>
      <c r="M287" s="6">
        <f t="shared" si="56"/>
        <v>34708.629999999997</v>
      </c>
      <c r="N287" s="6">
        <f t="shared" si="57"/>
        <v>251637.56</v>
      </c>
      <c r="O287" s="6">
        <f>+ROUND(I287*0.002,2)+ROUND(I287*0.0003,2)+ROUND(I287*0.0003,2)+ROUND(I287*0.0003,2)</f>
        <v>698.99</v>
      </c>
      <c r="P287" s="6">
        <f t="shared" si="58"/>
        <v>250938.57</v>
      </c>
      <c r="Q287" s="4" t="str">
        <f>LOOKUP($E287,OBRAS!$D:$D,OBRAS!B:B)</f>
        <v>ISAFRA CONSTRUCCIONES, S.A. DE C.V.</v>
      </c>
      <c r="R287" s="4" t="str">
        <f>LOOKUP($E287,OBRAS!$D:$D,OBRAS!A:A)</f>
        <v>VARIOS</v>
      </c>
      <c r="S287" s="4" t="str">
        <f>LOOKUP($E287,OBRAS!$D:$D,OBRAS!F:F)</f>
        <v>11000002003501E203K03203A625132161A013</v>
      </c>
      <c r="T287" s="4" t="str">
        <f>LOOKUP($E287,OBRAS!$D:$D,OBRAS!G:G)</f>
        <v>LICITACIÓN SIMPLIFICADA</v>
      </c>
      <c r="U287" s="4" t="s">
        <v>863</v>
      </c>
      <c r="V287" s="89">
        <v>42664</v>
      </c>
      <c r="W287" s="6">
        <f>LOOKUP($E287,OBRAS!$D:$D,OBRAS!K:K)</f>
        <v>838791.85</v>
      </c>
      <c r="X287" s="109">
        <f t="shared" si="59"/>
        <v>0.33329999999999999</v>
      </c>
      <c r="Y287" s="109">
        <f t="shared" si="63"/>
        <v>1</v>
      </c>
      <c r="Z287" s="109">
        <f t="shared" si="60"/>
        <v>1</v>
      </c>
      <c r="AA287" s="4" t="str">
        <f>LOOKUP($E287,OBRAS!$D:$D,OBRAS!H:H)</f>
        <v>SH-ED-16-051</v>
      </c>
    </row>
    <row r="288" spans="2:27" ht="120" x14ac:dyDescent="0.25">
      <c r="B288" s="56">
        <v>2642</v>
      </c>
      <c r="C288" s="49">
        <v>286</v>
      </c>
      <c r="D288" s="4" t="str">
        <f>LOOKUP($E288,OBRAS!$D:$D,OBRAS!C:C)</f>
        <v>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</v>
      </c>
      <c r="E288" s="4" t="s">
        <v>345</v>
      </c>
      <c r="F288" s="4"/>
      <c r="G288" s="4" t="str">
        <f>LOOKUP($E288,OBRAS!$D:$D,OBRAS!E:E)</f>
        <v>C-00098/0021</v>
      </c>
      <c r="H288" s="80" t="s">
        <v>221</v>
      </c>
      <c r="I288" s="6">
        <v>86164.34</v>
      </c>
      <c r="J288" s="6"/>
      <c r="K288" s="6"/>
      <c r="L288" s="6">
        <f t="shared" si="64"/>
        <v>86164.34</v>
      </c>
      <c r="M288" s="6">
        <f t="shared" si="56"/>
        <v>13786.29</v>
      </c>
      <c r="N288" s="6">
        <f t="shared" si="57"/>
        <v>99950.63</v>
      </c>
      <c r="O288" s="6">
        <f>+ROUND(I288*0.002,2)+ROUND(I288*0.0003,2)+ROUND(I288*0.0003,2)+ROUND(I288*0.0003,2)</f>
        <v>249.88</v>
      </c>
      <c r="P288" s="6">
        <f t="shared" si="58"/>
        <v>99700.75</v>
      </c>
      <c r="Q288" s="4" t="str">
        <f>LOOKUP($E288,OBRAS!$D:$D,OBRAS!B:B)</f>
        <v>ISAFRA CONSTRUCCIONES, S.A. DE C.V.</v>
      </c>
      <c r="R288" s="4" t="str">
        <f>LOOKUP($E288,OBRAS!$D:$D,OBRAS!A:A)</f>
        <v>VARIOS</v>
      </c>
      <c r="S288" s="4" t="str">
        <f>LOOKUP($E288,OBRAS!$D:$D,OBRAS!F:F)</f>
        <v>11000002003501E203K03203A625132161A013</v>
      </c>
      <c r="T288" s="4" t="str">
        <f>LOOKUP($E288,OBRAS!$D:$D,OBRAS!G:G)</f>
        <v>ADJUDICACIÓN DIRECTA</v>
      </c>
      <c r="U288" s="4" t="s">
        <v>863</v>
      </c>
      <c r="V288" s="89">
        <v>42632</v>
      </c>
      <c r="W288" s="6">
        <f>LOOKUP($E288,OBRAS!$D:$D,OBRAS!K:K)</f>
        <v>333168.8</v>
      </c>
      <c r="X288" s="109">
        <f t="shared" si="59"/>
        <v>0.3</v>
      </c>
      <c r="Y288" s="109">
        <f t="shared" si="63"/>
        <v>1</v>
      </c>
      <c r="Z288" s="109">
        <f t="shared" si="60"/>
        <v>1</v>
      </c>
      <c r="AA288" s="4" t="str">
        <f>LOOKUP($E288,OBRAS!$D:$D,OBRAS!H:H)</f>
        <v>SH-ED-16-051</v>
      </c>
    </row>
    <row r="289" spans="2:27" ht="75" x14ac:dyDescent="0.25">
      <c r="B289" s="56">
        <v>2643</v>
      </c>
      <c r="C289" s="49">
        <v>287</v>
      </c>
      <c r="D289" s="4" t="str">
        <f>LOOKUP($E289,OBRAS!$D:$D,OBRAS!C:C)</f>
        <v>SUPERVISION EXTERNA Y CONTROL DE CALIDAD DE LA CONSERVACION Y RECONSTRUCCION DE CARRETERAS ALIMENTADORAS REGION GUAYMAS-EMPALME, TRAMO: URSULO GALVAN-JUNELANCAHUI, DEL KM 0+000 AL KM 5+600</v>
      </c>
      <c r="E289" s="4" t="s">
        <v>414</v>
      </c>
      <c r="F289" s="4"/>
      <c r="G289" s="4" t="str">
        <f>LOOKUP($E289,OBRAS!$D:$D,OBRAS!E:E)</f>
        <v>C-00098/0021</v>
      </c>
      <c r="H289" s="80" t="s">
        <v>103</v>
      </c>
      <c r="I289" s="6">
        <v>129198.23</v>
      </c>
      <c r="J289" s="6"/>
      <c r="K289" s="6">
        <f>ROUND(I289*0.1,2)</f>
        <v>12919.82</v>
      </c>
      <c r="L289" s="6">
        <f t="shared" si="64"/>
        <v>116278.41</v>
      </c>
      <c r="M289" s="6">
        <f t="shared" si="56"/>
        <v>18604.55</v>
      </c>
      <c r="N289" s="6">
        <f t="shared" si="57"/>
        <v>134882.96</v>
      </c>
      <c r="O289" s="6">
        <f>+ROUND(I289*0.002,2)+ROUND(I289*0.0003,2)+ROUND(I289*0.0003,2)+ROUND(I289*0.0003,2)</f>
        <v>374.68</v>
      </c>
      <c r="P289" s="6">
        <f t="shared" si="58"/>
        <v>134508.28</v>
      </c>
      <c r="Q289" s="4" t="str">
        <f>LOOKUP($E289,OBRAS!$D:$D,OBRAS!B:B)</f>
        <v>ISAFRA CONSTRUCCIONES, S.A. DE C.V.</v>
      </c>
      <c r="R289" s="4" t="str">
        <f>LOOKUP($E289,OBRAS!$D:$D,OBRAS!A:A)</f>
        <v>VARIOS</v>
      </c>
      <c r="S289" s="4" t="str">
        <f>LOOKUP($E289,OBRAS!$D:$D,OBRAS!F:F)</f>
        <v>11000002003501E203K03203A625132161A013</v>
      </c>
      <c r="T289" s="4" t="str">
        <f>LOOKUP($E289,OBRAS!$D:$D,OBRAS!G:G)</f>
        <v>LICITACIÓN SIMPLIFICADA</v>
      </c>
      <c r="U289" s="4" t="s">
        <v>863</v>
      </c>
      <c r="V289" s="89">
        <v>42632</v>
      </c>
      <c r="W289" s="6">
        <f>LOOKUP($E289,OBRAS!$D:$D,OBRAS!K:K)</f>
        <v>449609.84</v>
      </c>
      <c r="X289" s="109">
        <f t="shared" si="59"/>
        <v>0.33329999999999999</v>
      </c>
      <c r="Y289" s="109">
        <f t="shared" si="63"/>
        <v>0.91659999999999997</v>
      </c>
      <c r="Z289" s="109">
        <f t="shared" si="60"/>
        <v>0.92500000000000004</v>
      </c>
      <c r="AA289" s="4" t="str">
        <f>LOOKUP($E289,OBRAS!$D:$D,OBRAS!H:H)</f>
        <v>SH-ED-16-051</v>
      </c>
    </row>
    <row r="290" spans="2:27" ht="60" x14ac:dyDescent="0.25">
      <c r="B290" s="56">
        <v>2674</v>
      </c>
      <c r="C290" s="49">
        <v>288</v>
      </c>
      <c r="D290" s="4" t="str">
        <f>LOOKUP($E290,OBRAS!$D:$D,OBRAS!C:C)</f>
        <v>PAVIMENTACIÓN CON CARPETA ASFALTICA DE 5.0 CM DE ESPESOR DE LAS CALLES 5 DE MAYO Y ALFONSO GRIJALVA DE LA LOCALIDAD DE PITIQUITO, SONORA.</v>
      </c>
      <c r="E290" s="4" t="s">
        <v>136</v>
      </c>
      <c r="F290" s="4" t="s">
        <v>248</v>
      </c>
      <c r="G290" s="4" t="str">
        <f>LOOKUP($E290,OBRAS!$D:$D,OBRAS!E:E)</f>
        <v>C-00052/0112</v>
      </c>
      <c r="H290" s="80" t="s">
        <v>15</v>
      </c>
      <c r="I290" s="6">
        <v>363713.28000000003</v>
      </c>
      <c r="J290" s="6"/>
      <c r="K290" s="6"/>
      <c r="L290" s="6">
        <f t="shared" si="64"/>
        <v>363713.28000000003</v>
      </c>
      <c r="M290" s="6">
        <f t="shared" si="56"/>
        <v>58194.12</v>
      </c>
      <c r="N290" s="6">
        <f t="shared" si="57"/>
        <v>421907.4</v>
      </c>
      <c r="O290" s="6">
        <f>+ROUND(I290*0.005,2)</f>
        <v>1818.57</v>
      </c>
      <c r="P290" s="6">
        <f t="shared" si="58"/>
        <v>420088.83</v>
      </c>
      <c r="Q290" s="4" t="str">
        <f>LOOKUP($E290,OBRAS!$D:$D,OBRAS!B:B)</f>
        <v>JORGE ARTURO CELAYA LOPEZ</v>
      </c>
      <c r="R290" s="4" t="str">
        <f>LOOKUP($E290,OBRAS!$D:$D,OBRAS!A:A)</f>
        <v>PITIQUITO</v>
      </c>
      <c r="S290" s="4" t="str">
        <f>LOOKUP($E290,OBRAS!$D:$D,OBRAS!F:F)</f>
        <v>11000002002201E201K02203A614222145FO02</v>
      </c>
      <c r="T290" s="4" t="str">
        <f>LOOKUP($E290,OBRAS!$D:$D,OBRAS!G:G)</f>
        <v>IO-926006995-N148-2014</v>
      </c>
      <c r="U290" s="4" t="s">
        <v>863</v>
      </c>
      <c r="V290" s="89">
        <v>42601</v>
      </c>
      <c r="W290" s="6">
        <f>LOOKUP($E290,OBRAS!$D:$D,OBRAS!K:K)</f>
        <v>3675038.12</v>
      </c>
      <c r="X290" s="109">
        <f t="shared" si="59"/>
        <v>0.1148</v>
      </c>
      <c r="Y290" s="109">
        <f t="shared" ref="Y290:Y310" si="65">SUMIF(E:E,E290,X:X)</f>
        <v>0.46300000000000002</v>
      </c>
      <c r="Z290" s="109">
        <f t="shared" si="60"/>
        <v>0.46300000000000002</v>
      </c>
      <c r="AA290" s="4" t="str">
        <f>LOOKUP($E290,OBRAS!$D:$D,OBRAS!H:H)</f>
        <v>SH-NC-16-R-011</v>
      </c>
    </row>
    <row r="291" spans="2:27" ht="60" x14ac:dyDescent="0.25">
      <c r="B291" s="56">
        <v>2675</v>
      </c>
      <c r="C291" s="49">
        <v>289</v>
      </c>
      <c r="D291" s="4" t="str">
        <f>LOOKUP($E291,OBRAS!$D:$D,OBRAS!C:C)</f>
        <v>REHABILITACION DE RED DE CARRETERAS ALIMENTADORAS EN LA REGION DEL RIO DE SONORA EN EL ESTADO DE SONORA; SUBTRAMO KM 0+000 AL KM 75+000</v>
      </c>
      <c r="E291" s="4" t="s">
        <v>370</v>
      </c>
      <c r="F291" s="4" t="s">
        <v>224</v>
      </c>
      <c r="G291" s="4" t="str">
        <f>LOOKUP($E291,OBRAS!$D:$D,OBRAS!E:E)</f>
        <v>C-00054/0069</v>
      </c>
      <c r="H291" s="80" t="s">
        <v>103</v>
      </c>
      <c r="I291" s="6">
        <v>1778715.54</v>
      </c>
      <c r="J291" s="6"/>
      <c r="K291" s="6">
        <f>ROUND(I291*0.3,2)</f>
        <v>533614.66</v>
      </c>
      <c r="L291" s="6">
        <f t="shared" si="64"/>
        <v>1245100.8799999999</v>
      </c>
      <c r="M291" s="6">
        <f t="shared" si="56"/>
        <v>199216.14</v>
      </c>
      <c r="N291" s="6">
        <f t="shared" si="57"/>
        <v>1444317.02</v>
      </c>
      <c r="O291" s="6">
        <f>+ROUND(I291*0.002,2)+ROUND(I291*0.0003,2)+ROUND(I291*0.0003,2)+ROUND(I291*0.0003,2)+ROUND(I291*0.002,2)</f>
        <v>8715.69</v>
      </c>
      <c r="P291" s="6">
        <f t="shared" si="58"/>
        <v>1435601.33</v>
      </c>
      <c r="Q291" s="4" t="str">
        <f>LOOKUP($E291,OBRAS!$D:$D,OBRAS!B:B)</f>
        <v>IKARO INGENIERIA Y ARQUITECTURA, S.A. DE C.V</v>
      </c>
      <c r="R291" s="4" t="str">
        <f>LOOKUP($E291,OBRAS!$D:$D,OBRAS!A:A)</f>
        <v>VARIOS</v>
      </c>
      <c r="S291" s="4" t="str">
        <f>LOOKUP($E291,OBRAS!$D:$D,OBRAS!F:F)</f>
        <v>11000002003501E204K08063A625012162A213</v>
      </c>
      <c r="T291" s="4" t="str">
        <f>LOOKUP($E291,OBRAS!$D:$D,OBRAS!G:G)</f>
        <v>CE-9260006995-E38-2016</v>
      </c>
      <c r="U291" s="4" t="s">
        <v>863</v>
      </c>
      <c r="V291" s="89">
        <v>42632</v>
      </c>
      <c r="W291" s="6">
        <f>LOOKUP($E291,OBRAS!$D:$D,OBRAS!K:K)</f>
        <v>76463113.200000003</v>
      </c>
      <c r="X291" s="109">
        <f t="shared" si="59"/>
        <v>2.7E-2</v>
      </c>
      <c r="Y291" s="109">
        <f t="shared" si="65"/>
        <v>0.98340000000000005</v>
      </c>
      <c r="Z291" s="109">
        <f t="shared" si="60"/>
        <v>0.98829999999999996</v>
      </c>
      <c r="AA291" s="4" t="str">
        <f>LOOKUP($E291,OBRAS!$D:$D,OBRAS!H:H)</f>
        <v>SH-ED-17-R-013</v>
      </c>
    </row>
    <row r="292" spans="2:27" ht="60" x14ac:dyDescent="0.25">
      <c r="B292" s="56">
        <v>2676</v>
      </c>
      <c r="C292" s="49">
        <v>290</v>
      </c>
      <c r="D292" s="4" t="str">
        <f>LOOKUP($E292,OBRAS!$D:$D,OBRAS!C:C)</f>
        <v>SUPERVISION EXTERNA Y CONTROL DE CALIDAD DE LA REHABILITACION DE RED DE CARRETERAS ALIMENTADORAS EN LA REGION DEL RIO SONORA; SUBTRAMO KM 75+000 AL KM 149+000</v>
      </c>
      <c r="E292" s="4" t="s">
        <v>749</v>
      </c>
      <c r="F292" s="4"/>
      <c r="G292" s="4" t="str">
        <f>LOOKUP($E292,OBRAS!$D:$D,OBRAS!E:E)</f>
        <v>C-00098/0021</v>
      </c>
      <c r="H292" s="80" t="s">
        <v>221</v>
      </c>
      <c r="I292" s="6">
        <v>337084.42</v>
      </c>
      <c r="J292" s="6"/>
      <c r="K292" s="6"/>
      <c r="L292" s="6">
        <f t="shared" si="64"/>
        <v>337084.42</v>
      </c>
      <c r="M292" s="6">
        <f t="shared" si="56"/>
        <v>53933.51</v>
      </c>
      <c r="N292" s="6">
        <f t="shared" si="57"/>
        <v>391017.93</v>
      </c>
      <c r="O292" s="6">
        <f>+ROUND(I292*0.002,2)+ROUND(I292*0.0003,2)+ROUND(I292*0.0003,2)+ROUND(I292*0.0003,2)</f>
        <v>977.56</v>
      </c>
      <c r="P292" s="6">
        <f t="shared" si="58"/>
        <v>390040.37</v>
      </c>
      <c r="Q292" s="4" t="str">
        <f>LOOKUP($E292,OBRAS!$D:$D,OBRAS!B:B)</f>
        <v>ESCOBO S.A. DE C.V.</v>
      </c>
      <c r="R292" s="4" t="str">
        <f>LOOKUP($E292,OBRAS!$D:$D,OBRAS!A:A)</f>
        <v>VARIOS</v>
      </c>
      <c r="S292" s="4" t="str">
        <f>LOOKUP($E292,OBRAS!$D:$D,OBRAS!F:F)</f>
        <v>11000002003501E203K03203A625132161A013</v>
      </c>
      <c r="T292" s="4" t="str">
        <f>LOOKUP($E292,OBRAS!$D:$D,OBRAS!G:G)</f>
        <v>CE-966006995-E68-2016</v>
      </c>
      <c r="U292" s="4" t="s">
        <v>863</v>
      </c>
      <c r="V292" s="89">
        <v>42664</v>
      </c>
      <c r="W292" s="6">
        <f>LOOKUP($E292,OBRAS!$D:$D,OBRAS!K:K)</f>
        <v>2346107.56</v>
      </c>
      <c r="X292" s="109">
        <f t="shared" si="59"/>
        <v>0.16669999999999999</v>
      </c>
      <c r="Y292" s="109">
        <f t="shared" si="65"/>
        <v>0.78280000000000005</v>
      </c>
      <c r="Z292" s="109">
        <f t="shared" si="60"/>
        <v>0.78280000000000005</v>
      </c>
      <c r="AA292" s="4" t="str">
        <f>LOOKUP($E292,OBRAS!$D:$D,OBRAS!H:H)</f>
        <v>SH-ED-16-060</v>
      </c>
    </row>
    <row r="293" spans="2:27" x14ac:dyDescent="0.25">
      <c r="C293" s="51">
        <v>291</v>
      </c>
      <c r="D293" s="4" t="e">
        <f>LOOKUP($E293,OBRAS!$D:$D,OBRAS!C:C)</f>
        <v>#N/A</v>
      </c>
      <c r="E293" s="4"/>
      <c r="F293" s="4"/>
      <c r="G293" s="4" t="e">
        <f>LOOKUP($E293,OBRAS!$D:$D,OBRAS!E:E)</f>
        <v>#N/A</v>
      </c>
      <c r="H293" s="80" t="s">
        <v>221</v>
      </c>
      <c r="I293" s="6"/>
      <c r="J293" s="6"/>
      <c r="K293" s="6"/>
      <c r="L293" s="6">
        <f t="shared" si="64"/>
        <v>0</v>
      </c>
      <c r="M293" s="6">
        <f t="shared" si="56"/>
        <v>0</v>
      </c>
      <c r="N293" s="6">
        <f t="shared" si="57"/>
        <v>0</v>
      </c>
      <c r="O293" s="6">
        <f>+ROUND(I293*0.005,2)</f>
        <v>0</v>
      </c>
      <c r="P293" s="6">
        <f t="shared" si="58"/>
        <v>0</v>
      </c>
      <c r="Q293" s="4" t="e">
        <f>LOOKUP($E293,OBRAS!$D:$D,OBRAS!B:B)</f>
        <v>#N/A</v>
      </c>
      <c r="R293" s="4" t="e">
        <f>LOOKUP($E293,OBRAS!$D:$D,OBRAS!A:A)</f>
        <v>#N/A</v>
      </c>
      <c r="S293" s="4" t="e">
        <f>LOOKUP($E293,OBRAS!$D:$D,OBRAS!F:F)</f>
        <v>#N/A</v>
      </c>
      <c r="T293" s="4" t="e">
        <f>LOOKUP($E293,OBRAS!$D:$D,OBRAS!G:G)</f>
        <v>#N/A</v>
      </c>
      <c r="U293" s="4"/>
      <c r="V293" s="4"/>
      <c r="W293" s="6" t="e">
        <f>LOOKUP($E293,OBRAS!$D:$D,OBRAS!K:K)</f>
        <v>#N/A</v>
      </c>
      <c r="X293" s="109" t="e">
        <f t="shared" si="59"/>
        <v>#N/A</v>
      </c>
      <c r="Y293" s="109">
        <f t="shared" si="65"/>
        <v>0</v>
      </c>
      <c r="Z293" s="109" t="e">
        <f t="shared" si="60"/>
        <v>#N/A</v>
      </c>
      <c r="AA293" s="4" t="e">
        <f>LOOKUP($E293,OBRAS!$D:$D,OBRAS!H:H)</f>
        <v>#N/A</v>
      </c>
    </row>
    <row r="294" spans="2:27" ht="60" x14ac:dyDescent="0.25">
      <c r="C294" s="84">
        <v>292</v>
      </c>
      <c r="D294" s="4" t="str">
        <f>LOOKUP($E294,OBRAS!$D:$D,OBRAS!C:C)</f>
        <v>CONSTRUCCION, REHABILITACION Y EQUIPAMIENTO DE ESTADIO MUNDIALISTA EN LA LOCALIDAD Y MUNICIPIO DE HERMOSILLO, SONORA.</v>
      </c>
      <c r="E294" s="4" t="s">
        <v>752</v>
      </c>
      <c r="F294" s="4"/>
      <c r="G294" s="4"/>
      <c r="H294" s="80" t="s">
        <v>103</v>
      </c>
      <c r="I294" s="6">
        <v>479340.76</v>
      </c>
      <c r="J294" s="6"/>
      <c r="K294" s="6">
        <f>ROUND(I294*0.3,2)</f>
        <v>143802.23000000001</v>
      </c>
      <c r="L294" s="6">
        <f t="shared" si="64"/>
        <v>335538.53000000003</v>
      </c>
      <c r="M294" s="6">
        <f t="shared" si="56"/>
        <v>53686.16</v>
      </c>
      <c r="N294" s="6">
        <f t="shared" si="57"/>
        <v>389224.69</v>
      </c>
      <c r="O294" s="6">
        <f>+ROUND(I294*0.005,2)</f>
        <v>2396.6999999999998</v>
      </c>
      <c r="P294" s="6">
        <f t="shared" si="58"/>
        <v>386827.99</v>
      </c>
      <c r="Q294" s="4" t="str">
        <f>LOOKUP($E294,OBRAS!$D:$D,OBRAS!B:B)</f>
        <v>EXPLORACIONES MINERAS DEL DESIERTO, S.A. DE C.V.</v>
      </c>
      <c r="R294" s="4" t="str">
        <f>LOOKUP($E294,OBRAS!$D:$D,OBRAS!A:A)</f>
        <v>HERMOSILLO</v>
      </c>
      <c r="S294" s="4"/>
      <c r="T294" s="4"/>
      <c r="U294" s="4" t="s">
        <v>863</v>
      </c>
      <c r="V294" s="4"/>
      <c r="W294" s="6">
        <f>LOOKUP($E294,OBRAS!$D:$D,OBRAS!K:K)</f>
        <v>6670426.4299999997</v>
      </c>
      <c r="X294" s="109">
        <f t="shared" si="59"/>
        <v>8.3400000000000002E-2</v>
      </c>
      <c r="Y294" s="109">
        <f t="shared" si="65"/>
        <v>0.31769999999999998</v>
      </c>
      <c r="Z294" s="109">
        <f t="shared" si="60"/>
        <v>0.22239999999999999</v>
      </c>
      <c r="AA294" s="4" t="str">
        <f>LOOKUP($E294,OBRAS!$D:$D,OBRAS!H:H)</f>
        <v>OM-NC-15-196</v>
      </c>
    </row>
    <row r="295" spans="2:27" ht="60" x14ac:dyDescent="0.25">
      <c r="C295" s="84">
        <v>293</v>
      </c>
      <c r="D295" s="4" t="str">
        <f>LOOKUP($E295,OBRAS!$D:$D,OBRAS!C:C)</f>
        <v>CONSTRUCCION, REHABILITACION Y EQUIPAMIENTO DE ESTADIO MUNDIALISTA EN LA LOCALIDAD Y MUNICIPIO DE HERMOSILLO, SONORA.</v>
      </c>
      <c r="E295" s="4" t="s">
        <v>752</v>
      </c>
      <c r="F295" s="4"/>
      <c r="G295" s="4"/>
      <c r="H295" s="80" t="s">
        <v>221</v>
      </c>
      <c r="I295" s="6">
        <v>394014.7</v>
      </c>
      <c r="J295" s="6"/>
      <c r="K295" s="6">
        <f>ROUND(I295*0.3,2)</f>
        <v>118204.41</v>
      </c>
      <c r="L295" s="6">
        <f t="shared" si="64"/>
        <v>275810.28999999998</v>
      </c>
      <c r="M295" s="6">
        <f t="shared" si="56"/>
        <v>44129.65</v>
      </c>
      <c r="N295" s="6">
        <f t="shared" si="57"/>
        <v>319939.94</v>
      </c>
      <c r="O295" s="6">
        <f>+ROUND(I295*0.005,2)</f>
        <v>1970.07</v>
      </c>
      <c r="P295" s="6">
        <f t="shared" si="58"/>
        <v>317969.87</v>
      </c>
      <c r="Q295" s="4" t="str">
        <f>LOOKUP($E295,OBRAS!$D:$D,OBRAS!B:B)</f>
        <v>EXPLORACIONES MINERAS DEL DESIERTO, S.A. DE C.V.</v>
      </c>
      <c r="R295" s="4" t="str">
        <f>LOOKUP($E295,OBRAS!$D:$D,OBRAS!A:A)</f>
        <v>HERMOSILLO</v>
      </c>
      <c r="S295" s="4"/>
      <c r="T295" s="4"/>
      <c r="U295" s="4" t="s">
        <v>863</v>
      </c>
      <c r="V295" s="4"/>
      <c r="W295" s="6">
        <f>LOOKUP($E295,OBRAS!$D:$D,OBRAS!K:K)</f>
        <v>6670426.4299999997</v>
      </c>
      <c r="X295" s="109">
        <f t="shared" si="59"/>
        <v>6.8500000000000005E-2</v>
      </c>
      <c r="Y295" s="109">
        <f t="shared" si="65"/>
        <v>0.31769999999999998</v>
      </c>
      <c r="Z295" s="109">
        <f t="shared" si="60"/>
        <v>0.22239999999999999</v>
      </c>
      <c r="AA295" s="4" t="str">
        <f>LOOKUP($E295,OBRAS!$D:$D,OBRAS!H:H)</f>
        <v>OM-NC-15-196</v>
      </c>
    </row>
    <row r="296" spans="2:27" ht="60" x14ac:dyDescent="0.25">
      <c r="C296" s="84">
        <v>294</v>
      </c>
      <c r="D296" s="4" t="str">
        <f>LOOKUP($E296,OBRAS!$D:$D,OBRAS!C:C)</f>
        <v>CONSTRUCCION, REHABILITACION Y EQUIPAMIENTO DE ESTADIO MUNDIALISTA EN LA LOCALIDAD Y MUNICIPIO DE HERMOSILLO, SONORA.</v>
      </c>
      <c r="E296" s="4" t="s">
        <v>752</v>
      </c>
      <c r="F296" s="4"/>
      <c r="G296" s="4"/>
      <c r="H296" s="80" t="s">
        <v>55</v>
      </c>
      <c r="I296" s="6">
        <v>768307.58</v>
      </c>
      <c r="J296" s="6"/>
      <c r="K296" s="6">
        <f>ROUND(I296*0.3,2)</f>
        <v>230492.27</v>
      </c>
      <c r="L296" s="6">
        <f t="shared" si="64"/>
        <v>537815.31000000006</v>
      </c>
      <c r="M296" s="6">
        <f t="shared" si="56"/>
        <v>86050.45</v>
      </c>
      <c r="N296" s="6">
        <f t="shared" si="57"/>
        <v>623865.76</v>
      </c>
      <c r="O296" s="6">
        <f>+ROUND(I296*0.005,2)</f>
        <v>3841.54</v>
      </c>
      <c r="P296" s="6">
        <f t="shared" si="58"/>
        <v>620024.22</v>
      </c>
      <c r="Q296" s="4" t="str">
        <f>LOOKUP($E296,OBRAS!$D:$D,OBRAS!B:B)</f>
        <v>EXPLORACIONES MINERAS DEL DESIERTO, S.A. DE C.V.</v>
      </c>
      <c r="R296" s="4" t="str">
        <f>LOOKUP($E296,OBRAS!$D:$D,OBRAS!A:A)</f>
        <v>HERMOSILLO</v>
      </c>
      <c r="S296" s="4"/>
      <c r="T296" s="4"/>
      <c r="U296" s="4" t="s">
        <v>863</v>
      </c>
      <c r="V296" s="4"/>
      <c r="W296" s="6">
        <f>LOOKUP($E296,OBRAS!$D:$D,OBRAS!K:K)</f>
        <v>6670426.4299999997</v>
      </c>
      <c r="X296" s="109">
        <f t="shared" si="59"/>
        <v>0.1336</v>
      </c>
      <c r="Y296" s="109">
        <f t="shared" si="65"/>
        <v>0.31769999999999998</v>
      </c>
      <c r="Z296" s="109">
        <f t="shared" si="60"/>
        <v>0.22239999999999999</v>
      </c>
      <c r="AA296" s="4" t="str">
        <f>LOOKUP($E296,OBRAS!$D:$D,OBRAS!H:H)</f>
        <v>OM-NC-15-196</v>
      </c>
    </row>
    <row r="297" spans="2:27" ht="60" x14ac:dyDescent="0.25">
      <c r="C297" s="84">
        <v>295</v>
      </c>
      <c r="D297" s="4" t="str">
        <f>LOOKUP($E297,OBRAS!$D:$D,OBRAS!C:C)</f>
        <v>CONSTRUCCION, REHABILITACION Y EQUIPAMIENTO DE ESTADIO MUNDIALISTA EN LA LOCALIDAD Y MUNICIPIO DE HERMOSILLO, SONORA.</v>
      </c>
      <c r="E297" s="4" t="s">
        <v>752</v>
      </c>
      <c r="F297" s="4"/>
      <c r="G297" s="4"/>
      <c r="H297" s="80" t="s">
        <v>215</v>
      </c>
      <c r="I297" s="6">
        <v>185167.96</v>
      </c>
      <c r="J297" s="6"/>
      <c r="K297" s="6">
        <f>ROUND(I297*0.3,2)</f>
        <v>55550.39</v>
      </c>
      <c r="L297" s="6">
        <f t="shared" si="64"/>
        <v>129617.57</v>
      </c>
      <c r="M297" s="6">
        <f t="shared" si="56"/>
        <v>20738.810000000001</v>
      </c>
      <c r="N297" s="6">
        <f t="shared" si="57"/>
        <v>150356.38</v>
      </c>
      <c r="O297" s="6">
        <f>+ROUND(I297*0.005,2)</f>
        <v>925.84</v>
      </c>
      <c r="P297" s="6">
        <f t="shared" si="58"/>
        <v>149430.54</v>
      </c>
      <c r="Q297" s="4" t="str">
        <f>LOOKUP($E297,OBRAS!$D:$D,OBRAS!B:B)</f>
        <v>EXPLORACIONES MINERAS DEL DESIERTO, S.A. DE C.V.</v>
      </c>
      <c r="R297" s="4" t="str">
        <f>LOOKUP($E297,OBRAS!$D:$D,OBRAS!A:A)</f>
        <v>HERMOSILLO</v>
      </c>
      <c r="S297" s="4"/>
      <c r="T297" s="4"/>
      <c r="U297" s="4" t="s">
        <v>863</v>
      </c>
      <c r="V297" s="4"/>
      <c r="W297" s="6">
        <f>LOOKUP($E297,OBRAS!$D:$D,OBRAS!K:K)</f>
        <v>6670426.4299999997</v>
      </c>
      <c r="X297" s="109">
        <f t="shared" si="59"/>
        <v>3.2199999999999999E-2</v>
      </c>
      <c r="Y297" s="109">
        <f t="shared" si="65"/>
        <v>0.31769999999999998</v>
      </c>
      <c r="Z297" s="109">
        <f t="shared" si="60"/>
        <v>0.22239999999999999</v>
      </c>
      <c r="AA297" s="4" t="str">
        <f>LOOKUP($E297,OBRAS!$D:$D,OBRAS!H:H)</f>
        <v>OM-NC-15-196</v>
      </c>
    </row>
    <row r="298" spans="2:27" ht="45" x14ac:dyDescent="0.25">
      <c r="B298" s="56">
        <v>2707</v>
      </c>
      <c r="C298" s="49">
        <v>296</v>
      </c>
      <c r="D298" s="4" t="str">
        <f>LOOKUP($E298,OBRAS!$D:$D,OBRAS!C:C)</f>
        <v>SUPERVISION EXTERNA Y CONTROL DE CALIDAD DE CONSTRUCCION DE LA BODEGA DE EVIDENCIAS DEL DISTRITO DE HERMOSILLO, PRIMERA ETAPA</v>
      </c>
      <c r="E298" s="4" t="s">
        <v>628</v>
      </c>
      <c r="F298" s="4"/>
      <c r="G298" s="4" t="str">
        <f>LOOKUP($E298,OBRAS!$D:$D,OBRAS!E:E)</f>
        <v>C-00098/0016-7</v>
      </c>
      <c r="H298" s="80" t="s">
        <v>221</v>
      </c>
      <c r="I298" s="6">
        <v>53408.25</v>
      </c>
      <c r="J298" s="6"/>
      <c r="K298" s="6"/>
      <c r="L298" s="6">
        <f t="shared" si="64"/>
        <v>53408.25</v>
      </c>
      <c r="M298" s="6">
        <f t="shared" si="56"/>
        <v>8545.32</v>
      </c>
      <c r="N298" s="6">
        <f t="shared" si="57"/>
        <v>61953.57</v>
      </c>
      <c r="O298" s="6">
        <f>+ROUND(I298*0.002,2)+ROUND(I298*0.0003,2)+ROUND(I298*0.0003,2)+ROUND(I298*0.0003,2)</f>
        <v>154.88</v>
      </c>
      <c r="P298" s="6">
        <f t="shared" si="58"/>
        <v>61798.69</v>
      </c>
      <c r="Q298" s="4" t="str">
        <f>LOOKUP($E298,OBRAS!$D:$D,OBRAS!B:B)</f>
        <v>GYS CONSTRUCTORES S.A. DE C.V.</v>
      </c>
      <c r="R298" s="4" t="str">
        <f>LOOKUP($E298,OBRAS!$D:$D,OBRAS!A:A)</f>
        <v>HERMOSILLO</v>
      </c>
      <c r="S298" s="4" t="str">
        <f>LOOKUP($E298,OBRAS!$D:$D,OBRAS!F:F)</f>
        <v>11000002002207E201K02104A622212161A013</v>
      </c>
      <c r="T298" s="4" t="str">
        <f>LOOKUP($E298,OBRAS!$D:$D,OBRAS!G:G)</f>
        <v>ADJUDICACIÓN DIRECTA</v>
      </c>
      <c r="U298" s="4" t="s">
        <v>863</v>
      </c>
      <c r="V298" s="89">
        <v>42605</v>
      </c>
      <c r="W298" s="6">
        <f>LOOKUP($E298,OBRAS!$D:$D,OBRAS!K:K)</f>
        <v>247814.28</v>
      </c>
      <c r="X298" s="109">
        <f t="shared" si="59"/>
        <v>0.25</v>
      </c>
      <c r="Y298" s="109">
        <f t="shared" si="65"/>
        <v>1</v>
      </c>
      <c r="Z298" s="109">
        <f t="shared" si="60"/>
        <v>1</v>
      </c>
      <c r="AA298" s="4" t="str">
        <f>LOOKUP($E298,OBRAS!$D:$D,OBRAS!H:H)</f>
        <v>SH-ED-16-011</v>
      </c>
    </row>
    <row r="299" spans="2:27" ht="75" x14ac:dyDescent="0.25">
      <c r="B299" s="56">
        <v>2708</v>
      </c>
      <c r="C299" s="49">
        <v>297</v>
      </c>
      <c r="D299" s="4" t="str">
        <f>LOOKUP($E299,OBRAS!$D:$D,OBRAS!C:C)</f>
        <v>CONSTRUCCION DE OBRA COMPLEMENTARIA EN LA PAVIMENTACION DE LA CALLE IGNACIO T. PRECIADO ENTRE SAN RAFAEL Y EMANCIPACION COL. NORBERTO ORTEGA, EN LA LOCALIDAD Y MUNICIPIO DE HERMOSILLO, SONORA.</v>
      </c>
      <c r="E299" s="4" t="s">
        <v>153</v>
      </c>
      <c r="F299" s="4"/>
      <c r="G299" s="4" t="str">
        <f>LOOKUP($E299,OBRAS!$D:$D,OBRAS!E:E)</f>
        <v>C-00093/0025</v>
      </c>
      <c r="H299" s="80" t="s">
        <v>221</v>
      </c>
      <c r="I299" s="6">
        <v>167875.88</v>
      </c>
      <c r="J299" s="6"/>
      <c r="K299" s="6">
        <v>100725.53</v>
      </c>
      <c r="L299" s="6">
        <f t="shared" si="64"/>
        <v>67150.350000000006</v>
      </c>
      <c r="M299" s="6">
        <f t="shared" si="56"/>
        <v>10744.06</v>
      </c>
      <c r="N299" s="6">
        <f t="shared" si="57"/>
        <v>77894.41</v>
      </c>
      <c r="O299" s="6">
        <f>+ROUND(I299*0.005,2)</f>
        <v>839.38</v>
      </c>
      <c r="P299" s="6">
        <f t="shared" si="58"/>
        <v>77055.03</v>
      </c>
      <c r="Q299" s="4" t="str">
        <f>LOOKUP($E299,OBRAS!$D:$D,OBRAS!B:B)</f>
        <v>SIT COMUNICACIONES, S.A. DE C.V.</v>
      </c>
      <c r="R299" s="4" t="str">
        <f>LOOKUP($E299,OBRAS!$D:$D,OBRAS!A:A)</f>
        <v>HERMOSILLO</v>
      </c>
      <c r="S299" s="4" t="str">
        <f>LOOKUP($E299,OBRAS!$D:$D,OBRAS!F:F)</f>
        <v>1100000200614202155GL07</v>
      </c>
      <c r="T299" s="4" t="str">
        <f>LOOKUP($E299,OBRAS!$D:$D,OBRAS!G:G)</f>
        <v>SO-926006995-N27-2015</v>
      </c>
      <c r="U299" s="92" t="s">
        <v>863</v>
      </c>
      <c r="V299" s="89">
        <v>42641</v>
      </c>
      <c r="W299" s="6">
        <f>LOOKUP($E299,OBRAS!$D:$D,OBRAS!K:K)</f>
        <v>1153168.68</v>
      </c>
      <c r="X299" s="109">
        <f t="shared" si="59"/>
        <v>0.16889999999999999</v>
      </c>
      <c r="Y299" s="109">
        <f t="shared" si="65"/>
        <v>0.51980000000000004</v>
      </c>
      <c r="Z299" s="109">
        <f t="shared" si="60"/>
        <v>0.31319999999999998</v>
      </c>
      <c r="AA299" s="4" t="str">
        <f>LOOKUP($E299,OBRAS!$D:$D,OBRAS!H:H)</f>
        <v>SH-NC-16-R-007</v>
      </c>
    </row>
    <row r="300" spans="2:27" ht="45" x14ac:dyDescent="0.25">
      <c r="B300" s="56">
        <v>2709</v>
      </c>
      <c r="C300" s="49">
        <v>298</v>
      </c>
      <c r="D300" s="51" t="str">
        <f>LOOKUP($E300,OBRAS!$D:$D,OBRAS!C:C)</f>
        <v>VERIFICACION DE INSTALACIONES ELECTRICAS DE LA CONSTRUCCION DE LA BODEGA DE EVIDENCIAS DEL DISTRITO DE HERMOSILLO, PRIMERA ETAPA</v>
      </c>
      <c r="E300" s="51" t="s">
        <v>753</v>
      </c>
      <c r="F300" s="4"/>
      <c r="G300" s="4" t="str">
        <f>LOOKUP($E300,OBRAS!$D:$D,OBRAS!E:E)</f>
        <v>C-00098/0016-7</v>
      </c>
      <c r="H300" s="80" t="s">
        <v>103</v>
      </c>
      <c r="I300" s="6">
        <v>58578.44</v>
      </c>
      <c r="J300" s="6"/>
      <c r="K300" s="6"/>
      <c r="L300" s="6">
        <f t="shared" si="64"/>
        <v>58578.44</v>
      </c>
      <c r="M300" s="6">
        <f t="shared" si="56"/>
        <v>9372.5499999999993</v>
      </c>
      <c r="N300" s="6">
        <f t="shared" si="57"/>
        <v>67950.990000000005</v>
      </c>
      <c r="O300" s="6">
        <f>+ROUND(I300*0.002,2)+ROUND(I300*0.0003,2)+ROUND(I300*0.0003,2)+ROUND(I300*0.0003,2)</f>
        <v>169.87</v>
      </c>
      <c r="P300" s="6">
        <f t="shared" si="58"/>
        <v>67781.119999999995</v>
      </c>
      <c r="Q300" s="4" t="str">
        <f>LOOKUP($E300,OBRAS!$D:$D,OBRAS!B:B)</f>
        <v>ING. MARIANO HOYOS ARVIZU</v>
      </c>
      <c r="R300" s="4" t="str">
        <f>LOOKUP($E300,OBRAS!$D:$D,OBRAS!A:A)</f>
        <v>HERMOSILLO</v>
      </c>
      <c r="S300" s="4" t="str">
        <f>LOOKUP($E300,OBRAS!$D:$D,OBRAS!F:F)</f>
        <v>11000002002207E201K02104A622212161A013</v>
      </c>
      <c r="T300" s="4">
        <f>LOOKUP($E300,OBRAS!$D:$D,OBRAS!G:G)</f>
        <v>0</v>
      </c>
      <c r="U300" s="4" t="s">
        <v>863</v>
      </c>
      <c r="V300" s="89">
        <v>42697</v>
      </c>
      <c r="W300" s="6">
        <f>LOOKUP($E300,OBRAS!$D:$D,OBRAS!K:K)</f>
        <v>121939.99</v>
      </c>
      <c r="X300" s="109">
        <f t="shared" si="59"/>
        <v>0.55720000000000003</v>
      </c>
      <c r="Y300" s="109">
        <f t="shared" si="65"/>
        <v>0.55720000000000003</v>
      </c>
      <c r="Z300" s="109">
        <f t="shared" si="60"/>
        <v>0.55720000000000003</v>
      </c>
      <c r="AA300" s="4" t="str">
        <f>LOOKUP($E300,OBRAS!$D:$D,OBRAS!H:H)</f>
        <v>SH-ED-16-011</v>
      </c>
    </row>
    <row r="301" spans="2:27" ht="60" x14ac:dyDescent="0.25">
      <c r="B301" s="56">
        <v>2728</v>
      </c>
      <c r="C301" s="49">
        <v>299</v>
      </c>
      <c r="D301" s="4" t="str">
        <f>LOOKUP($E301,OBRAS!$D:$D,OBRAS!C:C)</f>
        <v>SUPERVISION EXTERNA Y CONTROL DE CALIDAD PARA LA OBRA RECONSTRUCCION DE CAMINO HORNOS - ROSARIO EN VARIAS LOCALIDADES DE VARIOS MUNICIPIOS DEL ESTADO DE SONORA.</v>
      </c>
      <c r="E301" s="4" t="s">
        <v>315</v>
      </c>
      <c r="F301" s="4"/>
      <c r="G301" s="4" t="str">
        <f>LOOKUP($E301,OBRAS!$D:$D,OBRAS!E:E)</f>
        <v>C-00098/0022</v>
      </c>
      <c r="H301" s="80" t="s">
        <v>103</v>
      </c>
      <c r="I301" s="6">
        <v>307572.47999999998</v>
      </c>
      <c r="J301" s="6"/>
      <c r="K301" s="6">
        <f>ROUND(I301*0.1,2)</f>
        <v>30757.25</v>
      </c>
      <c r="L301" s="6">
        <f t="shared" si="64"/>
        <v>276815.23</v>
      </c>
      <c r="M301" s="6">
        <f t="shared" si="56"/>
        <v>44290.44</v>
      </c>
      <c r="N301" s="6">
        <f t="shared" si="57"/>
        <v>321105.67</v>
      </c>
      <c r="O301" s="6">
        <f>+ROUND(I301*0.002,2)+ROUND(I301*0.0003,2)+ROUND(I301*0.0003,2)+ROUND(I301*0.0003,2)</f>
        <v>891.95</v>
      </c>
      <c r="P301" s="6">
        <f t="shared" si="58"/>
        <v>320213.71999999997</v>
      </c>
      <c r="Q301" s="4" t="str">
        <f>LOOKUP($E301,OBRAS!$D:$D,OBRAS!B:B)</f>
        <v>OESTEC DE MEXICO SA DE CV</v>
      </c>
      <c r="R301" s="4" t="str">
        <f>LOOKUP($E301,OBRAS!$D:$D,OBRAS!A:A)</f>
        <v>VARIOS</v>
      </c>
      <c r="S301" s="4" t="str">
        <f>LOOKUP($E301,OBRAS!$D:$D,OBRAS!F:F)</f>
        <v>11000002002207E201K02104A622212161A013</v>
      </c>
      <c r="T301" s="4" t="str">
        <f>LOOKUP($E301,OBRAS!$D:$D,OBRAS!G:G)</f>
        <v>CE-9260066995-E46-2016</v>
      </c>
      <c r="U301" s="4" t="s">
        <v>863</v>
      </c>
      <c r="V301" s="89">
        <v>42663</v>
      </c>
      <c r="W301" s="6">
        <f>LOOKUP($E301,OBRAS!$D:$D,OBRAS!K:K)</f>
        <v>2497488.54</v>
      </c>
      <c r="X301" s="109">
        <f t="shared" si="59"/>
        <v>0.1429</v>
      </c>
      <c r="Y301" s="109">
        <f t="shared" si="65"/>
        <v>1.0003</v>
      </c>
      <c r="Z301" s="109">
        <f t="shared" si="60"/>
        <v>1</v>
      </c>
      <c r="AA301" s="4" t="str">
        <f>LOOKUP($E301,OBRAS!$D:$D,OBRAS!H:H)</f>
        <v>SH-ED-16-028</v>
      </c>
    </row>
    <row r="302" spans="2:27" ht="60" x14ac:dyDescent="0.25">
      <c r="C302" s="84">
        <v>300</v>
      </c>
      <c r="D302" s="4" t="str">
        <f>LOOKUP($E302,OBRAS!$D:$D,OBRAS!C:C)</f>
        <v>CONSTRUCCION, REHABILITACION Y EQUIPAMIENTO DE UNIDAD DEPORTIVA BALDOMERO ALDAMA EN LA LOCALIDAD Y MUNICIPIO DE HUATABAMPO, SONORA</v>
      </c>
      <c r="E302" s="4" t="s">
        <v>755</v>
      </c>
      <c r="F302" s="4" t="s">
        <v>217</v>
      </c>
      <c r="G302" s="4"/>
      <c r="H302" s="80" t="s">
        <v>221</v>
      </c>
      <c r="I302" s="6">
        <v>142488.93</v>
      </c>
      <c r="J302" s="6"/>
      <c r="K302" s="6">
        <f>ROUND(I302*0.3,2)</f>
        <v>42746.68</v>
      </c>
      <c r="L302" s="6">
        <f t="shared" si="64"/>
        <v>99742.25</v>
      </c>
      <c r="M302" s="6">
        <f t="shared" si="56"/>
        <v>15958.76</v>
      </c>
      <c r="N302" s="6">
        <f t="shared" si="57"/>
        <v>115701.01</v>
      </c>
      <c r="O302" s="6">
        <f>+ROUND(I302*0.005,2)</f>
        <v>712.44</v>
      </c>
      <c r="P302" s="6">
        <f t="shared" si="58"/>
        <v>114988.57</v>
      </c>
      <c r="Q302" s="4" t="str">
        <f>LOOKUP($E302,OBRAS!$D:$D,OBRAS!B:B)</f>
        <v>SIGNS MANUFACTURAS Y CONSTRUCCIONES, S.A. DE C.V.</v>
      </c>
      <c r="R302" s="4" t="str">
        <f>LOOKUP($E302,OBRAS!$D:$D,OBRAS!A:A)</f>
        <v>HUATABAMPO</v>
      </c>
      <c r="S302" s="4"/>
      <c r="T302" s="4"/>
      <c r="U302" s="4" t="s">
        <v>863</v>
      </c>
      <c r="V302" s="4"/>
      <c r="W302" s="6">
        <f>LOOKUP($E302,OBRAS!$D:$D,OBRAS!K:K)</f>
        <v>12019389.67</v>
      </c>
      <c r="X302" s="109">
        <f t="shared" si="59"/>
        <v>1.38E-2</v>
      </c>
      <c r="Y302" s="109">
        <f t="shared" si="65"/>
        <v>1</v>
      </c>
      <c r="Z302" s="109">
        <f t="shared" si="60"/>
        <v>1</v>
      </c>
      <c r="AA302" s="4" t="str">
        <f>LOOKUP($E302,OBRAS!$D:$D,OBRAS!H:H)</f>
        <v>OM-NC-15-203</v>
      </c>
    </row>
    <row r="303" spans="2:27" ht="90" x14ac:dyDescent="0.25">
      <c r="B303" s="56">
        <v>2831</v>
      </c>
      <c r="C303" s="49">
        <v>301</v>
      </c>
      <c r="D303" s="4" t="str">
        <f>LOOKUP($E303,OBRAS!$D:$D,OBRAS!C:C)</f>
        <v>PAVIMENTACION CON CARPETA ASFALTICA DE AVENIDA INDEPENDENCIA ENTRE CALLE 5 DE MAYO Y BLVD. LUIS DONALDO COLOSIO, AVENIDA LOPEZ RAYON ENTRE AGUSTIN RODRIGUEZ Y CALLE 15 Y AVENIDA ABASOLO ENTRE AGUSTIN RODRIGUEZ Y CALLE 15</v>
      </c>
      <c r="E303" s="4" t="s">
        <v>67</v>
      </c>
      <c r="F303" s="4" t="s">
        <v>226</v>
      </c>
      <c r="G303" s="4" t="str">
        <f>LOOKUP($E303,OBRAS!$D:$D,OBRAS!E:E)</f>
        <v>C-00052/0065</v>
      </c>
      <c r="H303" s="80" t="s">
        <v>55</v>
      </c>
      <c r="I303" s="6">
        <v>1417758.79</v>
      </c>
      <c r="J303" s="6"/>
      <c r="K303" s="6">
        <f>ROUND(I303*0.4,2)</f>
        <v>567103.52</v>
      </c>
      <c r="L303" s="6">
        <f t="shared" si="64"/>
        <v>850655.27</v>
      </c>
      <c r="M303" s="6">
        <f t="shared" si="56"/>
        <v>136104.84</v>
      </c>
      <c r="N303" s="6">
        <f t="shared" si="57"/>
        <v>986760.11</v>
      </c>
      <c r="O303" s="6">
        <f>+ROUND(I303*0.005,2)</f>
        <v>7088.79</v>
      </c>
      <c r="P303" s="6">
        <f t="shared" si="58"/>
        <v>979671.32</v>
      </c>
      <c r="Q303" s="4" t="str">
        <f>LOOKUP($E303,OBRAS!$D:$D,OBRAS!B:B)</f>
        <v>EDIFICACIONES Y PROYECTOS MOCELIK, S.A. DE C.V.</v>
      </c>
      <c r="R303" s="4" t="str">
        <f>LOOKUP($E303,OBRAS!$D:$D,OBRAS!A:A)</f>
        <v>SANTA ANA</v>
      </c>
      <c r="S303" s="4" t="str">
        <f>LOOKUP($E303,OBRAS!$D:$D,OBRAS!F:F)</f>
        <v>11000002002201E201K02203A614222155DM03</v>
      </c>
      <c r="T303" s="4" t="str">
        <f>LOOKUP($E303,OBRAS!$D:$D,OBRAS!G:G)</f>
        <v>IO-926006995-N141-2014</v>
      </c>
      <c r="U303" s="92" t="s">
        <v>863</v>
      </c>
      <c r="V303" s="89">
        <v>42641</v>
      </c>
      <c r="W303" s="6">
        <f>LOOKUP($E303,OBRAS!$D:$D,OBRAS!K:K)</f>
        <v>9599055.3300000001</v>
      </c>
      <c r="X303" s="109">
        <f t="shared" si="59"/>
        <v>0.17130000000000001</v>
      </c>
      <c r="Y303" s="109">
        <f t="shared" si="65"/>
        <v>0.62329999999999997</v>
      </c>
      <c r="Z303" s="109">
        <f t="shared" si="60"/>
        <v>0.374</v>
      </c>
      <c r="AA303" s="4" t="str">
        <f>LOOKUP($E303,OBRAS!$D:$D,OBRAS!H:H)</f>
        <v>SH-FAFEF-15-R-005</v>
      </c>
    </row>
    <row r="304" spans="2:27" ht="30" x14ac:dyDescent="0.25">
      <c r="B304" s="56">
        <v>2832</v>
      </c>
      <c r="C304" s="49">
        <v>302</v>
      </c>
      <c r="D304" s="4" t="str">
        <f>LOOKUP($E304,OBRAS!$D:$D,OBRAS!C:C)</f>
        <v>CONSTRUCCION DE LINEA DE CONDUCCION DEL POZO EXISTENTE A LA CAJA DE ALMACENAMIENTO</v>
      </c>
      <c r="E304" s="4" t="s">
        <v>331</v>
      </c>
      <c r="F304" s="4" t="s">
        <v>224</v>
      </c>
      <c r="G304" s="4" t="str">
        <f>LOOKUP($E304,OBRAS!$D:$D,OBRAS!E:E)</f>
        <v>C-00050/0003</v>
      </c>
      <c r="H304" s="80" t="s">
        <v>221</v>
      </c>
      <c r="I304" s="6">
        <v>653079.76</v>
      </c>
      <c r="J304" s="6"/>
      <c r="K304" s="6">
        <f>ROUND(I304*0.3,2)</f>
        <v>195923.93</v>
      </c>
      <c r="L304" s="6">
        <f t="shared" si="64"/>
        <v>457155.83</v>
      </c>
      <c r="M304" s="6">
        <f t="shared" si="56"/>
        <v>73144.929999999993</v>
      </c>
      <c r="N304" s="6">
        <f t="shared" si="57"/>
        <v>530300.76</v>
      </c>
      <c r="O304" s="6">
        <f>+ROUND(I304*0.002,2)+ROUND(I304*0.0003,2)+ROUND(I304*0.0003,2)+ROUND(I304*0.0003,2)+ROUND(I304*0.002,2)</f>
        <v>3200.08</v>
      </c>
      <c r="P304" s="6">
        <f t="shared" si="58"/>
        <v>527100.68000000005</v>
      </c>
      <c r="Q304" s="4" t="str">
        <f>LOOKUP($E304,OBRAS!$D:$D,OBRAS!B:B)</f>
        <v>CONSTRUCCIONES Y DISEÑOS OPOSURA, S.A. DE C.V.</v>
      </c>
      <c r="R304" s="4" t="str">
        <f>LOOKUP($E304,OBRAS!$D:$D,OBRAS!A:A)</f>
        <v>SAN PEDRO DE LA CUEVA</v>
      </c>
      <c r="S304" s="4" t="str">
        <f>LOOKUP($E304,OBRAS!$D:$D,OBRAS!F:F)</f>
        <v>11000002002203E208K13020A614082162A208</v>
      </c>
      <c r="T304" s="4" t="str">
        <f>LOOKUP($E304,OBRAS!$D:$D,OBRAS!G:G)</f>
        <v>CE-926006995-E47-2016</v>
      </c>
      <c r="U304" s="4" t="s">
        <v>863</v>
      </c>
      <c r="V304" s="89">
        <v>42632</v>
      </c>
      <c r="W304" s="6">
        <f>LOOKUP($E304,OBRAS!$D:$D,OBRAS!K:K)</f>
        <v>2209859.44</v>
      </c>
      <c r="X304" s="109">
        <f t="shared" si="59"/>
        <v>0.34279999999999999</v>
      </c>
      <c r="Y304" s="109">
        <f t="shared" si="65"/>
        <v>1</v>
      </c>
      <c r="Z304" s="109">
        <f t="shared" si="60"/>
        <v>1</v>
      </c>
      <c r="AA304" s="4" t="str">
        <f>LOOKUP($E304,OBRAS!$D:$D,OBRAS!H:H)</f>
        <v>SH-ED-17-R-007</v>
      </c>
    </row>
    <row r="305" spans="2:27" ht="60" x14ac:dyDescent="0.25">
      <c r="C305" s="84">
        <v>303</v>
      </c>
      <c r="D305" s="4" t="str">
        <f>LOOKUP($E305,OBRAS!$D:$D,OBRAS!C:C)</f>
        <v>CONSTRUCCION, REHABILITACION Y EQUIPAMIENTO DE UNIDAD DEPORTIVA BALDOMERO ALDAMA EN LA LOCALIDAD Y MUNICIPIO DE HUATABAMPO, SONORA</v>
      </c>
      <c r="E305" s="4" t="s">
        <v>755</v>
      </c>
      <c r="F305" s="4" t="s">
        <v>217</v>
      </c>
      <c r="G305" s="4"/>
      <c r="H305" s="80" t="s">
        <v>55</v>
      </c>
      <c r="I305" s="6">
        <v>6599418.79</v>
      </c>
      <c r="J305" s="6"/>
      <c r="K305" s="6">
        <f>ROUND(I305*0.3,2)</f>
        <v>1979825.64</v>
      </c>
      <c r="L305" s="6">
        <f t="shared" si="64"/>
        <v>4619593.1500000004</v>
      </c>
      <c r="M305" s="6">
        <f t="shared" si="56"/>
        <v>739134.9</v>
      </c>
      <c r="N305" s="6">
        <f t="shared" si="57"/>
        <v>5358728.05</v>
      </c>
      <c r="O305" s="6">
        <f>+ROUND(I305*0.005,2)</f>
        <v>32997.089999999997</v>
      </c>
      <c r="P305" s="6">
        <f t="shared" si="58"/>
        <v>5325730.96</v>
      </c>
      <c r="Q305" s="4" t="str">
        <f>LOOKUP($E305,OBRAS!$D:$D,OBRAS!B:B)</f>
        <v>SIGNS MANUFACTURAS Y CONSTRUCCIONES, S.A. DE C.V.</v>
      </c>
      <c r="R305" s="4" t="str">
        <f>LOOKUP($E305,OBRAS!$D:$D,OBRAS!A:A)</f>
        <v>HUATABAMPO</v>
      </c>
      <c r="S305" s="4"/>
      <c r="T305" s="4"/>
      <c r="U305" s="88" t="s">
        <v>863</v>
      </c>
      <c r="V305" s="89"/>
      <c r="W305" s="6">
        <f>LOOKUP($E305,OBRAS!$D:$D,OBRAS!K:K)</f>
        <v>12019389.67</v>
      </c>
      <c r="X305" s="109">
        <f t="shared" si="59"/>
        <v>0.63690000000000002</v>
      </c>
      <c r="Y305" s="109">
        <f t="shared" si="65"/>
        <v>1</v>
      </c>
      <c r="Z305" s="109">
        <f t="shared" si="60"/>
        <v>1</v>
      </c>
      <c r="AA305" s="4" t="str">
        <f>LOOKUP($E305,OBRAS!$D:$D,OBRAS!H:H)</f>
        <v>OM-NC-15-203</v>
      </c>
    </row>
    <row r="306" spans="2:27" ht="60" x14ac:dyDescent="0.25">
      <c r="B306" s="56">
        <v>2833</v>
      </c>
      <c r="C306" s="49">
        <v>304</v>
      </c>
      <c r="D306" s="4" t="str">
        <f>LOOKUP($E306,OBRAS!$D:$D,OBRAS!C:C)</f>
        <v>SUPERVISION EXTERNA Y CONTROL DE CALIDAD DE LA OBRA: REMODELACION DEL PARQUE INFANTIL EN LA LOCALIDAD Y MUNICIPIO DE HERMOSILLO, SONORA.</v>
      </c>
      <c r="E306" s="4" t="s">
        <v>757</v>
      </c>
      <c r="F306" s="4"/>
      <c r="G306" s="4" t="str">
        <f>LOOKUP($E306,OBRAS!$D:$D,OBRAS!E:E)</f>
        <v>C-00093/0004</v>
      </c>
      <c r="H306" s="80" t="s">
        <v>103</v>
      </c>
      <c r="I306" s="6">
        <v>25806.17</v>
      </c>
      <c r="J306" s="6"/>
      <c r="K306" s="6">
        <f>ROUND(I306*0.3,2)</f>
        <v>7741.85</v>
      </c>
      <c r="L306" s="6">
        <f t="shared" si="64"/>
        <v>18064.32</v>
      </c>
      <c r="M306" s="6">
        <f t="shared" si="56"/>
        <v>2890.29</v>
      </c>
      <c r="N306" s="6">
        <f t="shared" si="57"/>
        <v>20954.61</v>
      </c>
      <c r="O306" s="6">
        <f>+ROUND(I306*0.005,2)</f>
        <v>129.03</v>
      </c>
      <c r="P306" s="6">
        <f t="shared" si="58"/>
        <v>20825.580000000002</v>
      </c>
      <c r="Q306" s="4" t="str">
        <f>LOOKUP($E306,OBRAS!$D:$D,OBRAS!B:B)</f>
        <v>ING. MARTIN GRAJEDA ARAGON</v>
      </c>
      <c r="R306" s="4" t="str">
        <f>LOOKUP($E306,OBRAS!$D:$D,OBRAS!A:A)</f>
        <v>HERMOSILLO</v>
      </c>
      <c r="S306" s="4" t="str">
        <f>LOOKUP($E306,OBRAS!$D:$D,OBRAS!F:F)</f>
        <v>11000002002202E406K17104A622202155GL07</v>
      </c>
      <c r="T306" s="4" t="str">
        <f>LOOKUP($E306,OBRAS!$D:$D,OBRAS!G:G)</f>
        <v>SO-926006995-N25-2015</v>
      </c>
      <c r="U306" s="4" t="s">
        <v>863</v>
      </c>
      <c r="V306" s="89">
        <v>42601</v>
      </c>
      <c r="W306" s="6">
        <f>LOOKUP($E306,OBRAS!$D:$D,OBRAS!K:K)</f>
        <v>514711.56</v>
      </c>
      <c r="X306" s="109">
        <f t="shared" si="59"/>
        <v>5.8200000000000002E-2</v>
      </c>
      <c r="Y306" s="109">
        <f t="shared" si="65"/>
        <v>1.0003</v>
      </c>
      <c r="Z306" s="109">
        <f t="shared" si="60"/>
        <v>0.7</v>
      </c>
      <c r="AA306" s="4" t="str">
        <f>LOOKUP($E306,OBRAS!$D:$D,OBRAS!H:H)</f>
        <v>SH-NC-16-R-003</v>
      </c>
    </row>
    <row r="307" spans="2:27" ht="60" x14ac:dyDescent="0.25">
      <c r="B307" s="56">
        <v>2834</v>
      </c>
      <c r="C307" s="49">
        <v>305</v>
      </c>
      <c r="D307" s="4" t="str">
        <f>LOOKUP($E307,OBRAS!$D:$D,OBRAS!C:C)</f>
        <v>SUPERVISION EXTERNA Y CONTROL DE CALIDAD DE LA OBRA: REMODELACION DEL PARQUE INFANTIL EN LA LOCALIDAD Y MUNICIPIO DE HERMOSILLO, SONORA.</v>
      </c>
      <c r="E307" s="4" t="s">
        <v>757</v>
      </c>
      <c r="F307" s="4"/>
      <c r="G307" s="4" t="str">
        <f>LOOKUP($E307,OBRAS!$D:$D,OBRAS!E:E)</f>
        <v>C-00093/0004</v>
      </c>
      <c r="H307" s="80" t="s">
        <v>221</v>
      </c>
      <c r="I307" s="6">
        <v>50611.4</v>
      </c>
      <c r="J307" s="6"/>
      <c r="K307" s="6">
        <f>ROUND(I307*0.3,2)</f>
        <v>15183.42</v>
      </c>
      <c r="L307" s="6">
        <f t="shared" si="64"/>
        <v>35427.980000000003</v>
      </c>
      <c r="M307" s="6">
        <f t="shared" si="56"/>
        <v>5668.48</v>
      </c>
      <c r="N307" s="6">
        <f t="shared" si="57"/>
        <v>41096.46</v>
      </c>
      <c r="O307" s="6">
        <f>+ROUND(I307*0.005,2)</f>
        <v>253.06</v>
      </c>
      <c r="P307" s="6">
        <f t="shared" si="58"/>
        <v>40843.4</v>
      </c>
      <c r="Q307" s="4" t="str">
        <f>LOOKUP($E307,OBRAS!$D:$D,OBRAS!B:B)</f>
        <v>ING. MARTIN GRAJEDA ARAGON</v>
      </c>
      <c r="R307" s="4" t="str">
        <f>LOOKUP($E307,OBRAS!$D:$D,OBRAS!A:A)</f>
        <v>HERMOSILLO</v>
      </c>
      <c r="S307" s="4" t="str">
        <f>LOOKUP($E307,OBRAS!$D:$D,OBRAS!F:F)</f>
        <v>11000002002202E406K17104A622202155GL07</v>
      </c>
      <c r="T307" s="4" t="str">
        <f>LOOKUP($E307,OBRAS!$D:$D,OBRAS!G:G)</f>
        <v>SO-926006995-N25-2015</v>
      </c>
      <c r="U307" s="4" t="s">
        <v>863</v>
      </c>
      <c r="V307" s="89">
        <v>42601</v>
      </c>
      <c r="W307" s="6">
        <f>LOOKUP($E307,OBRAS!$D:$D,OBRAS!K:K)</f>
        <v>514711.56</v>
      </c>
      <c r="X307" s="109">
        <f t="shared" si="59"/>
        <v>0.11409999999999999</v>
      </c>
      <c r="Y307" s="109">
        <f t="shared" si="65"/>
        <v>1.0003</v>
      </c>
      <c r="Z307" s="109">
        <f t="shared" si="60"/>
        <v>0.7</v>
      </c>
      <c r="AA307" s="4" t="str">
        <f>LOOKUP($E307,OBRAS!$D:$D,OBRAS!H:H)</f>
        <v>SH-NC-16-R-003</v>
      </c>
    </row>
    <row r="308" spans="2:27" ht="60" x14ac:dyDescent="0.25">
      <c r="C308" s="84">
        <v>306</v>
      </c>
      <c r="D308" s="4" t="str">
        <f>LOOKUP($E308,OBRAS!$D:$D,OBRAS!C:C)</f>
        <v>RECONSTRUCCION DEL CAMINO BACABACHI HUATABAMPO VARIOS TRAMOS DEL KM 5+600 AL KM 25+500 EN LA LOCALIDAD Y MUNCIPIO DE NAVOJOA, SONORA.</v>
      </c>
      <c r="E308" s="4" t="s">
        <v>759</v>
      </c>
      <c r="F308" s="4"/>
      <c r="G308" s="4"/>
      <c r="H308" s="80" t="s">
        <v>103</v>
      </c>
      <c r="I308" s="6">
        <v>945174.5</v>
      </c>
      <c r="J308" s="6"/>
      <c r="K308" s="6">
        <f>ROUND(I308*0.3,2)</f>
        <v>283552.34999999998</v>
      </c>
      <c r="L308" s="6">
        <f t="shared" si="64"/>
        <v>661622.15</v>
      </c>
      <c r="M308" s="6">
        <f t="shared" si="56"/>
        <v>105859.54</v>
      </c>
      <c r="N308" s="6">
        <f t="shared" si="57"/>
        <v>767481.69</v>
      </c>
      <c r="O308" s="6">
        <f>+ROUND(I308*0.005,2)</f>
        <v>4725.87</v>
      </c>
      <c r="P308" s="6">
        <f t="shared" si="58"/>
        <v>762755.82</v>
      </c>
      <c r="Q308" s="4" t="s">
        <v>26</v>
      </c>
      <c r="R308" s="4" t="s">
        <v>25</v>
      </c>
      <c r="S308" s="4"/>
      <c r="T308" s="4"/>
      <c r="U308" s="4" t="s">
        <v>863</v>
      </c>
      <c r="V308" s="4"/>
      <c r="W308" s="6">
        <v>15050219.25</v>
      </c>
      <c r="X308" s="109">
        <f t="shared" si="59"/>
        <v>7.2800000000000004E-2</v>
      </c>
      <c r="Y308" s="109">
        <f t="shared" si="65"/>
        <v>0.97840000000000005</v>
      </c>
      <c r="Z308" s="109">
        <f t="shared" si="60"/>
        <v>0.97850000000000004</v>
      </c>
      <c r="AA308" s="4"/>
    </row>
    <row r="309" spans="2:27" ht="60" x14ac:dyDescent="0.25">
      <c r="B309" s="56">
        <v>2835</v>
      </c>
      <c r="C309" s="49">
        <v>307</v>
      </c>
      <c r="D309" s="4" t="str">
        <f>LOOKUP($E309,OBRAS!$D:$D,OBRAS!C:C)</f>
        <v>SUPERVISION EXTERNA Y CONTROL DE CALIDAD CONCLUSION DE LA MODERNIZACION Y RECONSTRUCCION DEL TRAMO ESPERANZA - HORNOS (DEL KM 8 + 800 AL KM 17 + 400)</v>
      </c>
      <c r="E309" s="4" t="s">
        <v>291</v>
      </c>
      <c r="F309" s="4"/>
      <c r="G309" s="4" t="str">
        <f>LOOKUP($E309,OBRAS!$D:$D,OBRAS!E:E)</f>
        <v>C-00098/0021</v>
      </c>
      <c r="H309" s="80" t="s">
        <v>103</v>
      </c>
      <c r="I309" s="6">
        <v>351313.07</v>
      </c>
      <c r="J309" s="6"/>
      <c r="K309" s="6">
        <f>ROUND(I309*0.1,2)</f>
        <v>35131.31</v>
      </c>
      <c r="L309" s="6">
        <f t="shared" si="64"/>
        <v>316181.76000000001</v>
      </c>
      <c r="M309" s="6">
        <f t="shared" si="56"/>
        <v>50589.08</v>
      </c>
      <c r="N309" s="6">
        <f t="shared" si="57"/>
        <v>366770.84</v>
      </c>
      <c r="O309" s="6">
        <f>+ROUND(I309*0.002,2)+ROUND(I309*0.0003,2)+ROUND(I309*0.0003,2)+ROUND(I309*0.0003,2)</f>
        <v>1018.8</v>
      </c>
      <c r="P309" s="6">
        <f t="shared" si="58"/>
        <v>365752.04</v>
      </c>
      <c r="Q309" s="4" t="str">
        <f>LOOKUP($E309,OBRAS!$D:$D,OBRAS!B:B)</f>
        <v>OESTEC DE MEXICO SA DE CV</v>
      </c>
      <c r="R309" s="4" t="str">
        <f>LOOKUP($E309,OBRAS!$D:$D,OBRAS!A:A)</f>
        <v>VARIOS</v>
      </c>
      <c r="S309" s="4" t="str">
        <f>LOOKUP($E309,OBRAS!$D:$D,OBRAS!F:F)</f>
        <v>11000002003501E203K03203A625132161A013</v>
      </c>
      <c r="T309" s="4" t="str">
        <f>LOOKUP($E309,OBRAS!$D:$D,OBRAS!G:G)</f>
        <v>CE-926006995-E52-2016</v>
      </c>
      <c r="U309" s="4" t="s">
        <v>863</v>
      </c>
      <c r="V309" s="89">
        <v>42627</v>
      </c>
      <c r="W309" s="6">
        <f>LOOKUP($E309,OBRAS!$D:$D,OBRAS!K:K)</f>
        <v>2445138.9700000002</v>
      </c>
      <c r="X309" s="109">
        <f t="shared" si="59"/>
        <v>0.16669999999999999</v>
      </c>
      <c r="Y309" s="109">
        <f t="shared" si="65"/>
        <v>0.96409999999999996</v>
      </c>
      <c r="Z309" s="109">
        <f t="shared" si="60"/>
        <v>0.96760000000000002</v>
      </c>
      <c r="AA309" s="4" t="str">
        <f>LOOKUP($E309,OBRAS!$D:$D,OBRAS!H:H)</f>
        <v>SH-ED-16-040</v>
      </c>
    </row>
    <row r="310" spans="2:27" ht="60" x14ac:dyDescent="0.25">
      <c r="B310" s="56">
        <v>2836</v>
      </c>
      <c r="C310" s="49">
        <v>308</v>
      </c>
      <c r="D310" s="4" t="str">
        <f>LOOKUP($E310,OBRAS!$D:$D,OBRAS!C:C)</f>
        <v>SUPERVISION EXTERNA Y CONTROL DE CALIDAD PARA LA OBRA RECONSTRUCCION DEL CAMINO NAVOJOA-ETCHOJOA-HUATABAMPO DE VARIAS LOCALIDADES Y MUNICIPIOS DE SONORA.</v>
      </c>
      <c r="E310" s="4" t="s">
        <v>359</v>
      </c>
      <c r="F310" s="4"/>
      <c r="G310" s="4" t="str">
        <f>LOOKUP($E310,OBRAS!$D:$D,OBRAS!E:E)</f>
        <v>C-00098/0021</v>
      </c>
      <c r="H310" s="80" t="s">
        <v>103</v>
      </c>
      <c r="I310" s="6">
        <v>227375.43</v>
      </c>
      <c r="J310" s="6"/>
      <c r="K310" s="6">
        <f>ROUND(I310*0.1,2)</f>
        <v>22737.54</v>
      </c>
      <c r="L310" s="6">
        <f t="shared" si="64"/>
        <v>204637.89</v>
      </c>
      <c r="M310" s="6">
        <f t="shared" si="56"/>
        <v>32742.06</v>
      </c>
      <c r="N310" s="6">
        <f t="shared" si="57"/>
        <v>237379.95</v>
      </c>
      <c r="O310" s="6">
        <f>+ROUND(I310*0.002,2)+ROUND(I310*0.0003,2)+ROUND(I310*0.0003,2)+ROUND(I310*0.0003,2)</f>
        <v>659.38</v>
      </c>
      <c r="P310" s="6">
        <f t="shared" si="58"/>
        <v>236720.57</v>
      </c>
      <c r="Q310" s="4" t="str">
        <f>LOOKUP($E310,OBRAS!$D:$D,OBRAS!B:B)</f>
        <v>ADRIANA BELTRAN LAGARDA</v>
      </c>
      <c r="R310" s="4" t="str">
        <f>LOOKUP($E310,OBRAS!$D:$D,OBRAS!A:A)</f>
        <v>VARIOS</v>
      </c>
      <c r="S310" s="4" t="str">
        <f>LOOKUP($E310,OBRAS!$D:$D,OBRAS!F:F)</f>
        <v>11000002003501E203K03203A625132161A013</v>
      </c>
      <c r="T310" s="4" t="str">
        <f>LOOKUP($E310,OBRAS!$D:$D,OBRAS!G:G)</f>
        <v>CE-926006995-E45-2016</v>
      </c>
      <c r="U310" s="4" t="s">
        <v>863</v>
      </c>
      <c r="V310" s="89">
        <v>42632</v>
      </c>
      <c r="W310" s="6">
        <f>LOOKUP($E310,OBRAS!$D:$D,OBRAS!K:K)</f>
        <v>1055021.97</v>
      </c>
      <c r="X310" s="109">
        <f t="shared" si="59"/>
        <v>0.25</v>
      </c>
      <c r="Y310" s="109">
        <f t="shared" si="65"/>
        <v>1</v>
      </c>
      <c r="Z310" s="109">
        <f t="shared" si="60"/>
        <v>1</v>
      </c>
      <c r="AA310" s="4" t="str">
        <f>LOOKUP($E310,OBRAS!$D:$D,OBRAS!H:H)</f>
        <v>SH-ED-16-020</v>
      </c>
    </row>
    <row r="311" spans="2:27" ht="45" x14ac:dyDescent="0.25">
      <c r="B311" s="56">
        <v>2837</v>
      </c>
      <c r="C311" s="49">
        <v>309</v>
      </c>
      <c r="D311" s="4" t="str">
        <f>LOOKUP($E311,OBRAS!$D:$D,OBRAS!C:C)</f>
        <v>RECONSTRUCCION DEL CAMINO E.C. FEDERAL- LAS BOCAS EN VARIAS LOCALIDADES DEL MUNICIPIO DE HUATABAMPO, SONORA.</v>
      </c>
      <c r="E311" s="4" t="s">
        <v>279</v>
      </c>
      <c r="F311" s="4" t="s">
        <v>401</v>
      </c>
      <c r="G311" s="4" t="str">
        <f>LOOKUP($E311,OBRAS!$D:$D,OBRAS!E:E)</f>
        <v>C-00054/0020</v>
      </c>
      <c r="H311" s="80" t="s">
        <v>15</v>
      </c>
      <c r="I311" s="6">
        <v>3299583.66</v>
      </c>
      <c r="J311" s="6"/>
      <c r="K311" s="6">
        <f>ROUND(I311*0.3,2)</f>
        <v>989875.1</v>
      </c>
      <c r="L311" s="6">
        <f t="shared" ref="L311:L342" si="66">I311-K311</f>
        <v>2309708.56</v>
      </c>
      <c r="M311" s="6">
        <f t="shared" si="56"/>
        <v>369553.37</v>
      </c>
      <c r="N311" s="6">
        <f t="shared" si="57"/>
        <v>2679261.9300000002</v>
      </c>
      <c r="O311" s="6">
        <f>+ROUND(I311*0.002,2)+ROUND(I311*0.0003,2)+ROUND(I311*0.0003,2)+ROUND(I311*0.0003,2)+ROUND(I311*0.002,2)</f>
        <v>16167.98</v>
      </c>
      <c r="P311" s="6">
        <f t="shared" si="58"/>
        <v>2663093.9500000002</v>
      </c>
      <c r="Q311" s="4" t="str">
        <f>LOOKUP($E311,OBRAS!$D:$D,OBRAS!B:B)</f>
        <v>EDIFICACIÓN INTEGRAL DEL NOROESTE, S.A. DE C.V.</v>
      </c>
      <c r="R311" s="4" t="str">
        <f>LOOKUP($E311,OBRAS!$D:$D,OBRAS!A:A)</f>
        <v>HUATABAMPO</v>
      </c>
      <c r="S311" s="4" t="str">
        <f>LOOKUP($E311,OBRAS!$D:$D,OBRAS!F:F)</f>
        <v>11000002003501E203K03203A625012162A212</v>
      </c>
      <c r="T311" s="4" t="str">
        <f>LOOKUP($E311,OBRAS!$D:$D,OBRAS!G:G)</f>
        <v>CE-926006995-E2-2016</v>
      </c>
      <c r="U311" s="4" t="s">
        <v>863</v>
      </c>
      <c r="V311" s="89">
        <v>42643</v>
      </c>
      <c r="W311" s="6">
        <f>LOOKUP($E311,OBRAS!$D:$D,OBRAS!K:K)</f>
        <v>22980026.969999999</v>
      </c>
      <c r="X311" s="109">
        <f t="shared" si="59"/>
        <v>0.1666</v>
      </c>
      <c r="Y311" s="109">
        <f>ROUND(SUMIF(E:E,E311,X:X),2)</f>
        <v>1</v>
      </c>
      <c r="Z311" s="109">
        <f t="shared" si="60"/>
        <v>1</v>
      </c>
      <c r="AA311" s="4" t="str">
        <f>LOOKUP($E311,OBRAS!$D:$D,OBRAS!H:H)</f>
        <v>OM-ED-16-002</v>
      </c>
    </row>
    <row r="312" spans="2:27" ht="60" x14ac:dyDescent="0.25">
      <c r="B312" s="56">
        <v>2838</v>
      </c>
      <c r="C312" s="49">
        <v>310</v>
      </c>
      <c r="D312" s="4" t="str">
        <f>LOOKUP($E312,OBRAS!$D:$D,OBRAS!C:C)</f>
        <v>PAVIMENTACION CON CARPETA ASFALTICA EN AVENIDA VENUSTIANO CARRANZA ENTRE 40 Y 43 EN LA LOCALIDAD Y MUNICIPIO DE SAN LUIS RIO COLORADO, SONORA</v>
      </c>
      <c r="E312" s="4" t="s">
        <v>72</v>
      </c>
      <c r="F312" s="4" t="s">
        <v>226</v>
      </c>
      <c r="G312" s="4" t="str">
        <f>LOOKUP($E312,OBRAS!$D:$D,OBRAS!E:E)</f>
        <v>C-00052/0063</v>
      </c>
      <c r="H312" s="80" t="s">
        <v>221</v>
      </c>
      <c r="I312" s="6">
        <v>361980.48</v>
      </c>
      <c r="J312" s="6"/>
      <c r="K312" s="6"/>
      <c r="L312" s="6">
        <f t="shared" si="66"/>
        <v>361980.48</v>
      </c>
      <c r="M312" s="6">
        <f t="shared" ref="M312:M375" si="67">ROUND(L312*0.16,2)</f>
        <v>57916.88</v>
      </c>
      <c r="N312" s="6">
        <f t="shared" ref="N312:N375" si="68">M312+L312</f>
        <v>419897.36</v>
      </c>
      <c r="O312" s="6">
        <f>+ROUND(I312*0.005,2)</f>
        <v>1809.9</v>
      </c>
      <c r="P312" s="6">
        <f t="shared" ref="P312:P375" si="69">N312-O312</f>
        <v>418087.46</v>
      </c>
      <c r="Q312" s="4" t="str">
        <f>LOOKUP($E312,OBRAS!$D:$D,OBRAS!B:B)</f>
        <v>INMOBILIARIA SOCE, S.A. DE C.V.</v>
      </c>
      <c r="R312" s="4" t="str">
        <f>LOOKUP($E312,OBRAS!$D:$D,OBRAS!A:A)</f>
        <v>S.L.R.C.</v>
      </c>
      <c r="S312" s="4" t="str">
        <f>LOOKUP($E312,OBRAS!$D:$D,OBRAS!F:F)</f>
        <v>11000002002201E201K02203A614222155DM01</v>
      </c>
      <c r="T312" s="4" t="str">
        <f>LOOKUP($E312,OBRAS!$D:$D,OBRAS!G:G)</f>
        <v>IO-926006995-N142-2014</v>
      </c>
      <c r="U312" s="4" t="s">
        <v>863</v>
      </c>
      <c r="V312" s="89">
        <v>42605</v>
      </c>
      <c r="W312" s="6">
        <f>LOOKUP($E312,OBRAS!$D:$D,OBRAS!K:K)</f>
        <v>3300120.44</v>
      </c>
      <c r="X312" s="109">
        <f t="shared" si="59"/>
        <v>0.12720000000000001</v>
      </c>
      <c r="Y312" s="109">
        <f>SUMIF(E:E,E312,X:X)</f>
        <v>1</v>
      </c>
      <c r="Z312" s="109">
        <f t="shared" si="60"/>
        <v>0.68020000000000003</v>
      </c>
      <c r="AA312" s="4" t="str">
        <f>LOOKUP($E312,OBRAS!$D:$D,OBRAS!H:H)</f>
        <v>SH-FAFEF-16-R-004</v>
      </c>
    </row>
    <row r="313" spans="2:27" ht="45" x14ac:dyDescent="0.25">
      <c r="B313" s="56">
        <v>2839</v>
      </c>
      <c r="C313" s="49">
        <v>311</v>
      </c>
      <c r="D313" s="4" t="str">
        <f>LOOKUP($E313,OBRAS!$D:$D,OBRAS!C:C)</f>
        <v>RECONSTRUCCION DEL CAMINO E.C. FEDERAL- LAS BOCAS EN VARIAS LOCALIDADES DEL MUNICIPIO DE HUATABAMPO, SONORA.</v>
      </c>
      <c r="E313" s="4" t="s">
        <v>279</v>
      </c>
      <c r="F313" s="4" t="s">
        <v>401</v>
      </c>
      <c r="G313" s="4" t="str">
        <f>LOOKUP($E313,OBRAS!$D:$D,OBRAS!E:E)</f>
        <v>C-00054/0020</v>
      </c>
      <c r="H313" s="80" t="s">
        <v>214</v>
      </c>
      <c r="I313" s="6">
        <v>5138482.99</v>
      </c>
      <c r="J313" s="6"/>
      <c r="K313" s="6">
        <f>ROUND(I313*0.3,2)</f>
        <v>1541544.9</v>
      </c>
      <c r="L313" s="6">
        <f t="shared" si="66"/>
        <v>3596938.09</v>
      </c>
      <c r="M313" s="6">
        <f t="shared" si="67"/>
        <v>575510.09</v>
      </c>
      <c r="N313" s="6">
        <f t="shared" si="68"/>
        <v>4172448.18</v>
      </c>
      <c r="O313" s="6">
        <v>25178.59</v>
      </c>
      <c r="P313" s="6">
        <f t="shared" si="69"/>
        <v>4147269.59</v>
      </c>
      <c r="Q313" s="4" t="str">
        <f>LOOKUP($E313,OBRAS!$D:$D,OBRAS!B:B)</f>
        <v>EDIFICACIÓN INTEGRAL DEL NOROESTE, S.A. DE C.V.</v>
      </c>
      <c r="R313" s="4" t="str">
        <f>LOOKUP($E313,OBRAS!$D:$D,OBRAS!A:A)</f>
        <v>HUATABAMPO</v>
      </c>
      <c r="S313" s="4" t="str">
        <f>LOOKUP($E313,OBRAS!$D:$D,OBRAS!F:F)</f>
        <v>11000002003501E203K03203A625012162A212</v>
      </c>
      <c r="T313" s="4" t="str">
        <f>LOOKUP($E313,OBRAS!$D:$D,OBRAS!G:G)</f>
        <v>CE-926006995-E2-2016</v>
      </c>
      <c r="U313" s="4" t="s">
        <v>863</v>
      </c>
      <c r="V313" s="89">
        <v>42632</v>
      </c>
      <c r="W313" s="6">
        <f>LOOKUP($E313,OBRAS!$D:$D,OBRAS!K:K)</f>
        <v>22980026.969999999</v>
      </c>
      <c r="X313" s="109">
        <f t="shared" si="59"/>
        <v>0.25940000000000002</v>
      </c>
      <c r="Y313" s="109">
        <f>ROUND(SUMIF(E:E,E313,X:X),2)</f>
        <v>1</v>
      </c>
      <c r="Z313" s="109">
        <f t="shared" si="60"/>
        <v>1</v>
      </c>
      <c r="AA313" s="4" t="str">
        <f>LOOKUP($E313,OBRAS!$D:$D,OBRAS!H:H)</f>
        <v>OM-ED-16-002</v>
      </c>
    </row>
    <row r="314" spans="2:27" ht="60" x14ac:dyDescent="0.25">
      <c r="B314" s="56">
        <v>2840</v>
      </c>
      <c r="C314" s="49">
        <v>312</v>
      </c>
      <c r="D314" s="4" t="str">
        <f>LOOKUP($E314,OBRAS!$D:$D,OBRAS!C:C)</f>
        <v>PAVIMENTACION CON CARPETA ASFALTICA(SEGUNDA ETAPA) EN AVENIDA JAZMIN EN LA LOCALIDAD Y MUNICIPIO DE SAN LUIS RIO COLORADO</v>
      </c>
      <c r="E314" s="4" t="s">
        <v>133</v>
      </c>
      <c r="F314" s="4" t="s">
        <v>226</v>
      </c>
      <c r="G314" s="4" t="str">
        <f>LOOKUP($E314,OBRAS!$D:$D,OBRAS!E:E)</f>
        <v>C-00052/0060</v>
      </c>
      <c r="H314" s="80" t="s">
        <v>15</v>
      </c>
      <c r="I314" s="6">
        <v>93726.22</v>
      </c>
      <c r="J314" s="6"/>
      <c r="K314" s="6"/>
      <c r="L314" s="6">
        <f t="shared" si="66"/>
        <v>93726.22</v>
      </c>
      <c r="M314" s="6">
        <f t="shared" si="67"/>
        <v>14996.2</v>
      </c>
      <c r="N314" s="6">
        <f t="shared" si="68"/>
        <v>108722.42</v>
      </c>
      <c r="O314" s="6">
        <f>+ROUND(I314*0.005,2)</f>
        <v>468.63</v>
      </c>
      <c r="P314" s="6">
        <f t="shared" si="69"/>
        <v>108253.79</v>
      </c>
      <c r="Q314" s="4" t="str">
        <f>LOOKUP($E314,OBRAS!$D:$D,OBRAS!B:B)</f>
        <v>REVAL DESARROLLOS Y MATERIALES, S.A. DE C.V.</v>
      </c>
      <c r="R314" s="4" t="str">
        <f>LOOKUP($E314,OBRAS!$D:$D,OBRAS!A:A)</f>
        <v>S.L.R.C.</v>
      </c>
      <c r="S314" s="4" t="str">
        <f>LOOKUP($E314,OBRAS!$D:$D,OBRAS!F:F)</f>
        <v>11000002002201E201K02203A614222155DM01</v>
      </c>
      <c r="T314" s="4" t="str">
        <f>LOOKUP($E314,OBRAS!$D:$D,OBRAS!G:G)</f>
        <v>IO-926006995-N140-2014</v>
      </c>
      <c r="U314" s="4" t="s">
        <v>863</v>
      </c>
      <c r="V314" s="89">
        <v>42605</v>
      </c>
      <c r="W314" s="6">
        <f>LOOKUP($E314,OBRAS!$D:$D,OBRAS!K:K)</f>
        <v>8799903.5299999993</v>
      </c>
      <c r="X314" s="109">
        <f t="shared" ref="X314:X377" si="70">IF(H314&lt;&gt;"ANTICIPO",I314/(W314/1.16),"")</f>
        <v>1.24E-2</v>
      </c>
      <c r="Y314" s="109">
        <f t="shared" ref="Y314:Y345" si="71">SUMIF(E:E,E314,X:X)</f>
        <v>0.15210000000000001</v>
      </c>
      <c r="Z314" s="109">
        <f t="shared" ref="Z314:Z377" si="72">SUMIF(E:E,E314,N:N)/W314</f>
        <v>0.15210000000000001</v>
      </c>
      <c r="AA314" s="4" t="str">
        <f>LOOKUP($E314,OBRAS!$D:$D,OBRAS!H:H)</f>
        <v>SH-FAFEF-16-R-004</v>
      </c>
    </row>
    <row r="315" spans="2:27" ht="45" x14ac:dyDescent="0.25">
      <c r="B315" s="56">
        <v>2841</v>
      </c>
      <c r="C315" s="49">
        <v>313</v>
      </c>
      <c r="D315" s="4" t="str">
        <f>LOOKUP($E315,OBRAS!$D:$D,OBRAS!C:C)</f>
        <v>RECONSTRUCCION DE CALLE 26 DEL KM 70+000 AL 101+300 EN VARIAS LOCALIDADES DEL MUNICIPIO DE HERMOSILLO, SONORA</v>
      </c>
      <c r="E315" s="4" t="s">
        <v>386</v>
      </c>
      <c r="F315" s="4" t="s">
        <v>401</v>
      </c>
      <c r="G315" s="4" t="str">
        <f>LOOKUP($E315,OBRAS!$D:$D,OBRAS!E:E)</f>
        <v>C-00054/0073</v>
      </c>
      <c r="H315" s="80" t="s">
        <v>103</v>
      </c>
      <c r="I315" s="6">
        <v>1356211.82</v>
      </c>
      <c r="J315" s="6"/>
      <c r="K315" s="6">
        <f>ROUND(I315*0.3,2)</f>
        <v>406863.55</v>
      </c>
      <c r="L315" s="6">
        <f t="shared" si="66"/>
        <v>949348.27</v>
      </c>
      <c r="M315" s="6">
        <f t="shared" si="67"/>
        <v>151895.72</v>
      </c>
      <c r="N315" s="6">
        <f t="shared" si="68"/>
        <v>1101243.99</v>
      </c>
      <c r="O315" s="6">
        <f>+ROUND(I315*0.002,2)+ROUND(I315*0.0003,2)+ROUND(I315*0.0003,2)+ROUND(I315*0.0003,2)+ROUND(I315*0.002,2)</f>
        <v>6645.42</v>
      </c>
      <c r="P315" s="6">
        <f t="shared" si="69"/>
        <v>1094598.57</v>
      </c>
      <c r="Q315" s="4" t="str">
        <f>LOOKUP($E315,OBRAS!$D:$D,OBRAS!B:B)</f>
        <v>GYEMM INMOBILIARIA Y DISEÑOS EN INGENIERIA Y ARQUITECTURA, S.A. DE C.V.</v>
      </c>
      <c r="R315" s="4" t="str">
        <f>LOOKUP($E315,OBRAS!$D:$D,OBRAS!A:A)</f>
        <v>HERMOSILLO</v>
      </c>
      <c r="S315" s="4" t="str">
        <f>LOOKUP($E315,OBRAS!$D:$D,OBRAS!F:F)</f>
        <v>11000002003501E204K08063A625012162A207</v>
      </c>
      <c r="T315" s="4" t="str">
        <f>LOOKUP($E315,OBRAS!$D:$D,OBRAS!G:G)</f>
        <v>CE-926006995-E42-2016</v>
      </c>
      <c r="U315" s="4" t="s">
        <v>863</v>
      </c>
      <c r="V315" s="89">
        <v>42643</v>
      </c>
      <c r="W315" s="6">
        <f>LOOKUP($E315,OBRAS!$D:$D,OBRAS!K:K)</f>
        <v>45827894.390000001</v>
      </c>
      <c r="X315" s="109">
        <f t="shared" si="70"/>
        <v>3.4299999999999997E-2</v>
      </c>
      <c r="Y315" s="109">
        <f t="shared" si="71"/>
        <v>0.50019999999999998</v>
      </c>
      <c r="Z315" s="109">
        <f t="shared" si="72"/>
        <v>0.65010000000000001</v>
      </c>
      <c r="AA315" s="4" t="str">
        <f>LOOKUP($E315,OBRAS!$D:$D,OBRAS!H:H)</f>
        <v>SH-ED-17-R-004</v>
      </c>
    </row>
    <row r="316" spans="2:27" ht="30" x14ac:dyDescent="0.25">
      <c r="B316" s="56">
        <v>2842</v>
      </c>
      <c r="C316" s="49">
        <v>314</v>
      </c>
      <c r="D316" s="4" t="str">
        <f>LOOKUP($E316,OBRAS!$D:$D,OBRAS!C:C)</f>
        <v>CONSTRUCCION Y RECONSTRUCCION DEL TRAMO CABORCA-Y GRIEGA</v>
      </c>
      <c r="E316" s="4" t="s">
        <v>586</v>
      </c>
      <c r="F316" s="4"/>
      <c r="G316" s="4" t="str">
        <f>LOOKUP($E316,OBRAS!$D:$D,OBRAS!E:E)</f>
        <v>C-00054/0056</v>
      </c>
      <c r="H316" s="80" t="s">
        <v>55</v>
      </c>
      <c r="I316" s="6">
        <v>11586254.939999999</v>
      </c>
      <c r="J316" s="6"/>
      <c r="K316" s="6">
        <f>ROUND(I316*0.3,2)</f>
        <v>3475876.48</v>
      </c>
      <c r="L316" s="6">
        <f t="shared" si="66"/>
        <v>8110378.46</v>
      </c>
      <c r="M316" s="6">
        <f t="shared" si="67"/>
        <v>1297660.55</v>
      </c>
      <c r="N316" s="6">
        <f t="shared" si="68"/>
        <v>9408039.0099999998</v>
      </c>
      <c r="O316" s="6">
        <f>+ROUND(I316*0.002,2)+ROUND(I316*0.0003,2)+ROUND(I316*0.0003,2)+ROUND(I316*0.0003,2)+ROUND(I316*0.002,2)</f>
        <v>56772.66</v>
      </c>
      <c r="P316" s="6">
        <f t="shared" si="69"/>
        <v>9351266.3499999996</v>
      </c>
      <c r="Q316" s="4" t="str">
        <f>LOOKUP($E316,OBRAS!$D:$D,OBRAS!B:B)</f>
        <v>MEZQUITE CONSTRUCCIONES,S.A.DE C.V.</v>
      </c>
      <c r="R316" s="4" t="str">
        <f>LOOKUP($E316,OBRAS!$D:$D,OBRAS!A:A)</f>
        <v>CABORCA</v>
      </c>
      <c r="S316" s="4" t="str">
        <f>LOOKUP($E316,OBRAS!$D:$D,OBRAS!F:F)</f>
        <v>11000002003501E204K08063A625012162A202</v>
      </c>
      <c r="T316" s="4" t="str">
        <f>LOOKUP($E316,OBRAS!$D:$D,OBRAS!G:G)</f>
        <v>CE-926006995-E20-2016</v>
      </c>
      <c r="U316" s="4" t="s">
        <v>863</v>
      </c>
      <c r="V316" s="89">
        <v>42632</v>
      </c>
      <c r="W316" s="6">
        <f>LOOKUP($E316,OBRAS!$D:$D,OBRAS!K:K)</f>
        <v>78902188.120000005</v>
      </c>
      <c r="X316" s="109">
        <f t="shared" si="70"/>
        <v>0.17030000000000001</v>
      </c>
      <c r="Y316" s="109">
        <f t="shared" si="71"/>
        <v>0.74160000000000004</v>
      </c>
      <c r="Z316" s="109">
        <f t="shared" si="72"/>
        <v>0.74160000000000004</v>
      </c>
      <c r="AA316" s="4" t="str">
        <f>LOOKUP($E316,OBRAS!$D:$D,OBRAS!H:H)</f>
        <v>SH-ED-17-R-013</v>
      </c>
    </row>
    <row r="317" spans="2:27" ht="60" x14ac:dyDescent="0.25">
      <c r="B317" s="56">
        <v>2924</v>
      </c>
      <c r="C317" s="49">
        <v>315</v>
      </c>
      <c r="D317" s="4" t="str">
        <f>LOOKUP($E317,OBRAS!$D:$D,OBRAS!C:C)</f>
        <v>SUPERVISION EXTERNA Y CONTROL DE CALIDAD DE LA REHABILITACION DE RED DE CARRETERAS ALIMENTADORAS EN LA REGION DEL RIO SONORA; SUBTRAMO KM 0+000 AL KM 75+000</v>
      </c>
      <c r="E317" s="4" t="s">
        <v>732</v>
      </c>
      <c r="F317" s="4"/>
      <c r="G317" s="4" t="str">
        <f>LOOKUP($E317,OBRAS!$D:$D,OBRAS!E:E)</f>
        <v>C-00098/0021</v>
      </c>
      <c r="H317" s="80" t="s">
        <v>55</v>
      </c>
      <c r="I317" s="6">
        <v>167354.95000000001</v>
      </c>
      <c r="J317" s="6"/>
      <c r="K317" s="6"/>
      <c r="L317" s="6">
        <f t="shared" si="66"/>
        <v>167354.95000000001</v>
      </c>
      <c r="M317" s="6">
        <f t="shared" si="67"/>
        <v>26776.79</v>
      </c>
      <c r="N317" s="6">
        <f t="shared" si="68"/>
        <v>194131.74</v>
      </c>
      <c r="O317" s="6">
        <f>+ROUND(I317*0.002,2)+ROUND(I317*0.0003,2)+ROUND(I317*0.0003,2)+ROUND(I317*0.0003,2)</f>
        <v>485.34</v>
      </c>
      <c r="P317" s="6">
        <f t="shared" si="69"/>
        <v>193646.4</v>
      </c>
      <c r="Q317" s="4" t="str">
        <f>LOOKUP($E317,OBRAS!$D:$D,OBRAS!B:B)</f>
        <v>ESCOBO S.A. DE C.V.</v>
      </c>
      <c r="R317" s="4" t="str">
        <f>LOOKUP($E317,OBRAS!$D:$D,OBRAS!A:A)</f>
        <v>VARIOS</v>
      </c>
      <c r="S317" s="4" t="str">
        <f>LOOKUP($E317,OBRAS!$D:$D,OBRAS!F:F)</f>
        <v>11000002003501E203K03203A625132161A013</v>
      </c>
      <c r="T317" s="4" t="str">
        <f>LOOKUP($E317,OBRAS!$D:$D,OBRAS!G:G)</f>
        <v>CE-966006995-E67-2016</v>
      </c>
      <c r="U317" s="4" t="s">
        <v>863</v>
      </c>
      <c r="V317" s="89">
        <v>42671</v>
      </c>
      <c r="W317" s="6">
        <f>LOOKUP($E317,OBRAS!$D:$D,OBRAS!K:K)</f>
        <v>2329580.42</v>
      </c>
      <c r="X317" s="109">
        <f t="shared" si="70"/>
        <v>8.3299999999999999E-2</v>
      </c>
      <c r="Y317" s="109">
        <f t="shared" si="71"/>
        <v>0.92679999999999996</v>
      </c>
      <c r="Z317" s="109">
        <f t="shared" si="72"/>
        <v>0.92669999999999997</v>
      </c>
      <c r="AA317" s="4" t="str">
        <f>LOOKUP($E317,OBRAS!$D:$D,OBRAS!H:H)</f>
        <v>SH-ED-16-060</v>
      </c>
    </row>
    <row r="318" spans="2:27" ht="105" x14ac:dyDescent="0.25">
      <c r="B318" s="56">
        <v>2925</v>
      </c>
      <c r="C318" s="49">
        <v>316</v>
      </c>
      <c r="D318" s="4" t="str">
        <f>LOOKUP($E318,OBRAS!$D:$D,OBRAS!C:C)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318" s="4" t="s">
        <v>403</v>
      </c>
      <c r="F318" s="4"/>
      <c r="G318" s="4" t="str">
        <f>LOOKUP($E318,OBRAS!$D:$D,OBRAS!E:E)</f>
        <v>C-00098/0032</v>
      </c>
      <c r="H318" s="80" t="s">
        <v>55</v>
      </c>
      <c r="I318" s="6">
        <v>567225.07999999996</v>
      </c>
      <c r="J318" s="6"/>
      <c r="K318" s="6">
        <f>ROUND(I318*0.1,2)</f>
        <v>56722.51</v>
      </c>
      <c r="L318" s="6">
        <f t="shared" si="66"/>
        <v>510502.57</v>
      </c>
      <c r="M318" s="6">
        <f t="shared" si="67"/>
        <v>81680.41</v>
      </c>
      <c r="N318" s="6">
        <f t="shared" si="68"/>
        <v>592182.98</v>
      </c>
      <c r="O318" s="6">
        <f>+ROUND(I318*0.002,2)+ROUND(I318*0.0003,2)+ROUND(I318*0.0003,2)+ROUND(I318*0.0003,2)</f>
        <v>1644.96</v>
      </c>
      <c r="P318" s="6">
        <f t="shared" si="69"/>
        <v>590538.02</v>
      </c>
      <c r="Q318" s="4" t="str">
        <f>LOOKUP($E318,OBRAS!$D:$D,OBRAS!B:B)</f>
        <v>RL INFRAESTRUCTURA, S.A. DE C.V.</v>
      </c>
      <c r="R318" s="4" t="str">
        <f>LOOKUP($E318,OBRAS!$D:$D,OBRAS!A:A)</f>
        <v>VARIOS</v>
      </c>
      <c r="S318" s="4" t="str">
        <f>LOOKUP($E318,OBRAS!$D:$D,OBRAS!F:F)</f>
        <v>11000002003501E203K03203A625132161A013</v>
      </c>
      <c r="T318" s="4" t="str">
        <f>LOOKUP($E318,OBRAS!$D:$D,OBRAS!G:G)</f>
        <v>CE-926006995-E54-2016</v>
      </c>
      <c r="U318" s="4" t="s">
        <v>863</v>
      </c>
      <c r="V318" s="89">
        <v>42664</v>
      </c>
      <c r="W318" s="6">
        <f>LOOKUP($E318,OBRAS!$D:$D,OBRAS!K:K)</f>
        <v>4605867.6500000004</v>
      </c>
      <c r="X318" s="109">
        <f t="shared" si="70"/>
        <v>0.1429</v>
      </c>
      <c r="Y318" s="109">
        <f t="shared" si="71"/>
        <v>1.0003</v>
      </c>
      <c r="Z318" s="109">
        <f t="shared" si="72"/>
        <v>1</v>
      </c>
      <c r="AA318" s="4" t="str">
        <f>LOOKUP($E318,OBRAS!$D:$D,OBRAS!H:H)</f>
        <v>SH-ED-16-039</v>
      </c>
    </row>
    <row r="319" spans="2:27" ht="30" x14ac:dyDescent="0.25">
      <c r="B319" s="56">
        <v>2926</v>
      </c>
      <c r="C319" s="49">
        <v>317</v>
      </c>
      <c r="D319" s="4" t="str">
        <f>LOOKUP($E319,OBRAS!$D:$D,OBRAS!C:C)</f>
        <v>CONSERVACION Y RECONSTRUCCION DEL TRAMO URES-PUEBLO DE ALAMOS</v>
      </c>
      <c r="E319" s="4" t="s">
        <v>562</v>
      </c>
      <c r="F319" s="4"/>
      <c r="G319" s="4" t="str">
        <f>LOOKUP($E319,OBRAS!$D:$D,OBRAS!E:E)</f>
        <v>C-00054/0061</v>
      </c>
      <c r="H319" s="80" t="s">
        <v>55</v>
      </c>
      <c r="I319" s="6">
        <v>11548287.380000001</v>
      </c>
      <c r="J319" s="6"/>
      <c r="K319" s="6">
        <f>ROUND(I319*0.3,2)</f>
        <v>3464486.21</v>
      </c>
      <c r="L319" s="6">
        <f t="shared" si="66"/>
        <v>8083801.1699999999</v>
      </c>
      <c r="M319" s="6">
        <f t="shared" si="67"/>
        <v>1293408.19</v>
      </c>
      <c r="N319" s="6">
        <f t="shared" si="68"/>
        <v>9377209.3599999994</v>
      </c>
      <c r="O319" s="6">
        <f>+ROUND(I319*0.002,2)+ROUND(I319*0.0003,2)+ROUND(I319*0.0003,2)+ROUND(I319*0.0003,2)+ROUND(I319*0.002,2)</f>
        <v>56586.61</v>
      </c>
      <c r="P319" s="6">
        <f t="shared" si="69"/>
        <v>9320622.75</v>
      </c>
      <c r="Q319" s="4" t="str">
        <f>LOOKUP($E319,OBRAS!$D:$D,OBRAS!B:B)</f>
        <v>GLUYAS CONSTRUCCIONES S.A. DE C.V.</v>
      </c>
      <c r="R319" s="4" t="str">
        <f>LOOKUP($E319,OBRAS!$D:$D,OBRAS!A:A)</f>
        <v>URES</v>
      </c>
      <c r="S319" s="4" t="str">
        <f>LOOKUP($E319,OBRAS!$D:$D,OBRAS!F:F)</f>
        <v>11000002003501E204K08063A625012162A205</v>
      </c>
      <c r="T319" s="4" t="str">
        <f>LOOKUP($E319,OBRAS!$D:$D,OBRAS!G:G)</f>
        <v>CE-926006995-E25-2016</v>
      </c>
      <c r="U319" s="4" t="s">
        <v>863</v>
      </c>
      <c r="V319" s="89">
        <v>42643</v>
      </c>
      <c r="W319" s="6">
        <f>LOOKUP($E319,OBRAS!$D:$D,OBRAS!K:K)</f>
        <v>40380067.490000002</v>
      </c>
      <c r="X319" s="109">
        <f t="shared" si="70"/>
        <v>0.33169999999999999</v>
      </c>
      <c r="Y319" s="109">
        <f t="shared" si="71"/>
        <v>0.94240000000000002</v>
      </c>
      <c r="Z319" s="109">
        <f t="shared" si="72"/>
        <v>0.9425</v>
      </c>
      <c r="AA319" s="4" t="str">
        <f>LOOKUP($E319,OBRAS!$D:$D,OBRAS!H:H)</f>
        <v>SH-ED-17-R-013</v>
      </c>
    </row>
    <row r="320" spans="2:27" ht="60" x14ac:dyDescent="0.25">
      <c r="B320" s="56">
        <v>2927</v>
      </c>
      <c r="C320" s="49">
        <v>318</v>
      </c>
      <c r="D320" s="4" t="str">
        <f>LOOKUP($E320,OBRAS!$D:$D,OBRAS!C:C)</f>
        <v>SUPERVISION EXTERNA Y CONTROL DE CALIDAD PARA LA OBRA RECONSTRUCCION DE CAMINO HORNOS - ROSARIO EN VARIAS LOCALIDADES DE VARIOS MUNICIPIOS DEL ESTADO DE SONORA.</v>
      </c>
      <c r="E320" s="4" t="s">
        <v>315</v>
      </c>
      <c r="F320" s="4"/>
      <c r="G320" s="4" t="str">
        <f>LOOKUP($E320,OBRAS!$D:$D,OBRAS!E:E)</f>
        <v>C-00098/0022</v>
      </c>
      <c r="H320" s="80" t="s">
        <v>221</v>
      </c>
      <c r="I320" s="6">
        <v>307572.47999999998</v>
      </c>
      <c r="J320" s="6"/>
      <c r="K320" s="6">
        <f>ROUND(I320*0.1,2)</f>
        <v>30757.25</v>
      </c>
      <c r="L320" s="6">
        <f t="shared" si="66"/>
        <v>276815.23</v>
      </c>
      <c r="M320" s="6">
        <f t="shared" si="67"/>
        <v>44290.44</v>
      </c>
      <c r="N320" s="6">
        <f t="shared" si="68"/>
        <v>321105.67</v>
      </c>
      <c r="O320" s="6">
        <f>+ROUND(I320*0.002,2)+ROUND(I320*0.0003,2)+ROUND(I320*0.0003,2)+ROUND(I320*0.0003,2)</f>
        <v>891.95</v>
      </c>
      <c r="P320" s="6">
        <f t="shared" si="69"/>
        <v>320213.71999999997</v>
      </c>
      <c r="Q320" s="4" t="str">
        <f>LOOKUP($E320,OBRAS!$D:$D,OBRAS!B:B)</f>
        <v>OESTEC DE MEXICO SA DE CV</v>
      </c>
      <c r="R320" s="4" t="str">
        <f>LOOKUP($E320,OBRAS!$D:$D,OBRAS!A:A)</f>
        <v>VARIOS</v>
      </c>
      <c r="S320" s="4" t="str">
        <f>LOOKUP($E320,OBRAS!$D:$D,OBRAS!F:F)</f>
        <v>11000002002207E201K02104A622212161A013</v>
      </c>
      <c r="T320" s="4" t="str">
        <f>LOOKUP($E320,OBRAS!$D:$D,OBRAS!G:G)</f>
        <v>CE-9260066995-E46-2016</v>
      </c>
      <c r="U320" s="4" t="s">
        <v>863</v>
      </c>
      <c r="V320" s="89">
        <v>42663</v>
      </c>
      <c r="W320" s="6">
        <f>LOOKUP($E320,OBRAS!$D:$D,OBRAS!K:K)</f>
        <v>2497488.54</v>
      </c>
      <c r="X320" s="109">
        <f t="shared" si="70"/>
        <v>0.1429</v>
      </c>
      <c r="Y320" s="109">
        <f t="shared" si="71"/>
        <v>1.0003</v>
      </c>
      <c r="Z320" s="109">
        <f t="shared" si="72"/>
        <v>1</v>
      </c>
      <c r="AA320" s="4" t="str">
        <f>LOOKUP($E320,OBRAS!$D:$D,OBRAS!H:H)</f>
        <v>SH-ED-16-028</v>
      </c>
    </row>
    <row r="321" spans="1:27" ht="30" x14ac:dyDescent="0.25">
      <c r="B321" s="56">
        <v>2928</v>
      </c>
      <c r="C321" s="49">
        <v>319</v>
      </c>
      <c r="D321" s="4" t="str">
        <f>LOOKUP($E321,OBRAS!$D:$D,OBRAS!C:C)</f>
        <v>OBRAS DE REHABILITACION DEL DELFINARIO SONORA (PRIMERA ETAPA)</v>
      </c>
      <c r="E321" s="4" t="s">
        <v>603</v>
      </c>
      <c r="F321" s="4" t="s">
        <v>224</v>
      </c>
      <c r="G321" s="4" t="str">
        <f>LOOKUP($E321,OBRAS!$D:$D,OBRAS!E:E)</f>
        <v>C-00061/0013</v>
      </c>
      <c r="H321" s="80" t="s">
        <v>103</v>
      </c>
      <c r="I321" s="6">
        <v>1389464.63</v>
      </c>
      <c r="J321" s="6"/>
      <c r="K321" s="6">
        <f t="shared" ref="K321:K331" si="73">ROUND(I321*0.3,2)</f>
        <v>416839.39</v>
      </c>
      <c r="L321" s="6">
        <f t="shared" si="66"/>
        <v>972625.24</v>
      </c>
      <c r="M321" s="6">
        <f t="shared" si="67"/>
        <v>155620.04</v>
      </c>
      <c r="N321" s="6">
        <f t="shared" si="68"/>
        <v>1128245.28</v>
      </c>
      <c r="O321" s="6">
        <f t="shared" ref="O321:O336" si="74">+ROUND(I321*0.002,2)+ROUND(I321*0.0003,2)+ROUND(I321*0.0003,2)+ROUND(I321*0.0003,2)+ROUND(I321*0.002,2)</f>
        <v>6808.38</v>
      </c>
      <c r="P321" s="6">
        <f t="shared" si="69"/>
        <v>1121436.8999999999</v>
      </c>
      <c r="Q321" s="4" t="str">
        <f>LOOKUP($E321,OBRAS!$D:$D,OBRAS!B:B)</f>
        <v>CONSTRUCTORA MIRAMAR, S.A. DE C.V.</v>
      </c>
      <c r="R321" s="4" t="str">
        <f>LOOKUP($E321,OBRAS!$D:$D,OBRAS!A:A)</f>
        <v>GUAYMAS</v>
      </c>
      <c r="S321" s="4" t="str">
        <f>LOOKUP($E321,OBRAS!$D:$D,OBRAS!F:F)</f>
        <v>11000002002202E401K04039A622032165DM10</v>
      </c>
      <c r="T321" s="4" t="str">
        <f>LOOKUP($E321,OBRAS!$D:$D,OBRAS!G:G)</f>
        <v>CE-926006995-E37-2016</v>
      </c>
      <c r="U321" s="4" t="s">
        <v>863</v>
      </c>
      <c r="V321" s="89">
        <v>42640</v>
      </c>
      <c r="W321" s="6">
        <f>LOOKUP($E321,OBRAS!$D:$D,OBRAS!K:K)</f>
        <v>34216706.5</v>
      </c>
      <c r="X321" s="109">
        <f t="shared" si="70"/>
        <v>4.7100000000000003E-2</v>
      </c>
      <c r="Y321" s="109">
        <f t="shared" si="71"/>
        <v>0.9748</v>
      </c>
      <c r="Z321" s="109">
        <f t="shared" si="72"/>
        <v>0.9819</v>
      </c>
      <c r="AA321" s="4" t="str">
        <f>LOOKUP($E321,OBRAS!$D:$D,OBRAS!H:H)</f>
        <v>SH-FAFEF-17-R-002</v>
      </c>
    </row>
    <row r="322" spans="1:27" ht="60" x14ac:dyDescent="0.25">
      <c r="B322" s="56">
        <v>2931</v>
      </c>
      <c r="C322" s="49">
        <v>320</v>
      </c>
      <c r="D322" s="4" t="str">
        <f>LOOKUP($E322,OBRAS!$D:$D,OBRAS!C:C)</f>
        <v>CONSERVACION Y RECONSTRUCCION DE CARRETERAS ALIMENTADORAS REGION GUAYMAS--EMPALME, TRAMO: AGUILITAS-BRINGAS DEL KM 0+000 AL KM 10+500</v>
      </c>
      <c r="E322" s="4" t="s">
        <v>566</v>
      </c>
      <c r="F322" s="4"/>
      <c r="G322" s="4" t="str">
        <f>LOOKUP($E322,OBRAS!$D:$D,OBRAS!E:E)</f>
        <v>C-00054/0058</v>
      </c>
      <c r="H322" s="80" t="s">
        <v>55</v>
      </c>
      <c r="I322" s="6">
        <v>2191643.2000000002</v>
      </c>
      <c r="J322" s="6"/>
      <c r="K322" s="6">
        <f t="shared" si="73"/>
        <v>657492.96</v>
      </c>
      <c r="L322" s="6">
        <f t="shared" si="66"/>
        <v>1534150.24</v>
      </c>
      <c r="M322" s="6">
        <f t="shared" si="67"/>
        <v>245464.04</v>
      </c>
      <c r="N322" s="6">
        <f t="shared" si="68"/>
        <v>1779614.28</v>
      </c>
      <c r="O322" s="6">
        <f t="shared" si="74"/>
        <v>10739.05</v>
      </c>
      <c r="P322" s="6">
        <f t="shared" si="69"/>
        <v>1768875.23</v>
      </c>
      <c r="Q322" s="4" t="str">
        <f>LOOKUP($E322,OBRAS!$D:$D,OBRAS!B:B)</f>
        <v>MAQUINARIA Y AGREGADOS GALA S.A. DE C.V.</v>
      </c>
      <c r="R322" s="4" t="str">
        <f>LOOKUP($E322,OBRAS!$D:$D,OBRAS!A:A)</f>
        <v>VARIOS</v>
      </c>
      <c r="S322" s="4" t="str">
        <f>LOOKUP($E322,OBRAS!$D:$D,OBRAS!F:F)</f>
        <v>11000002003501E204K08063A625012162A213</v>
      </c>
      <c r="T322" s="4" t="str">
        <f>LOOKUP($E322,OBRAS!$D:$D,OBRAS!G:G)</f>
        <v>CE-926006995-E22-2016</v>
      </c>
      <c r="U322" s="4" t="s">
        <v>863</v>
      </c>
      <c r="V322" s="89">
        <v>42643</v>
      </c>
      <c r="W322" s="6">
        <f>LOOKUP($E322,OBRAS!$D:$D,OBRAS!K:K)</f>
        <v>21349397.859999999</v>
      </c>
      <c r="X322" s="109">
        <f t="shared" si="70"/>
        <v>0.1191</v>
      </c>
      <c r="Y322" s="109">
        <f t="shared" si="71"/>
        <v>0.96679999999999999</v>
      </c>
      <c r="Z322" s="109">
        <f t="shared" si="72"/>
        <v>0.96679999999999999</v>
      </c>
      <c r="AA322" s="4" t="str">
        <f>LOOKUP($E322,OBRAS!$D:$D,OBRAS!H:H)</f>
        <v>SH-ED-17-R-013</v>
      </c>
    </row>
    <row r="323" spans="1:27" ht="75" x14ac:dyDescent="0.25">
      <c r="B323" s="56">
        <v>2932</v>
      </c>
      <c r="C323" s="49">
        <v>321</v>
      </c>
      <c r="D323" s="4" t="str">
        <f>LOOKUP($E323,OBRAS!$D:$D,OBRAS!C:C)</f>
        <v>CONSERVACION Y RECONSTRUCCION DE CARRETERAS ALIMENTADORAS REGION GUAYMAS-EMPALME, TRAMO: MI PATRIA ES PRIMERO DEL KM 0+000 AL 3+400 Y TRAMO BARCENAS-MAYTORENA, DEL KM 0+000 AL 3+400</v>
      </c>
      <c r="E323" s="4" t="s">
        <v>574</v>
      </c>
      <c r="F323" s="4" t="s">
        <v>401</v>
      </c>
      <c r="G323" s="4" t="str">
        <f>LOOKUP($E323,OBRAS!$D:$D,OBRAS!E:E)</f>
        <v>C-00054/0059</v>
      </c>
      <c r="H323" s="80" t="s">
        <v>221</v>
      </c>
      <c r="I323" s="6">
        <v>4020325.84</v>
      </c>
      <c r="J323" s="6"/>
      <c r="K323" s="6">
        <f t="shared" si="73"/>
        <v>1206097.75</v>
      </c>
      <c r="L323" s="6">
        <f t="shared" si="66"/>
        <v>2814228.09</v>
      </c>
      <c r="M323" s="6">
        <f t="shared" si="67"/>
        <v>450276.49</v>
      </c>
      <c r="N323" s="6">
        <f t="shared" si="68"/>
        <v>3264504.58</v>
      </c>
      <c r="O323" s="6">
        <f t="shared" si="74"/>
        <v>19699.599999999999</v>
      </c>
      <c r="P323" s="6">
        <f t="shared" si="69"/>
        <v>3244804.98</v>
      </c>
      <c r="Q323" s="4" t="str">
        <f>LOOKUP($E323,OBRAS!$D:$D,OBRAS!B:B)</f>
        <v>DESARROLLOS TIBURCIO, S.A. DE C.V.</v>
      </c>
      <c r="R323" s="4" t="str">
        <f>LOOKUP($E323,OBRAS!$D:$D,OBRAS!A:A)</f>
        <v>VARIOS</v>
      </c>
      <c r="S323" s="4" t="str">
        <f>LOOKUP($E323,OBRAS!$D:$D,OBRAS!F:F)</f>
        <v>11000002003501E204K08063A625012162A213</v>
      </c>
      <c r="T323" s="4" t="str">
        <f>LOOKUP($E323,OBRAS!$D:$D,OBRAS!G:G)</f>
        <v>CE-926006995-C23-2016</v>
      </c>
      <c r="U323" s="4" t="s">
        <v>863</v>
      </c>
      <c r="V323" s="89">
        <v>42635</v>
      </c>
      <c r="W323" s="6">
        <f>LOOKUP($E323,OBRAS!$D:$D,OBRAS!K:K)</f>
        <v>11799981.390000001</v>
      </c>
      <c r="X323" s="109">
        <f t="shared" si="70"/>
        <v>0.3952</v>
      </c>
      <c r="Y323" s="109">
        <f t="shared" si="71"/>
        <v>0.99529999999999996</v>
      </c>
      <c r="Z323" s="109">
        <f t="shared" si="72"/>
        <v>0.99670000000000003</v>
      </c>
      <c r="AA323" s="4" t="str">
        <f>LOOKUP($E323,OBRAS!$D:$D,OBRAS!H:H)</f>
        <v>SH-ED-17-R-013</v>
      </c>
    </row>
    <row r="324" spans="1:27" ht="30" x14ac:dyDescent="0.25">
      <c r="B324" s="56">
        <v>2933</v>
      </c>
      <c r="C324" s="49">
        <v>322</v>
      </c>
      <c r="D324" s="4" t="str">
        <f>LOOKUP($E324,OBRAS!$D:$D,OBRAS!C:C)</f>
        <v>CONSERVACION Y RECONSTRUCCION DEL TRAMO EL CRUCERO- VILLA HIDALGO (KM 0+000 AL 28+500)</v>
      </c>
      <c r="E324" s="4" t="s">
        <v>607</v>
      </c>
      <c r="F324" s="4"/>
      <c r="G324" s="4" t="str">
        <f>LOOKUP($E324,OBRAS!$D:$D,OBRAS!E:E)</f>
        <v>C-00054/0068</v>
      </c>
      <c r="H324" s="80" t="s">
        <v>103</v>
      </c>
      <c r="I324" s="6">
        <v>948391.93</v>
      </c>
      <c r="J324" s="6"/>
      <c r="K324" s="6">
        <f t="shared" si="73"/>
        <v>284517.58</v>
      </c>
      <c r="L324" s="6">
        <f t="shared" si="66"/>
        <v>663874.35</v>
      </c>
      <c r="M324" s="6">
        <f t="shared" si="67"/>
        <v>106219.9</v>
      </c>
      <c r="N324" s="6">
        <f t="shared" si="68"/>
        <v>770094.25</v>
      </c>
      <c r="O324" s="6">
        <f t="shared" si="74"/>
        <v>4647.12</v>
      </c>
      <c r="P324" s="6">
        <f t="shared" si="69"/>
        <v>765447.13</v>
      </c>
      <c r="Q324" s="4" t="str">
        <f>LOOKUP($E324,OBRAS!$D:$D,OBRAS!B:B)</f>
        <v>CONSTRUCTORA SAITE, S.A. DE C.V.</v>
      </c>
      <c r="R324" s="4" t="str">
        <f>LOOKUP($E324,OBRAS!$D:$D,OBRAS!A:A)</f>
        <v>VARIOS</v>
      </c>
      <c r="S324" s="4" t="str">
        <f>LOOKUP($E324,OBRAS!$D:$D,OBRAS!F:F)</f>
        <v>11000002003501E204K08063A625012162A213</v>
      </c>
      <c r="T324" s="4" t="str">
        <f>LOOKUP($E324,OBRAS!$D:$D,OBRAS!G:G)</f>
        <v>CE-926006995-E35-2016</v>
      </c>
      <c r="U324" s="92" t="s">
        <v>863</v>
      </c>
      <c r="V324" s="89">
        <v>42653</v>
      </c>
      <c r="W324" s="6">
        <f>LOOKUP($E324,OBRAS!$D:$D,OBRAS!K:K)</f>
        <v>27782320.260000002</v>
      </c>
      <c r="X324" s="109">
        <f t="shared" si="70"/>
        <v>3.9600000000000003E-2</v>
      </c>
      <c r="Y324" s="109">
        <f t="shared" si="71"/>
        <v>0.29220000000000002</v>
      </c>
      <c r="Z324" s="109">
        <f t="shared" si="72"/>
        <v>0.50460000000000005</v>
      </c>
      <c r="AA324" s="4" t="str">
        <f>LOOKUP($E324,OBRAS!$D:$D,OBRAS!H:H)</f>
        <v>SH-ED-17-R-013</v>
      </c>
    </row>
    <row r="325" spans="1:27" ht="30" x14ac:dyDescent="0.25">
      <c r="B325" s="56">
        <v>2934</v>
      </c>
      <c r="C325" s="49">
        <v>323</v>
      </c>
      <c r="D325" s="4" t="str">
        <f>LOOKUP($E325,OBRAS!$D:$D,OBRAS!C:C)</f>
        <v>CONSERVACION Y RECONSTRUCCION DEL TRAMO EL CRUCERO- VILLA HIDALGO (KM 0+000 AL 28+500)</v>
      </c>
      <c r="E325" s="4" t="s">
        <v>607</v>
      </c>
      <c r="F325" s="4"/>
      <c r="G325" s="4" t="str">
        <f>LOOKUP($E325,OBRAS!$D:$D,OBRAS!E:E)</f>
        <v>C-00054/0068</v>
      </c>
      <c r="H325" s="80" t="s">
        <v>221</v>
      </c>
      <c r="I325" s="6">
        <v>167388.39000000001</v>
      </c>
      <c r="J325" s="6"/>
      <c r="K325" s="6">
        <f t="shared" si="73"/>
        <v>50216.52</v>
      </c>
      <c r="L325" s="6">
        <f t="shared" si="66"/>
        <v>117171.87</v>
      </c>
      <c r="M325" s="6">
        <f t="shared" si="67"/>
        <v>18747.5</v>
      </c>
      <c r="N325" s="6">
        <f t="shared" si="68"/>
        <v>135919.37</v>
      </c>
      <c r="O325" s="6">
        <f t="shared" si="74"/>
        <v>820.22</v>
      </c>
      <c r="P325" s="6">
        <f t="shared" si="69"/>
        <v>135099.15</v>
      </c>
      <c r="Q325" s="4" t="str">
        <f>LOOKUP($E325,OBRAS!$D:$D,OBRAS!B:B)</f>
        <v>CONSTRUCTORA SAITE, S.A. DE C.V.</v>
      </c>
      <c r="R325" s="4" t="str">
        <f>LOOKUP($E325,OBRAS!$D:$D,OBRAS!A:A)</f>
        <v>VARIOS</v>
      </c>
      <c r="S325" s="4" t="str">
        <f>LOOKUP($E325,OBRAS!$D:$D,OBRAS!F:F)</f>
        <v>11000002003501E204K08063A625012162A213</v>
      </c>
      <c r="T325" s="4" t="str">
        <f>LOOKUP($E325,OBRAS!$D:$D,OBRAS!G:G)</f>
        <v>CE-926006995-E35-2016</v>
      </c>
      <c r="U325" s="92" t="s">
        <v>863</v>
      </c>
      <c r="V325" s="89">
        <v>42725</v>
      </c>
      <c r="W325" s="6">
        <f>LOOKUP($E325,OBRAS!$D:$D,OBRAS!K:K)</f>
        <v>27782320.260000002</v>
      </c>
      <c r="X325" s="109">
        <f t="shared" si="70"/>
        <v>7.0000000000000001E-3</v>
      </c>
      <c r="Y325" s="109">
        <f t="shared" si="71"/>
        <v>0.29220000000000002</v>
      </c>
      <c r="Z325" s="109">
        <f t="shared" si="72"/>
        <v>0.50460000000000005</v>
      </c>
      <c r="AA325" s="4" t="str">
        <f>LOOKUP($E325,OBRAS!$D:$D,OBRAS!H:H)</f>
        <v>SH-ED-17-R-013</v>
      </c>
    </row>
    <row r="326" spans="1:27" ht="45" x14ac:dyDescent="0.25">
      <c r="B326" s="56">
        <v>2935</v>
      </c>
      <c r="C326" s="49">
        <v>324</v>
      </c>
      <c r="D326" s="4" t="str">
        <f>LOOKUP($E326,OBRAS!$D:$D,OBRAS!C:C)</f>
        <v>CONSERVACION Y RECONSTRUCCION DEL TRAMO EL CRUCERO-GRANADOS DEL KM 0+000 AL KM 7+250</v>
      </c>
      <c r="E326" s="4" t="s">
        <v>593</v>
      </c>
      <c r="F326" s="4"/>
      <c r="G326" s="4" t="str">
        <f>LOOKUP($E326,OBRAS!$D:$D,OBRAS!E:E)</f>
        <v>C-00054/0067</v>
      </c>
      <c r="H326" s="80" t="s">
        <v>103</v>
      </c>
      <c r="I326" s="6">
        <v>6397.12</v>
      </c>
      <c r="J326" s="6"/>
      <c r="K326" s="6">
        <f t="shared" si="73"/>
        <v>1919.14</v>
      </c>
      <c r="L326" s="6">
        <f t="shared" si="66"/>
        <v>4477.9799999999996</v>
      </c>
      <c r="M326" s="6">
        <f t="shared" si="67"/>
        <v>716.48</v>
      </c>
      <c r="N326" s="6">
        <f t="shared" si="68"/>
        <v>5194.46</v>
      </c>
      <c r="O326" s="6">
        <f t="shared" si="74"/>
        <v>31.34</v>
      </c>
      <c r="P326" s="6">
        <f t="shared" si="69"/>
        <v>5163.12</v>
      </c>
      <c r="Q326" s="4" t="str">
        <f>LOOKUP($E326,OBRAS!$D:$D,OBRAS!B:B)</f>
        <v>CONOSON SA DE CV</v>
      </c>
      <c r="R326" s="4" t="str">
        <f>LOOKUP($E326,OBRAS!$D:$D,OBRAS!A:A)</f>
        <v>VARIOS</v>
      </c>
      <c r="S326" s="4" t="str">
        <f>LOOKUP($E326,OBRAS!$D:$D,OBRAS!F:F)</f>
        <v>11000002003501E204K08063A625012162A213</v>
      </c>
      <c r="T326" s="4" t="str">
        <f>LOOKUP($E326,OBRAS!$D:$D,OBRAS!G:G)</f>
        <v>CE-926006995-E36-2016</v>
      </c>
      <c r="U326" s="4" t="s">
        <v>863</v>
      </c>
      <c r="V326" s="89">
        <v>42632</v>
      </c>
      <c r="W326" s="6">
        <f>LOOKUP($E326,OBRAS!$D:$D,OBRAS!K:K)</f>
        <v>15890776.26</v>
      </c>
      <c r="X326" s="109">
        <f t="shared" si="70"/>
        <v>5.0000000000000001E-4</v>
      </c>
      <c r="Y326" s="109">
        <f t="shared" si="71"/>
        <v>0.61470000000000002</v>
      </c>
      <c r="Z326" s="109">
        <f t="shared" si="72"/>
        <v>0.73019999999999996</v>
      </c>
      <c r="AA326" s="4" t="str">
        <f>LOOKUP($E326,OBRAS!$D:$D,OBRAS!H:H)</f>
        <v>SH-ED-17-R-013</v>
      </c>
    </row>
    <row r="327" spans="1:27" ht="45" x14ac:dyDescent="0.25">
      <c r="B327" s="56">
        <v>2936</v>
      </c>
      <c r="C327" s="49">
        <v>325</v>
      </c>
      <c r="D327" s="4" t="str">
        <f>LOOKUP($E327,OBRAS!$D:$D,OBRAS!C:C)</f>
        <v>CONSERVACION Y RECONSTRUCCION DEL TRAMO EL CRUCERO-GRANADOS DEL KM 0+000 AL KM 7+250</v>
      </c>
      <c r="E327" s="4" t="s">
        <v>593</v>
      </c>
      <c r="F327" s="4"/>
      <c r="G327" s="4" t="str">
        <f>LOOKUP($E327,OBRAS!$D:$D,OBRAS!E:E)</f>
        <v>C-00054/0067</v>
      </c>
      <c r="H327" s="80" t="s">
        <v>221</v>
      </c>
      <c r="I327" s="6">
        <v>382139.4</v>
      </c>
      <c r="J327" s="6"/>
      <c r="K327" s="6">
        <f t="shared" si="73"/>
        <v>114641.82</v>
      </c>
      <c r="L327" s="6">
        <f t="shared" si="66"/>
        <v>267497.58</v>
      </c>
      <c r="M327" s="6">
        <f t="shared" si="67"/>
        <v>42799.61</v>
      </c>
      <c r="N327" s="6">
        <f t="shared" si="68"/>
        <v>310297.19</v>
      </c>
      <c r="O327" s="6">
        <f t="shared" si="74"/>
        <v>1872.48</v>
      </c>
      <c r="P327" s="6">
        <f t="shared" si="69"/>
        <v>308424.71000000002</v>
      </c>
      <c r="Q327" s="4" t="str">
        <f>LOOKUP($E327,OBRAS!$D:$D,OBRAS!B:B)</f>
        <v>CONOSON SA DE CV</v>
      </c>
      <c r="R327" s="4" t="str">
        <f>LOOKUP($E327,OBRAS!$D:$D,OBRAS!A:A)</f>
        <v>VARIOS</v>
      </c>
      <c r="S327" s="4" t="str">
        <f>LOOKUP($E327,OBRAS!$D:$D,OBRAS!F:F)</f>
        <v>11000002003501E204K08063A625012162A213</v>
      </c>
      <c r="T327" s="4" t="str">
        <f>LOOKUP($E327,OBRAS!$D:$D,OBRAS!G:G)</f>
        <v>CE-926006995-E36-2016</v>
      </c>
      <c r="U327" s="4" t="s">
        <v>863</v>
      </c>
      <c r="V327" s="89">
        <v>42632</v>
      </c>
      <c r="W327" s="6">
        <f>LOOKUP($E327,OBRAS!$D:$D,OBRAS!K:K)</f>
        <v>15890776.26</v>
      </c>
      <c r="X327" s="109">
        <f t="shared" si="70"/>
        <v>2.7900000000000001E-2</v>
      </c>
      <c r="Y327" s="109">
        <f t="shared" si="71"/>
        <v>0.61470000000000002</v>
      </c>
      <c r="Z327" s="109">
        <f t="shared" si="72"/>
        <v>0.73019999999999996</v>
      </c>
      <c r="AA327" s="4" t="str">
        <f>LOOKUP($E327,OBRAS!$D:$D,OBRAS!H:H)</f>
        <v>SH-ED-17-R-013</v>
      </c>
    </row>
    <row r="328" spans="1:27" ht="45" x14ac:dyDescent="0.25">
      <c r="B328" s="56">
        <v>2937</v>
      </c>
      <c r="C328" s="49">
        <v>326</v>
      </c>
      <c r="D328" s="4" t="str">
        <f>LOOKUP($E328,OBRAS!$D:$D,OBRAS!C:C)</f>
        <v>CONSERVACION Y RECONSTRUCCION DEL TRAMO EL CRUCERO-GRANADOS DEL KM 0+000 AL KM 7+250</v>
      </c>
      <c r="E328" s="4" t="s">
        <v>593</v>
      </c>
      <c r="F328" s="4"/>
      <c r="G328" s="4" t="str">
        <f>LOOKUP($E328,OBRAS!$D:$D,OBRAS!E:E)</f>
        <v>C-00054/0067</v>
      </c>
      <c r="H328" s="80" t="s">
        <v>55</v>
      </c>
      <c r="I328" s="6">
        <v>1104170.56</v>
      </c>
      <c r="J328" s="6"/>
      <c r="K328" s="6">
        <f t="shared" si="73"/>
        <v>331251.17</v>
      </c>
      <c r="L328" s="6">
        <f t="shared" si="66"/>
        <v>772919.39</v>
      </c>
      <c r="M328" s="6">
        <f t="shared" si="67"/>
        <v>123667.1</v>
      </c>
      <c r="N328" s="6">
        <f t="shared" si="68"/>
        <v>896586.49</v>
      </c>
      <c r="O328" s="6">
        <f t="shared" si="74"/>
        <v>5410.43</v>
      </c>
      <c r="P328" s="6">
        <f t="shared" si="69"/>
        <v>891176.06</v>
      </c>
      <c r="Q328" s="4" t="str">
        <f>LOOKUP($E328,OBRAS!$D:$D,OBRAS!B:B)</f>
        <v>CONOSON SA DE CV</v>
      </c>
      <c r="R328" s="4" t="str">
        <f>LOOKUP($E328,OBRAS!$D:$D,OBRAS!A:A)</f>
        <v>VARIOS</v>
      </c>
      <c r="S328" s="4" t="str">
        <f>LOOKUP($E328,OBRAS!$D:$D,OBRAS!F:F)</f>
        <v>11000002003501E204K08063A625012162A213</v>
      </c>
      <c r="T328" s="4" t="str">
        <f>LOOKUP($E328,OBRAS!$D:$D,OBRAS!G:G)</f>
        <v>CE-926006995-E36-2016</v>
      </c>
      <c r="U328" s="4" t="s">
        <v>863</v>
      </c>
      <c r="V328" s="89">
        <v>42632</v>
      </c>
      <c r="W328" s="6">
        <f>LOOKUP($E328,OBRAS!$D:$D,OBRAS!K:K)</f>
        <v>15890776.26</v>
      </c>
      <c r="X328" s="109">
        <f t="shared" si="70"/>
        <v>8.0600000000000005E-2</v>
      </c>
      <c r="Y328" s="109">
        <f t="shared" si="71"/>
        <v>0.61470000000000002</v>
      </c>
      <c r="Z328" s="109">
        <f t="shared" si="72"/>
        <v>0.73019999999999996</v>
      </c>
      <c r="AA328" s="4" t="str">
        <f>LOOKUP($E328,OBRAS!$D:$D,OBRAS!H:H)</f>
        <v>SH-ED-17-R-013</v>
      </c>
    </row>
    <row r="329" spans="1:27" ht="45" x14ac:dyDescent="0.25">
      <c r="B329" s="56">
        <v>2938</v>
      </c>
      <c r="C329" s="49">
        <v>327</v>
      </c>
      <c r="D329" s="4" t="str">
        <f>LOOKUP($E329,OBRAS!$D:$D,OBRAS!C:C)</f>
        <v>CONSERVACION Y RECONSTRUCCION DEL TRAMO MOCTEZUMA- EL CRUCERO (TRAMO KM 164+500 AL KM 210+750) EN LA REGION DE LA SIERRA.</v>
      </c>
      <c r="E329" s="4" t="s">
        <v>343</v>
      </c>
      <c r="F329" s="4"/>
      <c r="G329" s="4" t="str">
        <f>LOOKUP($E329,OBRAS!$D:$D,OBRAS!E:E)</f>
        <v>C-00054/0052</v>
      </c>
      <c r="H329" s="80" t="s">
        <v>215</v>
      </c>
      <c r="I329" s="6">
        <v>13691789.24</v>
      </c>
      <c r="J329" s="6"/>
      <c r="K329" s="6">
        <f t="shared" si="73"/>
        <v>4107536.77</v>
      </c>
      <c r="L329" s="6">
        <f t="shared" si="66"/>
        <v>9584252.4700000007</v>
      </c>
      <c r="M329" s="6">
        <f t="shared" si="67"/>
        <v>1533480.4</v>
      </c>
      <c r="N329" s="6">
        <f t="shared" si="68"/>
        <v>11117732.869999999</v>
      </c>
      <c r="O329" s="6">
        <f t="shared" si="74"/>
        <v>67089.78</v>
      </c>
      <c r="P329" s="6">
        <f t="shared" si="69"/>
        <v>11050643.09</v>
      </c>
      <c r="Q329" s="4" t="str">
        <f>LOOKUP($E329,OBRAS!$D:$D,OBRAS!B:B)</f>
        <v>LA AZTECA CONSTRUCCIONES Y URBANIZACIONES, S.A. DE C.V.</v>
      </c>
      <c r="R329" s="4" t="str">
        <f>LOOKUP($E329,OBRAS!$D:$D,OBRAS!A:A)</f>
        <v>VARIOS</v>
      </c>
      <c r="S329" s="4" t="str">
        <f>LOOKUP($E329,OBRAS!$D:$D,OBRAS!F:F)</f>
        <v>11000002003501E204K08063A625012162A213</v>
      </c>
      <c r="T329" s="4" t="str">
        <f>LOOKUP($E329,OBRAS!$D:$D,OBRAS!G:G)</f>
        <v>CE-926006995-E16-2016</v>
      </c>
      <c r="U329" s="4" t="s">
        <v>863</v>
      </c>
      <c r="V329" s="89">
        <v>42643</v>
      </c>
      <c r="W329" s="6">
        <f>LOOKUP($E329,OBRAS!$D:$D,OBRAS!K:K)</f>
        <v>60543852.310000002</v>
      </c>
      <c r="X329" s="109">
        <f t="shared" si="70"/>
        <v>0.26229999999999998</v>
      </c>
      <c r="Y329" s="109">
        <f t="shared" si="71"/>
        <v>1</v>
      </c>
      <c r="Z329" s="109">
        <f t="shared" si="72"/>
        <v>1</v>
      </c>
      <c r="AA329" s="4" t="str">
        <f>LOOKUP($E329,OBRAS!$D:$D,OBRAS!H:H)</f>
        <v>SH-ED-17-R-013</v>
      </c>
    </row>
    <row r="330" spans="1:27" ht="60" x14ac:dyDescent="0.25">
      <c r="B330" s="56">
        <v>2939</v>
      </c>
      <c r="C330" s="49">
        <v>328</v>
      </c>
      <c r="D330" s="4" t="str">
        <f>LOOKUP($E330,OBRAS!$D:$D,OBRAS!C:C)</f>
        <v>CONSERVACION Y RECONSTRUCCION DE CARRETERAS ALIMENTADORAS REGION GUAYMAS-EMPALME, TRAMO: E.C. (PROVIDENCIA-ORTIZ)-LA MISA</v>
      </c>
      <c r="E330" s="4" t="s">
        <v>582</v>
      </c>
      <c r="F330" s="4" t="s">
        <v>401</v>
      </c>
      <c r="G330" s="4" t="str">
        <f>LOOKUP($E330,OBRAS!$D:$D,OBRAS!E:E)</f>
        <v>C-00054/0065</v>
      </c>
      <c r="H330" s="80" t="s">
        <v>221</v>
      </c>
      <c r="I330" s="6">
        <v>1806705.55</v>
      </c>
      <c r="J330" s="6"/>
      <c r="K330" s="6">
        <f t="shared" si="73"/>
        <v>542011.67000000004</v>
      </c>
      <c r="L330" s="6">
        <f t="shared" si="66"/>
        <v>1264693.8799999999</v>
      </c>
      <c r="M330" s="6">
        <f t="shared" si="67"/>
        <v>202351.02</v>
      </c>
      <c r="N330" s="6">
        <f t="shared" si="68"/>
        <v>1467044.9</v>
      </c>
      <c r="O330" s="6">
        <f t="shared" si="74"/>
        <v>8852.85</v>
      </c>
      <c r="P330" s="6">
        <f t="shared" si="69"/>
        <v>1458192.05</v>
      </c>
      <c r="Q330" s="4" t="str">
        <f>LOOKUP($E330,OBRAS!$D:$D,OBRAS!B:B)</f>
        <v>GILA MINAS Y DESARROLLOS SA DE CV</v>
      </c>
      <c r="R330" s="4" t="str">
        <f>LOOKUP($E330,OBRAS!$D:$D,OBRAS!A:A)</f>
        <v>VARIOS</v>
      </c>
      <c r="S330" s="4" t="str">
        <f>LOOKUP($E330,OBRAS!$D:$D,OBRAS!F:F)</f>
        <v>11000002003501E204K08063A625012162213</v>
      </c>
      <c r="T330" s="4" t="str">
        <f>LOOKUP($E330,OBRAS!$D:$D,OBRAS!G:G)</f>
        <v>CE-926006995-E29-2016</v>
      </c>
      <c r="U330" s="4" t="s">
        <v>863</v>
      </c>
      <c r="V330" s="89">
        <v>42643</v>
      </c>
      <c r="W330" s="6">
        <f>LOOKUP($E330,OBRAS!$D:$D,OBRAS!K:K)</f>
        <v>31555491.960000001</v>
      </c>
      <c r="X330" s="109">
        <f t="shared" si="70"/>
        <v>6.6400000000000001E-2</v>
      </c>
      <c r="Y330" s="109">
        <f t="shared" si="71"/>
        <v>0.9194</v>
      </c>
      <c r="Z330" s="109">
        <f t="shared" si="72"/>
        <v>0.9194</v>
      </c>
      <c r="AA330" s="4" t="str">
        <f>LOOKUP($E330,OBRAS!$D:$D,OBRAS!H:H)</f>
        <v>SH-ED-17-R-013</v>
      </c>
    </row>
    <row r="331" spans="1:27" ht="30" x14ac:dyDescent="0.25">
      <c r="B331" s="56">
        <v>2941</v>
      </c>
      <c r="C331" s="49">
        <v>329</v>
      </c>
      <c r="D331" s="4" t="str">
        <f>LOOKUP($E331,OBRAS!$D:$D,OBRAS!C:C)</f>
        <v>RECONSTRUCCION DEL CAMINO CALLE 1900</v>
      </c>
      <c r="E331" s="4" t="s">
        <v>546</v>
      </c>
      <c r="F331" s="4"/>
      <c r="G331" s="4" t="str">
        <f>LOOKUP($E331,OBRAS!$D:$D,OBRAS!E:E)</f>
        <v>C-00054/0027</v>
      </c>
      <c r="H331" s="80" t="s">
        <v>103</v>
      </c>
      <c r="I331" s="6">
        <v>2653013.0699999998</v>
      </c>
      <c r="J331" s="6"/>
      <c r="K331" s="6">
        <f t="shared" si="73"/>
        <v>795903.92</v>
      </c>
      <c r="L331" s="6">
        <f t="shared" si="66"/>
        <v>1857109.15</v>
      </c>
      <c r="M331" s="6">
        <f t="shared" si="67"/>
        <v>297137.46000000002</v>
      </c>
      <c r="N331" s="6">
        <f t="shared" si="68"/>
        <v>2154246.61</v>
      </c>
      <c r="O331" s="6">
        <f t="shared" si="74"/>
        <v>12999.76</v>
      </c>
      <c r="P331" s="6">
        <f t="shared" si="69"/>
        <v>2141246.85</v>
      </c>
      <c r="Q331" s="4" t="str">
        <f>LOOKUP($E331,OBRAS!$D:$D,OBRAS!B:B)</f>
        <v>NA CONSTRUCCIONES DEL PACIFICO, S.A. DE C.V.</v>
      </c>
      <c r="R331" s="4" t="str">
        <f>LOOKUP($E331,OBRAS!$D:$D,OBRAS!A:A)</f>
        <v>CAJEME</v>
      </c>
      <c r="S331" s="4" t="str">
        <f>LOOKUP($E331,OBRAS!$D:$D,OBRAS!F:F)</f>
        <v>11000002003501E204K08063A625012162A211</v>
      </c>
      <c r="T331" s="4" t="str">
        <f>LOOKUP($E331,OBRAS!$D:$D,OBRAS!G:G)</f>
        <v>CE-926006995-E14-2016</v>
      </c>
      <c r="U331" s="4" t="s">
        <v>863</v>
      </c>
      <c r="V331" s="89">
        <v>42653</v>
      </c>
      <c r="W331" s="6">
        <f>LOOKUP($E331,OBRAS!$D:$D,OBRAS!K:K)</f>
        <v>24701108.239999998</v>
      </c>
      <c r="X331" s="109">
        <f t="shared" si="70"/>
        <v>0.1246</v>
      </c>
      <c r="Y331" s="109">
        <f t="shared" si="71"/>
        <v>1</v>
      </c>
      <c r="Z331" s="109">
        <f t="shared" si="72"/>
        <v>1</v>
      </c>
      <c r="AA331" s="4" t="str">
        <f>LOOKUP($E331,OBRAS!$D:$D,OBRAS!H:H)</f>
        <v>SH-ED-17-R-013</v>
      </c>
    </row>
    <row r="332" spans="1:27" ht="30" x14ac:dyDescent="0.25">
      <c r="B332" s="56">
        <v>2942</v>
      </c>
      <c r="C332" s="49">
        <v>330</v>
      </c>
      <c r="D332" s="4" t="str">
        <f>LOOKUP($E332,OBRAS!$D:$D,OBRAS!C:C)</f>
        <v>RECONSTRUCCION DEL CAMINO CALLE 1900</v>
      </c>
      <c r="E332" s="4" t="s">
        <v>546</v>
      </c>
      <c r="F332" s="4"/>
      <c r="G332" s="4" t="str">
        <f>LOOKUP($E332,OBRAS!$D:$D,OBRAS!E:E)</f>
        <v>C-00054/0027</v>
      </c>
      <c r="H332" s="80" t="s">
        <v>221</v>
      </c>
      <c r="I332" s="6">
        <v>780910.38</v>
      </c>
      <c r="J332" s="6"/>
      <c r="K332" s="6">
        <v>234273.12</v>
      </c>
      <c r="L332" s="6">
        <f t="shared" si="66"/>
        <v>546637.26</v>
      </c>
      <c r="M332" s="6">
        <f t="shared" si="67"/>
        <v>87461.96</v>
      </c>
      <c r="N332" s="6">
        <f t="shared" si="68"/>
        <v>634099.22</v>
      </c>
      <c r="O332" s="6">
        <f t="shared" si="74"/>
        <v>3826.45</v>
      </c>
      <c r="P332" s="6">
        <f t="shared" si="69"/>
        <v>630272.77</v>
      </c>
      <c r="Q332" s="4" t="str">
        <f>LOOKUP($E332,OBRAS!$D:$D,OBRAS!B:B)</f>
        <v>NA CONSTRUCCIONES DEL PACIFICO, S.A. DE C.V.</v>
      </c>
      <c r="R332" s="4" t="str">
        <f>LOOKUP($E332,OBRAS!$D:$D,OBRAS!A:A)</f>
        <v>CAJEME</v>
      </c>
      <c r="S332" s="4" t="str">
        <f>LOOKUP($E332,OBRAS!$D:$D,OBRAS!F:F)</f>
        <v>11000002003501E204K08063A625012162A211</v>
      </c>
      <c r="T332" s="4" t="str">
        <f>LOOKUP($E332,OBRAS!$D:$D,OBRAS!G:G)</f>
        <v>CE-926006995-E14-2016</v>
      </c>
      <c r="U332" s="4" t="s">
        <v>863</v>
      </c>
      <c r="V332" s="89">
        <v>42653</v>
      </c>
      <c r="W332" s="6">
        <f>LOOKUP($E332,OBRAS!$D:$D,OBRAS!K:K)</f>
        <v>24701108.239999998</v>
      </c>
      <c r="X332" s="109">
        <f t="shared" si="70"/>
        <v>3.6700000000000003E-2</v>
      </c>
      <c r="Y332" s="109">
        <f t="shared" si="71"/>
        <v>1</v>
      </c>
      <c r="Z332" s="109">
        <f t="shared" si="72"/>
        <v>1</v>
      </c>
      <c r="AA332" s="4" t="str">
        <f>LOOKUP($E332,OBRAS!$D:$D,OBRAS!H:H)</f>
        <v>SH-ED-17-R-013</v>
      </c>
    </row>
    <row r="333" spans="1:27" ht="30" x14ac:dyDescent="0.25">
      <c r="A333" s="90">
        <v>42635</v>
      </c>
      <c r="B333" s="56">
        <v>3807</v>
      </c>
      <c r="C333" s="49">
        <v>331</v>
      </c>
      <c r="D333" s="4" t="str">
        <f>LOOKUP($E333,OBRAS!$D:$D,OBRAS!C:C)</f>
        <v>MODERNIZACION Y RECONSTRUCCION DEL TRAMO ETCHOJOA-BACOBAMPO</v>
      </c>
      <c r="E333" s="4" t="s">
        <v>542</v>
      </c>
      <c r="F333" s="4" t="s">
        <v>224</v>
      </c>
      <c r="G333" s="4" t="str">
        <f>LOOKUP($E333,OBRAS!$D:$D,OBRAS!E:E)</f>
        <v>C-00054/0054</v>
      </c>
      <c r="H333" s="80" t="s">
        <v>103</v>
      </c>
      <c r="I333" s="6">
        <v>31237.3</v>
      </c>
      <c r="J333" s="6"/>
      <c r="K333" s="6">
        <f>ROUND(I333*0.3,2)</f>
        <v>9371.19</v>
      </c>
      <c r="L333" s="6">
        <f t="shared" si="66"/>
        <v>21866.11</v>
      </c>
      <c r="M333" s="6">
        <f t="shared" si="67"/>
        <v>3498.58</v>
      </c>
      <c r="N333" s="6">
        <f t="shared" si="68"/>
        <v>25364.69</v>
      </c>
      <c r="O333" s="6">
        <f t="shared" si="74"/>
        <v>153.05000000000001</v>
      </c>
      <c r="P333" s="6">
        <f t="shared" si="69"/>
        <v>25211.64</v>
      </c>
      <c r="Q333" s="4" t="str">
        <f>LOOKUP($E333,OBRAS!$D:$D,OBRAS!B:B)</f>
        <v>EDIFICACIONES BOZA S.A. DE C.V.</v>
      </c>
      <c r="R333" s="4" t="str">
        <f>LOOKUP($E333,OBRAS!$D:$D,OBRAS!A:A)</f>
        <v>ETCHOJOA</v>
      </c>
      <c r="S333" s="4" t="str">
        <f>LOOKUP($E333,OBRAS!$D:$D,OBRAS!F:F)</f>
        <v>11000002003501E204K08063A625012162A212</v>
      </c>
      <c r="T333" s="4" t="str">
        <f>LOOKUP($E333,OBRAS!$D:$D,OBRAS!G:G)</f>
        <v>CE-926006995-E18-2016</v>
      </c>
      <c r="U333" s="4" t="s">
        <v>863</v>
      </c>
      <c r="V333" s="89">
        <v>42653</v>
      </c>
      <c r="W333" s="6">
        <f>LOOKUP($E333,OBRAS!$D:$D,OBRAS!K:K)</f>
        <v>63672479.109999999</v>
      </c>
      <c r="X333" s="109">
        <f t="shared" si="70"/>
        <v>5.9999999999999995E-4</v>
      </c>
      <c r="Y333" s="109">
        <f t="shared" si="71"/>
        <v>0.95409999999999995</v>
      </c>
      <c r="Z333" s="109">
        <f t="shared" si="72"/>
        <v>0.96489999999999998</v>
      </c>
      <c r="AA333" s="4" t="str">
        <f>LOOKUP($E333,OBRAS!$D:$D,OBRAS!H:H)</f>
        <v>SH-ED-17-R-004</v>
      </c>
    </row>
    <row r="334" spans="1:27" ht="30" x14ac:dyDescent="0.25">
      <c r="A334" s="90">
        <v>42635</v>
      </c>
      <c r="B334" s="56">
        <v>3808</v>
      </c>
      <c r="C334" s="49">
        <v>332</v>
      </c>
      <c r="D334" s="4" t="str">
        <f>LOOKUP($E334,OBRAS!$D:$D,OBRAS!C:C)</f>
        <v>MODERNIZACION Y RECONSTRUCCION DEL TRAMO ETCHOJOA-BACOBAMPO</v>
      </c>
      <c r="E334" s="4" t="s">
        <v>542</v>
      </c>
      <c r="F334" s="4" t="s">
        <v>224</v>
      </c>
      <c r="G334" s="4" t="str">
        <f>LOOKUP($E334,OBRAS!$D:$D,OBRAS!E:E)</f>
        <v>C-00054/0054</v>
      </c>
      <c r="H334" s="80" t="s">
        <v>221</v>
      </c>
      <c r="I334" s="6">
        <v>2232022.88</v>
      </c>
      <c r="J334" s="6"/>
      <c r="K334" s="6">
        <f>ROUND(I334*0.3,2)</f>
        <v>669606.86</v>
      </c>
      <c r="L334" s="6">
        <f t="shared" si="66"/>
        <v>1562416.02</v>
      </c>
      <c r="M334" s="6">
        <f t="shared" si="67"/>
        <v>249986.56</v>
      </c>
      <c r="N334" s="6">
        <f t="shared" si="68"/>
        <v>1812402.58</v>
      </c>
      <c r="O334" s="6">
        <f t="shared" si="74"/>
        <v>10936.93</v>
      </c>
      <c r="P334" s="6">
        <f t="shared" si="69"/>
        <v>1801465.65</v>
      </c>
      <c r="Q334" s="4" t="str">
        <f>LOOKUP($E334,OBRAS!$D:$D,OBRAS!B:B)</f>
        <v>EDIFICACIONES BOZA S.A. DE C.V.</v>
      </c>
      <c r="R334" s="4" t="str">
        <f>LOOKUP($E334,OBRAS!$D:$D,OBRAS!A:A)</f>
        <v>ETCHOJOA</v>
      </c>
      <c r="S334" s="4" t="str">
        <f>LOOKUP($E334,OBRAS!$D:$D,OBRAS!F:F)</f>
        <v>11000002003501E204K08063A625012162A212</v>
      </c>
      <c r="T334" s="4" t="str">
        <f>LOOKUP($E334,OBRAS!$D:$D,OBRAS!G:G)</f>
        <v>CE-926006995-E18-2016</v>
      </c>
      <c r="U334" s="4" t="s">
        <v>863</v>
      </c>
      <c r="V334" s="89">
        <v>42653</v>
      </c>
      <c r="W334" s="6">
        <f>LOOKUP($E334,OBRAS!$D:$D,OBRAS!K:K)</f>
        <v>63672479.109999999</v>
      </c>
      <c r="X334" s="109">
        <f t="shared" si="70"/>
        <v>4.07E-2</v>
      </c>
      <c r="Y334" s="109">
        <f t="shared" si="71"/>
        <v>0.95409999999999995</v>
      </c>
      <c r="Z334" s="109">
        <f t="shared" si="72"/>
        <v>0.96489999999999998</v>
      </c>
      <c r="AA334" s="4" t="str">
        <f>LOOKUP($E334,OBRAS!$D:$D,OBRAS!H:H)</f>
        <v>SH-ED-17-R-004</v>
      </c>
    </row>
    <row r="335" spans="1:27" ht="30" x14ac:dyDescent="0.25">
      <c r="A335" s="90">
        <v>42643</v>
      </c>
      <c r="B335" s="56">
        <v>3397</v>
      </c>
      <c r="C335" s="55">
        <v>333</v>
      </c>
      <c r="D335" s="4" t="str">
        <f>LOOKUP($E335,OBRAS!$D:$D,OBRAS!C:C)</f>
        <v>MODERNIZACION Y RECONSTRUCCION DEL TRAMO ETCHOJOA-BACOBAMPO</v>
      </c>
      <c r="E335" s="4" t="s">
        <v>542</v>
      </c>
      <c r="F335" s="4" t="s">
        <v>224</v>
      </c>
      <c r="G335" s="4" t="str">
        <f>LOOKUP($E335,OBRAS!$D:$D,OBRAS!E:E)</f>
        <v>C-00054/0054</v>
      </c>
      <c r="H335" s="80" t="s">
        <v>55</v>
      </c>
      <c r="I335" s="6">
        <v>2220810.94</v>
      </c>
      <c r="J335" s="6"/>
      <c r="K335" s="6">
        <v>832454.5</v>
      </c>
      <c r="L335" s="6">
        <f t="shared" si="66"/>
        <v>1388356.44</v>
      </c>
      <c r="M335" s="6">
        <f t="shared" si="67"/>
        <v>222137.03</v>
      </c>
      <c r="N335" s="6">
        <f t="shared" si="68"/>
        <v>1610493.47</v>
      </c>
      <c r="O335" s="6">
        <f t="shared" si="74"/>
        <v>10881.96</v>
      </c>
      <c r="P335" s="6">
        <f t="shared" si="69"/>
        <v>1599611.51</v>
      </c>
      <c r="Q335" s="4" t="str">
        <f>LOOKUP($E335,OBRAS!$D:$D,OBRAS!B:B)</f>
        <v>EDIFICACIONES BOZA S.A. DE C.V.</v>
      </c>
      <c r="R335" s="4" t="str">
        <f>LOOKUP($E335,OBRAS!$D:$D,OBRAS!A:A)</f>
        <v>ETCHOJOA</v>
      </c>
      <c r="S335" s="4" t="str">
        <f>LOOKUP($E335,OBRAS!$D:$D,OBRAS!F:F)</f>
        <v>11000002003501E204K08063A625012162A212</v>
      </c>
      <c r="T335" s="4" t="str">
        <f>LOOKUP($E335,OBRAS!$D:$D,OBRAS!G:G)</f>
        <v>CE-926006995-E18-2016</v>
      </c>
      <c r="U335" s="4" t="s">
        <v>863</v>
      </c>
      <c r="V335" s="89">
        <v>42671</v>
      </c>
      <c r="W335" s="6">
        <f>LOOKUP($E335,OBRAS!$D:$D,OBRAS!K:K)</f>
        <v>63672479.109999999</v>
      </c>
      <c r="X335" s="109">
        <f t="shared" si="70"/>
        <v>4.0500000000000001E-2</v>
      </c>
      <c r="Y335" s="109">
        <f t="shared" si="71"/>
        <v>0.95409999999999995</v>
      </c>
      <c r="Z335" s="109">
        <f t="shared" si="72"/>
        <v>0.96489999999999998</v>
      </c>
      <c r="AA335" s="4" t="str">
        <f>LOOKUP($E335,OBRAS!$D:$D,OBRAS!H:H)</f>
        <v>SH-ED-17-R-004</v>
      </c>
    </row>
    <row r="336" spans="1:27" ht="45" x14ac:dyDescent="0.25">
      <c r="A336" s="90">
        <v>42605</v>
      </c>
      <c r="B336" s="56">
        <v>3190</v>
      </c>
      <c r="C336" s="49">
        <v>334</v>
      </c>
      <c r="D336" s="4" t="str">
        <f>LOOKUP($E336,OBRAS!$D:$D,OBRAS!C:C)</f>
        <v>RECONSTRUCCIÓN DEL CAMINO CALLE 16 EN VARIAS LOCALIDADES DEL MUNICIPIO DE CAJEME, SONORA.</v>
      </c>
      <c r="E336" s="4" t="s">
        <v>394</v>
      </c>
      <c r="F336" s="4" t="s">
        <v>401</v>
      </c>
      <c r="G336" s="4" t="str">
        <f>LOOKUP($E336,OBRAS!$D:$D,OBRAS!E:E)</f>
        <v>C-00054/0021</v>
      </c>
      <c r="H336" s="80" t="s">
        <v>215</v>
      </c>
      <c r="I336" s="6">
        <v>1739846.51</v>
      </c>
      <c r="J336" s="6"/>
      <c r="K336" s="6">
        <f>ROUND(I336*0.3,2)</f>
        <v>521953.95</v>
      </c>
      <c r="L336" s="6">
        <f t="shared" si="66"/>
        <v>1217892.56</v>
      </c>
      <c r="M336" s="6">
        <f t="shared" si="67"/>
        <v>194862.81</v>
      </c>
      <c r="N336" s="6">
        <f t="shared" si="68"/>
        <v>1412755.37</v>
      </c>
      <c r="O336" s="6">
        <f t="shared" si="74"/>
        <v>8525.23</v>
      </c>
      <c r="P336" s="6">
        <f t="shared" si="69"/>
        <v>1404230.14</v>
      </c>
      <c r="Q336" s="4" t="str">
        <f>LOOKUP($E336,OBRAS!$D:$D,OBRAS!B:B)</f>
        <v>TEKTON INGENIERIA, S.A. DE C.V.</v>
      </c>
      <c r="R336" s="4" t="str">
        <f>LOOKUP($E336,OBRAS!$D:$D,OBRAS!A:A)</f>
        <v>CAJEME</v>
      </c>
      <c r="S336" s="4" t="str">
        <f>LOOKUP($E336,OBRAS!$D:$D,OBRAS!F:F)</f>
        <v>11000002003501E203K03203A625012162A211</v>
      </c>
      <c r="T336" s="4" t="str">
        <f>LOOKUP($E336,OBRAS!$D:$D,OBRAS!G:G)</f>
        <v>CE-926006995-E3-2016</v>
      </c>
      <c r="U336" s="4" t="s">
        <v>863</v>
      </c>
      <c r="V336" s="89">
        <v>42643</v>
      </c>
      <c r="W336" s="6">
        <f>LOOKUP($E336,OBRAS!$D:$D,OBRAS!K:K)</f>
        <v>26465400</v>
      </c>
      <c r="X336" s="109">
        <f t="shared" si="70"/>
        <v>7.6300000000000007E-2</v>
      </c>
      <c r="Y336" s="109">
        <f t="shared" si="71"/>
        <v>1</v>
      </c>
      <c r="Z336" s="109">
        <f t="shared" si="72"/>
        <v>1</v>
      </c>
      <c r="AA336" s="4" t="str">
        <f>LOOKUP($E336,OBRAS!$D:$D,OBRAS!H:H)</f>
        <v>SH-ED-17-R-013</v>
      </c>
    </row>
    <row r="337" spans="1:27" ht="60" x14ac:dyDescent="0.25">
      <c r="A337" s="90">
        <v>42598</v>
      </c>
      <c r="B337" s="56">
        <v>2996</v>
      </c>
      <c r="C337" s="49">
        <v>335</v>
      </c>
      <c r="D337" s="4" t="str">
        <f>LOOKUP($E337,OBRAS!$D:$D,OBRAS!C:C)</f>
        <v>SUPERVISION EXTERNA Y CONTROL DE CALIDAD DE LA REHABILITACION DE EDIFICIO PARA ALBERGAR JUZGADO DE ORALIDAD PENAL DEL DISTRITO JUDICIAL CON SEDE EN HERMOSILLO, 2DA ETAPA</v>
      </c>
      <c r="E337" s="4" t="s">
        <v>471</v>
      </c>
      <c r="F337" s="4"/>
      <c r="G337" s="4" t="str">
        <f>LOOKUP($E337,OBRAS!$D:$D,OBRAS!E:E)</f>
        <v>C-00098/0016-5</v>
      </c>
      <c r="H337" s="80" t="s">
        <v>103</v>
      </c>
      <c r="I337" s="6">
        <v>17945.79</v>
      </c>
      <c r="J337" s="6"/>
      <c r="K337" s="6"/>
      <c r="L337" s="6">
        <f t="shared" si="66"/>
        <v>17945.79</v>
      </c>
      <c r="M337" s="6">
        <f t="shared" si="67"/>
        <v>2871.33</v>
      </c>
      <c r="N337" s="6">
        <f t="shared" si="68"/>
        <v>20817.12</v>
      </c>
      <c r="O337" s="6">
        <f>+ROUND(I337*0.002,2)+ROUND(I337*0.0003,2)+ROUND(I337*0.0003,2)+ROUND(I337*0.0003,2)</f>
        <v>52.03</v>
      </c>
      <c r="P337" s="6">
        <f t="shared" si="69"/>
        <v>20765.09</v>
      </c>
      <c r="Q337" s="4" t="str">
        <f>LOOKUP($E337,OBRAS!$D:$D,OBRAS!B:B)</f>
        <v>GYS CONSTRUCTORES S.A. DE C.V.</v>
      </c>
      <c r="R337" s="4" t="str">
        <f>LOOKUP($E337,OBRAS!$D:$D,OBRAS!A:A)</f>
        <v>HERMOSILLO</v>
      </c>
      <c r="S337" s="4" t="str">
        <f>LOOKUP($E337,OBRAS!$D:$D,OBRAS!F:F)</f>
        <v>11000002002207E201K02104A622212161A013</v>
      </c>
      <c r="T337" s="4" t="str">
        <f>LOOKUP($E337,OBRAS!$D:$D,OBRAS!G:G)</f>
        <v>ADJUDICACIÓN DIRECTA</v>
      </c>
      <c r="U337" s="4" t="s">
        <v>863</v>
      </c>
      <c r="V337" s="89">
        <v>42605</v>
      </c>
      <c r="W337" s="6">
        <f>LOOKUP($E337,OBRAS!$D:$D,OBRAS!K:K)</f>
        <v>70967.48</v>
      </c>
      <c r="X337" s="109">
        <f t="shared" si="70"/>
        <v>0.29330000000000001</v>
      </c>
      <c r="Y337" s="109">
        <f t="shared" si="71"/>
        <v>1</v>
      </c>
      <c r="Z337" s="109">
        <f t="shared" si="72"/>
        <v>1</v>
      </c>
      <c r="AA337" s="4" t="str">
        <f>LOOKUP($E337,OBRAS!$D:$D,OBRAS!H:H)</f>
        <v>SH-ED-16-011</v>
      </c>
    </row>
    <row r="338" spans="1:27" ht="45" x14ac:dyDescent="0.25">
      <c r="A338" s="90">
        <v>42598</v>
      </c>
      <c r="B338" s="56">
        <v>2997</v>
      </c>
      <c r="C338" s="49">
        <v>336</v>
      </c>
      <c r="D338" s="4" t="str">
        <f>LOOKUP($E338,OBRAS!$D:$D,OBRAS!C:C)</f>
        <v>SUPERVISION EXTERNA Y CONTROL DE CALIDAD DE LAS OBRAS DE REHABILITACION DEL DELFINARIO SONORA (PRIMERA ETAPA)</v>
      </c>
      <c r="E338" s="4" t="s">
        <v>480</v>
      </c>
      <c r="F338" s="4"/>
      <c r="G338" s="4" t="str">
        <f>LOOKUP($E338,OBRAS!$D:$D,OBRAS!E:E)</f>
        <v>C-00098/0035</v>
      </c>
      <c r="H338" s="80" t="s">
        <v>103</v>
      </c>
      <c r="I338" s="6">
        <v>276704.71000000002</v>
      </c>
      <c r="J338" s="6"/>
      <c r="K338" s="6">
        <f>ROUND(I338*0.1,2)</f>
        <v>27670.47</v>
      </c>
      <c r="L338" s="6">
        <f t="shared" si="66"/>
        <v>249034.23999999999</v>
      </c>
      <c r="M338" s="6">
        <f t="shared" si="67"/>
        <v>39845.480000000003</v>
      </c>
      <c r="N338" s="6">
        <f t="shared" si="68"/>
        <v>288879.71999999997</v>
      </c>
      <c r="O338" s="6">
        <f>+ROUND(I338*0.002,2)+ROUND(I338*0.0003,2)+ROUND(I338*0.0003,2)+ROUND(I338*0.0003,2)</f>
        <v>802.44</v>
      </c>
      <c r="P338" s="6">
        <f t="shared" si="69"/>
        <v>288077.28000000003</v>
      </c>
      <c r="Q338" s="4" t="str">
        <f>LOOKUP($E338,OBRAS!$D:$D,OBRAS!B:B)</f>
        <v>ING. DANIEL ACEVEDO ESMERIO</v>
      </c>
      <c r="R338" s="4" t="str">
        <f>LOOKUP($E338,OBRAS!$D:$D,OBRAS!A:A)</f>
        <v>GUAYMAS</v>
      </c>
      <c r="S338" s="4" t="str">
        <f>LOOKUP($E338,OBRAS!$D:$D,OBRAS!F:F)</f>
        <v>11000002002207E202K05200A62222161A013</v>
      </c>
      <c r="T338" s="4" t="str">
        <f>LOOKUP($E338,OBRAS!$D:$D,OBRAS!G:G)</f>
        <v>CE-926006995-E57-2016</v>
      </c>
      <c r="U338" s="4" t="s">
        <v>863</v>
      </c>
      <c r="V338" s="89">
        <v>42662</v>
      </c>
      <c r="W338" s="6">
        <f>LOOKUP($E338,OBRAS!$D:$D,OBRAS!K:K)</f>
        <v>1367299.18</v>
      </c>
      <c r="X338" s="109">
        <f t="shared" si="70"/>
        <v>0.23480000000000001</v>
      </c>
      <c r="Y338" s="109">
        <f t="shared" si="71"/>
        <v>0.91549999999999998</v>
      </c>
      <c r="Z338" s="109">
        <f t="shared" si="72"/>
        <v>0.92390000000000005</v>
      </c>
      <c r="AA338" s="4" t="str">
        <f>LOOKUP($E338,OBRAS!$D:$D,OBRAS!H:H)</f>
        <v>SH-ED-17-R-018</v>
      </c>
    </row>
    <row r="339" spans="1:27" ht="45" x14ac:dyDescent="0.25">
      <c r="A339" s="90">
        <v>42598</v>
      </c>
      <c r="B339" s="56">
        <v>2998</v>
      </c>
      <c r="C339" s="49">
        <v>337</v>
      </c>
      <c r="D339" s="4" t="str">
        <f>LOOKUP($E339,OBRAS!$D:$D,OBRAS!C:C)</f>
        <v>SUPERVISION EXTERNA Y CONTROL DE CALIDAD DE LAS OBRAS DE REHABILITACION DEL DELFINARIO SONORA (PRIMERA ETAPA)</v>
      </c>
      <c r="E339" s="4" t="s">
        <v>480</v>
      </c>
      <c r="F339" s="4"/>
      <c r="G339" s="4" t="str">
        <f>LOOKUP($E339,OBRAS!$D:$D,OBRAS!E:E)</f>
        <v>C-00098/0035</v>
      </c>
      <c r="H339" s="80" t="s">
        <v>221</v>
      </c>
      <c r="I339" s="6">
        <v>260086.22</v>
      </c>
      <c r="J339" s="6"/>
      <c r="K339" s="6">
        <f>ROUND(I339*0.1,2)</f>
        <v>26008.62</v>
      </c>
      <c r="L339" s="6">
        <f t="shared" si="66"/>
        <v>234077.6</v>
      </c>
      <c r="M339" s="6">
        <f t="shared" si="67"/>
        <v>37452.42</v>
      </c>
      <c r="N339" s="6">
        <f t="shared" si="68"/>
        <v>271530.02</v>
      </c>
      <c r="O339" s="6">
        <f>+ROUND(I339*0.002,2)+ROUND(I339*0.0003,2)+ROUND(I339*0.0003,2)+ROUND(I339*0.0003,2)</f>
        <v>754.26</v>
      </c>
      <c r="P339" s="6">
        <f t="shared" si="69"/>
        <v>270775.76</v>
      </c>
      <c r="Q339" s="4" t="str">
        <f>LOOKUP($E339,OBRAS!$D:$D,OBRAS!B:B)</f>
        <v>ING. DANIEL ACEVEDO ESMERIO</v>
      </c>
      <c r="R339" s="4" t="str">
        <f>LOOKUP($E339,OBRAS!$D:$D,OBRAS!A:A)</f>
        <v>GUAYMAS</v>
      </c>
      <c r="S339" s="4" t="str">
        <f>LOOKUP($E339,OBRAS!$D:$D,OBRAS!F:F)</f>
        <v>11000002002207E202K05200A62222161A013</v>
      </c>
      <c r="T339" s="4" t="str">
        <f>LOOKUP($E339,OBRAS!$D:$D,OBRAS!G:G)</f>
        <v>CE-926006995-E57-2016</v>
      </c>
      <c r="U339" s="4" t="s">
        <v>863</v>
      </c>
      <c r="V339" s="89">
        <v>42613</v>
      </c>
      <c r="W339" s="6">
        <f>LOOKUP($E339,OBRAS!$D:$D,OBRAS!K:K)</f>
        <v>1367299.18</v>
      </c>
      <c r="X339" s="109">
        <f t="shared" si="70"/>
        <v>0.22070000000000001</v>
      </c>
      <c r="Y339" s="109">
        <f t="shared" si="71"/>
        <v>0.91549999999999998</v>
      </c>
      <c r="Z339" s="109">
        <f t="shared" si="72"/>
        <v>0.92390000000000005</v>
      </c>
      <c r="AA339" s="4" t="str">
        <f>LOOKUP($E339,OBRAS!$D:$D,OBRAS!H:H)</f>
        <v>SH-ED-17-R-018</v>
      </c>
    </row>
    <row r="340" spans="1:27" ht="60" x14ac:dyDescent="0.25">
      <c r="A340" s="90">
        <v>42598</v>
      </c>
      <c r="B340" s="56">
        <v>2999</v>
      </c>
      <c r="C340" s="49">
        <v>338</v>
      </c>
      <c r="D340" s="4" t="str">
        <f>LOOKUP($E340,OBRAS!$D:$D,OBRAS!C:C)</f>
        <v>SUPERVISION EXTERNA Y CONTROL DE CALIDAD CONSTRUCCION Y RECONSTRUCCION DEL TRAMO CABORCA-Y GRIEGA EN LA LOCALIDAD DE CABORCA, SONORA</v>
      </c>
      <c r="E340" s="4" t="s">
        <v>451</v>
      </c>
      <c r="F340" s="4"/>
      <c r="G340" s="4" t="str">
        <f>LOOKUP($E340,OBRAS!$D:$D,OBRAS!E:E)</f>
        <v>C-00098/0021</v>
      </c>
      <c r="H340" s="80" t="s">
        <v>55</v>
      </c>
      <c r="I340" s="6">
        <v>341098.49</v>
      </c>
      <c r="J340" s="6"/>
      <c r="K340" s="6">
        <f>ROUND(I340*0.1,2)</f>
        <v>34109.85</v>
      </c>
      <c r="L340" s="6">
        <f t="shared" si="66"/>
        <v>306988.64</v>
      </c>
      <c r="M340" s="6">
        <f t="shared" si="67"/>
        <v>49118.18</v>
      </c>
      <c r="N340" s="6">
        <f t="shared" si="68"/>
        <v>356106.82</v>
      </c>
      <c r="O340" s="6">
        <f>+ROUND(I340*0.002,2)+ROUND(I340*0.0003,2)+ROUND(I340*0.0003,2)+ROUND(I340*0.0003,2)</f>
        <v>989.19</v>
      </c>
      <c r="P340" s="6">
        <f t="shared" si="69"/>
        <v>355117.63</v>
      </c>
      <c r="Q340" s="4" t="str">
        <f>LOOKUP($E340,OBRAS!$D:$D,OBRAS!B:B)</f>
        <v>JRM CONSULTORES, S.A. DE C.V</v>
      </c>
      <c r="R340" s="4" t="str">
        <f>LOOKUP($E340,OBRAS!$D:$D,OBRAS!A:A)</f>
        <v>CABORCA</v>
      </c>
      <c r="S340" s="4" t="str">
        <f>LOOKUP($E340,OBRAS!$D:$D,OBRAS!F:F)</f>
        <v>11000002003501E203K03203A625132161A013C-00098/0021</v>
      </c>
      <c r="T340" s="4" t="str">
        <f>LOOKUP($E340,OBRAS!$D:$D,OBRAS!G:G)</f>
        <v>CE-926006995-E48-2016</v>
      </c>
      <c r="U340" s="4" t="s">
        <v>863</v>
      </c>
      <c r="V340" s="89">
        <v>42671</v>
      </c>
      <c r="W340" s="6">
        <f>LOOKUP($E340,OBRAS!$D:$D,OBRAS!K:K)</f>
        <v>2299094.85</v>
      </c>
      <c r="X340" s="109">
        <f t="shared" si="70"/>
        <v>0.1721</v>
      </c>
      <c r="Y340" s="109">
        <f t="shared" si="71"/>
        <v>1</v>
      </c>
      <c r="Z340" s="109">
        <f t="shared" si="72"/>
        <v>1</v>
      </c>
      <c r="AA340" s="4" t="str">
        <f>LOOKUP($E340,OBRAS!$D:$D,OBRAS!H:H)</f>
        <v>SH-ED-16-040</v>
      </c>
    </row>
    <row r="341" spans="1:27" ht="75" x14ac:dyDescent="0.25">
      <c r="A341" s="90">
        <v>42611</v>
      </c>
      <c r="B341" s="56">
        <v>3310</v>
      </c>
      <c r="C341" s="49">
        <v>339</v>
      </c>
      <c r="D341" s="4" t="str">
        <f>LOOKUP($E341,OBRAS!$D:$D,OBRAS!C:C)</f>
        <v>CONSERVACIÓN Y RECONSTRUCCION DEL TRAMO MAZATÁN-VILLA PESQUEIRA-SAN PEDRO DE LA CUEVA EN LA REGION DE LA SIERRA EN VARIAS LOCALIDADES DE VARIOS MUNICIPIOS EN SONORA.</v>
      </c>
      <c r="E341" s="4" t="s">
        <v>590</v>
      </c>
      <c r="F341" s="4"/>
      <c r="G341" s="4" t="str">
        <f>LOOKUP($E341,OBRAS!$D:$D,OBRAS!E:E)</f>
        <v>C-00054/0057</v>
      </c>
      <c r="H341" s="80" t="s">
        <v>103</v>
      </c>
      <c r="I341" s="6">
        <v>4323001.95</v>
      </c>
      <c r="J341" s="6"/>
      <c r="K341" s="6">
        <f t="shared" ref="K341:K347" si="75">ROUND(I341*0.3,2)</f>
        <v>1296900.5900000001</v>
      </c>
      <c r="L341" s="6">
        <f t="shared" si="66"/>
        <v>3026101.36</v>
      </c>
      <c r="M341" s="6">
        <f t="shared" si="67"/>
        <v>484176.22</v>
      </c>
      <c r="N341" s="6">
        <f t="shared" si="68"/>
        <v>3510277.58</v>
      </c>
      <c r="O341" s="6">
        <f t="shared" ref="O341:O347" si="76">+ROUND(I341*0.002,2)+ROUND(I341*0.0003,2)+ROUND(I341*0.0003,2)+ROUND(I341*0.0003,2)+ROUND(I341*0.002,2)</f>
        <v>21182.7</v>
      </c>
      <c r="P341" s="6">
        <f t="shared" si="69"/>
        <v>3489094.88</v>
      </c>
      <c r="Q341" s="4" t="str">
        <f>LOOKUP($E341,OBRAS!$D:$D,OBRAS!B:B)</f>
        <v>GRUPO EMPRESARIAL BABASAC, S. A. DE C. V.</v>
      </c>
      <c r="R341" s="4" t="str">
        <f>LOOKUP($E341,OBRAS!$D:$D,OBRAS!A:A)</f>
        <v>VARIOS</v>
      </c>
      <c r="S341" s="4" t="str">
        <f>LOOKUP($E341,OBRAS!$D:$D,OBRAS!F:F)</f>
        <v>1100002003501E204K08063A625012162A213</v>
      </c>
      <c r="T341" s="4" t="str">
        <f>LOOKUP($E341,OBRAS!$D:$D,OBRAS!G:G)</f>
        <v>CE-926006995-E21-2016</v>
      </c>
      <c r="U341" s="4" t="s">
        <v>863</v>
      </c>
      <c r="V341" s="89">
        <v>42643</v>
      </c>
      <c r="W341" s="6">
        <f>LOOKUP($E341,OBRAS!$D:$D,OBRAS!K:K)</f>
        <v>33809827.159999996</v>
      </c>
      <c r="X341" s="109">
        <f t="shared" si="70"/>
        <v>0.14829999999999999</v>
      </c>
      <c r="Y341" s="109">
        <f t="shared" si="71"/>
        <v>0.89859999999999995</v>
      </c>
      <c r="Z341" s="109">
        <f t="shared" si="72"/>
        <v>0.92900000000000005</v>
      </c>
      <c r="AA341" s="4" t="str">
        <f>LOOKUP($E341,OBRAS!$D:$D,OBRAS!H:H)</f>
        <v>SH-ED-17-R-013</v>
      </c>
    </row>
    <row r="342" spans="1:27" ht="30" x14ac:dyDescent="0.25">
      <c r="A342" s="90">
        <v>42611</v>
      </c>
      <c r="B342" s="56">
        <v>3311</v>
      </c>
      <c r="C342" s="49">
        <v>340</v>
      </c>
      <c r="D342" s="4" t="str">
        <f>LOOKUP($E342,OBRAS!$D:$D,OBRAS!C:C)</f>
        <v>CONSERVACION Y RECONSTRUCCION DE LA CARRETERA SAN IGNACIO-JUPATAHUECA</v>
      </c>
      <c r="E342" s="4" t="s">
        <v>558</v>
      </c>
      <c r="F342" s="4"/>
      <c r="G342" s="4" t="str">
        <f>LOOKUP($E342,OBRAS!$D:$D,OBRAS!E:E)</f>
        <v>C-00054/0064</v>
      </c>
      <c r="H342" s="80" t="s">
        <v>103</v>
      </c>
      <c r="I342" s="6">
        <v>3833927.81</v>
      </c>
      <c r="J342" s="6"/>
      <c r="K342" s="6">
        <f t="shared" si="75"/>
        <v>1150178.3400000001</v>
      </c>
      <c r="L342" s="6">
        <f t="shared" si="66"/>
        <v>2683749.4700000002</v>
      </c>
      <c r="M342" s="6">
        <f t="shared" si="67"/>
        <v>429399.92</v>
      </c>
      <c r="N342" s="6">
        <f t="shared" si="68"/>
        <v>3113149.39</v>
      </c>
      <c r="O342" s="6">
        <f t="shared" si="76"/>
        <v>18786.259999999998</v>
      </c>
      <c r="P342" s="6">
        <f t="shared" si="69"/>
        <v>3094363.13</v>
      </c>
      <c r="Q342" s="4" t="str">
        <f>LOOKUP($E342,OBRAS!$D:$D,OBRAS!B:B)</f>
        <v>GIBHER CONSTRUCTORES, S.A. DE C.V.</v>
      </c>
      <c r="R342" s="4" t="str">
        <f>LOOKUP($E342,OBRAS!$D:$D,OBRAS!A:A)</f>
        <v>VARIOS</v>
      </c>
      <c r="S342" s="4" t="str">
        <f>LOOKUP($E342,OBRAS!$D:$D,OBRAS!F:F)</f>
        <v>11000002003501E204K08063A625012162A213</v>
      </c>
      <c r="T342" s="4" t="str">
        <f>LOOKUP($E342,OBRAS!$D:$D,OBRAS!G:G)</f>
        <v>CE-926006995-E28-2016</v>
      </c>
      <c r="U342" s="4" t="s">
        <v>863</v>
      </c>
      <c r="V342" s="89">
        <v>42643</v>
      </c>
      <c r="W342" s="6">
        <f>LOOKUP($E342,OBRAS!$D:$D,OBRAS!K:K)</f>
        <v>20287001.809999999</v>
      </c>
      <c r="X342" s="109">
        <f t="shared" si="70"/>
        <v>0.21920000000000001</v>
      </c>
      <c r="Y342" s="109">
        <f t="shared" si="71"/>
        <v>0.99990000000000001</v>
      </c>
      <c r="Z342" s="109">
        <f t="shared" si="72"/>
        <v>1</v>
      </c>
      <c r="AA342" s="4" t="str">
        <f>LOOKUP($E342,OBRAS!$D:$D,OBRAS!H:H)</f>
        <v>SH-ED-17-R-013</v>
      </c>
    </row>
    <row r="343" spans="1:27" x14ac:dyDescent="0.25">
      <c r="C343" s="49">
        <v>341</v>
      </c>
      <c r="D343" s="4" t="e">
        <f>LOOKUP($E343,OBRAS!$D:$D,OBRAS!C:C)</f>
        <v>#N/A</v>
      </c>
      <c r="E343" s="4"/>
      <c r="F343" s="4"/>
      <c r="G343" s="4" t="e">
        <f>LOOKUP($E343,OBRAS!$D:$D,OBRAS!E:E)</f>
        <v>#N/A</v>
      </c>
      <c r="H343" s="80" t="s">
        <v>221</v>
      </c>
      <c r="I343" s="6">
        <v>6394754.2400000002</v>
      </c>
      <c r="J343" s="6"/>
      <c r="K343" s="6">
        <f t="shared" si="75"/>
        <v>1918426.27</v>
      </c>
      <c r="L343" s="6">
        <f t="shared" ref="L343:L374" si="77">I343-K343</f>
        <v>4476327.97</v>
      </c>
      <c r="M343" s="6">
        <f t="shared" si="67"/>
        <v>716212.48</v>
      </c>
      <c r="N343" s="6">
        <f t="shared" si="68"/>
        <v>5192540.45</v>
      </c>
      <c r="O343" s="6">
        <f t="shared" si="76"/>
        <v>31334.31</v>
      </c>
      <c r="P343" s="6">
        <f t="shared" si="69"/>
        <v>5161206.1399999997</v>
      </c>
      <c r="Q343" s="4" t="e">
        <f>LOOKUP($E343,OBRAS!$D:$D,OBRAS!B:B)</f>
        <v>#N/A</v>
      </c>
      <c r="R343" s="4" t="e">
        <f>LOOKUP($E343,OBRAS!$D:$D,OBRAS!A:A)</f>
        <v>#N/A</v>
      </c>
      <c r="S343" s="4" t="e">
        <f>LOOKUP($E343,OBRAS!$D:$D,OBRAS!F:F)</f>
        <v>#N/A</v>
      </c>
      <c r="T343" s="4" t="e">
        <f>LOOKUP($E343,OBRAS!$D:$D,OBRAS!G:G)</f>
        <v>#N/A</v>
      </c>
      <c r="U343" s="4"/>
      <c r="V343" s="4"/>
      <c r="W343" s="6" t="e">
        <f>LOOKUP($E343,OBRAS!$D:$D,OBRAS!K:K)</f>
        <v>#N/A</v>
      </c>
      <c r="X343" s="109" t="e">
        <f t="shared" si="70"/>
        <v>#N/A</v>
      </c>
      <c r="Y343" s="109">
        <f t="shared" si="71"/>
        <v>0</v>
      </c>
      <c r="Z343" s="109" t="e">
        <f t="shared" si="72"/>
        <v>#N/A</v>
      </c>
      <c r="AA343" s="4" t="e">
        <f>LOOKUP($E343,OBRAS!$D:$D,OBRAS!H:H)</f>
        <v>#N/A</v>
      </c>
    </row>
    <row r="344" spans="1:27" ht="30" x14ac:dyDescent="0.25">
      <c r="A344" s="90">
        <v>42605</v>
      </c>
      <c r="B344" s="56">
        <v>3189</v>
      </c>
      <c r="C344" s="49">
        <v>342</v>
      </c>
      <c r="D344" s="4" t="str">
        <f>LOOKUP($E344,OBRAS!$D:$D,OBRAS!C:C)</f>
        <v>RECONSTRUCCIÓN DEL CAMINO NAVOJOA-ETCHOJOA-HUATABAMPO</v>
      </c>
      <c r="E344" s="4" t="s">
        <v>520</v>
      </c>
      <c r="F344" s="4" t="s">
        <v>224</v>
      </c>
      <c r="G344" s="4" t="str">
        <f>LOOKUP($E344,OBRAS!$D:$D,OBRAS!E:E)</f>
        <v>C-00054/0019</v>
      </c>
      <c r="H344" s="80" t="s">
        <v>55</v>
      </c>
      <c r="I344" s="6">
        <v>8080889.21</v>
      </c>
      <c r="J344" s="6"/>
      <c r="K344" s="6">
        <f t="shared" si="75"/>
        <v>2424266.7599999998</v>
      </c>
      <c r="L344" s="6">
        <f t="shared" si="77"/>
        <v>5656622.4500000002</v>
      </c>
      <c r="M344" s="6">
        <f t="shared" si="67"/>
        <v>905059.59</v>
      </c>
      <c r="N344" s="6">
        <f t="shared" si="68"/>
        <v>6561682.04</v>
      </c>
      <c r="O344" s="6">
        <f t="shared" si="76"/>
        <v>39596.370000000003</v>
      </c>
      <c r="P344" s="6">
        <f t="shared" si="69"/>
        <v>6522085.6699999999</v>
      </c>
      <c r="Q344" s="4" t="str">
        <f>LOOKUP($E344,OBRAS!$D:$D,OBRAS!B:B)</f>
        <v>CONSTRUKINO, S.A. DE C.V.</v>
      </c>
      <c r="R344" s="4" t="str">
        <f>LOOKUP($E344,OBRAS!$D:$D,OBRAS!A:A)</f>
        <v>VARIOS</v>
      </c>
      <c r="S344" s="4" t="str">
        <f>LOOKUP($E344,OBRAS!$D:$D,OBRAS!F:F)</f>
        <v>11000002003501E204K08063A625012162A213</v>
      </c>
      <c r="T344" s="4" t="str">
        <f>LOOKUP($E344,OBRAS!$D:$D,OBRAS!G:G)</f>
        <v>CE-926006995-E1-2016</v>
      </c>
      <c r="U344" s="4" t="s">
        <v>863</v>
      </c>
      <c r="V344" s="89">
        <v>42643</v>
      </c>
      <c r="W344" s="6">
        <f>LOOKUP($E344,OBRAS!$D:$D,OBRAS!K:K)</f>
        <v>42349187.57</v>
      </c>
      <c r="X344" s="109">
        <f t="shared" si="70"/>
        <v>0.2213</v>
      </c>
      <c r="Y344" s="109">
        <f t="shared" si="71"/>
        <v>1</v>
      </c>
      <c r="Z344" s="109">
        <f t="shared" si="72"/>
        <v>1</v>
      </c>
      <c r="AA344" s="4" t="str">
        <f>LOOKUP($E344,OBRAS!$D:$D,OBRAS!H:H)</f>
        <v>SH-ED-17-R-013</v>
      </c>
    </row>
    <row r="345" spans="1:27" ht="60" x14ac:dyDescent="0.25">
      <c r="A345" s="90">
        <v>42635</v>
      </c>
      <c r="B345" s="56">
        <v>3809</v>
      </c>
      <c r="C345" s="49">
        <v>343</v>
      </c>
      <c r="D345" s="4" t="str">
        <f>LOOKUP($E345,OBRAS!$D:$D,OBRAS!C:C)</f>
        <v>REHABILITACION DE RED DE CARRETERAS ALIMENTADORAS EN LA REGION DEL RIO DE SONORA EN EL ESTADO DE SONORA; SUBTRAMO KM 0+000 AL KM 75+000</v>
      </c>
      <c r="E345" s="4" t="s">
        <v>370</v>
      </c>
      <c r="F345" s="4"/>
      <c r="G345" s="4" t="str">
        <f>LOOKUP($E345,OBRAS!$D:$D,OBRAS!E:E)</f>
        <v>C-00054/0069</v>
      </c>
      <c r="H345" s="80" t="s">
        <v>221</v>
      </c>
      <c r="I345" s="6">
        <v>2020846.38</v>
      </c>
      <c r="J345" s="6"/>
      <c r="K345" s="6">
        <f t="shared" si="75"/>
        <v>606253.91</v>
      </c>
      <c r="L345" s="6">
        <f t="shared" si="77"/>
        <v>1414592.47</v>
      </c>
      <c r="M345" s="6">
        <f t="shared" si="67"/>
        <v>226334.8</v>
      </c>
      <c r="N345" s="6">
        <f t="shared" si="68"/>
        <v>1640927.27</v>
      </c>
      <c r="O345" s="6">
        <f t="shared" si="76"/>
        <v>9902.1299999999992</v>
      </c>
      <c r="P345" s="6">
        <f t="shared" si="69"/>
        <v>1631025.14</v>
      </c>
      <c r="Q345" s="4" t="str">
        <f>LOOKUP($E345,OBRAS!$D:$D,OBRAS!B:B)</f>
        <v>IKARO INGENIERIA Y ARQUITECTURA, S.A. DE C.V</v>
      </c>
      <c r="R345" s="4" t="str">
        <f>LOOKUP($E345,OBRAS!$D:$D,OBRAS!A:A)</f>
        <v>VARIOS</v>
      </c>
      <c r="S345" s="4" t="str">
        <f>LOOKUP($E345,OBRAS!$D:$D,OBRAS!F:F)</f>
        <v>11000002003501E204K08063A625012162A213</v>
      </c>
      <c r="T345" s="4" t="str">
        <f>LOOKUP($E345,OBRAS!$D:$D,OBRAS!G:G)</f>
        <v>CE-9260006995-E38-2016</v>
      </c>
      <c r="U345" s="4" t="s">
        <v>863</v>
      </c>
      <c r="V345" s="89">
        <v>42653</v>
      </c>
      <c r="W345" s="6">
        <f>LOOKUP($E345,OBRAS!$D:$D,OBRAS!K:K)</f>
        <v>76463113.200000003</v>
      </c>
      <c r="X345" s="109">
        <f t="shared" si="70"/>
        <v>3.0700000000000002E-2</v>
      </c>
      <c r="Y345" s="109">
        <f t="shared" si="71"/>
        <v>0.98340000000000005</v>
      </c>
      <c r="Z345" s="109">
        <f t="shared" si="72"/>
        <v>0.98829999999999996</v>
      </c>
      <c r="AA345" s="4" t="str">
        <f>LOOKUP($E345,OBRAS!$D:$D,OBRAS!H:H)</f>
        <v>SH-ED-17-R-013</v>
      </c>
    </row>
    <row r="346" spans="1:27" ht="30" x14ac:dyDescent="0.25">
      <c r="A346" s="90">
        <v>42643</v>
      </c>
      <c r="B346" s="56">
        <v>3998</v>
      </c>
      <c r="C346" s="49">
        <v>344</v>
      </c>
      <c r="D346" s="4" t="str">
        <f>LOOKUP($E346,OBRAS!$D:$D,OBRAS!C:C)</f>
        <v>RECONSTRUCCIÓN DEL CAMINO NAVOJOA-ETCHOJOA-HUATABAMPO</v>
      </c>
      <c r="E346" s="4" t="s">
        <v>520</v>
      </c>
      <c r="F346" s="4" t="s">
        <v>224</v>
      </c>
      <c r="G346" s="4" t="str">
        <f>LOOKUP($E346,OBRAS!$D:$D,OBRAS!E:E)</f>
        <v>C-00054/0019</v>
      </c>
      <c r="H346" s="80" t="s">
        <v>215</v>
      </c>
      <c r="I346" s="6">
        <v>6968270.3899999997</v>
      </c>
      <c r="J346" s="6"/>
      <c r="K346" s="6">
        <f t="shared" si="75"/>
        <v>2090481.12</v>
      </c>
      <c r="L346" s="6">
        <f t="shared" si="77"/>
        <v>4877789.2699999996</v>
      </c>
      <c r="M346" s="6">
        <f t="shared" si="67"/>
        <v>780446.28</v>
      </c>
      <c r="N346" s="6">
        <f t="shared" si="68"/>
        <v>5658235.5499999998</v>
      </c>
      <c r="O346" s="6">
        <f t="shared" si="76"/>
        <v>34144.519999999997</v>
      </c>
      <c r="P346" s="6">
        <f t="shared" si="69"/>
        <v>5624091.0300000003</v>
      </c>
      <c r="Q346" s="4" t="str">
        <f>LOOKUP($E346,OBRAS!$D:$D,OBRAS!B:B)</f>
        <v>CONSTRUKINO, S.A. DE C.V.</v>
      </c>
      <c r="R346" s="4" t="str">
        <f>LOOKUP($E346,OBRAS!$D:$D,OBRAS!A:A)</f>
        <v>VARIOS</v>
      </c>
      <c r="S346" s="4" t="str">
        <f>LOOKUP($E346,OBRAS!$D:$D,OBRAS!F:F)</f>
        <v>11000002003501E204K08063A625012162A213</v>
      </c>
      <c r="T346" s="4" t="str">
        <f>LOOKUP($E346,OBRAS!$D:$D,OBRAS!G:G)</f>
        <v>CE-926006995-E1-2016</v>
      </c>
      <c r="U346" s="4" t="s">
        <v>863</v>
      </c>
      <c r="V346" s="89">
        <v>42671</v>
      </c>
      <c r="W346" s="6">
        <f>LOOKUP($E346,OBRAS!$D:$D,OBRAS!K:K)</f>
        <v>42349187.57</v>
      </c>
      <c r="X346" s="109">
        <f t="shared" si="70"/>
        <v>0.19089999999999999</v>
      </c>
      <c r="Y346" s="109">
        <f t="shared" ref="Y346:Y377" si="78">SUMIF(E:E,E346,X:X)</f>
        <v>1</v>
      </c>
      <c r="Z346" s="109">
        <f t="shared" si="72"/>
        <v>1</v>
      </c>
      <c r="AA346" s="4" t="str">
        <f>LOOKUP($E346,OBRAS!$D:$D,OBRAS!H:H)</f>
        <v>SH-ED-17-R-013</v>
      </c>
    </row>
    <row r="347" spans="1:27" ht="60" x14ac:dyDescent="0.25">
      <c r="A347" s="90">
        <v>42635</v>
      </c>
      <c r="B347" s="56">
        <v>3810</v>
      </c>
      <c r="C347" s="49">
        <v>345</v>
      </c>
      <c r="D347" s="4" t="str">
        <f>LOOKUP($E347,OBRAS!$D:$D,OBRAS!C:C)</f>
        <v>REHABILITACION DE RED DE CARRETERAS ALIMENTADORAS EN LA REGION DEL RIO SONORA EN EL ESTADO DE SONORA; SUBTRAMO KM 75+000 AL KM 149+000.</v>
      </c>
      <c r="E347" s="4" t="s">
        <v>381</v>
      </c>
      <c r="F347" s="4"/>
      <c r="G347" s="4" t="str">
        <f>LOOKUP($E347,OBRAS!$D:$D,OBRAS!E:E)</f>
        <v>C-00054/0070</v>
      </c>
      <c r="H347" s="80" t="s">
        <v>221</v>
      </c>
      <c r="I347" s="6">
        <v>2015981.29</v>
      </c>
      <c r="J347" s="6"/>
      <c r="K347" s="6">
        <f t="shared" si="75"/>
        <v>604794.39</v>
      </c>
      <c r="L347" s="6">
        <f t="shared" si="77"/>
        <v>1411186.9</v>
      </c>
      <c r="M347" s="6">
        <f t="shared" si="67"/>
        <v>225789.9</v>
      </c>
      <c r="N347" s="6">
        <f t="shared" si="68"/>
        <v>1636976.8</v>
      </c>
      <c r="O347" s="6">
        <f t="shared" si="76"/>
        <v>9878.2900000000009</v>
      </c>
      <c r="P347" s="6">
        <f t="shared" si="69"/>
        <v>1627098.51</v>
      </c>
      <c r="Q347" s="4" t="str">
        <f>LOOKUP($E347,OBRAS!$D:$D,OBRAS!B:B)</f>
        <v>RENTA, MOVIMIENTO DE CONSTRUCCION EQUIPEN, S.A. DE C.V.</v>
      </c>
      <c r="R347" s="4" t="str">
        <f>LOOKUP($E347,OBRAS!$D:$D,OBRAS!A:A)</f>
        <v>VARIOS</v>
      </c>
      <c r="S347" s="4" t="str">
        <f>LOOKUP($E347,OBRAS!$D:$D,OBRAS!F:F)</f>
        <v>110000002003501E204K08063A625012162A213</v>
      </c>
      <c r="T347" s="4" t="str">
        <f>LOOKUP($E347,OBRAS!$D:$D,OBRAS!G:G)</f>
        <v>CE-926006995-E39-2016</v>
      </c>
      <c r="U347" s="4" t="s">
        <v>863</v>
      </c>
      <c r="V347" s="89">
        <v>42663</v>
      </c>
      <c r="W347" s="6">
        <f>LOOKUP($E347,OBRAS!$D:$D,OBRAS!K:K)</f>
        <v>79270178.980000004</v>
      </c>
      <c r="X347" s="109">
        <f t="shared" si="70"/>
        <v>2.9499999999999998E-2</v>
      </c>
      <c r="Y347" s="109">
        <f t="shared" si="78"/>
        <v>0.63300000000000001</v>
      </c>
      <c r="Z347" s="109">
        <f t="shared" si="72"/>
        <v>0.74309999999999998</v>
      </c>
      <c r="AA347" s="4" t="str">
        <f>LOOKUP($E347,OBRAS!$D:$D,OBRAS!H:H)</f>
        <v>SH-ED-17-R-013</v>
      </c>
    </row>
    <row r="348" spans="1:27" ht="60" x14ac:dyDescent="0.25">
      <c r="A348" s="90"/>
      <c r="C348" s="51">
        <v>346</v>
      </c>
      <c r="D348" s="4" t="str">
        <f>LOOKUP($E348,OBRAS!$D:$D,OBRAS!C:C)</f>
        <v>SUPERVISION EXTERNA Y CONTROL DE CALIDADES DE LA RECONSTRUCCION DE E.C. (CALLE 36 SUR) - GRANJAS ACUICOLAS, DEL KM. 0 + 000 AL KM 12 + 660, HERMOSILLO</v>
      </c>
      <c r="E348" s="4" t="s">
        <v>687</v>
      </c>
      <c r="F348" s="4"/>
      <c r="G348" s="4" t="str">
        <f>LOOKUP($E348,OBRAS!$D:$D,OBRAS!E:E)</f>
        <v>C-00098/0022</v>
      </c>
      <c r="H348" s="80" t="s">
        <v>23</v>
      </c>
      <c r="I348" s="6">
        <v>56896.28</v>
      </c>
      <c r="J348" s="6"/>
      <c r="K348" s="6"/>
      <c r="L348" s="6">
        <f t="shared" si="77"/>
        <v>56896.28</v>
      </c>
      <c r="M348" s="6">
        <f t="shared" si="67"/>
        <v>9103.4</v>
      </c>
      <c r="N348" s="6">
        <f t="shared" si="68"/>
        <v>65999.679999999993</v>
      </c>
      <c r="O348" s="6"/>
      <c r="P348" s="6">
        <f t="shared" si="69"/>
        <v>65999.679999999993</v>
      </c>
      <c r="Q348" s="4" t="str">
        <f>LOOKUP($E348,OBRAS!$D:$D,OBRAS!B:B)</f>
        <v>ALAMOS INGENIERIA, SA DE CV</v>
      </c>
      <c r="R348" s="4" t="str">
        <f>LOOKUP($E348,OBRAS!$D:$D,OBRAS!A:A)</f>
        <v>HERMOSILLO</v>
      </c>
      <c r="S348" s="4" t="str">
        <f>LOOKUP($E348,OBRAS!$D:$D,OBRAS!F:F)</f>
        <v>11000002002207E201K02104A622212161A013</v>
      </c>
      <c r="T348" s="4" t="str">
        <f>LOOKUP($E348,OBRAS!$D:$D,OBRAS!G:G)</f>
        <v>LICITACIÓN SIMPLIFICADA</v>
      </c>
      <c r="U348" s="4" t="s">
        <v>863</v>
      </c>
      <c r="V348" s="89">
        <v>42632</v>
      </c>
      <c r="W348" s="6">
        <f>LOOKUP($E348,OBRAS!$D:$D,OBRAS!K:K)</f>
        <v>659996.81999999995</v>
      </c>
      <c r="X348" s="109" t="str">
        <f t="shared" si="70"/>
        <v/>
      </c>
      <c r="Y348" s="109">
        <f t="shared" si="78"/>
        <v>0.49259999999999998</v>
      </c>
      <c r="Z348" s="109">
        <f t="shared" si="72"/>
        <v>0.54339999999999999</v>
      </c>
      <c r="AA348" s="4" t="str">
        <f>LOOKUP($E348,OBRAS!$D:$D,OBRAS!H:H)</f>
        <v>SH-ED-16-066</v>
      </c>
    </row>
    <row r="349" spans="1:27" ht="60" x14ac:dyDescent="0.25">
      <c r="A349" s="90">
        <v>42598</v>
      </c>
      <c r="B349" s="56">
        <v>3001</v>
      </c>
      <c r="C349" s="49">
        <v>347</v>
      </c>
      <c r="D349" s="4" t="str">
        <f>LOOKUP($E349,OBRAS!$D:$D,OBRAS!C:C)</f>
        <v>SUPERVISION EXTERNA Y CONTROL DE CALIDAD DE LA OBRA: REMODELACION DEL PARQUE INFANTIL EN LA LOCALIDAD Y MUNICIPIO DE HERMOSILLO, SONORA.</v>
      </c>
      <c r="E349" s="4" t="s">
        <v>757</v>
      </c>
      <c r="F349" s="4"/>
      <c r="G349" s="4" t="str">
        <f>LOOKUP($E349,OBRAS!$D:$D,OBRAS!E:E)</f>
        <v>C-00093/0004</v>
      </c>
      <c r="H349" s="80" t="s">
        <v>55</v>
      </c>
      <c r="I349" s="6">
        <v>19147.099999999999</v>
      </c>
      <c r="J349" s="6"/>
      <c r="K349" s="6">
        <f>ROUND(I349*0.3,2)</f>
        <v>5744.13</v>
      </c>
      <c r="L349" s="6">
        <f t="shared" si="77"/>
        <v>13402.97</v>
      </c>
      <c r="M349" s="6">
        <f t="shared" si="67"/>
        <v>2144.48</v>
      </c>
      <c r="N349" s="6">
        <f t="shared" si="68"/>
        <v>15547.45</v>
      </c>
      <c r="O349" s="6">
        <f>+ROUND(I349*0.005,2)</f>
        <v>95.74</v>
      </c>
      <c r="P349" s="6">
        <f t="shared" si="69"/>
        <v>15451.71</v>
      </c>
      <c r="Q349" s="4" t="str">
        <f>LOOKUP($E349,OBRAS!$D:$D,OBRAS!B:B)</f>
        <v>ING. MARTIN GRAJEDA ARAGON</v>
      </c>
      <c r="R349" s="4" t="str">
        <f>LOOKUP($E349,OBRAS!$D:$D,OBRAS!A:A)</f>
        <v>HERMOSILLO</v>
      </c>
      <c r="S349" s="4" t="str">
        <f>LOOKUP($E349,OBRAS!$D:$D,OBRAS!F:F)</f>
        <v>11000002002202E406K17104A622202155GL07</v>
      </c>
      <c r="T349" s="4" t="str">
        <f>LOOKUP($E349,OBRAS!$D:$D,OBRAS!G:G)</f>
        <v>SO-926006995-N25-2015</v>
      </c>
      <c r="U349" s="4" t="s">
        <v>863</v>
      </c>
      <c r="V349" s="89">
        <v>42641</v>
      </c>
      <c r="W349" s="6">
        <f>LOOKUP($E349,OBRAS!$D:$D,OBRAS!K:K)</f>
        <v>514711.56</v>
      </c>
      <c r="X349" s="109">
        <f t="shared" si="70"/>
        <v>4.3200000000000002E-2</v>
      </c>
      <c r="Y349" s="109">
        <f t="shared" si="78"/>
        <v>1.0003</v>
      </c>
      <c r="Z349" s="109">
        <f t="shared" si="72"/>
        <v>0.7</v>
      </c>
      <c r="AA349" s="4" t="str">
        <f>LOOKUP($E349,OBRAS!$D:$D,OBRAS!H:H)</f>
        <v>SH-NC-16-R-003</v>
      </c>
    </row>
    <row r="350" spans="1:27" ht="30" x14ac:dyDescent="0.25">
      <c r="A350" s="90">
        <v>42599</v>
      </c>
      <c r="B350" s="56">
        <v>3037</v>
      </c>
      <c r="C350" s="49">
        <v>348</v>
      </c>
      <c r="D350" s="4" t="str">
        <f>LOOKUP($E350,OBRAS!$D:$D,OBRAS!C:C)</f>
        <v>CONSTRUCCION Y RECONSTRUCCION DEL TRAMO CABORCA-Y GRIEGA</v>
      </c>
      <c r="E350" s="4" t="s">
        <v>586</v>
      </c>
      <c r="F350" s="4"/>
      <c r="G350" s="4" t="str">
        <f>LOOKUP($E350,OBRAS!$D:$D,OBRAS!E:E)</f>
        <v>C-00054/0056</v>
      </c>
      <c r="H350" s="80" t="s">
        <v>215</v>
      </c>
      <c r="I350" s="6">
        <v>14441786.65</v>
      </c>
      <c r="J350" s="6"/>
      <c r="K350" s="6">
        <v>11969171.83</v>
      </c>
      <c r="L350" s="6">
        <f t="shared" si="77"/>
        <v>2472614.8199999998</v>
      </c>
      <c r="M350" s="6">
        <f t="shared" si="67"/>
        <v>395618.37</v>
      </c>
      <c r="N350" s="6">
        <f t="shared" si="68"/>
        <v>2868233.19</v>
      </c>
      <c r="O350" s="6">
        <f>+ROUND(I350*0.002,2)+ROUND(I350*0.0003,2)+ROUND(I350*0.0003,2)+ROUND(I350*0.0003,2)+ROUND(I350*0.002,2)</f>
        <v>70764.759999999995</v>
      </c>
      <c r="P350" s="6">
        <f t="shared" si="69"/>
        <v>2797468.43</v>
      </c>
      <c r="Q350" s="4" t="str">
        <f>LOOKUP($E350,OBRAS!$D:$D,OBRAS!B:B)</f>
        <v>MEZQUITE CONSTRUCCIONES,S.A.DE C.V.</v>
      </c>
      <c r="R350" s="4" t="str">
        <f>LOOKUP($E350,OBRAS!$D:$D,OBRAS!A:A)</f>
        <v>CABORCA</v>
      </c>
      <c r="S350" s="4" t="str">
        <f>LOOKUP($E350,OBRAS!$D:$D,OBRAS!F:F)</f>
        <v>11000002003501E204K08063A625012162A202</v>
      </c>
      <c r="T350" s="4" t="str">
        <f>LOOKUP($E350,OBRAS!$D:$D,OBRAS!G:G)</f>
        <v>CE-926006995-E20-2016</v>
      </c>
      <c r="U350" s="4" t="s">
        <v>863</v>
      </c>
      <c r="V350" s="89">
        <v>42632</v>
      </c>
      <c r="W350" s="6">
        <f>LOOKUP($E350,OBRAS!$D:$D,OBRAS!K:K)</f>
        <v>78902188.120000005</v>
      </c>
      <c r="X350" s="109">
        <f t="shared" si="70"/>
        <v>0.21229999999999999</v>
      </c>
      <c r="Y350" s="109">
        <f t="shared" si="78"/>
        <v>0.74160000000000004</v>
      </c>
      <c r="Z350" s="109">
        <f t="shared" si="72"/>
        <v>0.74160000000000004</v>
      </c>
      <c r="AA350" s="4" t="str">
        <f>LOOKUP($E350,OBRAS!$D:$D,OBRAS!H:H)</f>
        <v>SH-ED-17-R-013</v>
      </c>
    </row>
    <row r="351" spans="1:27" ht="60" x14ac:dyDescent="0.25">
      <c r="C351" s="84">
        <v>349</v>
      </c>
      <c r="D351" s="4" t="str">
        <f>LOOKUP($E351,OBRAS!$D:$D,OBRAS!C:C)</f>
        <v>RECONSTRUCCION DEL CAMINO BACABACHI HUATABAMPO VARIOS TRAMOS DEL KM 5+600 AL KM 25+500 EN LA LOCALIDAD Y MUNCIPIO DE NAVOJOA, SONORA.</v>
      </c>
      <c r="E351" s="4" t="s">
        <v>759</v>
      </c>
      <c r="F351" s="4"/>
      <c r="G351" s="4"/>
      <c r="H351" s="80" t="s">
        <v>221</v>
      </c>
      <c r="I351" s="6">
        <v>1314212.52</v>
      </c>
      <c r="J351" s="6"/>
      <c r="K351" s="6">
        <f t="shared" ref="K351:K358" si="79">ROUND(I351*0.3,2)</f>
        <v>394263.76</v>
      </c>
      <c r="L351" s="6">
        <f t="shared" si="77"/>
        <v>919948.76</v>
      </c>
      <c r="M351" s="6">
        <f t="shared" si="67"/>
        <v>147191.79999999999</v>
      </c>
      <c r="N351" s="6">
        <f t="shared" si="68"/>
        <v>1067140.56</v>
      </c>
      <c r="O351" s="6">
        <f t="shared" ref="O351:O358" si="80">+ROUND(I351*0.005,2)</f>
        <v>6571.06</v>
      </c>
      <c r="P351" s="6">
        <f t="shared" si="69"/>
        <v>1060569.5</v>
      </c>
      <c r="Q351" s="4" t="s">
        <v>26</v>
      </c>
      <c r="R351" s="4" t="s">
        <v>25</v>
      </c>
      <c r="S351" s="4"/>
      <c r="T351" s="4"/>
      <c r="U351" s="4" t="s">
        <v>863</v>
      </c>
      <c r="V351" s="4"/>
      <c r="W351" s="6">
        <v>15050219.25</v>
      </c>
      <c r="X351" s="109">
        <f t="shared" si="70"/>
        <v>0.1013</v>
      </c>
      <c r="Y351" s="109">
        <f t="shared" si="78"/>
        <v>0.97840000000000005</v>
      </c>
      <c r="Z351" s="109">
        <f t="shared" si="72"/>
        <v>0.97850000000000004</v>
      </c>
      <c r="AA351" s="4"/>
    </row>
    <row r="352" spans="1:27" ht="60" x14ac:dyDescent="0.25">
      <c r="C352" s="84">
        <v>350</v>
      </c>
      <c r="D352" s="4" t="str">
        <f>LOOKUP($E352,OBRAS!$D:$D,OBRAS!C:C)</f>
        <v>RECONSTRUCCION DEL CAMINO BACABACHI HUATABAMPO VARIOS TRAMOS DEL KM 5+600 AL KM 25+500 EN LA LOCALIDAD Y MUNCIPIO DE NAVOJOA, SONORA.</v>
      </c>
      <c r="E352" s="4" t="s">
        <v>759</v>
      </c>
      <c r="F352" s="4"/>
      <c r="G352" s="4"/>
      <c r="H352" s="80" t="s">
        <v>55</v>
      </c>
      <c r="I352" s="6">
        <v>2140653.2599999998</v>
      </c>
      <c r="J352" s="6"/>
      <c r="K352" s="6">
        <f t="shared" si="79"/>
        <v>642195.98</v>
      </c>
      <c r="L352" s="6">
        <f t="shared" si="77"/>
        <v>1498457.28</v>
      </c>
      <c r="M352" s="6">
        <f t="shared" si="67"/>
        <v>239753.16</v>
      </c>
      <c r="N352" s="6">
        <f t="shared" si="68"/>
        <v>1738210.44</v>
      </c>
      <c r="O352" s="6">
        <f t="shared" si="80"/>
        <v>10703.27</v>
      </c>
      <c r="P352" s="6">
        <f t="shared" si="69"/>
        <v>1727507.17</v>
      </c>
      <c r="Q352" s="4" t="s">
        <v>26</v>
      </c>
      <c r="R352" s="4" t="s">
        <v>25</v>
      </c>
      <c r="S352" s="4"/>
      <c r="T352" s="4"/>
      <c r="U352" s="4" t="s">
        <v>863</v>
      </c>
      <c r="V352" s="4"/>
      <c r="W352" s="6">
        <v>15050219.25</v>
      </c>
      <c r="X352" s="109">
        <f t="shared" si="70"/>
        <v>0.16500000000000001</v>
      </c>
      <c r="Y352" s="109">
        <f t="shared" si="78"/>
        <v>0.97840000000000005</v>
      </c>
      <c r="Z352" s="109">
        <f t="shared" si="72"/>
        <v>0.97850000000000004</v>
      </c>
      <c r="AA352" s="4"/>
    </row>
    <row r="353" spans="1:27" ht="60" x14ac:dyDescent="0.25">
      <c r="C353" s="84">
        <v>351</v>
      </c>
      <c r="D353" s="4" t="str">
        <f>LOOKUP($E353,OBRAS!$D:$D,OBRAS!C:C)</f>
        <v>RECONSTRUCCION DEL CAMINO BACABACHI HUATABAMPO VARIOS TRAMOS DEL KM 5+600 AL KM 25+500 EN LA LOCALIDAD Y MUNCIPIO DE NAVOJOA, SONORA.</v>
      </c>
      <c r="E353" s="4" t="s">
        <v>759</v>
      </c>
      <c r="F353" s="4"/>
      <c r="G353" s="4"/>
      <c r="H353" s="80" t="s">
        <v>215</v>
      </c>
      <c r="I353" s="6">
        <v>999273.52</v>
      </c>
      <c r="J353" s="6"/>
      <c r="K353" s="6">
        <f t="shared" si="79"/>
        <v>299782.06</v>
      </c>
      <c r="L353" s="6">
        <f t="shared" si="77"/>
        <v>699491.46</v>
      </c>
      <c r="M353" s="6">
        <f t="shared" si="67"/>
        <v>111918.63</v>
      </c>
      <c r="N353" s="6">
        <f t="shared" si="68"/>
        <v>811410.09</v>
      </c>
      <c r="O353" s="6">
        <f t="shared" si="80"/>
        <v>4996.37</v>
      </c>
      <c r="P353" s="6">
        <f t="shared" si="69"/>
        <v>806413.72</v>
      </c>
      <c r="Q353" s="4" t="s">
        <v>26</v>
      </c>
      <c r="R353" s="4" t="s">
        <v>25</v>
      </c>
      <c r="S353" s="4"/>
      <c r="T353" s="4"/>
      <c r="U353" s="4" t="s">
        <v>863</v>
      </c>
      <c r="V353" s="4"/>
      <c r="W353" s="6">
        <v>15050219.25</v>
      </c>
      <c r="X353" s="109">
        <f t="shared" si="70"/>
        <v>7.6999999999999999E-2</v>
      </c>
      <c r="Y353" s="109">
        <f t="shared" si="78"/>
        <v>0.97840000000000005</v>
      </c>
      <c r="Z353" s="109">
        <f t="shared" si="72"/>
        <v>0.97850000000000004</v>
      </c>
      <c r="AA353" s="4"/>
    </row>
    <row r="354" spans="1:27" ht="60" x14ac:dyDescent="0.25">
      <c r="C354" s="84">
        <v>352</v>
      </c>
      <c r="D354" s="4" t="str">
        <f>LOOKUP($E354,OBRAS!$D:$D,OBRAS!C:C)</f>
        <v>RECONSTRUCCION DEL CAMINO BACABACHI HUATABAMPO VARIOS TRAMOS DEL KM 5+600 AL KM 25+500 EN LA LOCALIDAD Y MUNCIPIO DE NAVOJOA, SONORA.</v>
      </c>
      <c r="E354" s="4" t="s">
        <v>759</v>
      </c>
      <c r="F354" s="4"/>
      <c r="G354" s="4"/>
      <c r="H354" s="80" t="s">
        <v>15</v>
      </c>
      <c r="I354" s="6">
        <v>1025674.65</v>
      </c>
      <c r="J354" s="6"/>
      <c r="K354" s="6">
        <f t="shared" si="79"/>
        <v>307702.40000000002</v>
      </c>
      <c r="L354" s="6">
        <f t="shared" si="77"/>
        <v>717972.25</v>
      </c>
      <c r="M354" s="6">
        <f t="shared" si="67"/>
        <v>114875.56</v>
      </c>
      <c r="N354" s="6">
        <f t="shared" si="68"/>
        <v>832847.81</v>
      </c>
      <c r="O354" s="6">
        <f t="shared" si="80"/>
        <v>5128.37</v>
      </c>
      <c r="P354" s="6">
        <f t="shared" si="69"/>
        <v>827719.44</v>
      </c>
      <c r="Q354" s="4" t="s">
        <v>26</v>
      </c>
      <c r="R354" s="4" t="s">
        <v>25</v>
      </c>
      <c r="S354" s="4"/>
      <c r="T354" s="4"/>
      <c r="U354" s="4" t="s">
        <v>863</v>
      </c>
      <c r="V354" s="4"/>
      <c r="W354" s="6">
        <v>15050219.25</v>
      </c>
      <c r="X354" s="109">
        <f t="shared" si="70"/>
        <v>7.9100000000000004E-2</v>
      </c>
      <c r="Y354" s="109">
        <f t="shared" si="78"/>
        <v>0.97840000000000005</v>
      </c>
      <c r="Z354" s="109">
        <f t="shared" si="72"/>
        <v>0.97850000000000004</v>
      </c>
      <c r="AA354" s="4"/>
    </row>
    <row r="355" spans="1:27" ht="60" x14ac:dyDescent="0.25">
      <c r="C355" s="84">
        <v>353</v>
      </c>
      <c r="D355" s="4" t="str">
        <f>LOOKUP($E355,OBRAS!$D:$D,OBRAS!C:C)</f>
        <v>RECONSTRUCCION DEL CAMINO BACABACHI HUATABAMPO VARIOS TRAMOS DEL KM 5+600 AL KM 25+500 EN LA LOCALIDAD Y MUNCIPIO DE NAVOJOA, SONORA.</v>
      </c>
      <c r="E355" s="4" t="s">
        <v>759</v>
      </c>
      <c r="F355" s="4"/>
      <c r="G355" s="4"/>
      <c r="H355" s="80" t="s">
        <v>214</v>
      </c>
      <c r="I355" s="6">
        <v>257507.8</v>
      </c>
      <c r="J355" s="6"/>
      <c r="K355" s="6">
        <f t="shared" si="79"/>
        <v>77252.34</v>
      </c>
      <c r="L355" s="6">
        <f t="shared" si="77"/>
        <v>180255.46</v>
      </c>
      <c r="M355" s="6">
        <f t="shared" si="67"/>
        <v>28840.87</v>
      </c>
      <c r="N355" s="6">
        <f t="shared" si="68"/>
        <v>209096.33</v>
      </c>
      <c r="O355" s="6">
        <f t="shared" si="80"/>
        <v>1287.54</v>
      </c>
      <c r="P355" s="6">
        <f t="shared" si="69"/>
        <v>207808.79</v>
      </c>
      <c r="Q355" s="4" t="s">
        <v>26</v>
      </c>
      <c r="R355" s="4" t="s">
        <v>25</v>
      </c>
      <c r="S355" s="4"/>
      <c r="T355" s="4"/>
      <c r="U355" s="4" t="s">
        <v>863</v>
      </c>
      <c r="V355" s="4"/>
      <c r="W355" s="6">
        <v>15050219.25</v>
      </c>
      <c r="X355" s="109">
        <f t="shared" si="70"/>
        <v>1.9800000000000002E-2</v>
      </c>
      <c r="Y355" s="109">
        <f t="shared" si="78"/>
        <v>0.97840000000000005</v>
      </c>
      <c r="Z355" s="109">
        <f t="shared" si="72"/>
        <v>0.97850000000000004</v>
      </c>
      <c r="AA355" s="4"/>
    </row>
    <row r="356" spans="1:27" ht="60" x14ac:dyDescent="0.25">
      <c r="C356" s="84">
        <v>354</v>
      </c>
      <c r="D356" s="4" t="str">
        <f>LOOKUP($E356,OBRAS!$D:$D,OBRAS!C:C)</f>
        <v>CONSTRUCCION DE EQUIPAMIENTO DE UNIDAD DEPORTIVA MUNICIPAL HONOFRE GRACIA SANCHEZ EN LA LOCALIDAD Y MUNICIPIO DE MAZATAN</v>
      </c>
      <c r="E356" s="4" t="s">
        <v>457</v>
      </c>
      <c r="F356" s="4"/>
      <c r="G356" s="4" t="str">
        <f>LOOKUP($E356,OBRAS!$D:$D,OBRAS!E:E)</f>
        <v>C-00109/0002</v>
      </c>
      <c r="H356" s="80" t="s">
        <v>221</v>
      </c>
      <c r="I356" s="6">
        <v>195302.93</v>
      </c>
      <c r="J356" s="6"/>
      <c r="K356" s="6">
        <f t="shared" si="79"/>
        <v>58590.879999999997</v>
      </c>
      <c r="L356" s="6">
        <f t="shared" si="77"/>
        <v>136712.04999999999</v>
      </c>
      <c r="M356" s="6">
        <f t="shared" si="67"/>
        <v>21873.93</v>
      </c>
      <c r="N356" s="6">
        <f t="shared" si="68"/>
        <v>158585.98000000001</v>
      </c>
      <c r="O356" s="6">
        <f t="shared" si="80"/>
        <v>976.51</v>
      </c>
      <c r="P356" s="6">
        <f t="shared" si="69"/>
        <v>157609.47</v>
      </c>
      <c r="Q356" s="4" t="str">
        <f>LOOKUP($E356,OBRAS!$D:$D,OBRAS!B:B)</f>
        <v>OBRAS Y BASTIMENTOS DEL NOROESTE, S.A. DE C.V.</v>
      </c>
      <c r="R356" s="4" t="str">
        <f>LOOKUP($E356,OBRAS!$D:$D,OBRAS!A:A)</f>
        <v>MAZATAN</v>
      </c>
      <c r="S356" s="4"/>
      <c r="T356" s="4"/>
      <c r="U356" s="4" t="s">
        <v>863</v>
      </c>
      <c r="V356" s="4"/>
      <c r="W356" s="6">
        <f>LOOKUP($E356,OBRAS!$D:$D,OBRAS!K:K)</f>
        <v>6682427.0199999996</v>
      </c>
      <c r="X356" s="109">
        <f t="shared" si="70"/>
        <v>3.39E-2</v>
      </c>
      <c r="Y356" s="109">
        <f t="shared" si="78"/>
        <v>1</v>
      </c>
      <c r="Z356" s="109">
        <f t="shared" si="72"/>
        <v>1</v>
      </c>
      <c r="AA356" s="4" t="str">
        <f>LOOKUP($E356,OBRAS!$D:$D,OBRAS!H:H)</f>
        <v>OM-NC-15-196</v>
      </c>
    </row>
    <row r="357" spans="1:27" ht="60" x14ac:dyDescent="0.25">
      <c r="C357" s="84">
        <v>355</v>
      </c>
      <c r="D357" s="4" t="str">
        <f>LOOKUP($E357,OBRAS!$D:$D,OBRAS!C:C)</f>
        <v>CONSTRUCCION DE EQUIPAMIENTO DE UNIDAD DEPORTIVA MUNICIPAL HONOFRE GRACIA SANCHEZ EN LA LOCALIDAD Y MUNICIPIO DE MAZATAN</v>
      </c>
      <c r="E357" s="4" t="s">
        <v>457</v>
      </c>
      <c r="F357" s="4"/>
      <c r="G357" s="4" t="str">
        <f>LOOKUP($E357,OBRAS!$D:$D,OBRAS!E:E)</f>
        <v>C-00109/0002</v>
      </c>
      <c r="H357" s="80" t="s">
        <v>55</v>
      </c>
      <c r="I357" s="6">
        <v>123987.35</v>
      </c>
      <c r="J357" s="6"/>
      <c r="K357" s="6">
        <f t="shared" si="79"/>
        <v>37196.21</v>
      </c>
      <c r="L357" s="6">
        <f t="shared" si="77"/>
        <v>86791.14</v>
      </c>
      <c r="M357" s="6">
        <f t="shared" si="67"/>
        <v>13886.58</v>
      </c>
      <c r="N357" s="6">
        <f t="shared" si="68"/>
        <v>100677.72</v>
      </c>
      <c r="O357" s="6">
        <f t="shared" si="80"/>
        <v>619.94000000000005</v>
      </c>
      <c r="P357" s="6">
        <f t="shared" si="69"/>
        <v>100057.78</v>
      </c>
      <c r="Q357" s="4" t="str">
        <f>LOOKUP($E357,OBRAS!$D:$D,OBRAS!B:B)</f>
        <v>OBRAS Y BASTIMENTOS DEL NOROESTE, S.A. DE C.V.</v>
      </c>
      <c r="R357" s="4" t="str">
        <f>LOOKUP($E357,OBRAS!$D:$D,OBRAS!A:A)</f>
        <v>MAZATAN</v>
      </c>
      <c r="S357" s="4"/>
      <c r="T357" s="4"/>
      <c r="U357" s="4" t="s">
        <v>863</v>
      </c>
      <c r="V357" s="4"/>
      <c r="W357" s="6">
        <f>LOOKUP($E357,OBRAS!$D:$D,OBRAS!K:K)</f>
        <v>6682427.0199999996</v>
      </c>
      <c r="X357" s="109">
        <f t="shared" si="70"/>
        <v>2.1499999999999998E-2</v>
      </c>
      <c r="Y357" s="109">
        <f t="shared" si="78"/>
        <v>1</v>
      </c>
      <c r="Z357" s="109">
        <f t="shared" si="72"/>
        <v>1</v>
      </c>
      <c r="AA357" s="4" t="str">
        <f>LOOKUP($E357,OBRAS!$D:$D,OBRAS!H:H)</f>
        <v>OM-NC-15-196</v>
      </c>
    </row>
    <row r="358" spans="1:27" ht="60" x14ac:dyDescent="0.25">
      <c r="C358" s="84">
        <v>356</v>
      </c>
      <c r="D358" s="4" t="str">
        <f>LOOKUP($E358,OBRAS!$D:$D,OBRAS!C:C)</f>
        <v>CONSTRUCCION DE EQUIPAMIENTO DE UNIDAD DEPORTIVA MUNICIPAL HONOFRE GRACIA SANCHEZ EN LA LOCALIDAD Y MUNICIPIO DE MAZATAN</v>
      </c>
      <c r="E358" s="4" t="s">
        <v>457</v>
      </c>
      <c r="F358" s="4"/>
      <c r="G358" s="4" t="str">
        <f>LOOKUP($E358,OBRAS!$D:$D,OBRAS!E:E)</f>
        <v>C-00109/0002</v>
      </c>
      <c r="H358" s="80" t="s">
        <v>215</v>
      </c>
      <c r="I358" s="6">
        <v>4081530.48</v>
      </c>
      <c r="J358" s="6"/>
      <c r="K358" s="6">
        <f t="shared" si="79"/>
        <v>1224459.1399999999</v>
      </c>
      <c r="L358" s="6">
        <f t="shared" si="77"/>
        <v>2857071.34</v>
      </c>
      <c r="M358" s="6">
        <f t="shared" si="67"/>
        <v>457131.41</v>
      </c>
      <c r="N358" s="6">
        <f t="shared" si="68"/>
        <v>3314202.75</v>
      </c>
      <c r="O358" s="6">
        <f t="shared" si="80"/>
        <v>20407.650000000001</v>
      </c>
      <c r="P358" s="6">
        <f t="shared" si="69"/>
        <v>3293795.1</v>
      </c>
      <c r="Q358" s="4" t="str">
        <f>LOOKUP($E358,OBRAS!$D:$D,OBRAS!B:B)</f>
        <v>OBRAS Y BASTIMENTOS DEL NOROESTE, S.A. DE C.V.</v>
      </c>
      <c r="R358" s="4" t="str">
        <f>LOOKUP($E358,OBRAS!$D:$D,OBRAS!A:A)</f>
        <v>MAZATAN</v>
      </c>
      <c r="S358" s="4"/>
      <c r="T358" s="4"/>
      <c r="U358" s="4" t="s">
        <v>863</v>
      </c>
      <c r="V358" s="4"/>
      <c r="W358" s="6">
        <f>LOOKUP($E358,OBRAS!$D:$D,OBRAS!K:K)</f>
        <v>6682427.0199999996</v>
      </c>
      <c r="X358" s="109">
        <f t="shared" si="70"/>
        <v>0.70850000000000002</v>
      </c>
      <c r="Y358" s="109">
        <f t="shared" si="78"/>
        <v>1</v>
      </c>
      <c r="Z358" s="109">
        <f t="shared" si="72"/>
        <v>1</v>
      </c>
      <c r="AA358" s="4" t="str">
        <f>LOOKUP($E358,OBRAS!$D:$D,OBRAS!H:H)</f>
        <v>OM-NC-15-196</v>
      </c>
    </row>
    <row r="359" spans="1:27" ht="90" x14ac:dyDescent="0.25">
      <c r="A359" s="90">
        <v>42599</v>
      </c>
      <c r="B359" s="56">
        <v>3042</v>
      </c>
      <c r="C359" s="49">
        <v>357</v>
      </c>
      <c r="D359" s="4" t="str">
        <f>LOOKUP($E359,OBRAS!$D:$D,OBRAS!C:C)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359" s="4" t="s">
        <v>320</v>
      </c>
      <c r="F359" s="4"/>
      <c r="G359" s="4" t="str">
        <f>LOOKUP($E359,OBRAS!$D:$D,OBRAS!E:E)</f>
        <v>C-00098/0021</v>
      </c>
      <c r="H359" s="80" t="s">
        <v>221</v>
      </c>
      <c r="I359" s="6">
        <v>236819.84</v>
      </c>
      <c r="J359" s="6"/>
      <c r="K359" s="6">
        <f>ROUND(I359*0.1,2)</f>
        <v>23681.98</v>
      </c>
      <c r="L359" s="6">
        <f t="shared" si="77"/>
        <v>213137.86</v>
      </c>
      <c r="M359" s="6">
        <f t="shared" si="67"/>
        <v>34102.06</v>
      </c>
      <c r="N359" s="6">
        <f t="shared" si="68"/>
        <v>247239.92</v>
      </c>
      <c r="O359" s="6">
        <f>+ROUND(I359*0.002,2)+ROUND(I359*0.0003,2)+ROUND(I359*0.0003,2)+ROUND(I359*0.0003,2)</f>
        <v>686.79</v>
      </c>
      <c r="P359" s="6">
        <f t="shared" si="69"/>
        <v>246553.13</v>
      </c>
      <c r="Q359" s="4" t="str">
        <f>LOOKUP($E359,OBRAS!$D:$D,OBRAS!B:B)</f>
        <v>PROYECTOS Y SUPERVISION, J.H. ROMERO, S.A. DE C.V.</v>
      </c>
      <c r="R359" s="4" t="str">
        <f>LOOKUP($E359,OBRAS!$D:$D,OBRAS!A:A)</f>
        <v>VARIOS</v>
      </c>
      <c r="S359" s="4" t="str">
        <f>LOOKUP($E359,OBRAS!$D:$D,OBRAS!F:F)</f>
        <v>11000002003501E203K03203A625132161A013</v>
      </c>
      <c r="T359" s="4" t="str">
        <f>LOOKUP($E359,OBRAS!$D:$D,OBRAS!G:G)</f>
        <v>CE-926006995-E50-2016</v>
      </c>
      <c r="U359" s="4" t="s">
        <v>863</v>
      </c>
      <c r="V359" s="89">
        <v>42697</v>
      </c>
      <c r="W359" s="6">
        <f>LOOKUP($E359,OBRAS!$D:$D,OBRAS!K:K)</f>
        <v>1648266.09</v>
      </c>
      <c r="X359" s="109">
        <f t="shared" si="70"/>
        <v>0.16669999999999999</v>
      </c>
      <c r="Y359" s="109">
        <f t="shared" si="78"/>
        <v>1.0002</v>
      </c>
      <c r="Z359" s="109">
        <f t="shared" si="72"/>
        <v>1</v>
      </c>
      <c r="AA359" s="4" t="str">
        <f>LOOKUP($E359,OBRAS!$D:$D,OBRAS!H:H)</f>
        <v>SH-ED-16-040</v>
      </c>
    </row>
    <row r="360" spans="1:27" ht="45" x14ac:dyDescent="0.25">
      <c r="A360" s="90">
        <v>42604</v>
      </c>
      <c r="B360" s="56">
        <v>3138</v>
      </c>
      <c r="C360" s="49">
        <v>358</v>
      </c>
      <c r="D360" s="4" t="str">
        <f>LOOKUP($E360,OBRAS!$D:$D,OBRAS!C:C)</f>
        <v>CONSTRUCCION DE PARQUE DE ACCESO DEL MUSEO MUSAS EN LA LOCALIDAD Y MUNICIPIO DE HERMOSILLO</v>
      </c>
      <c r="E360" s="4" t="s">
        <v>89</v>
      </c>
      <c r="F360" s="4"/>
      <c r="G360" s="4" t="str">
        <f>LOOKUP($E360,OBRAS!$D:$D,OBRAS!E:E)</f>
        <v>C-00093/0010</v>
      </c>
      <c r="H360" s="80" t="s">
        <v>218</v>
      </c>
      <c r="I360" s="6">
        <v>803542.82</v>
      </c>
      <c r="J360" s="6"/>
      <c r="K360" s="6">
        <f>ROUND(I360*0.4,2)</f>
        <v>321417.13</v>
      </c>
      <c r="L360" s="6">
        <f t="shared" si="77"/>
        <v>482125.69</v>
      </c>
      <c r="M360" s="6">
        <f t="shared" si="67"/>
        <v>77140.11</v>
      </c>
      <c r="N360" s="6">
        <f t="shared" si="68"/>
        <v>559265.80000000005</v>
      </c>
      <c r="O360" s="6">
        <f>+ROUND(I360*0.005,2)</f>
        <v>4017.71</v>
      </c>
      <c r="P360" s="6">
        <f t="shared" si="69"/>
        <v>555248.09</v>
      </c>
      <c r="Q360" s="4" t="str">
        <f>LOOKUP($E360,OBRAS!$D:$D,OBRAS!B:B)</f>
        <v>CONSTRUCTORES LISTABLANCA, S.A. DE C.V.</v>
      </c>
      <c r="R360" s="4" t="str">
        <f>LOOKUP($E360,OBRAS!$D:$D,OBRAS!A:A)</f>
        <v>HERMOSILLO</v>
      </c>
      <c r="S360" s="4" t="str">
        <f>LOOKUP($E360,OBRAS!$D:$D,OBRAS!F:F)</f>
        <v>11000002002402E406K06106A612012155GL07</v>
      </c>
      <c r="T360" s="4" t="str">
        <f>LOOKUP($E360,OBRAS!$D:$D,OBRAS!G:G)</f>
        <v>LO-926006995-N8-2015</v>
      </c>
      <c r="U360" s="4" t="s">
        <v>863</v>
      </c>
      <c r="V360" s="89">
        <v>42615</v>
      </c>
      <c r="W360" s="6">
        <f>LOOKUP($E360,OBRAS!$D:$D,OBRAS!K:K)</f>
        <v>10308275.199999999</v>
      </c>
      <c r="X360" s="109">
        <f t="shared" si="70"/>
        <v>9.0399999999999994E-2</v>
      </c>
      <c r="Y360" s="109">
        <f t="shared" si="78"/>
        <v>1.0001</v>
      </c>
      <c r="Z360" s="109">
        <f t="shared" si="72"/>
        <v>0.6</v>
      </c>
      <c r="AA360" s="4" t="str">
        <f>LOOKUP($E360,OBRAS!$D:$D,OBRAS!H:H)</f>
        <v>SH-NC-16-R-007</v>
      </c>
    </row>
    <row r="361" spans="1:27" ht="75" x14ac:dyDescent="0.25">
      <c r="A361" s="90">
        <v>42604</v>
      </c>
      <c r="B361" s="56">
        <v>3139</v>
      </c>
      <c r="C361" s="49">
        <v>359</v>
      </c>
      <c r="D361" s="4" t="str">
        <f>LOOKUP($E361,OBRAS!$D:$D,OBRAS!C:C)</f>
        <v>DIRECTOR RESPONSABLE DE OBRA: CONSTRUCCIÓN DE BODEGA DE EVIDENCIAS EN EL DISTRITO DE HERMOSILLO PRIMERA ETAPA, EN LA LOCALIDAD Y MUNICIPIO DE HERMOSILLO, SONORA.</v>
      </c>
      <c r="E361" s="4" t="s">
        <v>691</v>
      </c>
      <c r="F361" s="4"/>
      <c r="G361" s="4" t="str">
        <f>LOOKUP($E361,OBRAS!$D:$D,OBRAS!E:E)</f>
        <v>C-00098/0016-7</v>
      </c>
      <c r="H361" s="80" t="s">
        <v>55</v>
      </c>
      <c r="I361" s="6">
        <v>14140.6</v>
      </c>
      <c r="J361" s="6"/>
      <c r="K361" s="6"/>
      <c r="L361" s="6">
        <f t="shared" si="77"/>
        <v>14140.6</v>
      </c>
      <c r="M361" s="6">
        <f t="shared" si="67"/>
        <v>2262.5</v>
      </c>
      <c r="N361" s="6">
        <f t="shared" si="68"/>
        <v>16403.099999999999</v>
      </c>
      <c r="O361" s="6">
        <f>+ROUND(I361*0.002,2)+ROUND(I361*0.0003,2)+ROUND(I361*0.0003,2)+ROUND(I361*0.0003,2)</f>
        <v>41</v>
      </c>
      <c r="P361" s="6">
        <f t="shared" si="69"/>
        <v>16362.1</v>
      </c>
      <c r="Q361" s="4" t="str">
        <f>LOOKUP($E361,OBRAS!$D:$D,OBRAS!B:B)</f>
        <v>ING. JOSE RAFAEL CANO AVILA</v>
      </c>
      <c r="R361" s="4" t="str">
        <f>LOOKUP($E361,OBRAS!$D:$D,OBRAS!A:A)</f>
        <v>HERMOSILLO</v>
      </c>
      <c r="S361" s="4" t="str">
        <f>LOOKUP($E361,OBRAS!$D:$D,OBRAS!F:F)</f>
        <v>11000002002207E201K02104A622212161A013</v>
      </c>
      <c r="T361" s="4" t="str">
        <f>LOOKUP($E361,OBRAS!$D:$D,OBRAS!G:G)</f>
        <v>ADJUDICACIÓN DIRECTA</v>
      </c>
      <c r="U361" s="4" t="s">
        <v>863</v>
      </c>
      <c r="V361" s="89">
        <v>42632</v>
      </c>
      <c r="W361" s="6">
        <f>LOOKUP($E361,OBRAS!$D:$D,OBRAS!K:K)</f>
        <v>110854.24</v>
      </c>
      <c r="X361" s="109">
        <f t="shared" si="70"/>
        <v>0.14799999999999999</v>
      </c>
      <c r="Y361" s="109">
        <f t="shared" si="78"/>
        <v>0.97199999999999998</v>
      </c>
      <c r="Z361" s="109">
        <f t="shared" si="72"/>
        <v>0.97199999999999998</v>
      </c>
      <c r="AA361" s="4" t="str">
        <f>LOOKUP($E361,OBRAS!$D:$D,OBRAS!H:H)</f>
        <v>SH-ED-16-011</v>
      </c>
    </row>
    <row r="362" spans="1:27" ht="60" x14ac:dyDescent="0.25">
      <c r="A362" s="90">
        <v>42604</v>
      </c>
      <c r="B362" s="56">
        <v>3140</v>
      </c>
      <c r="C362" s="49">
        <v>360</v>
      </c>
      <c r="D362" s="4" t="str">
        <f>LOOKUP($E362,OBRAS!$D:$D,OBRAS!C:C)</f>
        <v>SUPERVISION EXTERNA Y CONTROL DE CALIDAD DE LA CONSERVACION Y RECONSTRUCCION DEL TRAMO EL CRUCERO- VILLA HIDALGO (KM 0+000 AL 28+500)</v>
      </c>
      <c r="E362" s="4" t="s">
        <v>492</v>
      </c>
      <c r="F362" s="4"/>
      <c r="G362" s="4" t="str">
        <f>LOOKUP($E362,OBRAS!$D:$D,OBRAS!E:E)</f>
        <v>C-00098/0021</v>
      </c>
      <c r="H362" s="80" t="s">
        <v>221</v>
      </c>
      <c r="I362" s="6">
        <v>236646</v>
      </c>
      <c r="J362" s="6"/>
      <c r="K362" s="6"/>
      <c r="L362" s="6">
        <f t="shared" si="77"/>
        <v>236646</v>
      </c>
      <c r="M362" s="6">
        <f t="shared" si="67"/>
        <v>37863.360000000001</v>
      </c>
      <c r="N362" s="6">
        <f t="shared" si="68"/>
        <v>274509.36</v>
      </c>
      <c r="O362" s="6">
        <f>+ROUND(I362*0.002,2)+ROUND(I362*0.0003,2)+ROUND(I362*0.0003,2)+ROUND(I362*0.0003,2)</f>
        <v>686.26</v>
      </c>
      <c r="P362" s="6">
        <f t="shared" si="69"/>
        <v>273823.09999999998</v>
      </c>
      <c r="Q362" s="4" t="str">
        <f>LOOKUP($E362,OBRAS!$D:$D,OBRAS!B:B)</f>
        <v>PROYECTOS Y SUPERVISION, J.H. ROMERO, S.A. DE C.V.</v>
      </c>
      <c r="R362" s="4" t="str">
        <f>LOOKUP($E362,OBRAS!$D:$D,OBRAS!A:A)</f>
        <v>VARIOS</v>
      </c>
      <c r="S362" s="4" t="str">
        <f>LOOKUP($E362,OBRAS!$D:$D,OBRAS!F:F)</f>
        <v>11000002003501E203K03203A625132161A013</v>
      </c>
      <c r="T362" s="4" t="str">
        <f>LOOKUP($E362,OBRAS!$D:$D,OBRAS!G:G)</f>
        <v>LICITACIÓN SIMPLIFICADA</v>
      </c>
      <c r="U362" s="4" t="s">
        <v>863</v>
      </c>
      <c r="V362" s="89">
        <v>42781</v>
      </c>
      <c r="W362" s="6">
        <f>LOOKUP($E362,OBRAS!$D:$D,OBRAS!K:K)</f>
        <v>823528.08</v>
      </c>
      <c r="X362" s="109">
        <f t="shared" si="70"/>
        <v>0.33329999999999999</v>
      </c>
      <c r="Y362" s="109">
        <f t="shared" si="78"/>
        <v>0.66659999999999997</v>
      </c>
      <c r="Z362" s="109">
        <f t="shared" si="72"/>
        <v>0.66669999999999996</v>
      </c>
      <c r="AA362" s="4" t="str">
        <f>LOOKUP($E362,OBRAS!$D:$D,OBRAS!H:H)</f>
        <v>SH-ED-16-051</v>
      </c>
    </row>
    <row r="363" spans="1:27" ht="60" x14ac:dyDescent="0.25">
      <c r="A363" s="90">
        <v>42604</v>
      </c>
      <c r="B363" s="56">
        <v>3141</v>
      </c>
      <c r="C363" s="49">
        <v>361</v>
      </c>
      <c r="D363" s="4" t="str">
        <f>LOOKUP($E363,OBRAS!$D:$D,OBRAS!C:C)</f>
        <v>SUPERVISION EXTERNA Y CONTROL DE CALIDAD DE LA CONSERVACION Y RECONSTRUCCION DEL TRAMO EL CRUCERO-GRANADOS DEL KM 0+000 AL KM 7+250</v>
      </c>
      <c r="E363" s="4" t="s">
        <v>490</v>
      </c>
      <c r="F363" s="4"/>
      <c r="G363" s="4" t="str">
        <f>LOOKUP($E363,OBRAS!$D:$D,OBRAS!E:E)</f>
        <v>C-00098/0021</v>
      </c>
      <c r="H363" s="80" t="s">
        <v>221</v>
      </c>
      <c r="I363" s="6">
        <v>135226.67000000001</v>
      </c>
      <c r="J363" s="6"/>
      <c r="K363" s="6"/>
      <c r="L363" s="6">
        <f t="shared" si="77"/>
        <v>135226.67000000001</v>
      </c>
      <c r="M363" s="6">
        <f t="shared" si="67"/>
        <v>21636.27</v>
      </c>
      <c r="N363" s="6">
        <f t="shared" si="68"/>
        <v>156862.94</v>
      </c>
      <c r="O363" s="6">
        <f>+ROUND(I363*0.002,2)+ROUND(I363*0.0003,2)+ROUND(I363*0.0003,2)+ROUND(I363*0.0003,2)</f>
        <v>392.16</v>
      </c>
      <c r="P363" s="6">
        <f t="shared" si="69"/>
        <v>156470.78</v>
      </c>
      <c r="Q363" s="4" t="str">
        <f>LOOKUP($E363,OBRAS!$D:$D,OBRAS!B:B)</f>
        <v>PROYECTOS Y SUPERVISION, J.H. ROMERO, S.A. DE C.V.</v>
      </c>
      <c r="R363" s="4" t="str">
        <f>LOOKUP($E363,OBRAS!$D:$D,OBRAS!A:A)</f>
        <v>VARIOS</v>
      </c>
      <c r="S363" s="4" t="str">
        <f>LOOKUP($E363,OBRAS!$D:$D,OBRAS!F:F)</f>
        <v>11000002003501E203K03203A625132161A013</v>
      </c>
      <c r="T363" s="4" t="str">
        <f>LOOKUP($E363,OBRAS!$D:$D,OBRAS!G:G)</f>
        <v>LICITACIÓN SIMPLIFICADA</v>
      </c>
      <c r="U363" s="4" t="s">
        <v>863</v>
      </c>
      <c r="V363" s="89">
        <v>42781</v>
      </c>
      <c r="W363" s="6">
        <f>LOOKUP($E363,OBRAS!$D:$D,OBRAS!K:K)</f>
        <v>470588.81</v>
      </c>
      <c r="X363" s="109">
        <f t="shared" si="70"/>
        <v>0.33329999999999999</v>
      </c>
      <c r="Y363" s="109">
        <f t="shared" si="78"/>
        <v>0.66659999999999997</v>
      </c>
      <c r="Z363" s="109">
        <f t="shared" si="72"/>
        <v>0.66669999999999996</v>
      </c>
      <c r="AA363" s="4" t="str">
        <f>LOOKUP($E363,OBRAS!$D:$D,OBRAS!H:H)</f>
        <v>SH-ED-16-051</v>
      </c>
    </row>
    <row r="364" spans="1:27" ht="30" x14ac:dyDescent="0.25">
      <c r="A364" s="90">
        <v>42605</v>
      </c>
      <c r="B364" s="56">
        <v>3169</v>
      </c>
      <c r="C364" s="49">
        <v>362</v>
      </c>
      <c r="D364" s="4" t="str">
        <f>LOOKUP($E364,OBRAS!$D:$D,OBRAS!C:C)</f>
        <v>RECARPETEO CON MICROCARPETA ASFALTICA DE 3.0 CM DE ESPESOR EN VARIAS CALLES Y AVENIDAS</v>
      </c>
      <c r="E364" s="4" t="s">
        <v>528</v>
      </c>
      <c r="F364" s="4" t="s">
        <v>224</v>
      </c>
      <c r="G364" s="4" t="str">
        <f>LOOKUP($E364,OBRAS!$D:$D,OBRAS!E:E)</f>
        <v>C-00052/0170</v>
      </c>
      <c r="H364" s="80" t="s">
        <v>103</v>
      </c>
      <c r="I364" s="6">
        <v>1204836.8500000001</v>
      </c>
      <c r="J364" s="6"/>
      <c r="K364" s="6">
        <f t="shared" ref="K364:K369" si="81">ROUND(I364*0.3,2)</f>
        <v>361451.06</v>
      </c>
      <c r="L364" s="6">
        <f t="shared" si="77"/>
        <v>843385.79</v>
      </c>
      <c r="M364" s="6">
        <f t="shared" si="67"/>
        <v>134941.73000000001</v>
      </c>
      <c r="N364" s="6">
        <f t="shared" si="68"/>
        <v>978327.52</v>
      </c>
      <c r="O364" s="6">
        <f>+ROUND(I364*0.002,2)+ROUND(I364*0.0003,2)+ROUND(I364*0.0003,2)+ROUND(I364*0.0003,2)+ROUND(I364*0.002,2)</f>
        <v>5903.69</v>
      </c>
      <c r="P364" s="6">
        <f t="shared" si="69"/>
        <v>972423.83</v>
      </c>
      <c r="Q364" s="4" t="str">
        <f>LOOKUP($E364,OBRAS!$D:$D,OBRAS!B:B)</f>
        <v>D'MARSELLA TERRACERIAS, S.A. DE C.V.</v>
      </c>
      <c r="R364" s="4" t="str">
        <f>LOOKUP($E364,OBRAS!$D:$D,OBRAS!A:A)</f>
        <v>CABORCA</v>
      </c>
      <c r="S364" s="4" t="str">
        <f>LOOKUP($E364,OBRAS!$D:$D,OBRAS!F:F)</f>
        <v>11000002002201E202K05186A614202162A203</v>
      </c>
      <c r="T364" s="4" t="str">
        <f>LOOKUP($E364,OBRAS!$D:$D,OBRAS!G:G)</f>
        <v>CE-926006995-E8-2016</v>
      </c>
      <c r="U364" s="4" t="s">
        <v>863</v>
      </c>
      <c r="V364" s="89">
        <v>42643</v>
      </c>
      <c r="W364" s="6">
        <f>LOOKUP($E364,OBRAS!$D:$D,OBRAS!K:K)</f>
        <v>28542774.780000001</v>
      </c>
      <c r="X364" s="109">
        <f t="shared" si="70"/>
        <v>4.9000000000000002E-2</v>
      </c>
      <c r="Y364" s="109">
        <f t="shared" si="78"/>
        <v>0.84140000000000004</v>
      </c>
      <c r="Z364" s="109">
        <f t="shared" si="72"/>
        <v>0.84140000000000004</v>
      </c>
      <c r="AA364" s="4" t="str">
        <f>LOOKUP($E364,OBRAS!$D:$D,OBRAS!H:H)</f>
        <v>SH-ED-17-R-013</v>
      </c>
    </row>
    <row r="365" spans="1:27" ht="30" x14ac:dyDescent="0.25">
      <c r="A365" s="90">
        <v>42605</v>
      </c>
      <c r="B365" s="56">
        <v>3170</v>
      </c>
      <c r="C365" s="49">
        <v>363</v>
      </c>
      <c r="D365" s="4" t="str">
        <f>LOOKUP($E365,OBRAS!$D:$D,OBRAS!C:C)</f>
        <v>RECARPETEO CON MICROCARPETA ASFALTICA DE 3.0 CM DE ESPESOR EN VARIAS CALLES Y AVENIDAS</v>
      </c>
      <c r="E365" s="4" t="s">
        <v>528</v>
      </c>
      <c r="F365" s="4" t="s">
        <v>224</v>
      </c>
      <c r="G365" s="4" t="str">
        <f>LOOKUP($E365,OBRAS!$D:$D,OBRAS!E:E)</f>
        <v>C-00052/0170</v>
      </c>
      <c r="H365" s="80" t="s">
        <v>221</v>
      </c>
      <c r="I365" s="6">
        <v>185392.4</v>
      </c>
      <c r="J365" s="6"/>
      <c r="K365" s="6">
        <f t="shared" si="81"/>
        <v>55617.72</v>
      </c>
      <c r="L365" s="6">
        <f t="shared" si="77"/>
        <v>129774.68</v>
      </c>
      <c r="M365" s="6">
        <f t="shared" si="67"/>
        <v>20763.95</v>
      </c>
      <c r="N365" s="6">
        <f t="shared" si="68"/>
        <v>150538.63</v>
      </c>
      <c r="O365" s="6">
        <f>+ROUND(I365*0.002,2)+ROUND(I365*0.0003,2)+ROUND(I365*0.0003,2)+ROUND(I365*0.0003,2)+ROUND(I365*0.002,2)</f>
        <v>908.42</v>
      </c>
      <c r="P365" s="6">
        <f t="shared" si="69"/>
        <v>149630.21</v>
      </c>
      <c r="Q365" s="4" t="str">
        <f>LOOKUP($E365,OBRAS!$D:$D,OBRAS!B:B)</f>
        <v>D'MARSELLA TERRACERIAS, S.A. DE C.V.</v>
      </c>
      <c r="R365" s="4" t="str">
        <f>LOOKUP($E365,OBRAS!$D:$D,OBRAS!A:A)</f>
        <v>CABORCA</v>
      </c>
      <c r="S365" s="4" t="str">
        <f>LOOKUP($E365,OBRAS!$D:$D,OBRAS!F:F)</f>
        <v>11000002002201E202K05186A614202162A203</v>
      </c>
      <c r="T365" s="4" t="str">
        <f>LOOKUP($E365,OBRAS!$D:$D,OBRAS!G:G)</f>
        <v>CE-926006995-E8-2016</v>
      </c>
      <c r="U365" s="4" t="s">
        <v>863</v>
      </c>
      <c r="V365" s="89">
        <v>42653</v>
      </c>
      <c r="W365" s="6">
        <f>LOOKUP($E365,OBRAS!$D:$D,OBRAS!K:K)</f>
        <v>28542774.780000001</v>
      </c>
      <c r="X365" s="109">
        <f t="shared" si="70"/>
        <v>7.4999999999999997E-3</v>
      </c>
      <c r="Y365" s="109">
        <f t="shared" si="78"/>
        <v>0.84140000000000004</v>
      </c>
      <c r="Z365" s="109">
        <f t="shared" si="72"/>
        <v>0.84140000000000004</v>
      </c>
      <c r="AA365" s="4" t="str">
        <f>LOOKUP($E365,OBRAS!$D:$D,OBRAS!H:H)</f>
        <v>SH-ED-17-R-013</v>
      </c>
    </row>
    <row r="366" spans="1:27" ht="45" x14ac:dyDescent="0.25">
      <c r="A366" s="90">
        <v>42605</v>
      </c>
      <c r="B366" s="56">
        <v>3171</v>
      </c>
      <c r="C366" s="49">
        <v>364</v>
      </c>
      <c r="D366" s="4" t="str">
        <f>LOOKUP($E366,OBRAS!$D:$D,OBRAS!C:C)</f>
        <v>RECONSTRUCCION DEL CAMINO HUATABAMPO-YAVAROS EN VARIAS LOCALIDADES DEL MUNICIPIO DE HUATABAMPO, SONORA.</v>
      </c>
      <c r="E366" s="4" t="s">
        <v>80</v>
      </c>
      <c r="F366" s="4" t="s">
        <v>401</v>
      </c>
      <c r="G366" s="4" t="str">
        <f>LOOKUP($E366,OBRAS!$D:$D,OBRAS!E:E)</f>
        <v>C-00054/0022</v>
      </c>
      <c r="H366" s="80" t="s">
        <v>103</v>
      </c>
      <c r="I366" s="6">
        <v>243766.73</v>
      </c>
      <c r="J366" s="6"/>
      <c r="K366" s="6">
        <f t="shared" si="81"/>
        <v>73130.02</v>
      </c>
      <c r="L366" s="6">
        <f t="shared" si="77"/>
        <v>170636.71</v>
      </c>
      <c r="M366" s="6">
        <f t="shared" si="67"/>
        <v>27301.87</v>
      </c>
      <c r="N366" s="6">
        <f t="shared" si="68"/>
        <v>197938.58</v>
      </c>
      <c r="O366" s="6">
        <f>+ROUND(I366*0.002,2)+ROUND(I366*0.0003,2)+ROUND(I366*0.0003,2)+ROUND(I366*0.0003,2)+ROUND(I366*0.002,2)</f>
        <v>1194.45</v>
      </c>
      <c r="P366" s="6">
        <f t="shared" si="69"/>
        <v>196744.13</v>
      </c>
      <c r="Q366" s="4" t="str">
        <f>LOOKUP($E366,OBRAS!$D:$D,OBRAS!B:B)</f>
        <v>CONSTRUCTORA SIVIRAL, S.A. DE C.V.</v>
      </c>
      <c r="R366" s="4" t="str">
        <f>LOOKUP($E366,OBRAS!$D:$D,OBRAS!A:A)</f>
        <v>HUATABAMPO</v>
      </c>
      <c r="S366" s="4" t="str">
        <f>LOOKUP($E366,OBRAS!$D:$D,OBRAS!F:F)</f>
        <v>11000002003501E203K03203A625012162A12</v>
      </c>
      <c r="T366" s="4" t="str">
        <f>LOOKUP($E366,OBRAS!$D:$D,OBRAS!G:G)</f>
        <v>CE-926006995-E4-2016</v>
      </c>
      <c r="U366" s="4" t="s">
        <v>863</v>
      </c>
      <c r="V366" s="89">
        <v>42643</v>
      </c>
      <c r="W366" s="6">
        <f>LOOKUP($E366,OBRAS!$D:$D,OBRAS!K:K)</f>
        <v>17283667.420000002</v>
      </c>
      <c r="X366" s="109">
        <f t="shared" si="70"/>
        <v>1.6400000000000001E-2</v>
      </c>
      <c r="Y366" s="109">
        <f t="shared" si="78"/>
        <v>1</v>
      </c>
      <c r="Z366" s="109">
        <f t="shared" si="72"/>
        <v>1</v>
      </c>
      <c r="AA366" s="4" t="str">
        <f>LOOKUP($E366,OBRAS!$D:$D,OBRAS!H:H)</f>
        <v>OM-ED-16-002</v>
      </c>
    </row>
    <row r="367" spans="1:27" ht="45" x14ac:dyDescent="0.25">
      <c r="A367" s="90">
        <v>42605</v>
      </c>
      <c r="B367" s="56">
        <v>3172</v>
      </c>
      <c r="C367" s="49">
        <v>365</v>
      </c>
      <c r="D367" s="4" t="str">
        <f>LOOKUP($E367,OBRAS!$D:$D,OBRAS!C:C)</f>
        <v>RECONSTRUCCION DEL CAMINO HUATABAMPO-YAVAROS EN VARIAS LOCALIDADES DEL MUNICIPIO DE HUATABAMPO, SONORA.</v>
      </c>
      <c r="E367" s="4" t="s">
        <v>80</v>
      </c>
      <c r="F367" s="4" t="s">
        <v>401</v>
      </c>
      <c r="G367" s="4" t="str">
        <f>LOOKUP($E367,OBRAS!$D:$D,OBRAS!E:E)</f>
        <v>C-00054/0022</v>
      </c>
      <c r="H367" s="80" t="s">
        <v>221</v>
      </c>
      <c r="I367" s="6">
        <v>1175629.93</v>
      </c>
      <c r="J367" s="6"/>
      <c r="K367" s="6">
        <f t="shared" si="81"/>
        <v>352688.98</v>
      </c>
      <c r="L367" s="6">
        <f t="shared" si="77"/>
        <v>822940.95</v>
      </c>
      <c r="M367" s="6">
        <f t="shared" si="67"/>
        <v>131670.54999999999</v>
      </c>
      <c r="N367" s="6">
        <f t="shared" si="68"/>
        <v>954611.5</v>
      </c>
      <c r="O367" s="6">
        <f>+ROUND(I367*0.002,2)+ROUND(I367*0.0003,2)+ROUND(I367*0.0003,2)+ROUND(I367*0.0003,2)+ROUND(I367*0.002,2)</f>
        <v>5760.59</v>
      </c>
      <c r="P367" s="6">
        <f t="shared" si="69"/>
        <v>948850.91</v>
      </c>
      <c r="Q367" s="4" t="str">
        <f>LOOKUP($E367,OBRAS!$D:$D,OBRAS!B:B)</f>
        <v>CONSTRUCTORA SIVIRAL, S.A. DE C.V.</v>
      </c>
      <c r="R367" s="4" t="str">
        <f>LOOKUP($E367,OBRAS!$D:$D,OBRAS!A:A)</f>
        <v>HUATABAMPO</v>
      </c>
      <c r="S367" s="4" t="str">
        <f>LOOKUP($E367,OBRAS!$D:$D,OBRAS!F:F)</f>
        <v>11000002003501E203K03203A625012162A12</v>
      </c>
      <c r="T367" s="4" t="str">
        <f>LOOKUP($E367,OBRAS!$D:$D,OBRAS!G:G)</f>
        <v>CE-926006995-E4-2016</v>
      </c>
      <c r="U367" s="4" t="s">
        <v>863</v>
      </c>
      <c r="V367" s="89">
        <v>42643</v>
      </c>
      <c r="W367" s="6">
        <f>LOOKUP($E367,OBRAS!$D:$D,OBRAS!K:K)</f>
        <v>17283667.420000002</v>
      </c>
      <c r="X367" s="109">
        <f t="shared" si="70"/>
        <v>7.8899999999999998E-2</v>
      </c>
      <c r="Y367" s="109">
        <f t="shared" si="78"/>
        <v>1</v>
      </c>
      <c r="Z367" s="109">
        <f t="shared" si="72"/>
        <v>1</v>
      </c>
      <c r="AA367" s="4" t="str">
        <f>LOOKUP($E367,OBRAS!$D:$D,OBRAS!H:H)</f>
        <v>OM-ED-16-002</v>
      </c>
    </row>
    <row r="368" spans="1:27" ht="45" x14ac:dyDescent="0.25">
      <c r="A368" s="90">
        <v>42605</v>
      </c>
      <c r="B368" s="56">
        <v>3173</v>
      </c>
      <c r="C368" s="49">
        <v>366</v>
      </c>
      <c r="D368" s="4" t="str">
        <f>LOOKUP($E368,OBRAS!$D:$D,OBRAS!C:C)</f>
        <v>RECONSTRUCCION DEL CAMINO HUATABAMPO-YAVAROS EN VARIAS LOCALIDADES DEL MUNICIPIO DE HUATABAMPO, SONORA.</v>
      </c>
      <c r="E368" s="4" t="s">
        <v>80</v>
      </c>
      <c r="F368" s="4" t="s">
        <v>401</v>
      </c>
      <c r="G368" s="4" t="str">
        <f>LOOKUP($E368,OBRAS!$D:$D,OBRAS!E:E)</f>
        <v>C-00054/0022</v>
      </c>
      <c r="H368" s="80" t="s">
        <v>55</v>
      </c>
      <c r="I368" s="6">
        <v>4687462.5599999996</v>
      </c>
      <c r="J368" s="6"/>
      <c r="K368" s="6">
        <f t="shared" si="81"/>
        <v>1406238.77</v>
      </c>
      <c r="L368" s="6">
        <f t="shared" si="77"/>
        <v>3281223.79</v>
      </c>
      <c r="M368" s="6">
        <f t="shared" si="67"/>
        <v>524995.81000000006</v>
      </c>
      <c r="N368" s="6">
        <f t="shared" si="68"/>
        <v>3806219.6</v>
      </c>
      <c r="O368" s="6">
        <f>+ROUND(I368*0.002,2)+ROUND(I368*0.0003,2)+ROUND(I368*0.0003,2)+ROUND(I368*0.0003,2)+ROUND(I368*0.002,2)</f>
        <v>22968.58</v>
      </c>
      <c r="P368" s="6">
        <f t="shared" si="69"/>
        <v>3783251.02</v>
      </c>
      <c r="Q368" s="4" t="str">
        <f>LOOKUP($E368,OBRAS!$D:$D,OBRAS!B:B)</f>
        <v>CONSTRUCTORA SIVIRAL, S.A. DE C.V.</v>
      </c>
      <c r="R368" s="4" t="str">
        <f>LOOKUP($E368,OBRAS!$D:$D,OBRAS!A:A)</f>
        <v>HUATABAMPO</v>
      </c>
      <c r="S368" s="4" t="str">
        <f>LOOKUP($E368,OBRAS!$D:$D,OBRAS!F:F)</f>
        <v>11000002003501E203K03203A625012162A12</v>
      </c>
      <c r="T368" s="4" t="str">
        <f>LOOKUP($E368,OBRAS!$D:$D,OBRAS!G:G)</f>
        <v>CE-926006995-E4-2016</v>
      </c>
      <c r="U368" s="4" t="s">
        <v>863</v>
      </c>
      <c r="V368" s="89">
        <v>42643</v>
      </c>
      <c r="W368" s="6">
        <f>LOOKUP($E368,OBRAS!$D:$D,OBRAS!K:K)</f>
        <v>17283667.420000002</v>
      </c>
      <c r="X368" s="109">
        <f t="shared" si="70"/>
        <v>0.31459999999999999</v>
      </c>
      <c r="Y368" s="109">
        <f t="shared" si="78"/>
        <v>1</v>
      </c>
      <c r="Z368" s="109">
        <f t="shared" si="72"/>
        <v>1</v>
      </c>
      <c r="AA368" s="4" t="str">
        <f>LOOKUP($E368,OBRAS!$D:$D,OBRAS!H:H)</f>
        <v>OM-ED-16-002</v>
      </c>
    </row>
    <row r="369" spans="1:27" x14ac:dyDescent="0.25">
      <c r="C369" s="95">
        <v>367</v>
      </c>
      <c r="D369" s="4" t="s">
        <v>788</v>
      </c>
      <c r="E369" s="4"/>
      <c r="F369" s="4"/>
      <c r="G369" s="4" t="e">
        <f>LOOKUP($E369,OBRAS!$D:$D,OBRAS!E:E)</f>
        <v>#N/A</v>
      </c>
      <c r="H369" s="80"/>
      <c r="I369" s="6"/>
      <c r="J369" s="6"/>
      <c r="K369" s="6">
        <f t="shared" si="81"/>
        <v>0</v>
      </c>
      <c r="L369" s="6">
        <f t="shared" si="77"/>
        <v>0</v>
      </c>
      <c r="M369" s="6">
        <f t="shared" si="67"/>
        <v>0</v>
      </c>
      <c r="N369" s="6">
        <f t="shared" si="68"/>
        <v>0</v>
      </c>
      <c r="O369" s="6">
        <f>+ROUND(I369*0.002,2)+ROUND(I369*0.0003,2)+ROUND(I369*0.0003,2)+ROUND(I369*0.0003,2)</f>
        <v>0</v>
      </c>
      <c r="P369" s="6">
        <f t="shared" si="69"/>
        <v>0</v>
      </c>
      <c r="Q369" s="4" t="e">
        <f>LOOKUP($E369,OBRAS!$D:$D,OBRAS!B:B)</f>
        <v>#N/A</v>
      </c>
      <c r="R369" s="4" t="e">
        <f>LOOKUP($E369,OBRAS!$D:$D,OBRAS!A:A)</f>
        <v>#N/A</v>
      </c>
      <c r="S369" s="4" t="e">
        <f>LOOKUP($E369,OBRAS!$D:$D,OBRAS!F:F)</f>
        <v>#N/A</v>
      </c>
      <c r="T369" s="4" t="e">
        <f>LOOKUP($E369,OBRAS!$D:$D,OBRAS!G:G)</f>
        <v>#N/A</v>
      </c>
      <c r="U369" s="4"/>
      <c r="V369" s="4"/>
      <c r="W369" s="6" t="e">
        <f>LOOKUP($E369,OBRAS!$D:$D,OBRAS!K:K)</f>
        <v>#N/A</v>
      </c>
      <c r="X369" s="109" t="e">
        <f t="shared" si="70"/>
        <v>#N/A</v>
      </c>
      <c r="Y369" s="109">
        <f t="shared" si="78"/>
        <v>0</v>
      </c>
      <c r="Z369" s="109" t="e">
        <f t="shared" si="72"/>
        <v>#N/A</v>
      </c>
      <c r="AA369" s="4" t="e">
        <f>LOOKUP($E369,OBRAS!$D:$D,OBRAS!H:H)</f>
        <v>#N/A</v>
      </c>
    </row>
    <row r="370" spans="1:27" ht="60" x14ac:dyDescent="0.25">
      <c r="A370" s="90">
        <v>42605</v>
      </c>
      <c r="B370" s="56">
        <v>3174</v>
      </c>
      <c r="C370" s="49">
        <v>368</v>
      </c>
      <c r="D370" s="4" t="str">
        <f>LOOKUP($E370,OBRAS!$D:$D,OBRAS!C:C)</f>
        <v>SUPERVISION EXTERNA Y CONTROL DE CALIDAD PARA LA OBRA RECONSTRUCCION DEL CAMINO NAVOJOA-ETCHOJOA-HUATABAMPO DE VARIAS LOCALIDADES Y MUNICIPIOS DE SONORA.</v>
      </c>
      <c r="E370" s="4" t="s">
        <v>359</v>
      </c>
      <c r="F370" s="4"/>
      <c r="G370" s="4" t="str">
        <f>LOOKUP($E370,OBRAS!$D:$D,OBRAS!E:E)</f>
        <v>C-00098/0021</v>
      </c>
      <c r="H370" s="80" t="s">
        <v>221</v>
      </c>
      <c r="I370" s="6">
        <v>227375.43</v>
      </c>
      <c r="J370" s="6"/>
      <c r="K370" s="6">
        <f>ROUND(I370*0.1,2)</f>
        <v>22737.54</v>
      </c>
      <c r="L370" s="6">
        <f t="shared" si="77"/>
        <v>204637.89</v>
      </c>
      <c r="M370" s="6">
        <f t="shared" si="67"/>
        <v>32742.06</v>
      </c>
      <c r="N370" s="6">
        <f t="shared" si="68"/>
        <v>237379.95</v>
      </c>
      <c r="O370" s="6">
        <f>+ROUND(I370*0.002,2)+ROUND(I370*0.0003,2)+ROUND(I370*0.0003,2)+ROUND(I370*0.0003,2)</f>
        <v>659.38</v>
      </c>
      <c r="P370" s="6">
        <f t="shared" si="69"/>
        <v>236720.57</v>
      </c>
      <c r="Q370" s="4" t="str">
        <f>LOOKUP($E370,OBRAS!$D:$D,OBRAS!B:B)</f>
        <v>ADRIANA BELTRAN LAGARDA</v>
      </c>
      <c r="R370" s="4" t="str">
        <f>LOOKUP($E370,OBRAS!$D:$D,OBRAS!A:A)</f>
        <v>VARIOS</v>
      </c>
      <c r="S370" s="4" t="str">
        <f>LOOKUP($E370,OBRAS!$D:$D,OBRAS!F:F)</f>
        <v>11000002003501E203K03203A625132161A013</v>
      </c>
      <c r="T370" s="4" t="str">
        <f>LOOKUP($E370,OBRAS!$D:$D,OBRAS!G:G)</f>
        <v>CE-926006995-E45-2016</v>
      </c>
      <c r="U370" s="4" t="s">
        <v>863</v>
      </c>
      <c r="V370" s="89">
        <v>42664</v>
      </c>
      <c r="W370" s="6">
        <f>LOOKUP($E370,OBRAS!$D:$D,OBRAS!K:K)</f>
        <v>1055021.97</v>
      </c>
      <c r="X370" s="109">
        <f t="shared" si="70"/>
        <v>0.25</v>
      </c>
      <c r="Y370" s="109">
        <f t="shared" si="78"/>
        <v>1</v>
      </c>
      <c r="Z370" s="109">
        <f t="shared" si="72"/>
        <v>1</v>
      </c>
      <c r="AA370" s="4" t="str">
        <f>LOOKUP($E370,OBRAS!$D:$D,OBRAS!H:H)</f>
        <v>SH-ED-16-020</v>
      </c>
    </row>
    <row r="371" spans="1:27" ht="60" x14ac:dyDescent="0.25">
      <c r="A371" s="90">
        <v>42611</v>
      </c>
      <c r="B371" s="56">
        <v>3297</v>
      </c>
      <c r="C371" s="49">
        <v>369</v>
      </c>
      <c r="D371" s="4" t="str">
        <f>LOOKUP($E371,OBRAS!$D:$D,OBRAS!C:C)</f>
        <v>SUPERVISION EXTERNA Y CONTROL DE CALIDAD DE LA REHABILITACION DE RED DE CARRETERAS ALIMENTADORAS EN LA REGION DEL RIO SONORA; SUBTRAMO KM 0+000 AL KM 75+000</v>
      </c>
      <c r="E371" s="4" t="s">
        <v>732</v>
      </c>
      <c r="F371" s="4"/>
      <c r="G371" s="4" t="str">
        <f>LOOKUP($E371,OBRAS!$D:$D,OBRAS!E:E)</f>
        <v>C-00098/0021</v>
      </c>
      <c r="H371" s="80" t="s">
        <v>215</v>
      </c>
      <c r="I371" s="6">
        <v>174049.1</v>
      </c>
      <c r="J371" s="6"/>
      <c r="K371" s="6"/>
      <c r="L371" s="6">
        <f t="shared" si="77"/>
        <v>174049.1</v>
      </c>
      <c r="M371" s="6">
        <f t="shared" si="67"/>
        <v>27847.86</v>
      </c>
      <c r="N371" s="6">
        <f t="shared" si="68"/>
        <v>201896.95999999999</v>
      </c>
      <c r="O371" s="6">
        <f>+ROUND(I371*0.002,2)+ROUND(I371*0.0003,2)+ROUND(I371*0.0003,2)+ROUND(I371*0.0003,2)</f>
        <v>504.73</v>
      </c>
      <c r="P371" s="6">
        <f t="shared" si="69"/>
        <v>201392.23</v>
      </c>
      <c r="Q371" s="4" t="str">
        <f>LOOKUP($E371,OBRAS!$D:$D,OBRAS!B:B)</f>
        <v>ESCOBO S.A. DE C.V.</v>
      </c>
      <c r="R371" s="4" t="str">
        <f>LOOKUP($E371,OBRAS!$D:$D,OBRAS!A:A)</f>
        <v>VARIOS</v>
      </c>
      <c r="S371" s="4" t="str">
        <f>LOOKUP($E371,OBRAS!$D:$D,OBRAS!F:F)</f>
        <v>11000002003501E203K03203A625132161A013</v>
      </c>
      <c r="T371" s="4" t="str">
        <f>LOOKUP($E371,OBRAS!$D:$D,OBRAS!G:G)</f>
        <v>CE-966006995-E67-2016</v>
      </c>
      <c r="U371" s="4" t="s">
        <v>863</v>
      </c>
      <c r="V371" s="89">
        <v>42697</v>
      </c>
      <c r="W371" s="6">
        <f>LOOKUP($E371,OBRAS!$D:$D,OBRAS!K:K)</f>
        <v>2329580.42</v>
      </c>
      <c r="X371" s="109">
        <f t="shared" si="70"/>
        <v>8.6699999999999999E-2</v>
      </c>
      <c r="Y371" s="109">
        <f t="shared" si="78"/>
        <v>0.92679999999999996</v>
      </c>
      <c r="Z371" s="109">
        <f t="shared" si="72"/>
        <v>0.92669999999999997</v>
      </c>
      <c r="AA371" s="4" t="str">
        <f>LOOKUP($E371,OBRAS!$D:$D,OBRAS!H:H)</f>
        <v>SH-ED-16-060</v>
      </c>
    </row>
    <row r="372" spans="1:27" ht="30" x14ac:dyDescent="0.25">
      <c r="C372" s="95">
        <v>370</v>
      </c>
      <c r="D372" s="4" t="s">
        <v>789</v>
      </c>
      <c r="E372" s="4"/>
      <c r="F372" s="4"/>
      <c r="G372" s="4" t="e">
        <f>LOOKUP($E372,OBRAS!$D:$D,OBRAS!E:E)</f>
        <v>#N/A</v>
      </c>
      <c r="H372" s="80"/>
      <c r="I372" s="6"/>
      <c r="J372" s="6"/>
      <c r="K372" s="6">
        <f>ROUND(I372*0.3,2)</f>
        <v>0</v>
      </c>
      <c r="L372" s="6">
        <f t="shared" si="77"/>
        <v>0</v>
      </c>
      <c r="M372" s="6">
        <f t="shared" si="67"/>
        <v>0</v>
      </c>
      <c r="N372" s="6">
        <f t="shared" si="68"/>
        <v>0</v>
      </c>
      <c r="O372" s="6">
        <f>+ROUND(I372*0.002,2)+ROUND(I372*0.0003,2)+ROUND(I372*0.0003,2)+ROUND(I372*0.0003,2)</f>
        <v>0</v>
      </c>
      <c r="P372" s="6">
        <f t="shared" si="69"/>
        <v>0</v>
      </c>
      <c r="Q372" s="4" t="e">
        <f>LOOKUP($E372,OBRAS!$D:$D,OBRAS!B:B)</f>
        <v>#N/A</v>
      </c>
      <c r="R372" s="4" t="e">
        <f>LOOKUP($E372,OBRAS!$D:$D,OBRAS!A:A)</f>
        <v>#N/A</v>
      </c>
      <c r="S372" s="4" t="e">
        <f>LOOKUP($E372,OBRAS!$D:$D,OBRAS!F:F)</f>
        <v>#N/A</v>
      </c>
      <c r="T372" s="4" t="e">
        <f>LOOKUP($E372,OBRAS!$D:$D,OBRAS!G:G)</f>
        <v>#N/A</v>
      </c>
      <c r="U372" s="4"/>
      <c r="V372" s="4"/>
      <c r="W372" s="6" t="e">
        <f>LOOKUP($E372,OBRAS!$D:$D,OBRAS!K:K)</f>
        <v>#N/A</v>
      </c>
      <c r="X372" s="109" t="e">
        <f t="shared" si="70"/>
        <v>#N/A</v>
      </c>
      <c r="Y372" s="109">
        <f t="shared" si="78"/>
        <v>0</v>
      </c>
      <c r="Z372" s="109" t="e">
        <f t="shared" si="72"/>
        <v>#N/A</v>
      </c>
      <c r="AA372" s="4" t="e">
        <f>LOOKUP($E372,OBRAS!$D:$D,OBRAS!H:H)</f>
        <v>#N/A</v>
      </c>
    </row>
    <row r="373" spans="1:27" ht="45" x14ac:dyDescent="0.25">
      <c r="A373" s="90">
        <v>42611</v>
      </c>
      <c r="B373" s="56">
        <v>3298</v>
      </c>
      <c r="C373" s="49">
        <v>371</v>
      </c>
      <c r="D373" s="4" t="str">
        <f>LOOKUP($E373,OBRAS!$D:$D,OBRAS!C:C)</f>
        <v>RECONSTRUCCION DEL CAMINO HUATABAMPO-YAVAROS EN VARIAS LOCALIDADES DEL MUNICIPIO DE HUATABAMPO, SONORA.</v>
      </c>
      <c r="E373" s="4" t="s">
        <v>80</v>
      </c>
      <c r="F373" s="4"/>
      <c r="G373" s="4" t="str">
        <f>LOOKUP($E373,OBRAS!$D:$D,OBRAS!E:E)</f>
        <v>C-00054/0022</v>
      </c>
      <c r="H373" s="80" t="s">
        <v>215</v>
      </c>
      <c r="I373" s="6">
        <v>6697934.6799999997</v>
      </c>
      <c r="J373" s="6"/>
      <c r="K373" s="6">
        <f>ROUND(I373*0.3,2)</f>
        <v>2009380.4</v>
      </c>
      <c r="L373" s="6">
        <f t="shared" si="77"/>
        <v>4688554.28</v>
      </c>
      <c r="M373" s="6">
        <f t="shared" si="67"/>
        <v>750168.68</v>
      </c>
      <c r="N373" s="6">
        <f t="shared" si="68"/>
        <v>5438722.96</v>
      </c>
      <c r="O373" s="6">
        <f>+ROUND(I373*0.002,2)+ROUND(I373*0.0003,2)+ROUND(I373*0.0003,2)+ROUND(I373*0.0003,2)+ROUND(I373*0.002,2)</f>
        <v>32819.879999999997</v>
      </c>
      <c r="P373" s="6">
        <f t="shared" si="69"/>
        <v>5405903.0800000001</v>
      </c>
      <c r="Q373" s="4" t="str">
        <f>LOOKUP($E373,OBRAS!$D:$D,OBRAS!B:B)</f>
        <v>CONSTRUCTORA SIVIRAL, S.A. DE C.V.</v>
      </c>
      <c r="R373" s="4" t="str">
        <f>LOOKUP($E373,OBRAS!$D:$D,OBRAS!A:A)</f>
        <v>HUATABAMPO</v>
      </c>
      <c r="S373" s="4" t="str">
        <f>LOOKUP($E373,OBRAS!$D:$D,OBRAS!F:F)</f>
        <v>11000002003501E203K03203A625012162A12</v>
      </c>
      <c r="T373" s="4" t="str">
        <f>LOOKUP($E373,OBRAS!$D:$D,OBRAS!G:G)</f>
        <v>CE-926006995-E4-2016</v>
      </c>
      <c r="U373" s="4" t="s">
        <v>863</v>
      </c>
      <c r="V373" s="89">
        <v>42643</v>
      </c>
      <c r="W373" s="6">
        <f>LOOKUP($E373,OBRAS!$D:$D,OBRAS!K:K)</f>
        <v>17283667.420000002</v>
      </c>
      <c r="X373" s="109">
        <f t="shared" si="70"/>
        <v>0.44950000000000001</v>
      </c>
      <c r="Y373" s="109">
        <f t="shared" si="78"/>
        <v>1</v>
      </c>
      <c r="Z373" s="109">
        <f t="shared" si="72"/>
        <v>1</v>
      </c>
      <c r="AA373" s="4" t="str">
        <f>LOOKUP($E373,OBRAS!$D:$D,OBRAS!H:H)</f>
        <v>OM-ED-16-002</v>
      </c>
    </row>
    <row r="374" spans="1:27" ht="30" x14ac:dyDescent="0.25">
      <c r="C374" s="84">
        <v>372</v>
      </c>
      <c r="D374" s="4" t="str">
        <f>LOOKUP($E374,OBRAS!$D:$D,OBRAS!C:C)</f>
        <v>CONSTRUCCION DEL CENTRO CULTURAL AL NORTE DE HERMOSILLO</v>
      </c>
      <c r="E374" s="4" t="s">
        <v>790</v>
      </c>
      <c r="F374" s="4" t="s">
        <v>793</v>
      </c>
      <c r="G374" s="4" t="str">
        <f>LOOKUP($E374,OBRAS!$D:$D,OBRAS!E:E)</f>
        <v>C-00111/0001</v>
      </c>
      <c r="H374" s="80" t="s">
        <v>103</v>
      </c>
      <c r="I374" s="6">
        <v>651633.4</v>
      </c>
      <c r="J374" s="6"/>
      <c r="K374" s="6">
        <f>ROUND(I374*0.3,2)</f>
        <v>195490.02</v>
      </c>
      <c r="L374" s="6">
        <f t="shared" si="77"/>
        <v>456143.38</v>
      </c>
      <c r="M374" s="6">
        <f t="shared" si="67"/>
        <v>72982.94</v>
      </c>
      <c r="N374" s="6">
        <f t="shared" si="68"/>
        <v>529126.31999999995</v>
      </c>
      <c r="O374" s="6">
        <f>+ROUND(I374*0.005,2)</f>
        <v>3258.17</v>
      </c>
      <c r="P374" s="6">
        <f t="shared" si="69"/>
        <v>525868.15</v>
      </c>
      <c r="Q374" s="4" t="str">
        <f>LOOKUP($E374,OBRAS!$D:$D,OBRAS!B:B)</f>
        <v>CONSTRUCTORA MIRAMAR, S.A. DE C.V.</v>
      </c>
      <c r="R374" s="4" t="str">
        <f>LOOKUP($E374,OBRAS!$D:$D,OBRAS!A:A)</f>
        <v>HERMOSILLO</v>
      </c>
      <c r="S374" s="4">
        <f>LOOKUP($E374,OBRAS!$D:$D,OBRAS!F:F)</f>
        <v>0</v>
      </c>
      <c r="T374" s="4">
        <f>LOOKUP($E374,OBRAS!$D:$D,OBRAS!G:G)</f>
        <v>0</v>
      </c>
      <c r="U374" s="4" t="s">
        <v>863</v>
      </c>
      <c r="V374" s="4"/>
      <c r="W374" s="6">
        <f>LOOKUP($E374,OBRAS!$D:$D,OBRAS!K:K)</f>
        <v>3955324.73</v>
      </c>
      <c r="X374" s="109">
        <f t="shared" si="70"/>
        <v>0.19109999999999999</v>
      </c>
      <c r="Y374" s="109">
        <f t="shared" si="78"/>
        <v>1.1862999999999999</v>
      </c>
      <c r="Z374" s="109">
        <f t="shared" si="72"/>
        <v>1.1862999999999999</v>
      </c>
      <c r="AA374" s="4">
        <f>LOOKUP($E374,OBRAS!$D:$D,OBRAS!H:H)</f>
        <v>4908879.3099999996</v>
      </c>
    </row>
    <row r="375" spans="1:27" ht="30" x14ac:dyDescent="0.25">
      <c r="C375" s="95">
        <v>373</v>
      </c>
      <c r="D375" s="4" t="s">
        <v>794</v>
      </c>
      <c r="E375" s="4"/>
      <c r="F375" s="4"/>
      <c r="G375" s="4" t="e">
        <f>LOOKUP($E375,OBRAS!$D:$D,OBRAS!E:E)</f>
        <v>#N/A</v>
      </c>
      <c r="H375" s="80"/>
      <c r="I375" s="6"/>
      <c r="J375" s="6"/>
      <c r="K375" s="6">
        <f>ROUND(I375*0.3,2)</f>
        <v>0</v>
      </c>
      <c r="L375" s="6">
        <f t="shared" ref="L375:L397" si="82">I375-K375</f>
        <v>0</v>
      </c>
      <c r="M375" s="6">
        <f t="shared" si="67"/>
        <v>0</v>
      </c>
      <c r="N375" s="6">
        <f t="shared" si="68"/>
        <v>0</v>
      </c>
      <c r="O375" s="6">
        <f>+ROUND(I375*0.002,2)+ROUND(I375*0.0003,2)+ROUND(I375*0.0003,2)+ROUND(I375*0.0003,2)</f>
        <v>0</v>
      </c>
      <c r="P375" s="6">
        <f t="shared" si="69"/>
        <v>0</v>
      </c>
      <c r="Q375" s="4" t="e">
        <f>LOOKUP($E375,OBRAS!$D:$D,OBRAS!B:B)</f>
        <v>#N/A</v>
      </c>
      <c r="R375" s="4" t="e">
        <f>LOOKUP($E375,OBRAS!$D:$D,OBRAS!A:A)</f>
        <v>#N/A</v>
      </c>
      <c r="S375" s="4" t="e">
        <f>LOOKUP($E375,OBRAS!$D:$D,OBRAS!F:F)</f>
        <v>#N/A</v>
      </c>
      <c r="T375" s="4" t="e">
        <f>LOOKUP($E375,OBRAS!$D:$D,OBRAS!G:G)</f>
        <v>#N/A</v>
      </c>
      <c r="U375" s="4"/>
      <c r="V375" s="4"/>
      <c r="W375" s="6" t="e">
        <f>LOOKUP($E375,OBRAS!$D:$D,OBRAS!K:K)</f>
        <v>#N/A</v>
      </c>
      <c r="X375" s="109" t="e">
        <f t="shared" si="70"/>
        <v>#N/A</v>
      </c>
      <c r="Y375" s="109">
        <f t="shared" si="78"/>
        <v>0</v>
      </c>
      <c r="Z375" s="109" t="e">
        <f t="shared" si="72"/>
        <v>#N/A</v>
      </c>
      <c r="AA375" s="4" t="e">
        <f>LOOKUP($E375,OBRAS!$D:$D,OBRAS!H:H)</f>
        <v>#N/A</v>
      </c>
    </row>
    <row r="376" spans="1:27" ht="60" x14ac:dyDescent="0.25">
      <c r="A376" s="90">
        <v>42611</v>
      </c>
      <c r="B376" s="56">
        <v>3299</v>
      </c>
      <c r="C376" s="49">
        <v>374</v>
      </c>
      <c r="D376" s="4" t="str">
        <f>LOOKUP($E376,OBRAS!$D:$D,OBRAS!C:C)</f>
        <v>SUPERVISION EXTERNA Y CONSTROL DE CALIDAD DE LA OBRA: CONSERVACION Y RECONSTRUCCION DEL TRAMO URES - PUEBLO DE ALAMOS EN VARIAS LOCALIDADES DEL MUNICIPIO DE URES.</v>
      </c>
      <c r="E376" s="4" t="s">
        <v>695</v>
      </c>
      <c r="F376" s="4"/>
      <c r="G376" s="4" t="str">
        <f>LOOKUP($E376,OBRAS!$D:$D,OBRAS!E:E)</f>
        <v>C-00098/0021</v>
      </c>
      <c r="H376" s="80" t="s">
        <v>221</v>
      </c>
      <c r="I376" s="6">
        <v>209797.28</v>
      </c>
      <c r="J376" s="6"/>
      <c r="K376" s="6">
        <f>ROUND(I376*0.1,2)</f>
        <v>20979.73</v>
      </c>
      <c r="L376" s="6">
        <f t="shared" si="82"/>
        <v>188817.55</v>
      </c>
      <c r="M376" s="6">
        <f t="shared" ref="M376:M405" si="83">ROUND(L376*0.16,2)</f>
        <v>30210.81</v>
      </c>
      <c r="N376" s="6">
        <f t="shared" ref="N376:N386" si="84">M376+L376</f>
        <v>219028.36</v>
      </c>
      <c r="O376" s="6">
        <f>+ROUND(I376*0.002,2)+ROUND(I376*0.0003,2)+ROUND(I376*0.0003,2)+ROUND(I376*0.0003,2)</f>
        <v>608.41</v>
      </c>
      <c r="P376" s="6">
        <f t="shared" ref="P376:P407" si="85">N376-O376</f>
        <v>218419.95</v>
      </c>
      <c r="Q376" s="4" t="str">
        <f>LOOKUP($E376,OBRAS!$D:$D,OBRAS!B:B)</f>
        <v>GO SUPERVISION, PROYECTOS, ESTUDIOS Y CONSTROL DE CALIDAD DE OBRAS CIVILES, S.A. DE C.V.</v>
      </c>
      <c r="R376" s="4" t="str">
        <f>LOOKUP($E376,OBRAS!$D:$D,OBRAS!A:A)</f>
        <v>URES</v>
      </c>
      <c r="S376" s="4" t="str">
        <f>LOOKUP($E376,OBRAS!$D:$D,OBRAS!F:F)</f>
        <v>11000002003501E203K03203A625132161A013</v>
      </c>
      <c r="T376" s="4" t="str">
        <f>LOOKUP($E376,OBRAS!$D:$D,OBRAS!G:G)</f>
        <v>CE-926006995-E59-2016</v>
      </c>
      <c r="U376" s="4" t="s">
        <v>863</v>
      </c>
      <c r="V376" s="89">
        <v>42671</v>
      </c>
      <c r="W376" s="6">
        <f>LOOKUP($E376,OBRAS!$D:$D,OBRAS!K:K)</f>
        <v>1216824.22</v>
      </c>
      <c r="X376" s="109">
        <f t="shared" si="70"/>
        <v>0.2</v>
      </c>
      <c r="Y376" s="109">
        <f t="shared" si="78"/>
        <v>0.81</v>
      </c>
      <c r="Z376" s="109">
        <f t="shared" si="72"/>
        <v>0.82899999999999996</v>
      </c>
      <c r="AA376" s="4" t="str">
        <f>LOOKUP($E376,OBRAS!$D:$D,OBRAS!H:H)</f>
        <v>SH-ED-16-051</v>
      </c>
    </row>
    <row r="377" spans="1:27" ht="45" x14ac:dyDescent="0.25">
      <c r="A377" s="90">
        <v>42611</v>
      </c>
      <c r="B377" s="56">
        <v>3300</v>
      </c>
      <c r="C377" s="49">
        <v>375</v>
      </c>
      <c r="D377" s="4" t="str">
        <f>LOOKUP($E377,OBRAS!$D:$D,OBRAS!C:C)</f>
        <v>RECONSTRUCCION DE CALLE 26 DEL KM 70+000 AL 101+300 EN VARIAS LOCALIDADES DEL MUNICIPIO DE HERMOSILLO, SONORA</v>
      </c>
      <c r="E377" s="4" t="s">
        <v>386</v>
      </c>
      <c r="F377" s="4" t="s">
        <v>401</v>
      </c>
      <c r="G377" s="4" t="str">
        <f>LOOKUP($E377,OBRAS!$D:$D,OBRAS!E:E)</f>
        <v>C-00054/0073</v>
      </c>
      <c r="H377" s="80" t="s">
        <v>221</v>
      </c>
      <c r="I377" s="6">
        <v>3538352.53</v>
      </c>
      <c r="J377" s="6"/>
      <c r="K377" s="6">
        <f>ROUND(I377*0.3,2)</f>
        <v>1061505.76</v>
      </c>
      <c r="L377" s="6">
        <f t="shared" si="82"/>
        <v>2476846.77</v>
      </c>
      <c r="M377" s="6">
        <f t="shared" si="83"/>
        <v>396295.48</v>
      </c>
      <c r="N377" s="6">
        <f t="shared" si="84"/>
        <v>2873142.25</v>
      </c>
      <c r="O377" s="6">
        <f>+ROUND(I377*0.002,2)+ROUND(I377*0.0003,2)+ROUND(I377*0.0003,2)+ROUND(I377*0.0003,2)+ROUND(I377*0.002,2)</f>
        <v>17337.95</v>
      </c>
      <c r="P377" s="6">
        <f t="shared" si="85"/>
        <v>2855804.3</v>
      </c>
      <c r="Q377" s="4" t="str">
        <f>LOOKUP($E377,OBRAS!$D:$D,OBRAS!B:B)</f>
        <v>GYEMM INMOBILIARIA Y DISEÑOS EN INGENIERIA Y ARQUITECTURA, S.A. DE C.V.</v>
      </c>
      <c r="R377" s="4" t="str">
        <f>LOOKUP($E377,OBRAS!$D:$D,OBRAS!A:A)</f>
        <v>HERMOSILLO</v>
      </c>
      <c r="S377" s="4" t="str">
        <f>LOOKUP($E377,OBRAS!$D:$D,OBRAS!F:F)</f>
        <v>11000002003501E204K08063A625012162A207</v>
      </c>
      <c r="T377" s="4" t="str">
        <f>LOOKUP($E377,OBRAS!$D:$D,OBRAS!G:G)</f>
        <v>CE-926006995-E42-2016</v>
      </c>
      <c r="U377" s="4" t="s">
        <v>863</v>
      </c>
      <c r="V377" s="89">
        <v>42653</v>
      </c>
      <c r="W377" s="6">
        <f>LOOKUP($E377,OBRAS!$D:$D,OBRAS!K:K)</f>
        <v>45827894.390000001</v>
      </c>
      <c r="X377" s="109">
        <f t="shared" si="70"/>
        <v>8.9599999999999999E-2</v>
      </c>
      <c r="Y377" s="109">
        <f t="shared" si="78"/>
        <v>0.50019999999999998</v>
      </c>
      <c r="Z377" s="109">
        <f t="shared" si="72"/>
        <v>0.65010000000000001</v>
      </c>
      <c r="AA377" s="4" t="str">
        <f>LOOKUP($E377,OBRAS!$D:$D,OBRAS!H:H)</f>
        <v>SH-ED-17-R-004</v>
      </c>
    </row>
    <row r="378" spans="1:27" ht="75" x14ac:dyDescent="0.25">
      <c r="A378" s="90">
        <v>42611</v>
      </c>
      <c r="B378" s="56">
        <v>3301</v>
      </c>
      <c r="C378" s="49">
        <v>376</v>
      </c>
      <c r="D378" s="4" t="str">
        <f>LOOKUP($E378,OBRAS!$D:$D,OBRAS!C:C)</f>
        <v>SUPERVISION EXTERNA Y CONTROL DE CALIDAD DE LA OBRA: RECONSTRUCCION DE LA CALLE GUERRERO DEL KM 0+000 AL 6+020 EN VARIAS LOCALIDADES DEL MUNICIPIO DE HERMOSILLO, SONORA.</v>
      </c>
      <c r="E378" s="4" t="s">
        <v>797</v>
      </c>
      <c r="F378" s="4"/>
      <c r="G378" s="4" t="str">
        <f>LOOKUP($E378,OBRAS!$D:$D,OBRAS!E:E)</f>
        <v>C-00098/0022</v>
      </c>
      <c r="H378" s="80" t="s">
        <v>103</v>
      </c>
      <c r="I378" s="6">
        <v>30977.34</v>
      </c>
      <c r="J378" s="6"/>
      <c r="K378" s="6"/>
      <c r="L378" s="6">
        <f t="shared" si="82"/>
        <v>30977.34</v>
      </c>
      <c r="M378" s="6">
        <f t="shared" si="83"/>
        <v>4956.37</v>
      </c>
      <c r="N378" s="6">
        <f t="shared" si="84"/>
        <v>35933.71</v>
      </c>
      <c r="O378" s="6">
        <f t="shared" ref="O378:O385" si="86">+ROUND(I378*0.002,2)+ROUND(I378*0.0003,2)+ROUND(I378*0.0003,2)+ROUND(I378*0.0003,2)</f>
        <v>89.82</v>
      </c>
      <c r="P378" s="6">
        <f t="shared" si="85"/>
        <v>35843.89</v>
      </c>
      <c r="Q378" s="4" t="str">
        <f>LOOKUP($E378,OBRAS!$D:$D,OBRAS!B:B)</f>
        <v>ALCCON SIGLO XXI, S.A. DE C.V.</v>
      </c>
      <c r="R378" s="4" t="str">
        <f>LOOKUP($E378,OBRAS!$D:$D,OBRAS!A:A)</f>
        <v>HERMOSILLO</v>
      </c>
      <c r="S378" s="4" t="str">
        <f>LOOKUP($E378,OBRAS!$D:$D,OBRAS!F:F)</f>
        <v>11000002002207E201K02104A622212161A013</v>
      </c>
      <c r="T378" s="4" t="str">
        <f>LOOKUP($E378,OBRAS!$D:$D,OBRAS!G:G)</f>
        <v>LICITACIÓN SIMPLIFICADA</v>
      </c>
      <c r="U378" s="4" t="s">
        <v>863</v>
      </c>
      <c r="V378" s="89">
        <v>42664</v>
      </c>
      <c r="W378" s="6">
        <f>LOOKUP($E378,OBRAS!$D:$D,OBRAS!K:K)</f>
        <v>529215.07999999996</v>
      </c>
      <c r="X378" s="109">
        <f t="shared" ref="X378:X407" si="87">IF(H378&lt;&gt;"ANTICIPO",I378/(W378/1.16),"")</f>
        <v>6.7900000000000002E-2</v>
      </c>
      <c r="Y378" s="109">
        <f t="shared" ref="Y378:Y379" si="88">SUMIF(E:E,E378,X:X)</f>
        <v>1</v>
      </c>
      <c r="Z378" s="109">
        <f t="shared" ref="Z378:Z407" si="89">SUMIF(E:E,E378,N:N)/W378</f>
        <v>1</v>
      </c>
      <c r="AA378" s="4" t="str">
        <f>LOOKUP($E378,OBRAS!$D:$D,OBRAS!H:H)</f>
        <v>SH-ED-16-066</v>
      </c>
    </row>
    <row r="379" spans="1:27" ht="75" x14ac:dyDescent="0.25">
      <c r="A379" s="90">
        <v>42611</v>
      </c>
      <c r="B379" s="56">
        <v>3302</v>
      </c>
      <c r="C379" s="49">
        <v>377</v>
      </c>
      <c r="D379" s="4" t="str">
        <f>LOOKUP($E379,OBRAS!$D:$D,OBRAS!C:C)</f>
        <v>SUPERVISION EXTERNA Y CONTROL DE CALIDAD DE LA OBRA: RECONSTRUCCION DE LA CALLE GUERRERO DEL KM 0+000 AL 6+020 EN VARIAS LOCALIDADES DEL MUNICIPIO DE HERMOSILLO, SONORA.</v>
      </c>
      <c r="E379" s="4" t="s">
        <v>797</v>
      </c>
      <c r="F379" s="4"/>
      <c r="G379" s="4" t="str">
        <f>LOOKUP($E379,OBRAS!$D:$D,OBRAS!E:E)</f>
        <v>C-00098/0022</v>
      </c>
      <c r="H379" s="80" t="s">
        <v>221</v>
      </c>
      <c r="I379" s="6">
        <v>75139.42</v>
      </c>
      <c r="J379" s="6"/>
      <c r="K379" s="6"/>
      <c r="L379" s="6">
        <f t="shared" si="82"/>
        <v>75139.42</v>
      </c>
      <c r="M379" s="6">
        <f t="shared" si="83"/>
        <v>12022.31</v>
      </c>
      <c r="N379" s="6">
        <f t="shared" si="84"/>
        <v>87161.73</v>
      </c>
      <c r="O379" s="6">
        <f t="shared" si="86"/>
        <v>217.9</v>
      </c>
      <c r="P379" s="6">
        <f t="shared" si="85"/>
        <v>86943.83</v>
      </c>
      <c r="Q379" s="4" t="str">
        <f>LOOKUP($E379,OBRAS!$D:$D,OBRAS!B:B)</f>
        <v>ALCCON SIGLO XXI, S.A. DE C.V.</v>
      </c>
      <c r="R379" s="4" t="str">
        <f>LOOKUP($E379,OBRAS!$D:$D,OBRAS!A:A)</f>
        <v>HERMOSILLO</v>
      </c>
      <c r="S379" s="4" t="str">
        <f>LOOKUP($E379,OBRAS!$D:$D,OBRAS!F:F)</f>
        <v>11000002002207E201K02104A622212161A013</v>
      </c>
      <c r="T379" s="4" t="str">
        <f>LOOKUP($E379,OBRAS!$D:$D,OBRAS!G:G)</f>
        <v>LICITACIÓN SIMPLIFICADA</v>
      </c>
      <c r="U379" s="4" t="s">
        <v>863</v>
      </c>
      <c r="V379" s="89">
        <v>42664</v>
      </c>
      <c r="W379" s="6">
        <f>LOOKUP($E379,OBRAS!$D:$D,OBRAS!K:K)</f>
        <v>529215.07999999996</v>
      </c>
      <c r="X379" s="109">
        <f t="shared" si="87"/>
        <v>0.16470000000000001</v>
      </c>
      <c r="Y379" s="109">
        <f t="shared" si="88"/>
        <v>1</v>
      </c>
      <c r="Z379" s="109">
        <f t="shared" si="89"/>
        <v>1</v>
      </c>
      <c r="AA379" s="4" t="str">
        <f>LOOKUP($E379,OBRAS!$D:$D,OBRAS!H:H)</f>
        <v>SH-ED-16-066</v>
      </c>
    </row>
    <row r="380" spans="1:27" ht="45" x14ac:dyDescent="0.25">
      <c r="A380" s="90">
        <v>42611</v>
      </c>
      <c r="B380" s="56">
        <v>3303</v>
      </c>
      <c r="C380" s="49">
        <v>378</v>
      </c>
      <c r="D380" s="4" t="str">
        <f>LOOKUP($E380,OBRAS!$D:$D,OBRAS!C:C)</f>
        <v>SUPERVISION EXTERNA Y CONTROL DE CALIDAD PARA LA OBRA: RECONSTRUCCIÓN DEL CAMINO CALLE 12 SUR, HERMOSILLO, SONORA.</v>
      </c>
      <c r="E380" s="4" t="s">
        <v>419</v>
      </c>
      <c r="F380" s="4"/>
      <c r="G380" s="4" t="str">
        <f>LOOKUP($E380,OBRAS!$D:$D,OBRAS!E:E)</f>
        <v>C-00098/0022</v>
      </c>
      <c r="H380" s="80" t="s">
        <v>103</v>
      </c>
      <c r="I380" s="6">
        <v>247864.17</v>
      </c>
      <c r="J380" s="6"/>
      <c r="K380" s="6">
        <f t="shared" ref="K380:K385" si="90">ROUND(I380*0.1,2)</f>
        <v>24786.42</v>
      </c>
      <c r="L380" s="6">
        <f t="shared" si="82"/>
        <v>223077.75</v>
      </c>
      <c r="M380" s="6">
        <f t="shared" si="83"/>
        <v>35692.44</v>
      </c>
      <c r="N380" s="6">
        <f t="shared" si="84"/>
        <v>258770.19</v>
      </c>
      <c r="O380" s="6">
        <f t="shared" si="86"/>
        <v>718.81</v>
      </c>
      <c r="P380" s="6">
        <f t="shared" si="85"/>
        <v>258051.38</v>
      </c>
      <c r="Q380" s="4" t="str">
        <f>LOOKUP($E380,OBRAS!$D:$D,OBRAS!B:B)</f>
        <v>SEI TETRA, S. A. DE C. V.</v>
      </c>
      <c r="R380" s="4" t="str">
        <f>LOOKUP($E380,OBRAS!$D:$D,OBRAS!A:A)</f>
        <v>HERMOSILLO</v>
      </c>
      <c r="S380" s="4" t="str">
        <f>LOOKUP($E380,OBRAS!$D:$D,OBRAS!F:F)</f>
        <v>11000002002207E201K02104A622212161A013</v>
      </c>
      <c r="T380" s="4" t="str">
        <f>LOOKUP($E380,OBRAS!$D:$D,OBRAS!G:G)</f>
        <v>LICITACIÓN SIMPLIFICADA</v>
      </c>
      <c r="U380" s="4" t="s">
        <v>863</v>
      </c>
      <c r="V380" s="89">
        <v>42664</v>
      </c>
      <c r="W380" s="6">
        <f>LOOKUP($E380,OBRAS!$D:$D,OBRAS!K:K)</f>
        <v>703223.55</v>
      </c>
      <c r="X380" s="109">
        <f t="shared" si="87"/>
        <v>0.40889999999999999</v>
      </c>
      <c r="Y380" s="109">
        <f>ROUND(SUMIF(E:E,E380,X:X),2)</f>
        <v>1</v>
      </c>
      <c r="Z380" s="109">
        <f t="shared" si="89"/>
        <v>1</v>
      </c>
      <c r="AA380" s="4" t="str">
        <f>LOOKUP($E380,OBRAS!$D:$D,OBRAS!H:H)</f>
        <v>SH-ED-16-028</v>
      </c>
    </row>
    <row r="381" spans="1:27" ht="45" x14ac:dyDescent="0.25">
      <c r="A381" s="90">
        <v>42611</v>
      </c>
      <c r="B381" s="56">
        <v>3304</v>
      </c>
      <c r="C381" s="49">
        <v>379</v>
      </c>
      <c r="D381" s="4" t="str">
        <f>LOOKUP($E381,OBRAS!$D:$D,OBRAS!C:C)</f>
        <v>SUPERVISION EXTERNA Y CONTROL DE CALIDAD PARA LA OBRA: RECONSTRUCCIÓN DEL CAMINO CALLE 12 SUR, HERMOSILLO, SONORA.</v>
      </c>
      <c r="E381" s="4" t="s">
        <v>419</v>
      </c>
      <c r="F381" s="4"/>
      <c r="G381" s="4" t="str">
        <f>LOOKUP($E381,OBRAS!$D:$D,OBRAS!E:E)</f>
        <v>C-00098/0022</v>
      </c>
      <c r="H381" s="80" t="s">
        <v>221</v>
      </c>
      <c r="I381" s="6">
        <v>107294.33</v>
      </c>
      <c r="J381" s="6"/>
      <c r="K381" s="6">
        <f t="shared" si="90"/>
        <v>10729.43</v>
      </c>
      <c r="L381" s="6">
        <f t="shared" si="82"/>
        <v>96564.9</v>
      </c>
      <c r="M381" s="6">
        <f t="shared" si="83"/>
        <v>15450.38</v>
      </c>
      <c r="N381" s="6">
        <f t="shared" si="84"/>
        <v>112015.28</v>
      </c>
      <c r="O381" s="6">
        <f t="shared" si="86"/>
        <v>311.16000000000003</v>
      </c>
      <c r="P381" s="6">
        <f t="shared" si="85"/>
        <v>111704.12</v>
      </c>
      <c r="Q381" s="4" t="str">
        <f>LOOKUP($E381,OBRAS!$D:$D,OBRAS!B:B)</f>
        <v>SEI TETRA, S. A. DE C. V.</v>
      </c>
      <c r="R381" s="4" t="str">
        <f>LOOKUP($E381,OBRAS!$D:$D,OBRAS!A:A)</f>
        <v>HERMOSILLO</v>
      </c>
      <c r="S381" s="4" t="str">
        <f>LOOKUP($E381,OBRAS!$D:$D,OBRAS!F:F)</f>
        <v>11000002002207E201K02104A622212161A013</v>
      </c>
      <c r="T381" s="4" t="str">
        <f>LOOKUP($E381,OBRAS!$D:$D,OBRAS!G:G)</f>
        <v>LICITACIÓN SIMPLIFICADA</v>
      </c>
      <c r="U381" s="4" t="s">
        <v>863</v>
      </c>
      <c r="V381" s="89">
        <v>42664</v>
      </c>
      <c r="W381" s="6">
        <f>LOOKUP($E381,OBRAS!$D:$D,OBRAS!K:K)</f>
        <v>703223.55</v>
      </c>
      <c r="X381" s="109">
        <f t="shared" si="87"/>
        <v>0.17699999999999999</v>
      </c>
      <c r="Y381" s="109">
        <f>ROUND(SUMIF(E:E,E381,X:X),2)</f>
        <v>1</v>
      </c>
      <c r="Z381" s="109">
        <f t="shared" si="89"/>
        <v>1</v>
      </c>
      <c r="AA381" s="4" t="str">
        <f>LOOKUP($E381,OBRAS!$D:$D,OBRAS!H:H)</f>
        <v>SH-ED-16-028</v>
      </c>
    </row>
    <row r="382" spans="1:27" ht="45" x14ac:dyDescent="0.25">
      <c r="A382" s="90">
        <v>42611</v>
      </c>
      <c r="B382" s="56">
        <v>3305</v>
      </c>
      <c r="C382" s="49">
        <v>380</v>
      </c>
      <c r="D382" s="4" t="str">
        <f>LOOKUP($E382,OBRAS!$D:$D,OBRAS!C:C)</f>
        <v>SUPERVISION EXTERNA Y CONTROL DE CALIDAD PARA LA OBRA: RECONSTRUCCIÓN DEL CAMINO CALLE 12 SUR, HERMOSILLO, SONORA.</v>
      </c>
      <c r="E382" s="4" t="s">
        <v>419</v>
      </c>
      <c r="F382" s="4"/>
      <c r="G382" s="4" t="str">
        <f>LOOKUP($E382,OBRAS!$D:$D,OBRAS!E:E)</f>
        <v>C-00098/0022</v>
      </c>
      <c r="H382" s="80" t="s">
        <v>55</v>
      </c>
      <c r="I382" s="6">
        <v>106221.31</v>
      </c>
      <c r="J382" s="6"/>
      <c r="K382" s="6">
        <f t="shared" si="90"/>
        <v>10622.13</v>
      </c>
      <c r="L382" s="6">
        <f t="shared" si="82"/>
        <v>95599.18</v>
      </c>
      <c r="M382" s="6">
        <f t="shared" si="83"/>
        <v>15295.87</v>
      </c>
      <c r="N382" s="6">
        <f t="shared" si="84"/>
        <v>110895.05</v>
      </c>
      <c r="O382" s="6">
        <f t="shared" si="86"/>
        <v>308.05</v>
      </c>
      <c r="P382" s="6">
        <f t="shared" si="85"/>
        <v>110587</v>
      </c>
      <c r="Q382" s="4" t="str">
        <f>LOOKUP($E382,OBRAS!$D:$D,OBRAS!B:B)</f>
        <v>SEI TETRA, S. A. DE C. V.</v>
      </c>
      <c r="R382" s="4" t="str">
        <f>LOOKUP($E382,OBRAS!$D:$D,OBRAS!A:A)</f>
        <v>HERMOSILLO</v>
      </c>
      <c r="S382" s="4" t="str">
        <f>LOOKUP($E382,OBRAS!$D:$D,OBRAS!F:F)</f>
        <v>11000002002207E201K02104A622212161A013</v>
      </c>
      <c r="T382" s="4" t="str">
        <f>LOOKUP($E382,OBRAS!$D:$D,OBRAS!G:G)</f>
        <v>LICITACIÓN SIMPLIFICADA</v>
      </c>
      <c r="U382" s="4" t="s">
        <v>863</v>
      </c>
      <c r="V382" s="89">
        <v>42664</v>
      </c>
      <c r="W382" s="6">
        <f>LOOKUP($E382,OBRAS!$D:$D,OBRAS!K:K)</f>
        <v>703223.55</v>
      </c>
      <c r="X382" s="109">
        <f t="shared" si="87"/>
        <v>0.17519999999999999</v>
      </c>
      <c r="Y382" s="109">
        <f>ROUND(SUMIF(E:E,E382,X:X),2)</f>
        <v>1</v>
      </c>
      <c r="Z382" s="109">
        <f t="shared" si="89"/>
        <v>1</v>
      </c>
      <c r="AA382" s="4" t="str">
        <f>LOOKUP($E382,OBRAS!$D:$D,OBRAS!H:H)</f>
        <v>SH-ED-16-028</v>
      </c>
    </row>
    <row r="383" spans="1:27" ht="60" x14ac:dyDescent="0.25">
      <c r="A383" s="90">
        <v>42611</v>
      </c>
      <c r="B383" s="56">
        <v>3306</v>
      </c>
      <c r="C383" s="49">
        <v>381</v>
      </c>
      <c r="D383" s="4" t="str">
        <f>LOOKUP($E383,OBRAS!$D:$D,OBRAS!C:C)</f>
        <v>SUPERVISION EXTERNA Y CONTROL DE CALIDAD DE RECONSTRUCCION DEL CAMINO HERMOSILLO-BAHIA DE KINO EN VARIAS LOCALIADES DEL MUNICIPIO DE HERMOSILLO, SONORA.</v>
      </c>
      <c r="E383" s="4" t="s">
        <v>421</v>
      </c>
      <c r="F383" s="4"/>
      <c r="G383" s="4" t="str">
        <f>LOOKUP($E383,OBRAS!$D:$D,OBRAS!E:E)</f>
        <v>C-00098/0021</v>
      </c>
      <c r="H383" s="80" t="s">
        <v>103</v>
      </c>
      <c r="I383" s="6">
        <v>24550.79</v>
      </c>
      <c r="J383" s="6"/>
      <c r="K383" s="6">
        <f t="shared" si="90"/>
        <v>2455.08</v>
      </c>
      <c r="L383" s="6">
        <f t="shared" si="82"/>
        <v>22095.71</v>
      </c>
      <c r="M383" s="6">
        <f t="shared" si="83"/>
        <v>3535.31</v>
      </c>
      <c r="N383" s="6">
        <f t="shared" si="84"/>
        <v>25631.02</v>
      </c>
      <c r="O383" s="6">
        <f t="shared" si="86"/>
        <v>71.209999999999994</v>
      </c>
      <c r="P383" s="6">
        <f t="shared" si="85"/>
        <v>25559.81</v>
      </c>
      <c r="Q383" s="4" t="str">
        <f>LOOKUP($E383,OBRAS!$D:$D,OBRAS!B:B)</f>
        <v>SEI TETRA, S. A. DE C. V.</v>
      </c>
      <c r="R383" s="4" t="str">
        <f>LOOKUP($E383,OBRAS!$D:$D,OBRAS!A:A)</f>
        <v>HERMOSILLO</v>
      </c>
      <c r="S383" s="4" t="str">
        <f>LOOKUP($E383,OBRAS!$D:$D,OBRAS!F:F)</f>
        <v>11000002003501E203K03203A625132161A013</v>
      </c>
      <c r="T383" s="4" t="str">
        <f>LOOKUP($E383,OBRAS!$D:$D,OBRAS!G:G)</f>
        <v>CE-926006995-E49-2016</v>
      </c>
      <c r="U383" s="4" t="s">
        <v>863</v>
      </c>
      <c r="V383" s="89">
        <v>42671</v>
      </c>
      <c r="W383" s="6">
        <f>LOOKUP($E383,OBRAS!$D:$D,OBRAS!K:K)</f>
        <v>1146994.1499999999</v>
      </c>
      <c r="X383" s="109">
        <f t="shared" si="87"/>
        <v>2.4799999999999999E-2</v>
      </c>
      <c r="Y383" s="109">
        <f t="shared" ref="Y383:Y400" si="91">SUMIF(E:E,E383,X:X)</f>
        <v>1</v>
      </c>
      <c r="Z383" s="109">
        <f t="shared" si="89"/>
        <v>1</v>
      </c>
      <c r="AA383" s="4" t="str">
        <f>LOOKUP($E383,OBRAS!$D:$D,OBRAS!H:H)</f>
        <v>SH-ED-16-040</v>
      </c>
    </row>
    <row r="384" spans="1:27" ht="60" x14ac:dyDescent="0.25">
      <c r="A384" s="90">
        <v>42611</v>
      </c>
      <c r="B384" s="56">
        <v>3307</v>
      </c>
      <c r="C384" s="49">
        <v>382</v>
      </c>
      <c r="D384" s="4" t="str">
        <f>LOOKUP($E384,OBRAS!$D:$D,OBRAS!C:C)</f>
        <v>SUPERVISION EXTERNA Y CONTROL DE CALIDAD DE RECONSTRUCCION DEL CAMINO HERMOSILLO-BAHIA DE KINO EN VARIAS LOCALIADES DEL MUNICIPIO DE HERMOSILLO, SONORA.</v>
      </c>
      <c r="E384" s="4" t="s">
        <v>421</v>
      </c>
      <c r="F384" s="4"/>
      <c r="G384" s="4" t="str">
        <f>LOOKUP($E384,OBRAS!$D:$D,OBRAS!E:E)</f>
        <v>C-00098/0021</v>
      </c>
      <c r="H384" s="80" t="s">
        <v>221</v>
      </c>
      <c r="I384" s="6">
        <v>168303.26</v>
      </c>
      <c r="J384" s="6"/>
      <c r="K384" s="6">
        <f t="shared" si="90"/>
        <v>16830.330000000002</v>
      </c>
      <c r="L384" s="6">
        <f t="shared" si="82"/>
        <v>151472.93</v>
      </c>
      <c r="M384" s="6">
        <f t="shared" si="83"/>
        <v>24235.67</v>
      </c>
      <c r="N384" s="6">
        <f t="shared" si="84"/>
        <v>175708.6</v>
      </c>
      <c r="O384" s="6">
        <f t="shared" si="86"/>
        <v>488.08</v>
      </c>
      <c r="P384" s="6">
        <f t="shared" si="85"/>
        <v>175220.52</v>
      </c>
      <c r="Q384" s="4" t="str">
        <f>LOOKUP($E384,OBRAS!$D:$D,OBRAS!B:B)</f>
        <v>SEI TETRA, S. A. DE C. V.</v>
      </c>
      <c r="R384" s="4" t="str">
        <f>LOOKUP($E384,OBRAS!$D:$D,OBRAS!A:A)</f>
        <v>HERMOSILLO</v>
      </c>
      <c r="S384" s="4" t="str">
        <f>LOOKUP($E384,OBRAS!$D:$D,OBRAS!F:F)</f>
        <v>11000002003501E203K03203A625132161A013</v>
      </c>
      <c r="T384" s="4" t="str">
        <f>LOOKUP($E384,OBRAS!$D:$D,OBRAS!G:G)</f>
        <v>CE-926006995-E49-2016</v>
      </c>
      <c r="U384" s="4" t="s">
        <v>863</v>
      </c>
      <c r="V384" s="89">
        <v>42671</v>
      </c>
      <c r="W384" s="6">
        <f>LOOKUP($E384,OBRAS!$D:$D,OBRAS!K:K)</f>
        <v>1146994.1499999999</v>
      </c>
      <c r="X384" s="109">
        <f t="shared" si="87"/>
        <v>0.17019999999999999</v>
      </c>
      <c r="Y384" s="109">
        <f t="shared" si="91"/>
        <v>1</v>
      </c>
      <c r="Z384" s="109">
        <f t="shared" si="89"/>
        <v>1</v>
      </c>
      <c r="AA384" s="4" t="str">
        <f>LOOKUP($E384,OBRAS!$D:$D,OBRAS!H:H)</f>
        <v>SH-ED-16-040</v>
      </c>
    </row>
    <row r="385" spans="1:27" ht="60" x14ac:dyDescent="0.25">
      <c r="A385" s="90">
        <v>42611</v>
      </c>
      <c r="B385" s="56">
        <v>3308</v>
      </c>
      <c r="C385" s="49">
        <v>383</v>
      </c>
      <c r="D385" s="4" t="str">
        <f>LOOKUP($E385,OBRAS!$D:$D,OBRAS!C:C)</f>
        <v>SUPERVISION EXTERNA Y CONTROL DE CALIDAD DE RECONSTRUCCION DEL CAMINO HERMOSILLO-BAHIA DE KINO EN VARIAS LOCALIADES DEL MUNICIPIO DE HERMOSILLO, SONORA.</v>
      </c>
      <c r="E385" s="4" t="s">
        <v>421</v>
      </c>
      <c r="F385" s="4"/>
      <c r="G385" s="4" t="str">
        <f>LOOKUP($E385,OBRAS!$D:$D,OBRAS!E:E)</f>
        <v>C-00098/0021</v>
      </c>
      <c r="H385" s="80" t="s">
        <v>55</v>
      </c>
      <c r="I385" s="6">
        <v>164796.85</v>
      </c>
      <c r="J385" s="6"/>
      <c r="K385" s="6">
        <f t="shared" si="90"/>
        <v>16479.689999999999</v>
      </c>
      <c r="L385" s="6">
        <f t="shared" si="82"/>
        <v>148317.16</v>
      </c>
      <c r="M385" s="6">
        <f t="shared" si="83"/>
        <v>23730.75</v>
      </c>
      <c r="N385" s="6">
        <f t="shared" si="84"/>
        <v>172047.91</v>
      </c>
      <c r="O385" s="6">
        <f t="shared" si="86"/>
        <v>477.91</v>
      </c>
      <c r="P385" s="6">
        <f t="shared" si="85"/>
        <v>171570</v>
      </c>
      <c r="Q385" s="4" t="str">
        <f>LOOKUP($E385,OBRAS!$D:$D,OBRAS!B:B)</f>
        <v>SEI TETRA, S. A. DE C. V.</v>
      </c>
      <c r="R385" s="4" t="str">
        <f>LOOKUP($E385,OBRAS!$D:$D,OBRAS!A:A)</f>
        <v>HERMOSILLO</v>
      </c>
      <c r="S385" s="4" t="str">
        <f>LOOKUP($E385,OBRAS!$D:$D,OBRAS!F:F)</f>
        <v>11000002003501E203K03203A625132161A013</v>
      </c>
      <c r="T385" s="4" t="str">
        <f>LOOKUP($E385,OBRAS!$D:$D,OBRAS!G:G)</f>
        <v>CE-926006995-E49-2016</v>
      </c>
      <c r="U385" s="4" t="s">
        <v>863</v>
      </c>
      <c r="V385" s="89">
        <v>42671</v>
      </c>
      <c r="W385" s="6">
        <f>LOOKUP($E385,OBRAS!$D:$D,OBRAS!K:K)</f>
        <v>1146994.1499999999</v>
      </c>
      <c r="X385" s="109">
        <f t="shared" si="87"/>
        <v>0.16669999999999999</v>
      </c>
      <c r="Y385" s="109">
        <f t="shared" si="91"/>
        <v>1</v>
      </c>
      <c r="Z385" s="109">
        <f t="shared" si="89"/>
        <v>1</v>
      </c>
      <c r="AA385" s="4" t="str">
        <f>LOOKUP($E385,OBRAS!$D:$D,OBRAS!H:H)</f>
        <v>SH-ED-16-040</v>
      </c>
    </row>
    <row r="386" spans="1:27" ht="30" x14ac:dyDescent="0.25">
      <c r="A386" s="90">
        <v>42611</v>
      </c>
      <c r="B386" s="56">
        <v>3309</v>
      </c>
      <c r="C386" s="49">
        <v>384</v>
      </c>
      <c r="D386" s="4" t="str">
        <f>LOOKUP($E386,OBRAS!$D:$D,OBRAS!C:C)</f>
        <v>CONSERVACION Y RECONSTRUCCION DE LA VIALIDAD YAQUI-MAYO</v>
      </c>
      <c r="E386" s="4" t="s">
        <v>570</v>
      </c>
      <c r="F386" s="4"/>
      <c r="G386" s="4" t="str">
        <f>LOOKUP($E386,OBRAS!$D:$D,OBRAS!E:E)</f>
        <v>C-00054/0063</v>
      </c>
      <c r="H386" s="80" t="s">
        <v>103</v>
      </c>
      <c r="I386" s="6">
        <v>7185122.4299999997</v>
      </c>
      <c r="J386" s="6"/>
      <c r="K386" s="6">
        <f>ROUND(I386*0.3,2)</f>
        <v>2155536.73</v>
      </c>
      <c r="L386" s="6">
        <f t="shared" si="82"/>
        <v>5029585.7</v>
      </c>
      <c r="M386" s="6">
        <f t="shared" si="83"/>
        <v>804733.71</v>
      </c>
      <c r="N386" s="6">
        <f t="shared" si="84"/>
        <v>5834319.4100000001</v>
      </c>
      <c r="O386" s="6">
        <f>+ROUND(I386*0.002,2)+ROUND(I386*0.0003,2)+ROUND(I386*0.0003,2)+ROUND(I386*0.0003,2)+ROUND(I386*0.002,2)</f>
        <v>35207.1</v>
      </c>
      <c r="P386" s="6">
        <f t="shared" si="85"/>
        <v>5799112.3099999996</v>
      </c>
      <c r="Q386" s="4" t="str">
        <f>LOOKUP($E386,OBRAS!$D:$D,OBRAS!B:B)</f>
        <v>GRUPO MESIS, S.A. DE C.V.</v>
      </c>
      <c r="R386" s="4" t="str">
        <f>LOOKUP($E386,OBRAS!$D:$D,OBRAS!A:A)</f>
        <v>VARIOS</v>
      </c>
      <c r="S386" s="4" t="str">
        <f>LOOKUP($E386,OBRAS!$D:$D,OBRAS!F:F)</f>
        <v>11000002003501E204K08063A625012162A213</v>
      </c>
      <c r="T386" s="4" t="str">
        <f>LOOKUP($E386,OBRAS!$D:$D,OBRAS!G:G)</f>
        <v>CE-926006995-E27-2016</v>
      </c>
      <c r="U386" s="4" t="s">
        <v>863</v>
      </c>
      <c r="V386" s="89">
        <v>42685</v>
      </c>
      <c r="W386" s="6">
        <f>LOOKUP($E386,OBRAS!$D:$D,OBRAS!K:K)</f>
        <v>24023981.969999999</v>
      </c>
      <c r="X386" s="109">
        <f t="shared" si="87"/>
        <v>0.34689999999999999</v>
      </c>
      <c r="Y386" s="109">
        <f t="shared" si="91"/>
        <v>0.99150000000000005</v>
      </c>
      <c r="Z386" s="109">
        <f t="shared" si="89"/>
        <v>0.99160000000000004</v>
      </c>
      <c r="AA386" s="4" t="str">
        <f>LOOKUP($E386,OBRAS!$D:$D,OBRAS!H:H)</f>
        <v>SH-ED-17-R-013</v>
      </c>
    </row>
    <row r="387" spans="1:27" ht="30" x14ac:dyDescent="0.25">
      <c r="C387" s="95">
        <v>385</v>
      </c>
      <c r="D387" s="4" t="s">
        <v>801</v>
      </c>
      <c r="E387" s="4"/>
      <c r="F387" s="4"/>
      <c r="G387" s="4" t="e">
        <f>LOOKUP($E387,OBRAS!$D:$D,OBRAS!E:E)</f>
        <v>#N/A</v>
      </c>
      <c r="H387" s="80" t="s">
        <v>23</v>
      </c>
      <c r="I387" s="6">
        <f>N387/1.16</f>
        <v>8518690.3499999996</v>
      </c>
      <c r="J387" s="6"/>
      <c r="K387" s="6"/>
      <c r="L387" s="6">
        <f t="shared" si="82"/>
        <v>8518690.3499999996</v>
      </c>
      <c r="M387" s="6">
        <f t="shared" si="83"/>
        <v>1362990.46</v>
      </c>
      <c r="N387" s="6">
        <v>9881680.8100000005</v>
      </c>
      <c r="O387" s="6"/>
      <c r="P387" s="6">
        <f t="shared" si="85"/>
        <v>9881680.8100000005</v>
      </c>
      <c r="Q387" s="4"/>
      <c r="R387" s="4"/>
      <c r="S387" s="4"/>
      <c r="T387" s="4"/>
      <c r="U387" s="4"/>
      <c r="V387" s="4"/>
      <c r="W387" s="6"/>
      <c r="X387" s="109" t="str">
        <f t="shared" si="87"/>
        <v/>
      </c>
      <c r="Y387" s="109">
        <f t="shared" si="91"/>
        <v>0</v>
      </c>
      <c r="Z387" s="109" t="e">
        <f t="shared" si="89"/>
        <v>#DIV/0!</v>
      </c>
      <c r="AA387" s="4"/>
    </row>
    <row r="388" spans="1:27" ht="45" x14ac:dyDescent="0.25">
      <c r="A388" s="90">
        <v>42612</v>
      </c>
      <c r="B388" s="56">
        <v>3339</v>
      </c>
      <c r="C388" s="49">
        <v>386</v>
      </c>
      <c r="D388" s="4" t="str">
        <f>LOOKUP($E388,OBRAS!$D:$D,OBRAS!C:C)</f>
        <v>RECONSTRUCCION DEL CAMINO CALLE 12 SUR EN VARIAS LOCALIDADES, MUNICIPIO DE HERMOSILLO, SONORA</v>
      </c>
      <c r="E388" s="4" t="s">
        <v>524</v>
      </c>
      <c r="F388" s="4"/>
      <c r="G388" s="4" t="str">
        <f>LOOKUP($E388,OBRAS!$D:$D,OBRAS!E:E)</f>
        <v>C-00054/0025</v>
      </c>
      <c r="H388" s="80" t="s">
        <v>55</v>
      </c>
      <c r="I388" s="6">
        <v>3712717.57</v>
      </c>
      <c r="J388" s="6"/>
      <c r="K388" s="6">
        <f>ROUND(I388*0.3,2)</f>
        <v>1113815.27</v>
      </c>
      <c r="L388" s="6">
        <f t="shared" si="82"/>
        <v>2598902.2999999998</v>
      </c>
      <c r="M388" s="6">
        <f t="shared" si="83"/>
        <v>415824.37</v>
      </c>
      <c r="N388" s="6">
        <f t="shared" ref="N388:N407" si="92">M388+L388</f>
        <v>3014726.67</v>
      </c>
      <c r="O388" s="6">
        <f>+ROUND(I388*0.002,2)+ROUND(I388*0.0003,2)+ROUND(I388*0.0003,2)+ROUND(I388*0.0003,2)+ROUND(I388*0.002,2)</f>
        <v>18192.34</v>
      </c>
      <c r="P388" s="6">
        <f t="shared" si="85"/>
        <v>2996534.33</v>
      </c>
      <c r="Q388" s="4" t="str">
        <f>LOOKUP($E388,OBRAS!$D:$D,OBRAS!B:B)</f>
        <v>GALEONEZS LM CONSTRUCCIONES, S. A. DE C. V.</v>
      </c>
      <c r="R388" s="4" t="str">
        <f>LOOKUP($E388,OBRAS!$D:$D,OBRAS!A:A)</f>
        <v>HERMOSILLO</v>
      </c>
      <c r="S388" s="4" t="str">
        <f>LOOKUP($E388,OBRAS!$D:$D,OBRAS!F:F)</f>
        <v>11000002003501E204K08063A625012162A207</v>
      </c>
      <c r="T388" s="4" t="str">
        <f>LOOKUP($E388,OBRAS!$D:$D,OBRAS!G:G)</f>
        <v>CE-926006995-E6-2016</v>
      </c>
      <c r="U388" s="4" t="s">
        <v>863</v>
      </c>
      <c r="V388" s="89">
        <v>42653</v>
      </c>
      <c r="W388" s="6">
        <f>LOOKUP($E388,OBRAS!$D:$D,OBRAS!K:K)</f>
        <v>22955014.68</v>
      </c>
      <c r="X388" s="109">
        <f t="shared" si="87"/>
        <v>0.18759999999999999</v>
      </c>
      <c r="Y388" s="109">
        <f t="shared" si="91"/>
        <v>0.98119999999999996</v>
      </c>
      <c r="Z388" s="109">
        <f t="shared" si="89"/>
        <v>0.9869</v>
      </c>
      <c r="AA388" s="4" t="str">
        <f>LOOKUP($E388,OBRAS!$D:$D,OBRAS!H:H)</f>
        <v>SH-ED-17-R-013</v>
      </c>
    </row>
    <row r="389" spans="1:27" ht="60" x14ac:dyDescent="0.25">
      <c r="A389" s="90">
        <v>42613</v>
      </c>
      <c r="B389" s="56">
        <v>3369</v>
      </c>
      <c r="C389" s="49">
        <v>387</v>
      </c>
      <c r="D389" s="4" t="str">
        <f>LOOKUP($E389,OBRAS!$D:$D,OBRAS!C:C)</f>
        <v>PROYECTO DE DESARROLLO TURISTICO PARA EL ESTADO DE SONORA( REHABILITACION DE PLAYA PUBLICA MIRAMAR) EN LA LOCALIDAD Y MUNICIPIO DE GUAYMAS, SONORA</v>
      </c>
      <c r="E389" s="4" t="s">
        <v>51</v>
      </c>
      <c r="F389" s="4" t="s">
        <v>248</v>
      </c>
      <c r="G389" s="4" t="str">
        <f>LOOKUP($E389,OBRAS!$D:$D,OBRAS!E:E)</f>
        <v>C-00053/0001</v>
      </c>
      <c r="H389" s="80" t="s">
        <v>15</v>
      </c>
      <c r="I389" s="6">
        <v>460901.01</v>
      </c>
      <c r="J389" s="6"/>
      <c r="K389" s="6">
        <f>ROUND(I389*0.4,2)</f>
        <v>184360.4</v>
      </c>
      <c r="L389" s="6">
        <f t="shared" si="82"/>
        <v>276540.61</v>
      </c>
      <c r="M389" s="6">
        <f t="shared" si="83"/>
        <v>44246.5</v>
      </c>
      <c r="N389" s="6">
        <f t="shared" si="92"/>
        <v>320787.11</v>
      </c>
      <c r="O389" s="6">
        <f>+ROUND(I389*0.005,2)</f>
        <v>2304.5100000000002</v>
      </c>
      <c r="P389" s="6">
        <f t="shared" si="85"/>
        <v>318482.59999999998</v>
      </c>
      <c r="Q389" s="4" t="str">
        <f>LOOKUP($E389,OBRAS!$D:$D,OBRAS!B:B)</f>
        <v>HEMONT CONSTRUCTORA S.A. DE C.V.</v>
      </c>
      <c r="R389" s="4" t="str">
        <f>LOOKUP($E389,OBRAS!$D:$D,OBRAS!A:A)</f>
        <v>GUAYMAS</v>
      </c>
      <c r="S389" s="4" t="str">
        <f>LOOKUP($E389,OBRAS!$D:$D,OBRAS!F:F)</f>
        <v>11000002003701E306K05101A612092161A010</v>
      </c>
      <c r="T389" s="4" t="str">
        <f>LOOKUP($E389,OBRAS!$D:$D,OBRAS!G:G)</f>
        <v>LO-926006995-N145-2014</v>
      </c>
      <c r="U389" s="4" t="s">
        <v>863</v>
      </c>
      <c r="V389" s="89">
        <v>42664</v>
      </c>
      <c r="W389" s="6">
        <f>LOOKUP($E389,OBRAS!$D:$D,OBRAS!K:K)</f>
        <v>24243908.91</v>
      </c>
      <c r="X389" s="109">
        <f t="shared" si="87"/>
        <v>2.2100000000000002E-2</v>
      </c>
      <c r="Y389" s="109">
        <f t="shared" si="91"/>
        <v>0.1794</v>
      </c>
      <c r="Z389" s="109">
        <f t="shared" si="89"/>
        <v>0.1076</v>
      </c>
      <c r="AA389" s="4" t="str">
        <f>LOOKUP($E389,OBRAS!$D:$D,OBRAS!H:H)</f>
        <v>SH-ED-16-R-005</v>
      </c>
    </row>
    <row r="390" spans="1:27" ht="45" x14ac:dyDescent="0.25">
      <c r="A390" s="90">
        <v>42613</v>
      </c>
      <c r="B390" s="56">
        <v>3370</v>
      </c>
      <c r="C390" s="49">
        <v>388</v>
      </c>
      <c r="D390" s="4" t="str">
        <f>LOOKUP($E390,OBRAS!$D:$D,OBRAS!C:C)</f>
        <v>RECONSTRUCCIÓN DEL CAMINO CALLE 16 EN VARIAS LOCALIDADES DEL MUNICIPIO DE CAJEME, SONORA.</v>
      </c>
      <c r="E390" s="4" t="s">
        <v>394</v>
      </c>
      <c r="F390" s="4" t="s">
        <v>401</v>
      </c>
      <c r="G390" s="4" t="str">
        <f>LOOKUP($E390,OBRAS!$D:$D,OBRAS!E:E)</f>
        <v>C-00054/0021</v>
      </c>
      <c r="H390" s="80" t="s">
        <v>15</v>
      </c>
      <c r="I390" s="6">
        <v>3300475.53</v>
      </c>
      <c r="J390" s="6"/>
      <c r="K390" s="6">
        <f>ROUND(I390*0.3,2)</f>
        <v>990142.66</v>
      </c>
      <c r="L390" s="6">
        <f t="shared" si="82"/>
        <v>2310332.87</v>
      </c>
      <c r="M390" s="6">
        <f t="shared" si="83"/>
        <v>369653.26</v>
      </c>
      <c r="N390" s="6">
        <f t="shared" si="92"/>
        <v>2679986.13</v>
      </c>
      <c r="O390" s="6">
        <f>+ROUND(I390*0.002,2)+ROUND(I390*0.0003,2)+ROUND(I390*0.0003,2)+ROUND(I390*0.0003,2)+ROUND(I390*0.002,2)</f>
        <v>16172.32</v>
      </c>
      <c r="P390" s="6">
        <f t="shared" si="85"/>
        <v>2663813.81</v>
      </c>
      <c r="Q390" s="4" t="str">
        <f>LOOKUP($E390,OBRAS!$D:$D,OBRAS!B:B)</f>
        <v>TEKTON INGENIERIA, S.A. DE C.V.</v>
      </c>
      <c r="R390" s="4" t="str">
        <f>LOOKUP($E390,OBRAS!$D:$D,OBRAS!A:A)</f>
        <v>CAJEME</v>
      </c>
      <c r="S390" s="4" t="str">
        <f>LOOKUP($E390,OBRAS!$D:$D,OBRAS!F:F)</f>
        <v>11000002003501E203K03203A625012162A211</v>
      </c>
      <c r="T390" s="4" t="str">
        <f>LOOKUP($E390,OBRAS!$D:$D,OBRAS!G:G)</f>
        <v>CE-926006995-E3-2016</v>
      </c>
      <c r="U390" s="4" t="s">
        <v>863</v>
      </c>
      <c r="V390" s="89">
        <v>42656</v>
      </c>
      <c r="W390" s="6">
        <f>LOOKUP($E390,OBRAS!$D:$D,OBRAS!K:K)</f>
        <v>26465400</v>
      </c>
      <c r="X390" s="109">
        <f t="shared" si="87"/>
        <v>0.1447</v>
      </c>
      <c r="Y390" s="109">
        <f t="shared" si="91"/>
        <v>1</v>
      </c>
      <c r="Z390" s="109">
        <f t="shared" si="89"/>
        <v>1</v>
      </c>
      <c r="AA390" s="4" t="str">
        <f>LOOKUP($E390,OBRAS!$D:$D,OBRAS!H:H)</f>
        <v>SH-ED-17-R-013</v>
      </c>
    </row>
    <row r="391" spans="1:27" ht="45" x14ac:dyDescent="0.25">
      <c r="A391" s="90">
        <v>42613</v>
      </c>
      <c r="B391" s="56">
        <v>3371</v>
      </c>
      <c r="C391" s="49">
        <v>389</v>
      </c>
      <c r="D391" s="4" t="str">
        <f>LOOKUP($E391,OBRAS!$D:$D,OBRAS!C:C)</f>
        <v>SUPERVISION EXTERNA Y CONTROL DE CALIDAD DE LA RECONSTRUCCION DE CALLE 26, DEL KM 70+000 AL KM 101+300, HERMOSILLO</v>
      </c>
      <c r="E391" s="4" t="s">
        <v>678</v>
      </c>
      <c r="F391" s="4"/>
      <c r="G391" s="4" t="str">
        <f>LOOKUP($E391,OBRAS!$D:$D,OBRAS!E:E)</f>
        <v>C-00098/0022</v>
      </c>
      <c r="H391" s="80" t="s">
        <v>103</v>
      </c>
      <c r="I391" s="6">
        <v>54422.8</v>
      </c>
      <c r="J391" s="6"/>
      <c r="K391" s="6">
        <f>ROUND(I391*0.1,2)</f>
        <v>5442.28</v>
      </c>
      <c r="L391" s="6">
        <f t="shared" si="82"/>
        <v>48980.52</v>
      </c>
      <c r="M391" s="6">
        <f t="shared" si="83"/>
        <v>7836.88</v>
      </c>
      <c r="N391" s="6">
        <f t="shared" si="92"/>
        <v>56817.4</v>
      </c>
      <c r="O391" s="6">
        <f>+ROUND(I391*0.002,2)+ROUND(I391*0.0003,2)+ROUND(I391*0.0003,2)+ROUND(I391*0.0003,2)</f>
        <v>157.84</v>
      </c>
      <c r="P391" s="6">
        <f t="shared" si="85"/>
        <v>56659.56</v>
      </c>
      <c r="Q391" s="4" t="str">
        <f>LOOKUP($E391,OBRAS!$D:$D,OBRAS!B:B)</f>
        <v>GM3 INGENIERIA Y SERVICIOS, S. DE R.L. DE C.V.</v>
      </c>
      <c r="R391" s="4" t="str">
        <f>LOOKUP($E391,OBRAS!$D:$D,OBRAS!A:A)</f>
        <v>HERMOSILLO</v>
      </c>
      <c r="S391" s="4" t="str">
        <f>LOOKUP($E391,OBRAS!$D:$D,OBRAS!F:F)</f>
        <v>11000002002207E201K02104A622212161A013</v>
      </c>
      <c r="T391" s="4" t="str">
        <f>LOOKUP($E391,OBRAS!$D:$D,OBRAS!G:G)</f>
        <v>CE-926006995-E69-2016</v>
      </c>
      <c r="U391" s="4" t="s">
        <v>863</v>
      </c>
      <c r="V391" s="89">
        <v>42664</v>
      </c>
      <c r="W391" s="6">
        <f>LOOKUP($E391,OBRAS!$D:$D,OBRAS!K:K)</f>
        <v>1369447.44</v>
      </c>
      <c r="X391" s="109">
        <f t="shared" si="87"/>
        <v>4.6100000000000002E-2</v>
      </c>
      <c r="Y391" s="109">
        <f t="shared" si="91"/>
        <v>1.0639000000000001</v>
      </c>
      <c r="Z391" s="109">
        <f t="shared" si="89"/>
        <v>1.0638000000000001</v>
      </c>
      <c r="AA391" s="4" t="str">
        <f>LOOKUP($E391,OBRAS!$D:$D,OBRAS!H:H)</f>
        <v>SH-ED-16-066</v>
      </c>
    </row>
    <row r="392" spans="1:27" ht="45" x14ac:dyDescent="0.25">
      <c r="A392" s="90">
        <v>42613</v>
      </c>
      <c r="B392" s="56">
        <v>3372</v>
      </c>
      <c r="C392" s="49">
        <v>390</v>
      </c>
      <c r="D392" s="4" t="str">
        <f>LOOKUP($E392,OBRAS!$D:$D,OBRAS!C:C)</f>
        <v>SUPERVISION EXTERNA Y CONTROL DE CALIDAD DE LA RECONSTRUCCION DE CALLE 26, DEL KM 70+000 AL KM 101+300, HERMOSILLO</v>
      </c>
      <c r="E392" s="4" t="s">
        <v>678</v>
      </c>
      <c r="F392" s="4"/>
      <c r="G392" s="4" t="str">
        <f>LOOKUP($E392,OBRAS!$D:$D,OBRAS!E:E)</f>
        <v>C-00098/0022</v>
      </c>
      <c r="H392" s="80" t="s">
        <v>221</v>
      </c>
      <c r="I392" s="6">
        <v>196759.69</v>
      </c>
      <c r="J392" s="6"/>
      <c r="K392" s="6">
        <f>ROUND(I392*0.1,2)</f>
        <v>19675.97</v>
      </c>
      <c r="L392" s="6">
        <f t="shared" si="82"/>
        <v>177083.72</v>
      </c>
      <c r="M392" s="6">
        <f t="shared" si="83"/>
        <v>28333.4</v>
      </c>
      <c r="N392" s="6">
        <f t="shared" si="92"/>
        <v>205417.12</v>
      </c>
      <c r="O392" s="6">
        <f>+ROUND(I392*0.002,2)+ROUND(I392*0.0003,2)+ROUND(I392*0.0003,2)+ROUND(I392*0.0003,2)</f>
        <v>570.61</v>
      </c>
      <c r="P392" s="6">
        <f t="shared" si="85"/>
        <v>204846.51</v>
      </c>
      <c r="Q392" s="4" t="str">
        <f>LOOKUP($E392,OBRAS!$D:$D,OBRAS!B:B)</f>
        <v>GM3 INGENIERIA Y SERVICIOS, S. DE R.L. DE C.V.</v>
      </c>
      <c r="R392" s="4" t="str">
        <f>LOOKUP($E392,OBRAS!$D:$D,OBRAS!A:A)</f>
        <v>HERMOSILLO</v>
      </c>
      <c r="S392" s="4" t="str">
        <f>LOOKUP($E392,OBRAS!$D:$D,OBRAS!F:F)</f>
        <v>11000002002207E201K02104A622212161A013</v>
      </c>
      <c r="T392" s="4" t="str">
        <f>LOOKUP($E392,OBRAS!$D:$D,OBRAS!G:G)</f>
        <v>CE-926006995-E69-2016</v>
      </c>
      <c r="U392" s="4" t="s">
        <v>863</v>
      </c>
      <c r="V392" s="89">
        <v>42671</v>
      </c>
      <c r="W392" s="6">
        <f>LOOKUP($E392,OBRAS!$D:$D,OBRAS!K:K)</f>
        <v>1369447.44</v>
      </c>
      <c r="X392" s="109">
        <f t="shared" si="87"/>
        <v>0.16669999999999999</v>
      </c>
      <c r="Y392" s="109">
        <f t="shared" si="91"/>
        <v>1.0639000000000001</v>
      </c>
      <c r="Z392" s="109">
        <f t="shared" si="89"/>
        <v>1.0638000000000001</v>
      </c>
      <c r="AA392" s="4" t="str">
        <f>LOOKUP($E392,OBRAS!$D:$D,OBRAS!H:H)</f>
        <v>SH-ED-16-066</v>
      </c>
    </row>
    <row r="393" spans="1:27" ht="60" x14ac:dyDescent="0.25">
      <c r="A393" s="90">
        <v>42613</v>
      </c>
      <c r="B393" s="56">
        <v>3374</v>
      </c>
      <c r="C393" s="49">
        <v>391</v>
      </c>
      <c r="D393" s="4" t="str">
        <f>LOOKUP($E393,OBRAS!$D:$D,OBRAS!C:C)</f>
        <v>SUPERVISION EXTERNA Y CONTROL DE CALIDAD DE LA RECONSTRUCCION DE CALLE 28 NORTE, DEL KM 0 + 000 AL KM 10+160, Y DEL KM 17+210 AL 17+982, HERMOSILLO</v>
      </c>
      <c r="E393" s="4" t="s">
        <v>675</v>
      </c>
      <c r="F393" s="4"/>
      <c r="G393" s="4" t="str">
        <f>LOOKUP($E393,OBRAS!$D:$D,OBRAS!E:E)</f>
        <v>C-00098/0022</v>
      </c>
      <c r="H393" s="80" t="s">
        <v>221</v>
      </c>
      <c r="I393" s="6">
        <v>90338.33</v>
      </c>
      <c r="J393" s="6"/>
      <c r="K393" s="6">
        <f>ROUND(I393*0.1,2)</f>
        <v>9033.83</v>
      </c>
      <c r="L393" s="6">
        <f t="shared" si="82"/>
        <v>81304.5</v>
      </c>
      <c r="M393" s="6">
        <f t="shared" si="83"/>
        <v>13008.72</v>
      </c>
      <c r="N393" s="6">
        <f t="shared" si="92"/>
        <v>94313.22</v>
      </c>
      <c r="O393" s="6">
        <f>+ROUND(I393*0.002,2)+ROUND(I393*0.0003,2)+ROUND(I393*0.0003,2)+ROUND(I393*0.0003,2)</f>
        <v>261.98</v>
      </c>
      <c r="P393" s="6">
        <f t="shared" si="85"/>
        <v>94051.24</v>
      </c>
      <c r="Q393" s="4" t="str">
        <f>LOOKUP($E393,OBRAS!$D:$D,OBRAS!B:B)</f>
        <v>SATI CONSTRUCCIONES Y POYECTOS S.A. DE C.V.</v>
      </c>
      <c r="R393" s="4" t="str">
        <f>LOOKUP($E393,OBRAS!$D:$D,OBRAS!A:A)</f>
        <v>HERMOSILLO</v>
      </c>
      <c r="S393" s="4" t="str">
        <f>LOOKUP($E393,OBRAS!$D:$D,OBRAS!F:F)</f>
        <v>11000002002207E201K02104A622212161A013</v>
      </c>
      <c r="T393" s="4" t="str">
        <f>LOOKUP($E393,OBRAS!$D:$D,OBRAS!G:G)</f>
        <v>LICITACIÓN SIMPLIFICADA</v>
      </c>
      <c r="U393" s="4" t="s">
        <v>863</v>
      </c>
      <c r="V393" s="89">
        <v>42664</v>
      </c>
      <c r="W393" s="6">
        <f>LOOKUP($E393,OBRAS!$D:$D,OBRAS!K:K)</f>
        <v>608472.5</v>
      </c>
      <c r="X393" s="109">
        <f t="shared" si="87"/>
        <v>0.17219999999999999</v>
      </c>
      <c r="Y393" s="109">
        <f t="shared" si="91"/>
        <v>0.77780000000000005</v>
      </c>
      <c r="Z393" s="109">
        <f t="shared" si="89"/>
        <v>0.8</v>
      </c>
      <c r="AA393" s="4" t="str">
        <f>LOOKUP($E393,OBRAS!$D:$D,OBRAS!H:H)</f>
        <v>SH-ED-16-066</v>
      </c>
    </row>
    <row r="394" spans="1:27" ht="30" x14ac:dyDescent="0.25">
      <c r="A394" s="90">
        <v>42613</v>
      </c>
      <c r="B394" s="56">
        <v>3375</v>
      </c>
      <c r="C394" s="49">
        <v>392</v>
      </c>
      <c r="D394" s="4" t="str">
        <f>LOOKUP($E394,OBRAS!$D:$D,OBRAS!C:C)</f>
        <v>RECARPETEO CON MICROCARPETA ASFALTICA DE 3.0 CM DE ESPESOR EN VARIAS CALLES Y AVENIDAS</v>
      </c>
      <c r="E394" s="4" t="s">
        <v>528</v>
      </c>
      <c r="F394" s="4" t="s">
        <v>224</v>
      </c>
      <c r="G394" s="4" t="str">
        <f>LOOKUP($E394,OBRAS!$D:$D,OBRAS!E:E)</f>
        <v>C-00052/0170</v>
      </c>
      <c r="H394" s="80" t="s">
        <v>55</v>
      </c>
      <c r="I394" s="6">
        <v>182663.21</v>
      </c>
      <c r="J394" s="6"/>
      <c r="K394" s="6">
        <f>ROUND(I394*0.3,2)</f>
        <v>54798.96</v>
      </c>
      <c r="L394" s="6">
        <f t="shared" si="82"/>
        <v>127864.25</v>
      </c>
      <c r="M394" s="6">
        <f t="shared" si="83"/>
        <v>20458.28</v>
      </c>
      <c r="N394" s="6">
        <f t="shared" si="92"/>
        <v>148322.53</v>
      </c>
      <c r="O394" s="6">
        <f>+ROUND(I394*0.002,2)+ROUND(I394*0.0003,2)+ROUND(I394*0.0003,2)+ROUND(I394*0.0003,2)+ROUND(I394*0.002,2)</f>
        <v>895.06</v>
      </c>
      <c r="P394" s="6">
        <f t="shared" si="85"/>
        <v>147427.47</v>
      </c>
      <c r="Q394" s="4" t="str">
        <f>LOOKUP($E394,OBRAS!$D:$D,OBRAS!B:B)</f>
        <v>D'MARSELLA TERRACERIAS, S.A. DE C.V.</v>
      </c>
      <c r="R394" s="4" t="str">
        <f>LOOKUP($E394,OBRAS!$D:$D,OBRAS!A:A)</f>
        <v>CABORCA</v>
      </c>
      <c r="S394" s="4" t="str">
        <f>LOOKUP($E394,OBRAS!$D:$D,OBRAS!F:F)</f>
        <v>11000002002201E202K05186A614202162A203</v>
      </c>
      <c r="T394" s="4" t="str">
        <f>LOOKUP($E394,OBRAS!$D:$D,OBRAS!G:G)</f>
        <v>CE-926006995-E8-2016</v>
      </c>
      <c r="U394" s="4" t="s">
        <v>863</v>
      </c>
      <c r="V394" s="89">
        <v>42663</v>
      </c>
      <c r="W394" s="6">
        <f>LOOKUP($E394,OBRAS!$D:$D,OBRAS!K:K)</f>
        <v>28542774.780000001</v>
      </c>
      <c r="X394" s="109">
        <f t="shared" si="87"/>
        <v>7.4000000000000003E-3</v>
      </c>
      <c r="Y394" s="109">
        <f t="shared" si="91"/>
        <v>0.84140000000000004</v>
      </c>
      <c r="Z394" s="109">
        <f t="shared" si="89"/>
        <v>0.84140000000000004</v>
      </c>
      <c r="AA394" s="4" t="str">
        <f>LOOKUP($E394,OBRAS!$D:$D,OBRAS!H:H)</f>
        <v>SH-ED-17-R-013</v>
      </c>
    </row>
    <row r="395" spans="1:27" ht="45" x14ac:dyDescent="0.25">
      <c r="A395" s="90">
        <v>42613</v>
      </c>
      <c r="B395" s="56">
        <v>3376</v>
      </c>
      <c r="C395" s="49">
        <v>393</v>
      </c>
      <c r="D395" s="4" t="str">
        <f>LOOKUP($E395,OBRAS!$D:$D,OBRAS!C:C)</f>
        <v>CONSTRUCCION DE PARQUE DE ACCESO DEL MUSEO MUSAS EN LA LOCALIDAD Y MUNICIPIO DE HERMOSILLO</v>
      </c>
      <c r="E395" s="4" t="s">
        <v>89</v>
      </c>
      <c r="F395" s="4" t="s">
        <v>248</v>
      </c>
      <c r="G395" s="4" t="str">
        <f>LOOKUP($E395,OBRAS!$D:$D,OBRAS!E:E)</f>
        <v>C-00093/0010</v>
      </c>
      <c r="H395" s="80" t="s">
        <v>220</v>
      </c>
      <c r="I395" s="6">
        <v>1482406.03</v>
      </c>
      <c r="J395" s="6"/>
      <c r="K395" s="6">
        <f>ROUND(I395*0.4,2)</f>
        <v>592962.41</v>
      </c>
      <c r="L395" s="6">
        <f t="shared" si="82"/>
        <v>889443.62</v>
      </c>
      <c r="M395" s="6">
        <f t="shared" si="83"/>
        <v>142310.98000000001</v>
      </c>
      <c r="N395" s="6">
        <f t="shared" si="92"/>
        <v>1031754.6</v>
      </c>
      <c r="O395" s="6">
        <f>+ROUND(I395*0.005,2)</f>
        <v>7412.03</v>
      </c>
      <c r="P395" s="6">
        <f t="shared" si="85"/>
        <v>1024342.57</v>
      </c>
      <c r="Q395" s="4" t="str">
        <f>LOOKUP($E395,OBRAS!$D:$D,OBRAS!B:B)</f>
        <v>CONSTRUCTORES LISTABLANCA, S.A. DE C.V.</v>
      </c>
      <c r="R395" s="4" t="str">
        <f>LOOKUP($E395,OBRAS!$D:$D,OBRAS!A:A)</f>
        <v>HERMOSILLO</v>
      </c>
      <c r="S395" s="4" t="str">
        <f>LOOKUP($E395,OBRAS!$D:$D,OBRAS!F:F)</f>
        <v>11000002002402E406K06106A612012155GL07</v>
      </c>
      <c r="T395" s="4" t="str">
        <f>LOOKUP($E395,OBRAS!$D:$D,OBRAS!G:G)</f>
        <v>LO-926006995-N8-2015</v>
      </c>
      <c r="U395" s="4" t="s">
        <v>863</v>
      </c>
      <c r="V395" s="89">
        <v>42632</v>
      </c>
      <c r="W395" s="6">
        <f>LOOKUP($E395,OBRAS!$D:$D,OBRAS!K:K)</f>
        <v>10308275.199999999</v>
      </c>
      <c r="X395" s="109">
        <f t="shared" si="87"/>
        <v>0.1668</v>
      </c>
      <c r="Y395" s="109">
        <f t="shared" si="91"/>
        <v>1.0001</v>
      </c>
      <c r="Z395" s="109">
        <f t="shared" si="89"/>
        <v>0.6</v>
      </c>
      <c r="AA395" s="4" t="str">
        <f>LOOKUP($E395,OBRAS!$D:$D,OBRAS!H:H)</f>
        <v>SH-NC-16-R-007</v>
      </c>
    </row>
    <row r="396" spans="1:27" ht="60" x14ac:dyDescent="0.25">
      <c r="A396" s="90">
        <v>42613</v>
      </c>
      <c r="B396" s="56">
        <v>3377</v>
      </c>
      <c r="C396" s="49">
        <v>394</v>
      </c>
      <c r="D396" s="4" t="str">
        <f>LOOKUP($E396,OBRAS!$D:$D,OBRAS!C:C)</f>
        <v>SUPERVISION EXTERNA Y CONTROL DE CALIDAD DE LA OBRA RECONSTRUCCIÓN DEL CAMINO CALLE 16 EN VARIAS LOCALIDADES DEL MUNICIPIO DE CAJEME, SONORA.</v>
      </c>
      <c r="E396" s="4" t="s">
        <v>358</v>
      </c>
      <c r="F396" s="4"/>
      <c r="G396" s="4" t="str">
        <f>LOOKUP($E396,OBRAS!$D:$D,OBRAS!E:E)</f>
        <v>C-00098/0021</v>
      </c>
      <c r="H396" s="80" t="s">
        <v>103</v>
      </c>
      <c r="I396" s="6">
        <v>170065.74</v>
      </c>
      <c r="J396" s="6"/>
      <c r="K396" s="6">
        <f>ROUND(I396*0.1,2)</f>
        <v>17006.57</v>
      </c>
      <c r="L396" s="6">
        <f t="shared" si="82"/>
        <v>153059.17000000001</v>
      </c>
      <c r="M396" s="6">
        <f t="shared" si="83"/>
        <v>24489.47</v>
      </c>
      <c r="N396" s="6">
        <f t="shared" si="92"/>
        <v>177548.64</v>
      </c>
      <c r="O396" s="6">
        <f>+ROUND(I396*0.002,2)+ROUND(I396*0.0003,2)+ROUND(I396*0.0003,2)+ROUND(I396*0.0003,2)</f>
        <v>493.19</v>
      </c>
      <c r="P396" s="6">
        <f t="shared" si="85"/>
        <v>177055.45</v>
      </c>
      <c r="Q396" s="4" t="str">
        <f>LOOKUP($E396,OBRAS!$D:$D,OBRAS!B:B)</f>
        <v>PROTEKO DESARROLLOS E INFRAESTRUCTURA, S.A. DE C.V.</v>
      </c>
      <c r="R396" s="4" t="str">
        <f>LOOKUP($E396,OBRAS!$D:$D,OBRAS!A:A)</f>
        <v>CAJEME</v>
      </c>
      <c r="S396" s="4" t="str">
        <f>LOOKUP($E396,OBRAS!$D:$D,OBRAS!F:F)</f>
        <v>11000002003501E203K03203A625132161A013</v>
      </c>
      <c r="T396" s="4" t="str">
        <f>LOOKUP($E396,OBRAS!$D:$D,OBRAS!G:G)</f>
        <v>LICITACIÓN SIMPLIFICADA</v>
      </c>
      <c r="U396" s="4" t="s">
        <v>863</v>
      </c>
      <c r="V396" s="89">
        <v>42663</v>
      </c>
      <c r="W396" s="6">
        <f>LOOKUP($E396,OBRAS!$D:$D,OBRAS!K:K)</f>
        <v>789105.03</v>
      </c>
      <c r="X396" s="109">
        <f t="shared" si="87"/>
        <v>0.25</v>
      </c>
      <c r="Y396" s="109">
        <f t="shared" si="91"/>
        <v>1</v>
      </c>
      <c r="Z396" s="109">
        <f t="shared" si="89"/>
        <v>1</v>
      </c>
      <c r="AA396" s="4" t="str">
        <f>LOOKUP($E396,OBRAS!$D:$D,OBRAS!H:H)</f>
        <v>SH-ED-16-020</v>
      </c>
    </row>
    <row r="397" spans="1:27" ht="60" x14ac:dyDescent="0.25">
      <c r="A397" s="90">
        <v>42613</v>
      </c>
      <c r="B397" s="56">
        <v>3378</v>
      </c>
      <c r="C397" s="49">
        <v>395</v>
      </c>
      <c r="D397" s="4" t="str">
        <f>LOOKUP($E397,OBRAS!$D:$D,OBRAS!C:C)</f>
        <v>SUPERVISION EXTERNA Y CONTROL DE CALIDAD DE LA OBRA RECONSTRUCCIÓN DEL CAMINO CALLE 16 EN VARIAS LOCALIDADES DEL MUNICIPIO DE CAJEME, SONORA.</v>
      </c>
      <c r="E397" s="4" t="s">
        <v>358</v>
      </c>
      <c r="F397" s="4"/>
      <c r="G397" s="4" t="str">
        <f>LOOKUP($E397,OBRAS!$D:$D,OBRAS!E:E)</f>
        <v>C-00098/0021</v>
      </c>
      <c r="H397" s="80" t="s">
        <v>221</v>
      </c>
      <c r="I397" s="6">
        <v>170065.74</v>
      </c>
      <c r="J397" s="6"/>
      <c r="K397" s="6">
        <f>ROUND(I397*0.1,2)</f>
        <v>17006.57</v>
      </c>
      <c r="L397" s="6">
        <f t="shared" si="82"/>
        <v>153059.17000000001</v>
      </c>
      <c r="M397" s="6">
        <f t="shared" si="83"/>
        <v>24489.47</v>
      </c>
      <c r="N397" s="6">
        <f t="shared" si="92"/>
        <v>177548.64</v>
      </c>
      <c r="O397" s="6">
        <f>+ROUND(I397*0.002,2)+ROUND(I397*0.0003,2)+ROUND(I397*0.0003,2)+ROUND(I397*0.0003,2)</f>
        <v>493.19</v>
      </c>
      <c r="P397" s="6">
        <f t="shared" si="85"/>
        <v>177055.45</v>
      </c>
      <c r="Q397" s="4" t="str">
        <f>LOOKUP($E397,OBRAS!$D:$D,OBRAS!B:B)</f>
        <v>PROTEKO DESARROLLOS E INFRAESTRUCTURA, S.A. DE C.V.</v>
      </c>
      <c r="R397" s="4" t="str">
        <f>LOOKUP($E397,OBRAS!$D:$D,OBRAS!A:A)</f>
        <v>CAJEME</v>
      </c>
      <c r="S397" s="4" t="str">
        <f>LOOKUP($E397,OBRAS!$D:$D,OBRAS!F:F)</f>
        <v>11000002003501E203K03203A625132161A013</v>
      </c>
      <c r="T397" s="4" t="str">
        <f>LOOKUP($E397,OBRAS!$D:$D,OBRAS!G:G)</f>
        <v>LICITACIÓN SIMPLIFICADA</v>
      </c>
      <c r="U397" s="4" t="s">
        <v>863</v>
      </c>
      <c r="V397" s="89">
        <v>42663</v>
      </c>
      <c r="W397" s="6">
        <f>LOOKUP($E397,OBRAS!$D:$D,OBRAS!K:K)</f>
        <v>789105.03</v>
      </c>
      <c r="X397" s="109">
        <f t="shared" si="87"/>
        <v>0.25</v>
      </c>
      <c r="Y397" s="109">
        <f t="shared" si="91"/>
        <v>1</v>
      </c>
      <c r="Z397" s="109">
        <f t="shared" si="89"/>
        <v>1</v>
      </c>
      <c r="AA397" s="4" t="str">
        <f>LOOKUP($E397,OBRAS!$D:$D,OBRAS!H:H)</f>
        <v>SH-ED-16-020</v>
      </c>
    </row>
    <row r="398" spans="1:27" ht="30" x14ac:dyDescent="0.25">
      <c r="A398" s="90">
        <v>42613</v>
      </c>
      <c r="B398" s="56">
        <v>3379</v>
      </c>
      <c r="C398" s="49">
        <v>396</v>
      </c>
      <c r="D398" s="4" t="str">
        <f>LOOKUP($E398,OBRAS!$D:$D,OBRAS!C:C)</f>
        <v>RECONSTRUCCION DEL CAMINO HERMOSILLO-BAHIA DE KINO</v>
      </c>
      <c r="E398" s="4" t="s">
        <v>539</v>
      </c>
      <c r="F398" s="4" t="s">
        <v>401</v>
      </c>
      <c r="G398" s="4" t="str">
        <f>LOOKUP($E398,OBRAS!$D:$D,OBRAS!E:E)</f>
        <v>C-00054/0026</v>
      </c>
      <c r="H398" s="80" t="s">
        <v>221</v>
      </c>
      <c r="I398" s="6">
        <v>10724013.41</v>
      </c>
      <c r="J398" s="6"/>
      <c r="K398" s="6">
        <f>I398-L398</f>
        <v>4592047.0599999996</v>
      </c>
      <c r="L398" s="6">
        <v>6131966.3499999996</v>
      </c>
      <c r="M398" s="6">
        <f t="shared" si="83"/>
        <v>981114.62</v>
      </c>
      <c r="N398" s="6">
        <f t="shared" si="92"/>
        <v>7113080.9699999997</v>
      </c>
      <c r="O398" s="6">
        <f>+ROUND(I398*0.002,2)+ROUND(I398*0.0003,2)+ROUND(I398*0.0003,2)+ROUND(I398*0.0003,2)+ROUND(I398*0.002,2)</f>
        <v>52547.66</v>
      </c>
      <c r="P398" s="6">
        <f t="shared" si="85"/>
        <v>7060533.3099999996</v>
      </c>
      <c r="Q398" s="4" t="str">
        <f>LOOKUP($E398,OBRAS!$D:$D,OBRAS!B:B)</f>
        <v>REVAL DESARROLLOS Y MATERIALES, S.A. DE C.V.</v>
      </c>
      <c r="R398" s="4" t="str">
        <f>LOOKUP($E398,OBRAS!$D:$D,OBRAS!A:A)</f>
        <v>HERMOSILLO</v>
      </c>
      <c r="S398" s="4" t="str">
        <f>LOOKUP($E398,OBRAS!$D:$D,OBRAS!F:F)</f>
        <v>11000002003501E203K03204k08063A625012162A207</v>
      </c>
      <c r="T398" s="4" t="str">
        <f>LOOKUP($E398,OBRAS!$D:$D,OBRAS!G:G)</f>
        <v>CE-926006995-E13-2016</v>
      </c>
      <c r="U398" s="4" t="s">
        <v>863</v>
      </c>
      <c r="V398" s="89">
        <v>42653</v>
      </c>
      <c r="W398" s="6">
        <f>LOOKUP($E398,OBRAS!$D:$D,OBRAS!K:K)</f>
        <v>37981342.780000001</v>
      </c>
      <c r="X398" s="109">
        <f t="shared" si="87"/>
        <v>0.32750000000000001</v>
      </c>
      <c r="Y398" s="109">
        <f t="shared" si="91"/>
        <v>1</v>
      </c>
      <c r="Z398" s="109">
        <f t="shared" si="89"/>
        <v>1</v>
      </c>
      <c r="AA398" s="4" t="str">
        <f>LOOKUP($E398,OBRAS!$D:$D,OBRAS!H:H)</f>
        <v>SH-ED-17-R-013</v>
      </c>
    </row>
    <row r="399" spans="1:27" ht="30" x14ac:dyDescent="0.25">
      <c r="A399" s="90">
        <v>42613</v>
      </c>
      <c r="B399" s="56">
        <v>3380</v>
      </c>
      <c r="C399" s="49">
        <v>397</v>
      </c>
      <c r="D399" s="4" t="str">
        <f>LOOKUP($E399,OBRAS!$D:$D,OBRAS!C:C)</f>
        <v>CONSERVACION Y RECONSTRUCCION DE LA CARRETERA SAN IGNACIO-JUPATAHUECA</v>
      </c>
      <c r="E399" s="4" t="s">
        <v>558</v>
      </c>
      <c r="F399" s="4"/>
      <c r="G399" s="4" t="str">
        <f>LOOKUP($E399,OBRAS!$D:$D,OBRAS!E:E)</f>
        <v>C-00054/0064</v>
      </c>
      <c r="H399" s="80" t="s">
        <v>221</v>
      </c>
      <c r="I399" s="6">
        <v>6394754.2400000002</v>
      </c>
      <c r="J399" s="6"/>
      <c r="K399" s="6">
        <f>ROUND(I399*0.3,2)</f>
        <v>1918426.27</v>
      </c>
      <c r="L399" s="6">
        <f t="shared" ref="L399:L407" si="93">I399-K399</f>
        <v>4476327.97</v>
      </c>
      <c r="M399" s="6">
        <f t="shared" si="83"/>
        <v>716212.48</v>
      </c>
      <c r="N399" s="6">
        <f t="shared" si="92"/>
        <v>5192540.45</v>
      </c>
      <c r="O399" s="6">
        <f>+ROUND(I399*0.002,2)+ROUND(I399*0.0003,2)+ROUND(I399*0.0003,2)+ROUND(I399*0.0003,2)+ROUND(I399*0.002,2)</f>
        <v>31334.31</v>
      </c>
      <c r="P399" s="6">
        <f t="shared" si="85"/>
        <v>5161206.1399999997</v>
      </c>
      <c r="Q399" s="4" t="str">
        <f>LOOKUP($E399,OBRAS!$D:$D,OBRAS!B:B)</f>
        <v>GIBHER CONSTRUCTORES, S.A. DE C.V.</v>
      </c>
      <c r="R399" s="4" t="str">
        <f>LOOKUP($E399,OBRAS!$D:$D,OBRAS!A:A)</f>
        <v>VARIOS</v>
      </c>
      <c r="S399" s="4" t="str">
        <f>LOOKUP($E399,OBRAS!$D:$D,OBRAS!F:F)</f>
        <v>11000002003501E204K08063A625012162A213</v>
      </c>
      <c r="T399" s="4" t="str">
        <f>LOOKUP($E399,OBRAS!$D:$D,OBRAS!G:G)</f>
        <v>CE-926006995-E28-2016</v>
      </c>
      <c r="U399" s="4" t="s">
        <v>863</v>
      </c>
      <c r="V399" s="89">
        <v>42653</v>
      </c>
      <c r="W399" s="6">
        <f>LOOKUP($E399,OBRAS!$D:$D,OBRAS!K:K)</f>
        <v>20287001.809999999</v>
      </c>
      <c r="X399" s="109">
        <f t="shared" si="87"/>
        <v>0.36559999999999998</v>
      </c>
      <c r="Y399" s="109">
        <f t="shared" si="91"/>
        <v>0.99990000000000001</v>
      </c>
      <c r="Z399" s="109">
        <f t="shared" si="89"/>
        <v>1</v>
      </c>
      <c r="AA399" s="4" t="str">
        <f>LOOKUP($E399,OBRAS!$D:$D,OBRAS!H:H)</f>
        <v>SH-ED-17-R-013</v>
      </c>
    </row>
    <row r="400" spans="1:27" x14ac:dyDescent="0.25">
      <c r="C400" s="95">
        <v>398</v>
      </c>
      <c r="D400" s="4" t="s">
        <v>808</v>
      </c>
      <c r="E400" s="4"/>
      <c r="F400" s="4"/>
      <c r="G400" s="4" t="e">
        <f>LOOKUP($E400,OBRAS!$D:$D,OBRAS!E:E)</f>
        <v>#N/A</v>
      </c>
      <c r="H400" s="80"/>
      <c r="I400" s="6"/>
      <c r="J400" s="6"/>
      <c r="K400" s="6">
        <f>ROUND(I400*0.3,2)</f>
        <v>0</v>
      </c>
      <c r="L400" s="6">
        <f t="shared" si="93"/>
        <v>0</v>
      </c>
      <c r="M400" s="6">
        <f t="shared" si="83"/>
        <v>0</v>
      </c>
      <c r="N400" s="6">
        <f t="shared" si="92"/>
        <v>0</v>
      </c>
      <c r="O400" s="6">
        <f t="shared" ref="O400:O406" si="94">+ROUND(I400*0.002,2)+ROUND(I400*0.0003,2)+ROUND(I400*0.0003,2)+ROUND(I400*0.0003,2)</f>
        <v>0</v>
      </c>
      <c r="P400" s="6">
        <f t="shared" si="85"/>
        <v>0</v>
      </c>
      <c r="Q400" s="4" t="e">
        <f>LOOKUP($E400,OBRAS!$D:$D,OBRAS!B:B)</f>
        <v>#N/A</v>
      </c>
      <c r="R400" s="4" t="e">
        <f>LOOKUP($E400,OBRAS!$D:$D,OBRAS!A:A)</f>
        <v>#N/A</v>
      </c>
      <c r="S400" s="4" t="e">
        <f>LOOKUP($E400,OBRAS!$D:$D,OBRAS!F:F)</f>
        <v>#N/A</v>
      </c>
      <c r="T400" s="4" t="e">
        <f>LOOKUP($E400,OBRAS!$D:$D,OBRAS!G:G)</f>
        <v>#N/A</v>
      </c>
      <c r="U400" s="4"/>
      <c r="V400" s="4"/>
      <c r="W400" s="6" t="e">
        <f>LOOKUP($E400,OBRAS!$D:$D,OBRAS!K:K)</f>
        <v>#N/A</v>
      </c>
      <c r="X400" s="109" t="e">
        <f t="shared" si="87"/>
        <v>#N/A</v>
      </c>
      <c r="Y400" s="109">
        <f t="shared" si="91"/>
        <v>0</v>
      </c>
      <c r="Z400" s="109" t="e">
        <f t="shared" si="89"/>
        <v>#N/A</v>
      </c>
      <c r="AA400" s="4" t="e">
        <f>LOOKUP($E400,OBRAS!$D:$D,OBRAS!H:H)</f>
        <v>#N/A</v>
      </c>
    </row>
    <row r="401" spans="1:27" ht="60" x14ac:dyDescent="0.25">
      <c r="A401" s="90">
        <v>42713</v>
      </c>
      <c r="B401" s="56">
        <v>5694</v>
      </c>
      <c r="C401" s="49">
        <v>399</v>
      </c>
      <c r="D401" s="4" t="str">
        <f>LOOKUP($E401,OBRAS!$D:$D,OBRAS!C:C)</f>
        <v>SUPERVISION EXTERNA Y CONTROL DE CALIDAD DE LA CONSTRUCCION DE LA CARRETERA E.C. CALLE 4 SUR- (ALFREDO V. BONFIL) TRAMO DEL KM 1+700 AL KM 5+000</v>
      </c>
      <c r="E401" s="4" t="s">
        <v>809</v>
      </c>
      <c r="F401" s="4"/>
      <c r="G401" s="4" t="str">
        <f>LOOKUP($E401,OBRAS!$D:$D,OBRAS!E:E)</f>
        <v>C-00098/0021</v>
      </c>
      <c r="H401" s="80" t="s">
        <v>103</v>
      </c>
      <c r="I401" s="6">
        <v>166679.20000000001</v>
      </c>
      <c r="J401" s="6"/>
      <c r="K401" s="6">
        <f>ROUND(I401*0.1,2)</f>
        <v>16667.919999999998</v>
      </c>
      <c r="L401" s="6">
        <f t="shared" si="93"/>
        <v>150011.28</v>
      </c>
      <c r="M401" s="6">
        <f t="shared" si="83"/>
        <v>24001.8</v>
      </c>
      <c r="N401" s="6">
        <f t="shared" si="92"/>
        <v>174013.08</v>
      </c>
      <c r="O401" s="6">
        <f t="shared" si="94"/>
        <v>483.36</v>
      </c>
      <c r="P401" s="6">
        <f t="shared" si="85"/>
        <v>173529.72</v>
      </c>
      <c r="Q401" s="4" t="str">
        <f>LOOKUP($E401,OBRAS!$D:$D,OBRAS!B:B)</f>
        <v>SEI TETRA, S. A. DE C. V.</v>
      </c>
      <c r="R401" s="4" t="str">
        <f>LOOKUP($E401,OBRAS!$D:$D,OBRAS!A:A)</f>
        <v>VARIOS</v>
      </c>
      <c r="S401" s="4" t="str">
        <f>LOOKUP($E401,OBRAS!$D:$D,OBRAS!F:F)</f>
        <v>11000002003501E203K03203A625132161A013</v>
      </c>
      <c r="T401" s="4" t="str">
        <f>LOOKUP($E401,OBRAS!$D:$D,OBRAS!G:G)</f>
        <v>LICITACIÓN SIMPLIFICADA</v>
      </c>
      <c r="U401" s="4" t="s">
        <v>2238</v>
      </c>
      <c r="V401" s="89">
        <v>42713</v>
      </c>
      <c r="W401" s="6">
        <f>LOOKUP($E401,OBRAS!$D:$D,OBRAS!K:K)</f>
        <v>790968.61</v>
      </c>
      <c r="X401" s="109">
        <f t="shared" si="87"/>
        <v>0.24440000000000001</v>
      </c>
      <c r="Y401" s="109">
        <f>ROUND(SUMIF(E:E,E401,X:X),2)</f>
        <v>1</v>
      </c>
      <c r="Z401" s="109">
        <f t="shared" si="89"/>
        <v>1</v>
      </c>
      <c r="AA401" s="4" t="str">
        <f>LOOKUP($E401,OBRAS!$D:$D,OBRAS!H:H)</f>
        <v>SH-ED-16-051</v>
      </c>
    </row>
    <row r="402" spans="1:27" ht="60" x14ac:dyDescent="0.25">
      <c r="A402" s="90">
        <v>42713</v>
      </c>
      <c r="B402" s="56">
        <v>5695</v>
      </c>
      <c r="C402" s="49">
        <v>400</v>
      </c>
      <c r="D402" s="4" t="str">
        <f>LOOKUP($E402,OBRAS!$D:$D,OBRAS!C:C)</f>
        <v>SUPERVISION EXTERNA Y CONTROL DE CALIDAD DE LA CONSTRUCCION DE LA CARRETERA E.C. CALLE 4 SUR- (ALFREDO V. BONFIL) TRAMO DEL KM 1+700 AL KM 5+000</v>
      </c>
      <c r="E402" s="4" t="s">
        <v>809</v>
      </c>
      <c r="F402" s="4"/>
      <c r="G402" s="4" t="str">
        <f>LOOKUP($E402,OBRAS!$D:$D,OBRAS!E:E)</f>
        <v>C-00098/0021</v>
      </c>
      <c r="H402" s="80" t="s">
        <v>221</v>
      </c>
      <c r="I402" s="6">
        <v>234866.16</v>
      </c>
      <c r="J402" s="6"/>
      <c r="K402" s="6">
        <f>ROUND(I402*0.1,2)</f>
        <v>23486.62</v>
      </c>
      <c r="L402" s="6">
        <f t="shared" si="93"/>
        <v>211379.54</v>
      </c>
      <c r="M402" s="6">
        <f t="shared" si="83"/>
        <v>33820.730000000003</v>
      </c>
      <c r="N402" s="6">
        <f t="shared" si="92"/>
        <v>245200.27</v>
      </c>
      <c r="O402" s="6">
        <f t="shared" si="94"/>
        <v>681.11</v>
      </c>
      <c r="P402" s="6">
        <f t="shared" si="85"/>
        <v>244519.16</v>
      </c>
      <c r="Q402" s="4" t="str">
        <f>LOOKUP($E402,OBRAS!$D:$D,OBRAS!B:B)</f>
        <v>SEI TETRA, S. A. DE C. V.</v>
      </c>
      <c r="R402" s="4" t="str">
        <f>LOOKUP($E402,OBRAS!$D:$D,OBRAS!A:A)</f>
        <v>VARIOS</v>
      </c>
      <c r="S402" s="4" t="str">
        <f>LOOKUP($E402,OBRAS!$D:$D,OBRAS!F:F)</f>
        <v>11000002003501E203K03203A625132161A013</v>
      </c>
      <c r="T402" s="4" t="str">
        <f>LOOKUP($E402,OBRAS!$D:$D,OBRAS!G:G)</f>
        <v>LICITACIÓN SIMPLIFICADA</v>
      </c>
      <c r="U402" s="4" t="s">
        <v>2238</v>
      </c>
      <c r="V402" s="89">
        <v>42713</v>
      </c>
      <c r="W402" s="6">
        <f>LOOKUP($E402,OBRAS!$D:$D,OBRAS!K:K)</f>
        <v>790968.61</v>
      </c>
      <c r="X402" s="109">
        <f t="shared" si="87"/>
        <v>0.34439999999999998</v>
      </c>
      <c r="Y402" s="109">
        <f>ROUND(SUMIF(E:E,E402,X:X),2)</f>
        <v>1</v>
      </c>
      <c r="Z402" s="109">
        <f t="shared" si="89"/>
        <v>1</v>
      </c>
      <c r="AA402" s="4" t="str">
        <f>LOOKUP($E402,OBRAS!$D:$D,OBRAS!H:H)</f>
        <v>SH-ED-16-051</v>
      </c>
    </row>
    <row r="403" spans="1:27" ht="60" x14ac:dyDescent="0.25">
      <c r="C403" s="95">
        <v>401</v>
      </c>
      <c r="D403" s="4" t="s">
        <v>811</v>
      </c>
      <c r="E403" s="4"/>
      <c r="F403" s="4"/>
      <c r="G403" s="4" t="e">
        <f>LOOKUP($E403,OBRAS!$D:$D,OBRAS!E:E)</f>
        <v>#N/A</v>
      </c>
      <c r="H403" s="80"/>
      <c r="I403" s="6"/>
      <c r="J403" s="6"/>
      <c r="K403" s="6">
        <f>ROUND(I403*0.3,2)</f>
        <v>0</v>
      </c>
      <c r="L403" s="6">
        <f t="shared" si="93"/>
        <v>0</v>
      </c>
      <c r="M403" s="6">
        <f t="shared" si="83"/>
        <v>0</v>
      </c>
      <c r="N403" s="6">
        <f t="shared" si="92"/>
        <v>0</v>
      </c>
      <c r="O403" s="6">
        <f t="shared" si="94"/>
        <v>0</v>
      </c>
      <c r="P403" s="6">
        <f t="shared" si="85"/>
        <v>0</v>
      </c>
      <c r="Q403" s="4" t="e">
        <f>LOOKUP($E403,OBRAS!$D:$D,OBRAS!B:B)</f>
        <v>#N/A</v>
      </c>
      <c r="R403" s="4" t="e">
        <f>LOOKUP($E403,OBRAS!$D:$D,OBRAS!A:A)</f>
        <v>#N/A</v>
      </c>
      <c r="S403" s="4" t="e">
        <f>LOOKUP($E403,OBRAS!$D:$D,OBRAS!F:F)</f>
        <v>#N/A</v>
      </c>
      <c r="T403" s="4" t="e">
        <f>LOOKUP($E403,OBRAS!$D:$D,OBRAS!G:G)</f>
        <v>#N/A</v>
      </c>
      <c r="U403" s="4"/>
      <c r="V403" s="4"/>
      <c r="W403" s="6" t="e">
        <f>LOOKUP($E403,OBRAS!$D:$D,OBRAS!K:K)</f>
        <v>#N/A</v>
      </c>
      <c r="X403" s="109" t="e">
        <f t="shared" si="87"/>
        <v>#N/A</v>
      </c>
      <c r="Y403" s="109">
        <f>SUMIF(E:E,E403,X:X)</f>
        <v>0</v>
      </c>
      <c r="Z403" s="109" t="e">
        <f t="shared" si="89"/>
        <v>#N/A</v>
      </c>
      <c r="AA403" s="4" t="e">
        <f>LOOKUP($E403,OBRAS!$D:$D,OBRAS!H:H)</f>
        <v>#N/A</v>
      </c>
    </row>
    <row r="404" spans="1:27" ht="30" x14ac:dyDescent="0.25">
      <c r="C404" s="95">
        <v>402</v>
      </c>
      <c r="D404" s="4" t="s">
        <v>812</v>
      </c>
      <c r="E404" s="4"/>
      <c r="F404" s="4"/>
      <c r="G404" s="4" t="e">
        <f>LOOKUP($E404,OBRAS!$D:$D,OBRAS!E:E)</f>
        <v>#N/A</v>
      </c>
      <c r="H404" s="80"/>
      <c r="I404" s="6"/>
      <c r="J404" s="6"/>
      <c r="K404" s="6">
        <f>ROUND(I404*0.3,2)</f>
        <v>0</v>
      </c>
      <c r="L404" s="6">
        <f t="shared" si="93"/>
        <v>0</v>
      </c>
      <c r="M404" s="6">
        <f t="shared" si="83"/>
        <v>0</v>
      </c>
      <c r="N404" s="6">
        <f t="shared" si="92"/>
        <v>0</v>
      </c>
      <c r="O404" s="6">
        <f t="shared" si="94"/>
        <v>0</v>
      </c>
      <c r="P404" s="6">
        <f t="shared" si="85"/>
        <v>0</v>
      </c>
      <c r="Q404" s="4" t="e">
        <f>LOOKUP($E404,OBRAS!$D:$D,OBRAS!B:B)</f>
        <v>#N/A</v>
      </c>
      <c r="R404" s="4" t="e">
        <f>LOOKUP($E404,OBRAS!$D:$D,OBRAS!A:A)</f>
        <v>#N/A</v>
      </c>
      <c r="S404" s="4" t="e">
        <f>LOOKUP($E404,OBRAS!$D:$D,OBRAS!F:F)</f>
        <v>#N/A</v>
      </c>
      <c r="T404" s="4" t="e">
        <f>LOOKUP($E404,OBRAS!$D:$D,OBRAS!G:G)</f>
        <v>#N/A</v>
      </c>
      <c r="U404" s="4"/>
      <c r="V404" s="4"/>
      <c r="W404" s="6" t="e">
        <f>LOOKUP($E404,OBRAS!$D:$D,OBRAS!K:K)</f>
        <v>#N/A</v>
      </c>
      <c r="X404" s="109" t="e">
        <f t="shared" si="87"/>
        <v>#N/A</v>
      </c>
      <c r="Y404" s="109">
        <f>SUMIF(E:E,E404,X:X)</f>
        <v>0</v>
      </c>
      <c r="Z404" s="109" t="e">
        <f t="shared" si="89"/>
        <v>#N/A</v>
      </c>
      <c r="AA404" s="4" t="e">
        <f>LOOKUP($E404,OBRAS!$D:$D,OBRAS!H:H)</f>
        <v>#N/A</v>
      </c>
    </row>
    <row r="405" spans="1:27" ht="45" x14ac:dyDescent="0.25">
      <c r="A405" s="90">
        <v>42619</v>
      </c>
      <c r="B405" s="56">
        <v>2563</v>
      </c>
      <c r="C405" s="49">
        <v>403</v>
      </c>
      <c r="D405" s="4" t="str">
        <f>LOOKUP($E405,OBRAS!$D:$D,OBRAS!C:C)</f>
        <v>SUPERVISOR EXTERNA Y CONTROL CALIDAD DE RECARPETEO CON MICROCARPETA ASFALTICA DE 3.0 CM DE ESPESOR EN VARIAS CALLES Y AVENIDAS</v>
      </c>
      <c r="E405" s="4" t="s">
        <v>466</v>
      </c>
      <c r="F405" s="4"/>
      <c r="G405" s="4" t="str">
        <f>LOOKUP($E405,OBRAS!$D:$D,OBRAS!E:E)</f>
        <v>C-00098/0022</v>
      </c>
      <c r="H405" s="80" t="s">
        <v>103</v>
      </c>
      <c r="I405" s="6">
        <v>71206.45</v>
      </c>
      <c r="J405" s="6"/>
      <c r="K405" s="6">
        <f>ROUND(I405*0.1,2)</f>
        <v>7120.65</v>
      </c>
      <c r="L405" s="6">
        <f t="shared" si="93"/>
        <v>64085.8</v>
      </c>
      <c r="M405" s="6">
        <f t="shared" si="83"/>
        <v>10253.73</v>
      </c>
      <c r="N405" s="6">
        <f t="shared" si="92"/>
        <v>74339.53</v>
      </c>
      <c r="O405" s="6">
        <f t="shared" si="94"/>
        <v>206.49</v>
      </c>
      <c r="P405" s="6">
        <f t="shared" si="85"/>
        <v>74133.039999999994</v>
      </c>
      <c r="Q405" s="4" t="str">
        <f>LOOKUP($E405,OBRAS!$D:$D,OBRAS!B:B)</f>
        <v>PROMOTORES ADMINISTRATIVOS ASOCIADOS, S.C.</v>
      </c>
      <c r="R405" s="4" t="str">
        <f>LOOKUP($E405,OBRAS!$D:$D,OBRAS!A:A)</f>
        <v>CABORCA</v>
      </c>
      <c r="S405" s="4" t="str">
        <f>LOOKUP($E405,OBRAS!$D:$D,OBRAS!F:F)</f>
        <v>11000002002207E201K02104A622212161A013</v>
      </c>
      <c r="T405" s="4" t="str">
        <f>LOOKUP($E405,OBRAS!$D:$D,OBRAS!G:G)</f>
        <v>LICITACIÓN SIMPLIFICADA</v>
      </c>
      <c r="U405" s="4" t="s">
        <v>863</v>
      </c>
      <c r="V405" s="89">
        <v>42663</v>
      </c>
      <c r="W405" s="6">
        <f>LOOKUP($E405,OBRAS!$D:$D,OBRAS!K:K)</f>
        <v>878717.92</v>
      </c>
      <c r="X405" s="109">
        <f t="shared" si="87"/>
        <v>9.4E-2</v>
      </c>
      <c r="Y405" s="109">
        <f>SUMIF(E:E,E405,X:X)</f>
        <v>0.998</v>
      </c>
      <c r="Z405" s="109">
        <f t="shared" si="89"/>
        <v>0.998</v>
      </c>
      <c r="AA405" s="4" t="str">
        <f>LOOKUP($E405,OBRAS!$D:$D,OBRAS!H:H)</f>
        <v>SH-ED-16-028</v>
      </c>
    </row>
    <row r="406" spans="1:27" ht="45" x14ac:dyDescent="0.25">
      <c r="A406" s="90">
        <v>42633</v>
      </c>
      <c r="B406" s="56">
        <v>3723</v>
      </c>
      <c r="C406" s="49">
        <v>404</v>
      </c>
      <c r="D406" s="4" t="str">
        <f>LOOKUP($E406,OBRAS!$D:$D,OBRAS!C:C)</f>
        <v>SUPERVISOR EXTERNA Y CONTROL CALIDAD DE RECARPETEO CON MICROCARPETA ASFALTICA DE 3.0 CM DE ESPESOR EN VARIAS CALLES Y AVENIDAS</v>
      </c>
      <c r="E406" s="4" t="s">
        <v>466</v>
      </c>
      <c r="F406" s="4"/>
      <c r="G406" s="4" t="str">
        <f>LOOKUP($E406,OBRAS!$D:$D,OBRAS!E:E)</f>
        <v>C-00098/0022</v>
      </c>
      <c r="H406" s="80" t="s">
        <v>221</v>
      </c>
      <c r="I406" s="6">
        <v>156048.17000000001</v>
      </c>
      <c r="J406" s="6"/>
      <c r="K406" s="6">
        <v>15604.83</v>
      </c>
      <c r="L406" s="6">
        <f t="shared" si="93"/>
        <v>140443.34</v>
      </c>
      <c r="M406" s="6">
        <v>22470.93</v>
      </c>
      <c r="N406" s="6">
        <f t="shared" si="92"/>
        <v>162914.26999999999</v>
      </c>
      <c r="O406" s="6">
        <f t="shared" si="94"/>
        <v>452.53</v>
      </c>
      <c r="P406" s="6">
        <f t="shared" si="85"/>
        <v>162461.74</v>
      </c>
      <c r="Q406" s="4" t="str">
        <f>LOOKUP($E406,OBRAS!$D:$D,OBRAS!B:B)</f>
        <v>PROMOTORES ADMINISTRATIVOS ASOCIADOS, S.C.</v>
      </c>
      <c r="R406" s="4" t="str">
        <f>LOOKUP($E406,OBRAS!$D:$D,OBRAS!A:A)</f>
        <v>CABORCA</v>
      </c>
      <c r="S406" s="4" t="str">
        <f>LOOKUP($E406,OBRAS!$D:$D,OBRAS!F:F)</f>
        <v>11000002002207E201K02104A622212161A013</v>
      </c>
      <c r="T406" s="4" t="str">
        <f>LOOKUP($E406,OBRAS!$D:$D,OBRAS!G:G)</f>
        <v>LICITACIÓN SIMPLIFICADA</v>
      </c>
      <c r="U406" s="4" t="s">
        <v>863</v>
      </c>
      <c r="V406" s="89">
        <v>42663</v>
      </c>
      <c r="W406" s="6">
        <f>LOOKUP($E406,OBRAS!$D:$D,OBRAS!K:K)</f>
        <v>878717.92</v>
      </c>
      <c r="X406" s="109">
        <f t="shared" si="87"/>
        <v>0.20599999999999999</v>
      </c>
      <c r="Y406" s="109">
        <f>SUMIF(E:E,E406,X:X)</f>
        <v>0.998</v>
      </c>
      <c r="Z406" s="109">
        <f t="shared" si="89"/>
        <v>0.998</v>
      </c>
      <c r="AA406" s="4" t="str">
        <f>LOOKUP($E406,OBRAS!$D:$D,OBRAS!H:H)</f>
        <v>SH-ED-16-028</v>
      </c>
    </row>
    <row r="407" spans="1:27" ht="30" x14ac:dyDescent="0.25">
      <c r="A407" s="90">
        <v>42626</v>
      </c>
      <c r="B407" s="56">
        <v>3641</v>
      </c>
      <c r="C407" s="49">
        <v>405</v>
      </c>
      <c r="D407" s="4" t="str">
        <f>LOOKUP($E407,OBRAS!$D:$D,OBRAS!C:C)</f>
        <v>RECARPETEO CON MICROCARPETA ASFALTICA DE 3.0 CM DE ESPESOR EN VARIAS CALLES Y AVENIDAS</v>
      </c>
      <c r="E407" s="4" t="s">
        <v>528</v>
      </c>
      <c r="F407" s="4" t="s">
        <v>224</v>
      </c>
      <c r="G407" s="4" t="str">
        <f>LOOKUP($E407,OBRAS!$D:$D,OBRAS!E:E)</f>
        <v>C-00052/0170</v>
      </c>
      <c r="H407" s="80" t="s">
        <v>215</v>
      </c>
      <c r="I407" s="6">
        <v>7629937.2000000002</v>
      </c>
      <c r="J407" s="6"/>
      <c r="K407" s="6">
        <f>ROUND(I407*0.3,2)</f>
        <v>2288981.16</v>
      </c>
      <c r="L407" s="6">
        <f t="shared" si="93"/>
        <v>5340956.04</v>
      </c>
      <c r="M407" s="6">
        <f>ROUND(L407*0.16,2)</f>
        <v>854552.97</v>
      </c>
      <c r="N407" s="6">
        <f t="shared" si="92"/>
        <v>6195509.0099999998</v>
      </c>
      <c r="O407" s="6">
        <f>+ROUND(I407*0.002,2)+ROUND(I407*0.0003,2)+ROUND(I407*0.0003,2)+ROUND(I407*0.0003,2)+ROUND(I407*0.002,2)</f>
        <v>37386.68</v>
      </c>
      <c r="P407" s="6">
        <f t="shared" si="85"/>
        <v>6158122.3300000001</v>
      </c>
      <c r="Q407" s="4" t="str">
        <f>LOOKUP($E407,OBRAS!$D:$D,OBRAS!B:B)</f>
        <v>D'MARSELLA TERRACERIAS, S.A. DE C.V.</v>
      </c>
      <c r="R407" s="4" t="str">
        <f>LOOKUP($E407,OBRAS!$D:$D,OBRAS!A:A)</f>
        <v>CABORCA</v>
      </c>
      <c r="S407" s="4" t="str">
        <f>LOOKUP($E407,OBRAS!$D:$D,OBRAS!F:F)</f>
        <v>11000002002201E202K05186A614202162A203</v>
      </c>
      <c r="T407" s="4" t="str">
        <f>LOOKUP($E407,OBRAS!$D:$D,OBRAS!G:G)</f>
        <v>CE-926006995-E8-2016</v>
      </c>
      <c r="U407" s="4" t="s">
        <v>863</v>
      </c>
      <c r="V407" s="89">
        <v>42671</v>
      </c>
      <c r="W407" s="6">
        <f>LOOKUP($E407,OBRAS!$D:$D,OBRAS!K:K)</f>
        <v>28542774.780000001</v>
      </c>
      <c r="X407" s="109">
        <f t="shared" si="87"/>
        <v>0.31009999999999999</v>
      </c>
      <c r="Y407" s="109">
        <f>SUMIF(E:E,E407,X:X)</f>
        <v>0.84140000000000004</v>
      </c>
      <c r="Z407" s="109">
        <f t="shared" si="89"/>
        <v>0.84140000000000004</v>
      </c>
      <c r="AA407" s="4" t="str">
        <f>LOOKUP($E407,OBRAS!$D:$D,OBRAS!H:H)</f>
        <v>SH-ED-17-R-013</v>
      </c>
    </row>
    <row r="408" spans="1:27" x14ac:dyDescent="0.25">
      <c r="C408" s="51"/>
      <c r="D408" s="4"/>
      <c r="E408" s="4"/>
      <c r="F408" s="4"/>
      <c r="G408" s="4"/>
      <c r="H408" s="80"/>
      <c r="I408" s="6"/>
      <c r="J408" s="6"/>
      <c r="K408" s="6"/>
      <c r="L408" s="6"/>
      <c r="M408" s="6"/>
      <c r="N408" s="6"/>
      <c r="O408" s="6"/>
      <c r="P408" s="6"/>
      <c r="Q408" s="4"/>
      <c r="R408" s="4"/>
      <c r="S408" s="4" t="e">
        <f>LOOKUP($E408,OBRAS!$D:$D,OBRAS!F:F)</f>
        <v>#N/A</v>
      </c>
      <c r="T408" s="4" t="e">
        <f>LOOKUP($E408,OBRAS!$D:$D,OBRAS!G:G)</f>
        <v>#N/A</v>
      </c>
      <c r="U408" s="4"/>
      <c r="V408" s="4"/>
      <c r="W408" s="6"/>
      <c r="X408" s="109"/>
      <c r="Y408" s="109"/>
      <c r="Z408" s="109"/>
      <c r="AA408" s="4"/>
    </row>
    <row r="409" spans="1:27" x14ac:dyDescent="0.25">
      <c r="C409" s="95"/>
      <c r="D409" s="4"/>
      <c r="E409" s="4"/>
      <c r="F409" s="4"/>
      <c r="G409" s="4"/>
      <c r="H409" s="80"/>
      <c r="I409" s="6"/>
      <c r="J409" s="6"/>
      <c r="K409" s="6"/>
      <c r="L409" s="6"/>
      <c r="M409" s="6"/>
      <c r="N409" s="6"/>
      <c r="O409" s="6"/>
      <c r="P409" s="6"/>
      <c r="Q409" s="4"/>
      <c r="R409" s="4"/>
      <c r="S409" s="4" t="e">
        <f>LOOKUP($E409,OBRAS!$D:$D,OBRAS!F:F)</f>
        <v>#N/A</v>
      </c>
      <c r="T409" s="4" t="e">
        <f>LOOKUP($E409,OBRAS!$D:$D,OBRAS!G:G)</f>
        <v>#N/A</v>
      </c>
      <c r="U409" s="4"/>
      <c r="V409" s="4"/>
      <c r="W409" s="6" t="e">
        <f>LOOKUP($E409,OBRAS!$D:$D,OBRAS!K:K)</f>
        <v>#N/A</v>
      </c>
      <c r="X409" s="109" t="e">
        <f t="shared" ref="X409:X440" si="95">IF(H409&lt;&gt;"ANTICIPO",I409/(W409/1.16),"")</f>
        <v>#N/A</v>
      </c>
      <c r="Y409" s="109">
        <f t="shared" ref="Y409:Y437" si="96">SUMIF(E:E,E409,X:X)</f>
        <v>0</v>
      </c>
      <c r="Z409" s="109" t="e">
        <f t="shared" ref="Z409:Z440" si="97">SUMIF(E:E,E409,N:N)/W409</f>
        <v>#N/A</v>
      </c>
      <c r="AA409" s="4" t="e">
        <f>LOOKUP($E409,OBRAS!$D:$D,OBRAS!H:H)</f>
        <v>#N/A</v>
      </c>
    </row>
    <row r="410" spans="1:27" x14ac:dyDescent="0.25">
      <c r="C410" s="95"/>
      <c r="D410" s="4"/>
      <c r="E410" s="4"/>
      <c r="F410" s="4"/>
      <c r="G410" s="4"/>
      <c r="H410" s="80"/>
      <c r="I410" s="6"/>
      <c r="J410" s="6"/>
      <c r="K410" s="6">
        <f>ROUND(I410*0.3,2)</f>
        <v>0</v>
      </c>
      <c r="L410" s="6">
        <f t="shared" ref="L410:L421" si="98">I410-K410</f>
        <v>0</v>
      </c>
      <c r="M410" s="6">
        <f t="shared" ref="M410:M421" si="99">ROUND(L410*0.16,2)</f>
        <v>0</v>
      </c>
      <c r="N410" s="6">
        <f t="shared" ref="N410:N441" si="100">M410+L410</f>
        <v>0</v>
      </c>
      <c r="O410" s="6">
        <f>+ROUND(I410*0.002,2)+ROUND(I410*0.0003,2)+ROUND(I410*0.0003,2)+ROUND(I410*0.0003,2)</f>
        <v>0</v>
      </c>
      <c r="P410" s="6">
        <f t="shared" ref="P410:P441" si="101">N410-O410</f>
        <v>0</v>
      </c>
      <c r="Q410" s="4" t="e">
        <f>LOOKUP($E410,OBRAS!$D:$D,OBRAS!B:B)</f>
        <v>#N/A</v>
      </c>
      <c r="R410" s="4" t="e">
        <f>LOOKUP($E410,OBRAS!$D:$D,OBRAS!A:A)</f>
        <v>#N/A</v>
      </c>
      <c r="S410" s="4" t="e">
        <f>LOOKUP($E410,OBRAS!$D:$D,OBRAS!F:F)</f>
        <v>#N/A</v>
      </c>
      <c r="T410" s="4" t="e">
        <f>LOOKUP($E410,OBRAS!$D:$D,OBRAS!G:G)</f>
        <v>#N/A</v>
      </c>
      <c r="U410" s="4"/>
      <c r="V410" s="4"/>
      <c r="W410" s="6" t="e">
        <f>LOOKUP($E410,OBRAS!$D:$D,OBRAS!K:K)</f>
        <v>#N/A</v>
      </c>
      <c r="X410" s="109" t="e">
        <f t="shared" si="95"/>
        <v>#N/A</v>
      </c>
      <c r="Y410" s="109">
        <f t="shared" si="96"/>
        <v>0</v>
      </c>
      <c r="Z410" s="109" t="e">
        <f t="shared" si="97"/>
        <v>#N/A</v>
      </c>
      <c r="AA410" s="4" t="e">
        <f>LOOKUP($E410,OBRAS!$D:$D,OBRAS!H:H)</f>
        <v>#N/A</v>
      </c>
    </row>
    <row r="411" spans="1:27" ht="30" x14ac:dyDescent="0.25">
      <c r="A411" s="90">
        <v>42626</v>
      </c>
      <c r="B411" s="56">
        <v>3627</v>
      </c>
      <c r="C411" s="49">
        <v>409</v>
      </c>
      <c r="D411" s="4" t="str">
        <f>LOOKUP($E411,OBRAS!$D:$D,OBRAS!C:C)</f>
        <v>RECONSTRUCCIÓN DE CAMINO HORNOS-ROSARIO</v>
      </c>
      <c r="E411" s="4" t="s">
        <v>532</v>
      </c>
      <c r="F411" s="4" t="s">
        <v>224</v>
      </c>
      <c r="G411" s="4" t="str">
        <f>LOOKUP($E411,OBRAS!$D:$D,OBRAS!E:E)</f>
        <v>C-00054/0024</v>
      </c>
      <c r="H411" s="80" t="s">
        <v>215</v>
      </c>
      <c r="I411" s="6">
        <v>12364691.43</v>
      </c>
      <c r="J411" s="6"/>
      <c r="K411" s="6">
        <f>ROUND(I411*0.3,2)</f>
        <v>3709407.43</v>
      </c>
      <c r="L411" s="6">
        <f t="shared" si="98"/>
        <v>8655284</v>
      </c>
      <c r="M411" s="6">
        <f t="shared" si="99"/>
        <v>1384845.44</v>
      </c>
      <c r="N411" s="6">
        <f t="shared" si="100"/>
        <v>10040129.439999999</v>
      </c>
      <c r="O411" s="6">
        <f>+ROUND(I411*0.002,2)+ROUND(I411*0.0003,2)+ROUND(I411*0.0003,2)+ROUND(I411*0.0003,2)+ROUND(I411*0.002,2)</f>
        <v>60586.99</v>
      </c>
      <c r="P411" s="6">
        <f t="shared" si="101"/>
        <v>9979542.4499999993</v>
      </c>
      <c r="Q411" s="4" t="str">
        <f>LOOKUP($E411,OBRAS!$D:$D,OBRAS!B:B)</f>
        <v>ADMINISTRADORA DE OBRAS OACSA, S.A. DE C.V.</v>
      </c>
      <c r="R411" s="4" t="str">
        <f>LOOKUP($E411,OBRAS!$D:$D,OBRAS!A:A)</f>
        <v>VARIOS</v>
      </c>
      <c r="S411" s="4" t="str">
        <f>LOOKUP($E411,OBRAS!$D:$D,OBRAS!F:F)</f>
        <v>11000002003501E204K08063A625012162A213</v>
      </c>
      <c r="T411" s="4" t="str">
        <f>LOOKUP($E411,OBRAS!$D:$D,OBRAS!G:G)</f>
        <v>CE-926006995-E7-2016</v>
      </c>
      <c r="U411" s="4" t="s">
        <v>863</v>
      </c>
      <c r="V411" s="89">
        <v>42653</v>
      </c>
      <c r="W411" s="6">
        <f>LOOKUP($E411,OBRAS!$D:$D,OBRAS!K:K)</f>
        <v>83353232.650000006</v>
      </c>
      <c r="X411" s="109">
        <f t="shared" si="95"/>
        <v>0.1721</v>
      </c>
      <c r="Y411" s="109">
        <f t="shared" si="96"/>
        <v>0.99390000000000001</v>
      </c>
      <c r="Z411" s="109">
        <f t="shared" si="97"/>
        <v>0.99370000000000003</v>
      </c>
      <c r="AA411" s="4" t="str">
        <f>LOOKUP($E411,OBRAS!$D:$D,OBRAS!H:H)</f>
        <v>SH-ED-17-R-013</v>
      </c>
    </row>
    <row r="412" spans="1:27" ht="30" x14ac:dyDescent="0.25">
      <c r="A412" s="90">
        <v>42626</v>
      </c>
      <c r="B412" s="56">
        <v>3628</v>
      </c>
      <c r="C412" s="49">
        <v>410</v>
      </c>
      <c r="D412" s="4" t="str">
        <f>LOOKUP($E412,OBRAS!$D:$D,OBRAS!C:C)</f>
        <v>RECONSTRUCCIÓN DE CAMINO HORNOS-ROSARIO</v>
      </c>
      <c r="E412" s="4" t="s">
        <v>532</v>
      </c>
      <c r="F412" s="4" t="s">
        <v>224</v>
      </c>
      <c r="G412" s="4" t="str">
        <f>LOOKUP($E412,OBRAS!$D:$D,OBRAS!E:E)</f>
        <v>C-00054/0024</v>
      </c>
      <c r="H412" s="80" t="s">
        <v>15</v>
      </c>
      <c r="I412" s="6">
        <v>5346463.75</v>
      </c>
      <c r="J412" s="6"/>
      <c r="K412" s="6">
        <f>ROUND(I412*0.3,2)</f>
        <v>1603939.13</v>
      </c>
      <c r="L412" s="6">
        <f t="shared" si="98"/>
        <v>3742524.62</v>
      </c>
      <c r="M412" s="6">
        <f t="shared" si="99"/>
        <v>598803.93999999994</v>
      </c>
      <c r="N412" s="6">
        <f t="shared" si="100"/>
        <v>4341328.5599999996</v>
      </c>
      <c r="O412" s="6">
        <f>+ROUND(I412*0.002,2)+ROUND(I412*0.0003,2)+ROUND(I412*0.0003,2)+ROUND(I412*0.0003,2)+ROUND(I412*0.002,2)</f>
        <v>26197.68</v>
      </c>
      <c r="P412" s="6">
        <f t="shared" si="101"/>
        <v>4315130.88</v>
      </c>
      <c r="Q412" s="4" t="str">
        <f>LOOKUP($E412,OBRAS!$D:$D,OBRAS!B:B)</f>
        <v>ADMINISTRADORA DE OBRAS OACSA, S.A. DE C.V.</v>
      </c>
      <c r="R412" s="4" t="str">
        <f>LOOKUP($E412,OBRAS!$D:$D,OBRAS!A:A)</f>
        <v>VARIOS</v>
      </c>
      <c r="S412" s="4" t="str">
        <f>LOOKUP($E412,OBRAS!$D:$D,OBRAS!F:F)</f>
        <v>11000002003501E204K08063A625012162A213</v>
      </c>
      <c r="T412" s="4" t="str">
        <f>LOOKUP($E412,OBRAS!$D:$D,OBRAS!G:G)</f>
        <v>CE-926006995-E7-2016</v>
      </c>
      <c r="U412" s="4" t="s">
        <v>863</v>
      </c>
      <c r="V412" s="89">
        <v>42671</v>
      </c>
      <c r="W412" s="6">
        <f>LOOKUP($E412,OBRAS!$D:$D,OBRAS!K:K)</f>
        <v>83353232.650000006</v>
      </c>
      <c r="X412" s="109">
        <f t="shared" si="95"/>
        <v>7.4399999999999994E-2</v>
      </c>
      <c r="Y412" s="109">
        <f t="shared" si="96"/>
        <v>0.99390000000000001</v>
      </c>
      <c r="Z412" s="109">
        <f t="shared" si="97"/>
        <v>0.99370000000000003</v>
      </c>
      <c r="AA412" s="4" t="str">
        <f>LOOKUP($E412,OBRAS!$D:$D,OBRAS!H:H)</f>
        <v>SH-ED-17-R-013</v>
      </c>
    </row>
    <row r="413" spans="1:27" ht="45" x14ac:dyDescent="0.25">
      <c r="A413" s="90">
        <v>42626</v>
      </c>
      <c r="B413" s="56">
        <v>3629</v>
      </c>
      <c r="C413" s="49">
        <v>411</v>
      </c>
      <c r="D413" s="4" t="str">
        <f>LOOKUP($E413,OBRAS!$D:$D,OBRAS!C:C)</f>
        <v>REMODELACION DEL PARQUE INFANTIL EN LA LOCALIDAD Y MUNICIPIO DE HERMOSILLO, SONORA</v>
      </c>
      <c r="E413" s="4" t="s">
        <v>45</v>
      </c>
      <c r="F413" s="4" t="s">
        <v>226</v>
      </c>
      <c r="G413" s="4" t="str">
        <f>LOOKUP($E413,OBRAS!$D:$D,OBRAS!E:E)</f>
        <v>C-00093/0004</v>
      </c>
      <c r="H413" s="80" t="s">
        <v>839</v>
      </c>
      <c r="I413" s="6">
        <v>550504.19999999995</v>
      </c>
      <c r="J413" s="6"/>
      <c r="K413" s="6">
        <f>ROUND(I413*0.4,2)</f>
        <v>220201.68</v>
      </c>
      <c r="L413" s="6">
        <f t="shared" si="98"/>
        <v>330302.52</v>
      </c>
      <c r="M413" s="6">
        <f t="shared" si="99"/>
        <v>52848.4</v>
      </c>
      <c r="N413" s="6">
        <f t="shared" si="100"/>
        <v>383150.92</v>
      </c>
      <c r="O413" s="6">
        <f>ROUND(I413*0.005,2)</f>
        <v>2752.52</v>
      </c>
      <c r="P413" s="6">
        <f t="shared" si="101"/>
        <v>380398.4</v>
      </c>
      <c r="Q413" s="4" t="str">
        <f>LOOKUP($E413,OBRAS!$D:$D,OBRAS!B:B)</f>
        <v>GYCR SOLUCIONES INTEGRALES PARA LA CONSTRUCCION, S.A. DE C.V.</v>
      </c>
      <c r="R413" s="4" t="str">
        <f>LOOKUP($E413,OBRAS!$D:$D,OBRAS!A:A)</f>
        <v>HERMOSILLO</v>
      </c>
      <c r="S413" s="4" t="str">
        <f>LOOKUP($E413,OBRAS!$D:$D,OBRAS!F:F)</f>
        <v>11000002002202E406K17104A622202155GL07</v>
      </c>
      <c r="T413" s="4" t="str">
        <f>LOOKUP($E413,OBRAS!$D:$D,OBRAS!G:G)</f>
        <v>LO-926006995-N12-2015</v>
      </c>
      <c r="U413" s="4" t="s">
        <v>863</v>
      </c>
      <c r="V413" s="89">
        <v>42640</v>
      </c>
      <c r="W413" s="6">
        <f>LOOKUP($E413,OBRAS!$D:$D,OBRAS!K:K)</f>
        <v>53569288.82</v>
      </c>
      <c r="X413" s="109">
        <f t="shared" si="95"/>
        <v>1.1900000000000001E-2</v>
      </c>
      <c r="Y413" s="109">
        <f t="shared" si="96"/>
        <v>0.85470000000000002</v>
      </c>
      <c r="Z413" s="109">
        <f t="shared" si="97"/>
        <v>0.55269999999999997</v>
      </c>
      <c r="AA413" s="4" t="str">
        <f>LOOKUP($E413,OBRAS!$D:$D,OBRAS!H:H)</f>
        <v>SH-NC-16-R-003</v>
      </c>
    </row>
    <row r="414" spans="1:27" ht="45" x14ac:dyDescent="0.25">
      <c r="A414" s="90">
        <v>42626</v>
      </c>
      <c r="B414" s="56">
        <v>3630</v>
      </c>
      <c r="C414" s="49">
        <v>412</v>
      </c>
      <c r="D414" s="4" t="str">
        <f>LOOKUP($E414,OBRAS!$D:$D,OBRAS!C:C)</f>
        <v>REMODELACION DEL PARQUE INFANTIL EN LA LOCALIDAD Y MUNICIPIO DE HERMOSILLO, SONORA</v>
      </c>
      <c r="E414" s="4" t="s">
        <v>45</v>
      </c>
      <c r="F414" s="4" t="s">
        <v>226</v>
      </c>
      <c r="G414" s="4" t="str">
        <f>LOOKUP($E414,OBRAS!$D:$D,OBRAS!E:E)</f>
        <v>C-00093/0004</v>
      </c>
      <c r="H414" s="80" t="s">
        <v>840</v>
      </c>
      <c r="I414" s="6">
        <v>188759.99</v>
      </c>
      <c r="J414" s="6"/>
      <c r="K414" s="6">
        <f>ROUND(I414*0.4,2)</f>
        <v>75504</v>
      </c>
      <c r="L414" s="6">
        <f t="shared" si="98"/>
        <v>113255.99</v>
      </c>
      <c r="M414" s="6">
        <f t="shared" si="99"/>
        <v>18120.96</v>
      </c>
      <c r="N414" s="6">
        <f t="shared" si="100"/>
        <v>131376.95000000001</v>
      </c>
      <c r="O414" s="6">
        <f>ROUND(I414*0.005,2)</f>
        <v>943.8</v>
      </c>
      <c r="P414" s="6">
        <f t="shared" si="101"/>
        <v>130433.15</v>
      </c>
      <c r="Q414" s="4" t="str">
        <f>LOOKUP($E414,OBRAS!$D:$D,OBRAS!B:B)</f>
        <v>GYCR SOLUCIONES INTEGRALES PARA LA CONSTRUCCION, S.A. DE C.V.</v>
      </c>
      <c r="R414" s="4" t="str">
        <f>LOOKUP($E414,OBRAS!$D:$D,OBRAS!A:A)</f>
        <v>HERMOSILLO</v>
      </c>
      <c r="S414" s="4" t="str">
        <f>LOOKUP($E414,OBRAS!$D:$D,OBRAS!F:F)</f>
        <v>11000002002202E406K17104A622202155GL07</v>
      </c>
      <c r="T414" s="4" t="str">
        <f>LOOKUP($E414,OBRAS!$D:$D,OBRAS!G:G)</f>
        <v>LO-926006995-N12-2015</v>
      </c>
      <c r="U414" s="4" t="s">
        <v>863</v>
      </c>
      <c r="V414" s="89">
        <v>42642</v>
      </c>
      <c r="W414" s="6">
        <f>LOOKUP($E414,OBRAS!$D:$D,OBRAS!K:K)</f>
        <v>53569288.82</v>
      </c>
      <c r="X414" s="109">
        <f t="shared" si="95"/>
        <v>4.1000000000000003E-3</v>
      </c>
      <c r="Y414" s="109">
        <f t="shared" si="96"/>
        <v>0.85470000000000002</v>
      </c>
      <c r="Z414" s="109">
        <f t="shared" si="97"/>
        <v>0.55269999999999997</v>
      </c>
      <c r="AA414" s="4" t="str">
        <f>LOOKUP($E414,OBRAS!$D:$D,OBRAS!H:H)</f>
        <v>SH-NC-16-R-003</v>
      </c>
    </row>
    <row r="415" spans="1:27" ht="45" x14ac:dyDescent="0.25">
      <c r="A415" s="90">
        <v>42639</v>
      </c>
      <c r="B415" s="56">
        <v>3876</v>
      </c>
      <c r="C415" s="49">
        <v>413</v>
      </c>
      <c r="D415" s="4" t="str">
        <f>LOOKUP($E415,OBRAS!$D:$D,OBRAS!C:C)</f>
        <v>REMODELACION DEL PARQUE INFANTIL EN LA LOCALIDAD Y MUNICIPIO DE HERMOSILLO, SONORA</v>
      </c>
      <c r="E415" s="4" t="s">
        <v>45</v>
      </c>
      <c r="F415" s="4" t="s">
        <v>226</v>
      </c>
      <c r="G415" s="4" t="str">
        <f>LOOKUP($E415,OBRAS!$D:$D,OBRAS!E:E)</f>
        <v>C-00093/0004</v>
      </c>
      <c r="H415" s="80" t="s">
        <v>841</v>
      </c>
      <c r="I415" s="6">
        <v>1902174.41</v>
      </c>
      <c r="J415" s="6"/>
      <c r="K415" s="6">
        <f>ROUND(I415*0.4,2)</f>
        <v>760869.76</v>
      </c>
      <c r="L415" s="6">
        <f t="shared" si="98"/>
        <v>1141304.6499999999</v>
      </c>
      <c r="M415" s="6">
        <f t="shared" si="99"/>
        <v>182608.74</v>
      </c>
      <c r="N415" s="6">
        <f t="shared" si="100"/>
        <v>1323913.3899999999</v>
      </c>
      <c r="O415" s="6">
        <f>ROUND(I415*0.005,2)</f>
        <v>9510.8700000000008</v>
      </c>
      <c r="P415" s="6">
        <f t="shared" si="101"/>
        <v>1314402.52</v>
      </c>
      <c r="Q415" s="4" t="str">
        <f>LOOKUP($E415,OBRAS!$D:$D,OBRAS!B:B)</f>
        <v>GYCR SOLUCIONES INTEGRALES PARA LA CONSTRUCCION, S.A. DE C.V.</v>
      </c>
      <c r="R415" s="4" t="str">
        <f>LOOKUP($E415,OBRAS!$D:$D,OBRAS!A:A)</f>
        <v>HERMOSILLO</v>
      </c>
      <c r="S415" s="4" t="str">
        <f>LOOKUP($E415,OBRAS!$D:$D,OBRAS!F:F)</f>
        <v>11000002002202E406K17104A622202155GL07</v>
      </c>
      <c r="T415" s="4" t="str">
        <f>LOOKUP($E415,OBRAS!$D:$D,OBRAS!G:G)</f>
        <v>LO-926006995-N12-2015</v>
      </c>
      <c r="U415" s="4" t="s">
        <v>863</v>
      </c>
      <c r="V415" s="89">
        <v>42639</v>
      </c>
      <c r="W415" s="6">
        <f>LOOKUP($E415,OBRAS!$D:$D,OBRAS!K:K)</f>
        <v>53569288.82</v>
      </c>
      <c r="X415" s="109">
        <f t="shared" si="95"/>
        <v>4.1200000000000001E-2</v>
      </c>
      <c r="Y415" s="109">
        <f t="shared" si="96"/>
        <v>0.85470000000000002</v>
      </c>
      <c r="Z415" s="109">
        <f t="shared" si="97"/>
        <v>0.55269999999999997</v>
      </c>
      <c r="AA415" s="4" t="str">
        <f>LOOKUP($E415,OBRAS!$D:$D,OBRAS!H:H)</f>
        <v>SH-NC-16-R-003</v>
      </c>
    </row>
    <row r="416" spans="1:27" ht="75" x14ac:dyDescent="0.25">
      <c r="A416" s="90">
        <v>42626</v>
      </c>
      <c r="B416" s="56">
        <v>3632</v>
      </c>
      <c r="C416" s="49">
        <v>414</v>
      </c>
      <c r="D416" s="4" t="str">
        <f>LOOKUP($E416,OBRAS!$D:$D,OBRAS!C:C)</f>
        <v>SUPERVISION EXTERNA PARA LA OBRA: CONSTRUCCION DE PARQUE, PLAYA Y BALNEARIO KINO MAGICO (ETAPA 1) EN LA COMISARIA DE BAHIA DE KINO MUNICIPIO DE HERMOSILLO, SONORA.</v>
      </c>
      <c r="E416" s="4" t="s">
        <v>410</v>
      </c>
      <c r="F416" s="4"/>
      <c r="G416" s="4" t="str">
        <f>LOOKUP($E416,OBRAS!$D:$D,OBRAS!E:E)</f>
        <v>C-00053/0014</v>
      </c>
      <c r="H416" s="80" t="s">
        <v>103</v>
      </c>
      <c r="I416" s="6">
        <v>299129.75</v>
      </c>
      <c r="J416" s="6"/>
      <c r="K416" s="6">
        <f>ROUND(I416*0.1,2)</f>
        <v>29912.98</v>
      </c>
      <c r="L416" s="6">
        <f t="shared" si="98"/>
        <v>269216.77</v>
      </c>
      <c r="M416" s="6">
        <f t="shared" si="99"/>
        <v>43074.68</v>
      </c>
      <c r="N416" s="6">
        <f t="shared" si="100"/>
        <v>312291.45</v>
      </c>
      <c r="O416" s="6">
        <f>+ROUND(I416*0.002,2)+ROUND(I416*0.0003,2)+ROUND(I416*0.0003,2)+ROUND(I416*0.0003,2)</f>
        <v>867.48</v>
      </c>
      <c r="P416" s="6">
        <f t="shared" si="101"/>
        <v>311423.96999999997</v>
      </c>
      <c r="Q416" s="4" t="str">
        <f>LOOKUP($E416,OBRAS!$D:$D,OBRAS!B:B)</f>
        <v>CONSULTORIA Y CONSTRUCCION DEL NOROESTE</v>
      </c>
      <c r="R416" s="4" t="str">
        <f>LOOKUP($E416,OBRAS!$D:$D,OBRAS!A:A)</f>
        <v>HERMOSILLO</v>
      </c>
      <c r="S416" s="4" t="str">
        <f>LOOKUP($E416,OBRAS!$D:$D,OBRAS!F:F)</f>
        <v>11000002003701E306K05101A121012162A207</v>
      </c>
      <c r="T416" s="4" t="str">
        <f>LOOKUP($E416,OBRAS!$D:$D,OBRAS!G:G)</f>
        <v>CE-926006995-E56-2016</v>
      </c>
      <c r="U416" s="4" t="s">
        <v>863</v>
      </c>
      <c r="V416" s="89">
        <v>42671</v>
      </c>
      <c r="W416" s="6">
        <f>LOOKUP($E416,OBRAS!$D:$D,OBRAS!K:K)</f>
        <v>2428933.5699999998</v>
      </c>
      <c r="X416" s="109">
        <f t="shared" si="95"/>
        <v>0.1429</v>
      </c>
      <c r="Y416" s="109">
        <f t="shared" si="96"/>
        <v>0.71450000000000002</v>
      </c>
      <c r="Z416" s="109">
        <f t="shared" si="97"/>
        <v>0.7429</v>
      </c>
      <c r="AA416" s="4" t="str">
        <f>LOOKUP($E416,OBRAS!$D:$D,OBRAS!H:H)</f>
        <v>SH-ED-16-046</v>
      </c>
    </row>
    <row r="417" spans="1:27" ht="60" x14ac:dyDescent="0.25">
      <c r="A417" s="90">
        <v>42626</v>
      </c>
      <c r="B417" s="56">
        <v>3633</v>
      </c>
      <c r="C417" s="49">
        <v>415</v>
      </c>
      <c r="D417" s="4" t="str">
        <f>LOOKUP($E417,OBRAS!$D:$D,OBRAS!C:C)</f>
        <v>SUPERVISION EXTERNA Y CONTROL DE CALIDAD DE LA OBRA: RECONSTRUCCION  DEL CAMINO  CALLE 1900 EN VARIAS LOCALIDADES DEL MUNICIPIO DE CAJEME, SONORA.</v>
      </c>
      <c r="E417" s="4" t="s">
        <v>424</v>
      </c>
      <c r="F417" s="4"/>
      <c r="G417" s="4" t="str">
        <f>LOOKUP($E417,OBRAS!$D:$D,OBRAS!E:E)</f>
        <v>C-00098/0021</v>
      </c>
      <c r="H417" s="80" t="s">
        <v>103</v>
      </c>
      <c r="I417" s="6">
        <v>159403.78</v>
      </c>
      <c r="J417" s="6"/>
      <c r="K417" s="6">
        <f>ROUND(I417*0.1,2)</f>
        <v>15940.38</v>
      </c>
      <c r="L417" s="6">
        <f t="shared" si="98"/>
        <v>143463.4</v>
      </c>
      <c r="M417" s="6">
        <f t="shared" si="99"/>
        <v>22954.14</v>
      </c>
      <c r="N417" s="6">
        <f t="shared" si="100"/>
        <v>166417.54</v>
      </c>
      <c r="O417" s="6">
        <f>+ROUND(I417*0.002,2)+ROUND(I417*0.0003,2)+ROUND(I417*0.0003,2)+ROUND(I417*0.0003,2)</f>
        <v>462.27</v>
      </c>
      <c r="P417" s="6">
        <f t="shared" si="101"/>
        <v>165955.26999999999</v>
      </c>
      <c r="Q417" s="4" t="str">
        <f>LOOKUP($E417,OBRAS!$D:$D,OBRAS!B:B)</f>
        <v>SEI TETRA, S. A. DE C. V.</v>
      </c>
      <c r="R417" s="4" t="str">
        <f>LOOKUP($E417,OBRAS!$D:$D,OBRAS!A:A)</f>
        <v>CAJEME</v>
      </c>
      <c r="S417" s="4" t="str">
        <f>LOOKUP($E417,OBRAS!$D:$D,OBRAS!F:F)</f>
        <v>11000002003501E203K03203A625132161A013</v>
      </c>
      <c r="T417" s="4" t="str">
        <f>LOOKUP($E417,OBRAS!$D:$D,OBRAS!G:G)</f>
        <v>LICITACIÓN SIMPLIFICADA</v>
      </c>
      <c r="U417" s="4" t="s">
        <v>863</v>
      </c>
      <c r="V417" s="89">
        <v>42671</v>
      </c>
      <c r="W417" s="6">
        <f>LOOKUP($E417,OBRAS!$D:$D,OBRAS!K:K)</f>
        <v>739633.54</v>
      </c>
      <c r="X417" s="109">
        <f t="shared" si="95"/>
        <v>0.25</v>
      </c>
      <c r="Y417" s="109">
        <f t="shared" si="96"/>
        <v>1</v>
      </c>
      <c r="Z417" s="109">
        <f t="shared" si="97"/>
        <v>1</v>
      </c>
      <c r="AA417" s="4" t="str">
        <f>LOOKUP($E417,OBRAS!$D:$D,OBRAS!H:H)</f>
        <v>SH-ED-16-051</v>
      </c>
    </row>
    <row r="418" spans="1:27" ht="45" x14ac:dyDescent="0.25">
      <c r="A418" s="90">
        <v>42626</v>
      </c>
      <c r="B418" s="56">
        <v>3634</v>
      </c>
      <c r="C418" s="49">
        <v>416</v>
      </c>
      <c r="D418" s="4" t="str">
        <f>LOOKUP($E418,OBRAS!$D:$D,OBRAS!C:C)</f>
        <v>CONCLUSION DE LA MODERNIZACION Y RECONSTRUCCION DEL TRAMO ESPERANZA - HORNOS (DEL KM 8 + 800 AL KM 17 + 400)</v>
      </c>
      <c r="E418" s="4" t="s">
        <v>597</v>
      </c>
      <c r="F418" s="4" t="s">
        <v>224</v>
      </c>
      <c r="G418" s="4" t="str">
        <f>LOOKUP($E418,OBRAS!$D:$D,OBRAS!E:E)</f>
        <v>C-00054/0053</v>
      </c>
      <c r="H418" s="80" t="s">
        <v>55</v>
      </c>
      <c r="I418" s="6">
        <v>8494865.5199999996</v>
      </c>
      <c r="J418" s="6"/>
      <c r="K418" s="6">
        <f>ROUND(I418*0.3,2)</f>
        <v>2548459.66</v>
      </c>
      <c r="L418" s="6">
        <f t="shared" si="98"/>
        <v>5946405.8600000003</v>
      </c>
      <c r="M418" s="6">
        <f t="shared" si="99"/>
        <v>951424.94</v>
      </c>
      <c r="N418" s="6">
        <f t="shared" si="100"/>
        <v>6897830.7999999998</v>
      </c>
      <c r="O418" s="6">
        <f>+ROUND(I418*0.002,2)+ROUND(I418*0.0003,2)+ROUND(I418*0.0003,2)+ROUND(I418*0.0003,2)+ROUND(I418*0.002,2)</f>
        <v>41624.839999999997</v>
      </c>
      <c r="P418" s="6">
        <f t="shared" si="101"/>
        <v>6856205.96</v>
      </c>
      <c r="Q418" s="4" t="str">
        <f>LOOKUP($E418,OBRAS!$D:$D,OBRAS!B:B)</f>
        <v>INGENIEROS CIVILES, S.A. DE C.V.</v>
      </c>
      <c r="R418" s="4" t="str">
        <f>LOOKUP($E418,OBRAS!$D:$D,OBRAS!A:A)</f>
        <v>VARIOS</v>
      </c>
      <c r="S418" s="4" t="str">
        <f>LOOKUP($E418,OBRAS!$D:$D,OBRAS!F:F)</f>
        <v>11000002003501E204K08063A625012162A213</v>
      </c>
      <c r="T418" s="4" t="str">
        <f>LOOKUP($E418,OBRAS!$D:$D,OBRAS!G:G)</f>
        <v>CE-966006995-E17-2016</v>
      </c>
      <c r="U418" s="4" t="s">
        <v>863</v>
      </c>
      <c r="V418" s="89">
        <v>42643</v>
      </c>
      <c r="W418" s="6">
        <f>LOOKUP($E418,OBRAS!$D:$D,OBRAS!K:K)</f>
        <v>79892690.269999996</v>
      </c>
      <c r="X418" s="109">
        <f t="shared" si="95"/>
        <v>0.12330000000000001</v>
      </c>
      <c r="Y418" s="109">
        <f t="shared" si="96"/>
        <v>0.98319999999999996</v>
      </c>
      <c r="Z418" s="109">
        <f t="shared" si="97"/>
        <v>0.98309999999999997</v>
      </c>
      <c r="AA418" s="4" t="str">
        <f>LOOKUP($E418,OBRAS!$D:$D,OBRAS!H:H)</f>
        <v>SH-ED-17-R-013</v>
      </c>
    </row>
    <row r="419" spans="1:27" ht="45" x14ac:dyDescent="0.25">
      <c r="A419" s="90">
        <v>42626</v>
      </c>
      <c r="B419" s="56">
        <v>3635</v>
      </c>
      <c r="C419" s="49">
        <v>417</v>
      </c>
      <c r="D419" s="4" t="str">
        <f>LOOKUP($E419,OBRAS!$D:$D,OBRAS!C:C)</f>
        <v>SUPERVISION EXTERNA Y CONTROL DE CALIDAD PARA LA OBRA: RECONSTRUCCION DEL CAMINO E.C. FEDERAL 15-LAS BOCAS</v>
      </c>
      <c r="E419" s="4" t="s">
        <v>441</v>
      </c>
      <c r="F419" s="4"/>
      <c r="G419" s="4" t="str">
        <f>LOOKUP($E419,OBRAS!$D:$D,OBRAS!E:E)</f>
        <v>C-00098/0021</v>
      </c>
      <c r="H419" s="80" t="s">
        <v>103</v>
      </c>
      <c r="I419" s="6">
        <v>152329.66</v>
      </c>
      <c r="J419" s="6"/>
      <c r="K419" s="6">
        <f>ROUND(I419*0.1,2)</f>
        <v>15232.97</v>
      </c>
      <c r="L419" s="6">
        <f t="shared" si="98"/>
        <v>137096.69</v>
      </c>
      <c r="M419" s="6">
        <f t="shared" si="99"/>
        <v>21935.47</v>
      </c>
      <c r="N419" s="6">
        <f t="shared" si="100"/>
        <v>159032.16</v>
      </c>
      <c r="O419" s="6">
        <f>+ROUND(I419*0.002,2)+ROUND(I419*0.0003,2)+ROUND(I419*0.0003,2)+ROUND(I419*0.0003,2)</f>
        <v>441.76</v>
      </c>
      <c r="P419" s="6">
        <f t="shared" si="101"/>
        <v>158590.39999999999</v>
      </c>
      <c r="Q419" s="4" t="str">
        <f>LOOKUP($E419,OBRAS!$D:$D,OBRAS!B:B)</f>
        <v>ING. JOEL TOSAME IBARRA</v>
      </c>
      <c r="R419" s="4" t="str">
        <f>LOOKUP($E419,OBRAS!$D:$D,OBRAS!A:A)</f>
        <v>HUATABAMPO</v>
      </c>
      <c r="S419" s="4" t="str">
        <f>LOOKUP($E419,OBRAS!$D:$D,OBRAS!F:F)</f>
        <v>11000002003501E203K03203A625132161A013</v>
      </c>
      <c r="T419" s="4" t="str">
        <f>LOOKUP($E419,OBRAS!$D:$D,OBRAS!G:G)</f>
        <v>LICITACIÓN SIMPLIFICADA</v>
      </c>
      <c r="U419" s="4" t="s">
        <v>863</v>
      </c>
      <c r="V419" s="89">
        <v>42671</v>
      </c>
      <c r="W419" s="6">
        <f>LOOKUP($E419,OBRAS!$D:$D,OBRAS!K:K)</f>
        <v>706809.62</v>
      </c>
      <c r="X419" s="109">
        <f t="shared" si="95"/>
        <v>0.25</v>
      </c>
      <c r="Y419" s="109">
        <f t="shared" si="96"/>
        <v>1</v>
      </c>
      <c r="Z419" s="109">
        <f t="shared" si="97"/>
        <v>1</v>
      </c>
      <c r="AA419" s="4" t="str">
        <f>LOOKUP($E419,OBRAS!$D:$D,OBRAS!H:H)</f>
        <v>SH-ED-16-020</v>
      </c>
    </row>
    <row r="420" spans="1:27" ht="45" x14ac:dyDescent="0.25">
      <c r="A420" s="90">
        <v>42626</v>
      </c>
      <c r="B420" s="56">
        <v>3636</v>
      </c>
      <c r="C420" s="49">
        <v>418</v>
      </c>
      <c r="D420" s="4" t="str">
        <f>LOOKUP($E420,OBRAS!$D:$D,OBRAS!C:C)</f>
        <v>SUPERVISION EXTERNA Y CONTROL DE CALIDAD PARA LA OBRA: RECONSTRUCCION DEL CAMINO E.C. FEDERAL 15-LAS BOCAS</v>
      </c>
      <c r="E420" s="4" t="s">
        <v>441</v>
      </c>
      <c r="F420" s="4"/>
      <c r="G420" s="4" t="str">
        <f>LOOKUP($E420,OBRAS!$D:$D,OBRAS!E:E)</f>
        <v>C-00098/0021</v>
      </c>
      <c r="H420" s="80" t="s">
        <v>221</v>
      </c>
      <c r="I420" s="6">
        <v>152329.66</v>
      </c>
      <c r="J420" s="6"/>
      <c r="K420" s="6">
        <f>ROUND(I420*0.1,2)</f>
        <v>15232.97</v>
      </c>
      <c r="L420" s="6">
        <f t="shared" si="98"/>
        <v>137096.69</v>
      </c>
      <c r="M420" s="6">
        <f t="shared" si="99"/>
        <v>21935.47</v>
      </c>
      <c r="N420" s="6">
        <f t="shared" si="100"/>
        <v>159032.16</v>
      </c>
      <c r="O420" s="6">
        <f>+ROUND(I420*0.002,2)+ROUND(I420*0.0003,2)+ROUND(I420*0.0003,2)+ROUND(I420*0.0003,2)</f>
        <v>441.76</v>
      </c>
      <c r="P420" s="6">
        <f t="shared" si="101"/>
        <v>158590.39999999999</v>
      </c>
      <c r="Q420" s="4" t="str">
        <f>LOOKUP($E420,OBRAS!$D:$D,OBRAS!B:B)</f>
        <v>ING. JOEL TOSAME IBARRA</v>
      </c>
      <c r="R420" s="4" t="str">
        <f>LOOKUP($E420,OBRAS!$D:$D,OBRAS!A:A)</f>
        <v>HUATABAMPO</v>
      </c>
      <c r="S420" s="4" t="str">
        <f>LOOKUP($E420,OBRAS!$D:$D,OBRAS!F:F)</f>
        <v>11000002003501E203K03203A625132161A013</v>
      </c>
      <c r="T420" s="4" t="str">
        <f>LOOKUP($E420,OBRAS!$D:$D,OBRAS!G:G)</f>
        <v>LICITACIÓN SIMPLIFICADA</v>
      </c>
      <c r="U420" s="4" t="s">
        <v>863</v>
      </c>
      <c r="V420" s="89">
        <v>42697</v>
      </c>
      <c r="W420" s="6">
        <f>LOOKUP($E420,OBRAS!$D:$D,OBRAS!K:K)</f>
        <v>706809.62</v>
      </c>
      <c r="X420" s="109">
        <f t="shared" si="95"/>
        <v>0.25</v>
      </c>
      <c r="Y420" s="109">
        <f t="shared" si="96"/>
        <v>1</v>
      </c>
      <c r="Z420" s="109">
        <f t="shared" si="97"/>
        <v>1</v>
      </c>
      <c r="AA420" s="4" t="str">
        <f>LOOKUP($E420,OBRAS!$D:$D,OBRAS!H:H)</f>
        <v>SH-ED-16-020</v>
      </c>
    </row>
    <row r="421" spans="1:27" x14ac:dyDescent="0.25">
      <c r="A421" s="90">
        <v>42626</v>
      </c>
      <c r="B421" s="56">
        <v>3637</v>
      </c>
      <c r="C421" s="49">
        <v>419</v>
      </c>
      <c r="D421" s="4" t="e">
        <f>LOOKUP($E421,OBRAS!$D:$D,OBRAS!C:C)</f>
        <v>#N/A</v>
      </c>
      <c r="E421" s="4"/>
      <c r="F421" s="4"/>
      <c r="G421" s="4" t="e">
        <f>LOOKUP($E421,OBRAS!$D:$D,OBRAS!E:E)</f>
        <v>#N/A</v>
      </c>
      <c r="H421" s="80"/>
      <c r="I421" s="6"/>
      <c r="J421" s="6"/>
      <c r="K421" s="6">
        <f>ROUND(I421*0.1,2)</f>
        <v>0</v>
      </c>
      <c r="L421" s="6">
        <f t="shared" si="98"/>
        <v>0</v>
      </c>
      <c r="M421" s="6">
        <f t="shared" si="99"/>
        <v>0</v>
      </c>
      <c r="N421" s="6">
        <f t="shared" si="100"/>
        <v>0</v>
      </c>
      <c r="O421" s="6">
        <f>+ROUND(I421*0.002,2)+ROUND(I421*0.0003,2)+ROUND(I421*0.0003,2)+ROUND(I421*0.0003,2)</f>
        <v>0</v>
      </c>
      <c r="P421" s="6">
        <f t="shared" si="101"/>
        <v>0</v>
      </c>
      <c r="Q421" s="4" t="e">
        <f>LOOKUP($E421,OBRAS!$D:$D,OBRAS!B:B)</f>
        <v>#N/A</v>
      </c>
      <c r="R421" s="4" t="e">
        <f>LOOKUP($E421,OBRAS!$D:$D,OBRAS!A:A)</f>
        <v>#N/A</v>
      </c>
      <c r="S421" s="4" t="e">
        <f>LOOKUP($E421,OBRAS!$D:$D,OBRAS!F:F)</f>
        <v>#N/A</v>
      </c>
      <c r="T421" s="4" t="e">
        <f>LOOKUP($E421,OBRAS!$D:$D,OBRAS!G:G)</f>
        <v>#N/A</v>
      </c>
      <c r="U421" s="4"/>
      <c r="V421" s="89">
        <v>42626</v>
      </c>
      <c r="W421" s="6" t="e">
        <f>LOOKUP($E421,OBRAS!$D:$D,OBRAS!K:K)</f>
        <v>#N/A</v>
      </c>
      <c r="X421" s="109" t="e">
        <f t="shared" si="95"/>
        <v>#N/A</v>
      </c>
      <c r="Y421" s="109">
        <f t="shared" si="96"/>
        <v>0</v>
      </c>
      <c r="Z421" s="109" t="e">
        <f t="shared" si="97"/>
        <v>#N/A</v>
      </c>
      <c r="AA421" s="4" t="e">
        <f>LOOKUP($E421,OBRAS!$D:$D,OBRAS!H:H)</f>
        <v>#N/A</v>
      </c>
    </row>
    <row r="422" spans="1:27" ht="45" x14ac:dyDescent="0.25">
      <c r="A422" s="90">
        <v>42632</v>
      </c>
      <c r="B422" s="56">
        <v>3687</v>
      </c>
      <c r="C422" s="49">
        <v>420</v>
      </c>
      <c r="D422" s="4" t="str">
        <f>LOOKUP($E422,OBRAS!$D:$D,OBRAS!C:C)</f>
        <v>CONCLUSION DE LA MODERNIZACION Y RECONSTRUCCION DEL TRAMO ESPERANZA - HORNOS (DEL KM 8 + 800 AL KM 17 + 400)</v>
      </c>
      <c r="E422" s="4" t="s">
        <v>597</v>
      </c>
      <c r="F422" s="4" t="s">
        <v>224</v>
      </c>
      <c r="G422" s="4" t="str">
        <f>LOOKUP($E422,OBRAS!$D:$D,OBRAS!E:E)</f>
        <v>C-00054/0053</v>
      </c>
      <c r="H422" s="80" t="s">
        <v>215</v>
      </c>
      <c r="I422" s="6">
        <v>4928048.2</v>
      </c>
      <c r="J422" s="6"/>
      <c r="K422" s="6">
        <f>I422-L422</f>
        <v>2692546.33</v>
      </c>
      <c r="L422" s="6">
        <v>2235501.87</v>
      </c>
      <c r="M422" s="6">
        <f>L422*0.16</f>
        <v>357680.3</v>
      </c>
      <c r="N422" s="6">
        <f t="shared" si="100"/>
        <v>2593182.17</v>
      </c>
      <c r="O422" s="6">
        <f>+ROUND(I422*0.002,2)+ROUND(I422*0.0003,2)+ROUND(I422*0.0003,2)+ROUND(I422*0.0003,2)+ROUND(I422*0.002,2)</f>
        <v>24147.43</v>
      </c>
      <c r="P422" s="6">
        <f t="shared" si="101"/>
        <v>2569034.7400000002</v>
      </c>
      <c r="Q422" s="4" t="str">
        <f>LOOKUP($E422,OBRAS!$D:$D,OBRAS!B:B)</f>
        <v>INGENIEROS CIVILES, S.A. DE C.V.</v>
      </c>
      <c r="R422" s="4" t="str">
        <f>LOOKUP($E422,OBRAS!$D:$D,OBRAS!A:A)</f>
        <v>VARIOS</v>
      </c>
      <c r="S422" s="4" t="str">
        <f>LOOKUP($E422,OBRAS!$D:$D,OBRAS!F:F)</f>
        <v>11000002003501E204K08063A625012162A213</v>
      </c>
      <c r="T422" s="4" t="str">
        <f>LOOKUP($E422,OBRAS!$D:$D,OBRAS!G:G)</f>
        <v>CE-966006995-E17-2016</v>
      </c>
      <c r="U422" s="4" t="s">
        <v>863</v>
      </c>
      <c r="V422" s="89">
        <v>42653</v>
      </c>
      <c r="W422" s="6">
        <f>LOOKUP($E422,OBRAS!$D:$D,OBRAS!K:K)</f>
        <v>79892690.269999996</v>
      </c>
      <c r="X422" s="109">
        <f t="shared" si="95"/>
        <v>7.1599999999999997E-2</v>
      </c>
      <c r="Y422" s="109">
        <f t="shared" si="96"/>
        <v>0.98319999999999996</v>
      </c>
      <c r="Z422" s="109">
        <f t="shared" si="97"/>
        <v>0.98309999999999997</v>
      </c>
      <c r="AA422" s="4" t="str">
        <f>LOOKUP($E422,OBRAS!$D:$D,OBRAS!H:H)</f>
        <v>SH-ED-17-R-013</v>
      </c>
    </row>
    <row r="423" spans="1:27" ht="30" x14ac:dyDescent="0.25">
      <c r="A423" s="90">
        <v>42626</v>
      </c>
      <c r="B423" s="56">
        <v>3639</v>
      </c>
      <c r="C423" s="49">
        <v>421</v>
      </c>
      <c r="D423" s="4" t="str">
        <f>LOOKUP($E423,OBRAS!$D:$D,OBRAS!C:C)</f>
        <v>RECONSTRUCCION DEL CAMINO HERMOSILLO-BAHIA DE KINO</v>
      </c>
      <c r="E423" s="4" t="s">
        <v>539</v>
      </c>
      <c r="F423" s="4" t="s">
        <v>401</v>
      </c>
      <c r="G423" s="4" t="str">
        <f>LOOKUP($E423,OBRAS!$D:$D,OBRAS!E:E)</f>
        <v>C-00054/0026</v>
      </c>
      <c r="H423" s="80" t="s">
        <v>55</v>
      </c>
      <c r="I423" s="6">
        <v>10203578.970000001</v>
      </c>
      <c r="J423" s="6"/>
      <c r="K423" s="6">
        <v>2858546.16</v>
      </c>
      <c r="L423" s="6">
        <f t="shared" ref="L423:L454" si="102">I423-K423</f>
        <v>7345032.8099999996</v>
      </c>
      <c r="M423" s="6">
        <f t="shared" ref="M423:M454" si="103">ROUND(L423*0.16,2)</f>
        <v>1175205.25</v>
      </c>
      <c r="N423" s="6">
        <f t="shared" si="100"/>
        <v>8520238.0600000005</v>
      </c>
      <c r="O423" s="6">
        <f>+ROUND(I423*0.002,2)+ROUND(I423*0.0003,2)+ROUND(I423*0.0003,2)+ROUND(I423*0.0003,2)+ROUND(I423*0.002,2)</f>
        <v>49997.53</v>
      </c>
      <c r="P423" s="6">
        <f t="shared" si="101"/>
        <v>8470240.5299999993</v>
      </c>
      <c r="Q423" s="4" t="str">
        <f>LOOKUP($E423,OBRAS!$D:$D,OBRAS!B:B)</f>
        <v>REVAL DESARROLLOS Y MATERIALES, S.A. DE C.V.</v>
      </c>
      <c r="R423" s="4" t="str">
        <f>LOOKUP($E423,OBRAS!$D:$D,OBRAS!A:A)</f>
        <v>HERMOSILLO</v>
      </c>
      <c r="S423" s="4" t="str">
        <f>LOOKUP($E423,OBRAS!$D:$D,OBRAS!F:F)</f>
        <v>11000002003501E203K03204k08063A625012162A207</v>
      </c>
      <c r="T423" s="4" t="str">
        <f>LOOKUP($E423,OBRAS!$D:$D,OBRAS!G:G)</f>
        <v>CE-926006995-E13-2016</v>
      </c>
      <c r="U423" s="4" t="s">
        <v>863</v>
      </c>
      <c r="V423" s="89">
        <v>42663</v>
      </c>
      <c r="W423" s="6">
        <f>LOOKUP($E423,OBRAS!$D:$D,OBRAS!K:K)</f>
        <v>37981342.780000001</v>
      </c>
      <c r="X423" s="109">
        <f t="shared" si="95"/>
        <v>0.31159999999999999</v>
      </c>
      <c r="Y423" s="109">
        <f t="shared" si="96"/>
        <v>1</v>
      </c>
      <c r="Z423" s="109">
        <f t="shared" si="97"/>
        <v>1</v>
      </c>
      <c r="AA423" s="4" t="str">
        <f>LOOKUP($E423,OBRAS!$D:$D,OBRAS!H:H)</f>
        <v>SH-ED-17-R-013</v>
      </c>
    </row>
    <row r="424" spans="1:27" ht="30" x14ac:dyDescent="0.25">
      <c r="A424" s="90">
        <v>42626</v>
      </c>
      <c r="B424" s="56">
        <v>3640</v>
      </c>
      <c r="C424" s="49">
        <v>422</v>
      </c>
      <c r="D424" s="4" t="str">
        <f>LOOKUP($E424,OBRAS!$D:$D,OBRAS!C:C)</f>
        <v>RECONSTRUCCION DEL CAMINO HERMOSILLO-BAHIA DE KINO</v>
      </c>
      <c r="E424" s="4" t="s">
        <v>539</v>
      </c>
      <c r="F424" s="4" t="s">
        <v>401</v>
      </c>
      <c r="G424" s="4" t="str">
        <f>LOOKUP($E424,OBRAS!$D:$D,OBRAS!E:E)</f>
        <v>C-00054/0026</v>
      </c>
      <c r="H424" s="80" t="s">
        <v>215</v>
      </c>
      <c r="I424" s="6">
        <v>2875834.36</v>
      </c>
      <c r="J424" s="6"/>
      <c r="K424" s="6">
        <v>0</v>
      </c>
      <c r="L424" s="6">
        <f t="shared" si="102"/>
        <v>2875834.36</v>
      </c>
      <c r="M424" s="6">
        <f t="shared" si="103"/>
        <v>460133.5</v>
      </c>
      <c r="N424" s="6">
        <f t="shared" si="100"/>
        <v>3335967.86</v>
      </c>
      <c r="O424" s="6">
        <f>+ROUND(I424*0.002,2)+ROUND(I424*0.0003,2)+ROUND(I424*0.0003,2)+ROUND(I424*0.0003,2)+ROUND(I424*0.002,2)</f>
        <v>14091.59</v>
      </c>
      <c r="P424" s="6">
        <f t="shared" si="101"/>
        <v>3321876.27</v>
      </c>
      <c r="Q424" s="4" t="str">
        <f>LOOKUP($E424,OBRAS!$D:$D,OBRAS!B:B)</f>
        <v>REVAL DESARROLLOS Y MATERIALES, S.A. DE C.V.</v>
      </c>
      <c r="R424" s="4" t="str">
        <f>LOOKUP($E424,OBRAS!$D:$D,OBRAS!A:A)</f>
        <v>HERMOSILLO</v>
      </c>
      <c r="S424" s="4" t="str">
        <f>LOOKUP($E424,OBRAS!$D:$D,OBRAS!F:F)</f>
        <v>11000002003501E203K03204k08063A625012162A207</v>
      </c>
      <c r="T424" s="4" t="str">
        <f>LOOKUP($E424,OBRAS!$D:$D,OBRAS!G:G)</f>
        <v>CE-926006995-E13-2016</v>
      </c>
      <c r="U424" s="4" t="s">
        <v>863</v>
      </c>
      <c r="V424" s="89">
        <v>42663</v>
      </c>
      <c r="W424" s="6">
        <f>LOOKUP($E424,OBRAS!$D:$D,OBRAS!K:K)</f>
        <v>37981342.780000001</v>
      </c>
      <c r="X424" s="109">
        <f t="shared" si="95"/>
        <v>8.7800000000000003E-2</v>
      </c>
      <c r="Y424" s="109">
        <f t="shared" si="96"/>
        <v>1</v>
      </c>
      <c r="Z424" s="109">
        <f t="shared" si="97"/>
        <v>1</v>
      </c>
      <c r="AA424" s="4" t="str">
        <f>LOOKUP($E424,OBRAS!$D:$D,OBRAS!H:H)</f>
        <v>SH-ED-17-R-013</v>
      </c>
    </row>
    <row r="425" spans="1:27" ht="30" x14ac:dyDescent="0.25">
      <c r="C425" s="84">
        <v>423</v>
      </c>
      <c r="D425" s="4" t="str">
        <f>LOOKUP($E425,OBRAS!$D:$D,OBRAS!C:C)</f>
        <v>CANCHA DE FUTBOL DE PASTO SINTETICO PARA LA ESCUELA PRIMARIA ESTHER QUIJADA DOMINGUEZ</v>
      </c>
      <c r="E425" s="4" t="s">
        <v>843</v>
      </c>
      <c r="F425" s="4"/>
      <c r="G425" s="4"/>
      <c r="H425" s="80" t="s">
        <v>103</v>
      </c>
      <c r="I425" s="6">
        <v>67237.25</v>
      </c>
      <c r="J425" s="6"/>
      <c r="K425" s="6">
        <f>ROUND(I425*0.3,2)</f>
        <v>20171.18</v>
      </c>
      <c r="L425" s="6">
        <f t="shared" si="102"/>
        <v>47066.07</v>
      </c>
      <c r="M425" s="6">
        <f t="shared" si="103"/>
        <v>7530.57</v>
      </c>
      <c r="N425" s="6">
        <f t="shared" si="100"/>
        <v>54596.639999999999</v>
      </c>
      <c r="O425" s="6">
        <f>+ROUND(I425*0.005,2)</f>
        <v>336.19</v>
      </c>
      <c r="P425" s="6">
        <f t="shared" si="101"/>
        <v>54260.45</v>
      </c>
      <c r="Q425" s="4" t="str">
        <f>LOOKUP($E425,OBRAS!$D:$D,OBRAS!B:B)</f>
        <v>GRUPO DESARROLLO CONGRUUS SA DE CV</v>
      </c>
      <c r="R425" s="4" t="str">
        <f>LOOKUP($E425,OBRAS!$D:$D,OBRAS!A:A)</f>
        <v>S.L.R.C.</v>
      </c>
      <c r="S425" s="4">
        <f>LOOKUP($E425,OBRAS!$D:$D,OBRAS!F:F)</f>
        <v>0</v>
      </c>
      <c r="T425" s="4">
        <f>LOOKUP($E425,OBRAS!$D:$D,OBRAS!G:G)</f>
        <v>0</v>
      </c>
      <c r="U425" s="4" t="s">
        <v>863</v>
      </c>
      <c r="V425" s="4"/>
      <c r="W425" s="6">
        <f>LOOKUP($E425,OBRAS!$D:$D,OBRAS!K:K)</f>
        <v>1959188.77</v>
      </c>
      <c r="X425" s="109">
        <f t="shared" si="95"/>
        <v>3.9800000000000002E-2</v>
      </c>
      <c r="Y425" s="109">
        <f t="shared" si="96"/>
        <v>0.89500000000000002</v>
      </c>
      <c r="Z425" s="109">
        <f t="shared" si="97"/>
        <v>0.89510000000000001</v>
      </c>
      <c r="AA425" s="4" t="str">
        <f>LOOKUP($E425,OBRAS!$D:$D,OBRAS!H:H)</f>
        <v>SH-NC-16-R-002</v>
      </c>
    </row>
    <row r="426" spans="1:27" ht="45" x14ac:dyDescent="0.25">
      <c r="C426" s="84">
        <v>424</v>
      </c>
      <c r="D426" s="4" t="str">
        <f>LOOKUP($E426,OBRAS!$D:$D,OBRAS!C:C)</f>
        <v>CONSTRUCCION, REHABILITACION Y EQUIPAMIENTO DE UNIDAD DEPORTIVA FAUSTINO FELIX ETAPA 3</v>
      </c>
      <c r="E426" s="4" t="s">
        <v>389</v>
      </c>
      <c r="F426" s="4"/>
      <c r="G426" s="4" t="str">
        <f>LOOKUP($E426,OBRAS!$D:$D,OBRAS!E:E)</f>
        <v>C-00109/0003</v>
      </c>
      <c r="H426" s="80" t="s">
        <v>214</v>
      </c>
      <c r="I426" s="6">
        <v>396915.26</v>
      </c>
      <c r="J426" s="6"/>
      <c r="K426" s="6">
        <f>ROUND(I426*0.3,2)</f>
        <v>119074.58</v>
      </c>
      <c r="L426" s="6">
        <f t="shared" si="102"/>
        <v>277840.68</v>
      </c>
      <c r="M426" s="6">
        <f t="shared" si="103"/>
        <v>44454.51</v>
      </c>
      <c r="N426" s="6">
        <f t="shared" si="100"/>
        <v>322295.19</v>
      </c>
      <c r="O426" s="6">
        <f>+ROUND(I426*0.005,2)</f>
        <v>1984.58</v>
      </c>
      <c r="P426" s="6">
        <f t="shared" si="101"/>
        <v>320310.61</v>
      </c>
      <c r="Q426" s="4" t="str">
        <f>LOOKUP($E426,OBRAS!$D:$D,OBRAS!B:B)</f>
        <v>EDIFICACIONES BOZA S.A. DE C.V.</v>
      </c>
      <c r="R426" s="4" t="str">
        <f>LOOKUP($E426,OBRAS!$D:$D,OBRAS!A:A)</f>
        <v>NAVOJOA</v>
      </c>
      <c r="S426" s="4" t="str">
        <f>LOOKUP($E426,OBRAS!$D:$D,OBRAS!F:F)</f>
        <v>10800003002401E406K07203A411061155GZ12C-00109/0003</v>
      </c>
      <c r="T426" s="4">
        <f>LOOKUP($E426,OBRAS!$D:$D,OBRAS!G:G)</f>
        <v>0</v>
      </c>
      <c r="U426" s="4" t="s">
        <v>863</v>
      </c>
      <c r="V426" s="4"/>
      <c r="W426" s="6">
        <f>LOOKUP($E426,OBRAS!$D:$D,OBRAS!K:K)</f>
        <v>12932638.52</v>
      </c>
      <c r="X426" s="109">
        <f t="shared" si="95"/>
        <v>3.56E-2</v>
      </c>
      <c r="Y426" s="109">
        <f t="shared" si="96"/>
        <v>1</v>
      </c>
      <c r="Z426" s="109">
        <f t="shared" si="97"/>
        <v>0.98929999999999996</v>
      </c>
      <c r="AA426" s="4">
        <f>LOOKUP($E426,OBRAS!$D:$D,OBRAS!H:H)</f>
        <v>0</v>
      </c>
    </row>
    <row r="427" spans="1:27" ht="60" x14ac:dyDescent="0.25">
      <c r="A427" s="90">
        <v>42632</v>
      </c>
      <c r="B427" s="56">
        <v>3681</v>
      </c>
      <c r="C427" s="49">
        <v>425</v>
      </c>
      <c r="D427" s="4" t="str">
        <f>LOOKUP($E427,OBRAS!$D:$D,OBRAS!C:C)</f>
        <v>CONSTRUCCION DE LA CARRETERA E.C. 4 SUR (ALFREDO V. BONFIL) TRAMO DEL KM 1+700 AL KM 5+600 EN VARIAS LOCALIDADES DEL MUNICIPIO DE HERMOSILLO</v>
      </c>
      <c r="E427" s="4" t="s">
        <v>364</v>
      </c>
      <c r="F427" s="4"/>
      <c r="G427" s="4" t="str">
        <f>LOOKUP($E427,OBRAS!$D:$D,OBRAS!E:E)</f>
        <v>C-00054/0066</v>
      </c>
      <c r="H427" s="80" t="s">
        <v>103</v>
      </c>
      <c r="I427" s="6">
        <v>2419917.6</v>
      </c>
      <c r="J427" s="6"/>
      <c r="K427" s="6">
        <f>ROUND(I427*0.3,2)</f>
        <v>725975.28</v>
      </c>
      <c r="L427" s="6">
        <f t="shared" si="102"/>
        <v>1693942.32</v>
      </c>
      <c r="M427" s="6">
        <f t="shared" si="103"/>
        <v>271030.77</v>
      </c>
      <c r="N427" s="6">
        <f t="shared" si="100"/>
        <v>1964973.09</v>
      </c>
      <c r="O427" s="6">
        <f>+ROUND(I427*0.002,2)+ROUND(I427*0.0003,2)+ROUND(I427*0.0003,2)+ROUND(I427*0.0003,2)+ROUND(I427*0.002,2)</f>
        <v>11857.62</v>
      </c>
      <c r="P427" s="6">
        <f t="shared" si="101"/>
        <v>1953115.47</v>
      </c>
      <c r="Q427" s="4" t="str">
        <f>LOOKUP($E427,OBRAS!$D:$D,OBRAS!B:B)</f>
        <v>EDIFICACIONES Y PROYECTOS MOCELIK, S.A. DE C.V.</v>
      </c>
      <c r="R427" s="4" t="str">
        <f>LOOKUP($E427,OBRAS!$D:$D,OBRAS!A:A)</f>
        <v>HERMOSILLO</v>
      </c>
      <c r="S427" s="4" t="str">
        <f>LOOKUP($E427,OBRAS!$D:$D,OBRAS!F:F)</f>
        <v>11000002003501E204K08063A625012162A213</v>
      </c>
      <c r="T427" s="4" t="str">
        <f>LOOKUP($E427,OBRAS!$D:$D,OBRAS!G:G)</f>
        <v>CE-926006995-E34-2016</v>
      </c>
      <c r="U427" s="4" t="s">
        <v>863</v>
      </c>
      <c r="V427" s="89">
        <v>42653</v>
      </c>
      <c r="W427" s="6">
        <f>LOOKUP($E427,OBRAS!$D:$D,OBRAS!K:K)</f>
        <v>23895598.399999999</v>
      </c>
      <c r="X427" s="109">
        <f t="shared" si="95"/>
        <v>0.11749999999999999</v>
      </c>
      <c r="Y427" s="109">
        <f t="shared" si="96"/>
        <v>0.98550000000000004</v>
      </c>
      <c r="Z427" s="109">
        <f t="shared" si="97"/>
        <v>0.98980000000000001</v>
      </c>
      <c r="AA427" s="4" t="str">
        <f>LOOKUP($E427,OBRAS!$D:$D,OBRAS!H:H)</f>
        <v>SH-ED-17-R-013</v>
      </c>
    </row>
    <row r="428" spans="1:27" ht="60" x14ac:dyDescent="0.25">
      <c r="A428" s="90">
        <v>42632</v>
      </c>
      <c r="B428" s="56">
        <v>3682</v>
      </c>
      <c r="C428" s="49">
        <v>426</v>
      </c>
      <c r="D428" s="4" t="str">
        <f>LOOKUP($E428,OBRAS!$D:$D,OBRAS!C:C)</f>
        <v>SUPERVISION EXTERNA Y CONTROL DE CALIDAD PARA LA OBRA RECONSTRUCCION DE CAMINO HORNOS - ROSARIO EN VARIAS LOCALIDADES DE VARIOS MUNICIPIOS DEL ESTADO DE SONORA.</v>
      </c>
      <c r="E428" s="4" t="s">
        <v>315</v>
      </c>
      <c r="F428" s="4"/>
      <c r="G428" s="4" t="str">
        <f>LOOKUP($E428,OBRAS!$D:$D,OBRAS!E:E)</f>
        <v>C-00098/0022</v>
      </c>
      <c r="H428" s="80" t="s">
        <v>55</v>
      </c>
      <c r="I428" s="6">
        <v>307572.47999999998</v>
      </c>
      <c r="J428" s="6"/>
      <c r="K428" s="6">
        <f>ROUND(I428*0.1,2)</f>
        <v>30757.25</v>
      </c>
      <c r="L428" s="6">
        <f t="shared" si="102"/>
        <v>276815.23</v>
      </c>
      <c r="M428" s="6">
        <f t="shared" si="103"/>
        <v>44290.44</v>
      </c>
      <c r="N428" s="6">
        <f t="shared" si="100"/>
        <v>321105.67</v>
      </c>
      <c r="O428" s="6">
        <f>+ROUND(I428*0.002,2)+ROUND(I428*0.0003,2)+ROUND(I428*0.0003,2)+ROUND(I428*0.0003,2)</f>
        <v>891.95</v>
      </c>
      <c r="P428" s="6">
        <f t="shared" si="101"/>
        <v>320213.71999999997</v>
      </c>
      <c r="Q428" s="4" t="str">
        <f>LOOKUP($E428,OBRAS!$D:$D,OBRAS!B:B)</f>
        <v>OESTEC DE MEXICO SA DE CV</v>
      </c>
      <c r="R428" s="4" t="str">
        <f>LOOKUP($E428,OBRAS!$D:$D,OBRAS!A:A)</f>
        <v>VARIOS</v>
      </c>
      <c r="S428" s="4" t="str">
        <f>LOOKUP($E428,OBRAS!$D:$D,OBRAS!F:F)</f>
        <v>11000002002207E201K02104A622212161A013</v>
      </c>
      <c r="T428" s="4" t="str">
        <f>LOOKUP($E428,OBRAS!$D:$D,OBRAS!G:G)</f>
        <v>CE-9260066995-E46-2016</v>
      </c>
      <c r="U428" s="4" t="s">
        <v>863</v>
      </c>
      <c r="V428" s="89">
        <v>42671</v>
      </c>
      <c r="W428" s="6">
        <f>LOOKUP($E428,OBRAS!$D:$D,OBRAS!K:K)</f>
        <v>2497488.54</v>
      </c>
      <c r="X428" s="109">
        <f t="shared" si="95"/>
        <v>0.1429</v>
      </c>
      <c r="Y428" s="109">
        <f t="shared" si="96"/>
        <v>1.0003</v>
      </c>
      <c r="Z428" s="109">
        <f t="shared" si="97"/>
        <v>1</v>
      </c>
      <c r="AA428" s="4" t="str">
        <f>LOOKUP($E428,OBRAS!$D:$D,OBRAS!H:H)</f>
        <v>SH-ED-16-028</v>
      </c>
    </row>
    <row r="429" spans="1:27" ht="30" x14ac:dyDescent="0.25">
      <c r="A429" s="90">
        <v>42632</v>
      </c>
      <c r="B429" s="56">
        <v>3683</v>
      </c>
      <c r="C429" s="49">
        <v>427</v>
      </c>
      <c r="D429" s="4" t="str">
        <f>LOOKUP($E429,OBRAS!$D:$D,OBRAS!C:C)</f>
        <v>CONSTRUCCION DE LINEA DE CONDUCCION DEL POZO EXISTENTE A LA CAJA DE ALMACENAMIENTO</v>
      </c>
      <c r="E429" s="4" t="s">
        <v>331</v>
      </c>
      <c r="F429" s="4" t="s">
        <v>224</v>
      </c>
      <c r="G429" s="4" t="str">
        <f>LOOKUP($E429,OBRAS!$D:$D,OBRAS!E:E)</f>
        <v>C-00050/0003</v>
      </c>
      <c r="H429" s="80" t="s">
        <v>55</v>
      </c>
      <c r="I429" s="6">
        <v>410941.8</v>
      </c>
      <c r="J429" s="6"/>
      <c r="K429" s="6">
        <f>ROUND(I429*0.3,2)</f>
        <v>123282.54</v>
      </c>
      <c r="L429" s="6">
        <f t="shared" si="102"/>
        <v>287659.26</v>
      </c>
      <c r="M429" s="6">
        <f t="shared" si="103"/>
        <v>46025.48</v>
      </c>
      <c r="N429" s="6">
        <f t="shared" si="100"/>
        <v>333684.74</v>
      </c>
      <c r="O429" s="6">
        <f>+ROUND(I429*0.002,2)+ROUND(I429*0.0003,2)+ROUND(I429*0.0003,2)+ROUND(I429*0.0003,2)+ROUND(I429*0.002,2)</f>
        <v>2013.6</v>
      </c>
      <c r="P429" s="6">
        <f t="shared" si="101"/>
        <v>331671.14</v>
      </c>
      <c r="Q429" s="4" t="str">
        <f>LOOKUP($E429,OBRAS!$D:$D,OBRAS!B:B)</f>
        <v>CONSTRUCCIONES Y DISEÑOS OPOSURA, S.A. DE C.V.</v>
      </c>
      <c r="R429" s="4" t="str">
        <f>LOOKUP($E429,OBRAS!$D:$D,OBRAS!A:A)</f>
        <v>SAN PEDRO DE LA CUEVA</v>
      </c>
      <c r="S429" s="4" t="str">
        <f>LOOKUP($E429,OBRAS!$D:$D,OBRAS!F:F)</f>
        <v>11000002002203E208K13020A614082162A208</v>
      </c>
      <c r="T429" s="4" t="str">
        <f>LOOKUP($E429,OBRAS!$D:$D,OBRAS!G:G)</f>
        <v>CE-926006995-E47-2016</v>
      </c>
      <c r="U429" s="4" t="s">
        <v>863</v>
      </c>
      <c r="V429" s="89">
        <v>42671</v>
      </c>
      <c r="W429" s="6">
        <f>LOOKUP($E429,OBRAS!$D:$D,OBRAS!K:K)</f>
        <v>2209859.44</v>
      </c>
      <c r="X429" s="109">
        <f t="shared" si="95"/>
        <v>0.2157</v>
      </c>
      <c r="Y429" s="109">
        <f t="shared" si="96"/>
        <v>1</v>
      </c>
      <c r="Z429" s="109">
        <f t="shared" si="97"/>
        <v>1</v>
      </c>
      <c r="AA429" s="4" t="str">
        <f>LOOKUP($E429,OBRAS!$D:$D,OBRAS!H:H)</f>
        <v>SH-ED-17-R-007</v>
      </c>
    </row>
    <row r="430" spans="1:27" ht="60" x14ac:dyDescent="0.25">
      <c r="A430" s="90">
        <v>42632</v>
      </c>
      <c r="B430" s="56">
        <v>3684</v>
      </c>
      <c r="C430" s="49">
        <v>428</v>
      </c>
      <c r="D430" s="4" t="str">
        <f>LOOKUP($E430,OBRAS!$D:$D,OBRAS!C:C)</f>
        <v>SUPERVISION EXTERNA Y CONTROL DE CALIDAD DE LA OBRA RECONSTRUCCIÓN DEL CAMINO CALLE 16 EN VARIAS LOCALIDADES DEL MUNICIPIO DE CAJEME, SONORA.</v>
      </c>
      <c r="E430" s="4" t="s">
        <v>358</v>
      </c>
      <c r="F430" s="4"/>
      <c r="G430" s="4" t="str">
        <f>LOOKUP($E430,OBRAS!$D:$D,OBRAS!E:E)</f>
        <v>C-00098/0021</v>
      </c>
      <c r="H430" s="80" t="s">
        <v>55</v>
      </c>
      <c r="I430" s="6">
        <v>170065.74</v>
      </c>
      <c r="J430" s="6"/>
      <c r="K430" s="6">
        <f>ROUND(I430*0.1,2)</f>
        <v>17006.57</v>
      </c>
      <c r="L430" s="6">
        <f t="shared" si="102"/>
        <v>153059.17000000001</v>
      </c>
      <c r="M430" s="6">
        <f t="shared" si="103"/>
        <v>24489.47</v>
      </c>
      <c r="N430" s="6">
        <f t="shared" si="100"/>
        <v>177548.64</v>
      </c>
      <c r="O430" s="6">
        <f>+ROUND(I430*0.002,2)+ROUND(I430*0.0003,2)+ROUND(I430*0.0003,2)+ROUND(I430*0.0003,2)</f>
        <v>493.19</v>
      </c>
      <c r="P430" s="6">
        <f t="shared" si="101"/>
        <v>177055.45</v>
      </c>
      <c r="Q430" s="4" t="str">
        <f>LOOKUP($E430,OBRAS!$D:$D,OBRAS!B:B)</f>
        <v>PROTEKO DESARROLLOS E INFRAESTRUCTURA, S.A. DE C.V.</v>
      </c>
      <c r="R430" s="4" t="str">
        <f>LOOKUP($E430,OBRAS!$D:$D,OBRAS!A:A)</f>
        <v>CAJEME</v>
      </c>
      <c r="S430" s="4" t="str">
        <f>LOOKUP($E430,OBRAS!$D:$D,OBRAS!F:F)</f>
        <v>11000002003501E203K03203A625132161A013</v>
      </c>
      <c r="T430" s="4" t="str">
        <f>LOOKUP($E430,OBRAS!$D:$D,OBRAS!G:G)</f>
        <v>LICITACIÓN SIMPLIFICADA</v>
      </c>
      <c r="U430" s="4" t="s">
        <v>863</v>
      </c>
      <c r="V430" s="89">
        <v>42663</v>
      </c>
      <c r="W430" s="6">
        <f>LOOKUP($E430,OBRAS!$D:$D,OBRAS!K:K)</f>
        <v>789105.03</v>
      </c>
      <c r="X430" s="109">
        <f t="shared" si="95"/>
        <v>0.25</v>
      </c>
      <c r="Y430" s="109">
        <f t="shared" si="96"/>
        <v>1</v>
      </c>
      <c r="Z430" s="109">
        <f t="shared" si="97"/>
        <v>1</v>
      </c>
      <c r="AA430" s="4" t="str">
        <f>LOOKUP($E430,OBRAS!$D:$D,OBRAS!H:H)</f>
        <v>SH-ED-16-020</v>
      </c>
    </row>
    <row r="431" spans="1:27" ht="60" x14ac:dyDescent="0.25">
      <c r="A431" s="90">
        <v>42632</v>
      </c>
      <c r="B431" s="56">
        <v>3685</v>
      </c>
      <c r="C431" s="49">
        <v>429</v>
      </c>
      <c r="D431" s="4" t="str">
        <f>LOOKUP($E431,OBRAS!$D:$D,OBRAS!C:C)</f>
        <v>SUPERVISION EXTERNA Y CONTROL DE CALIDAD CONCLUSION DE LA MODERNIZACION Y RECONSTRUCCION DEL TRAMO ESPERANZA - HORNOS (DEL KM 8 + 800 AL KM 17 + 400)</v>
      </c>
      <c r="E431" s="4" t="s">
        <v>291</v>
      </c>
      <c r="F431" s="4"/>
      <c r="G431" s="4" t="str">
        <f>LOOKUP($E431,OBRAS!$D:$D,OBRAS!E:E)</f>
        <v>C-00098/0021</v>
      </c>
      <c r="H431" s="80" t="s">
        <v>221</v>
      </c>
      <c r="I431" s="6">
        <v>351313.07</v>
      </c>
      <c r="J431" s="6"/>
      <c r="K431" s="6">
        <f>ROUND(I431*0.1,2)</f>
        <v>35131.31</v>
      </c>
      <c r="L431" s="6">
        <f t="shared" si="102"/>
        <v>316181.76000000001</v>
      </c>
      <c r="M431" s="6">
        <f t="shared" si="103"/>
        <v>50589.08</v>
      </c>
      <c r="N431" s="6">
        <f t="shared" si="100"/>
        <v>366770.84</v>
      </c>
      <c r="O431" s="6">
        <f>+ROUND(I431*0.002,2)+ROUND(I431*0.0003,2)+ROUND(I431*0.0003,2)+ROUND(I431*0.0003,2)</f>
        <v>1018.8</v>
      </c>
      <c r="P431" s="6">
        <f t="shared" si="101"/>
        <v>365752.04</v>
      </c>
      <c r="Q431" s="4" t="str">
        <f>LOOKUP($E431,OBRAS!$D:$D,OBRAS!B:B)</f>
        <v>OESTEC DE MEXICO SA DE CV</v>
      </c>
      <c r="R431" s="4" t="str">
        <f>LOOKUP($E431,OBRAS!$D:$D,OBRAS!A:A)</f>
        <v>VARIOS</v>
      </c>
      <c r="S431" s="4" t="str">
        <f>LOOKUP($E431,OBRAS!$D:$D,OBRAS!F:F)</f>
        <v>11000002003501E203K03203A625132161A013</v>
      </c>
      <c r="T431" s="4" t="str">
        <f>LOOKUP($E431,OBRAS!$D:$D,OBRAS!G:G)</f>
        <v>CE-926006995-E52-2016</v>
      </c>
      <c r="U431" s="4" t="s">
        <v>863</v>
      </c>
      <c r="V431" s="89">
        <v>42671</v>
      </c>
      <c r="W431" s="6">
        <f>LOOKUP($E431,OBRAS!$D:$D,OBRAS!K:K)</f>
        <v>2445138.9700000002</v>
      </c>
      <c r="X431" s="109">
        <f t="shared" si="95"/>
        <v>0.16669999999999999</v>
      </c>
      <c r="Y431" s="109">
        <f t="shared" si="96"/>
        <v>0.96409999999999996</v>
      </c>
      <c r="Z431" s="109">
        <f t="shared" si="97"/>
        <v>0.96760000000000002</v>
      </c>
      <c r="AA431" s="4" t="str">
        <f>LOOKUP($E431,OBRAS!$D:$D,OBRAS!H:H)</f>
        <v>SH-ED-16-040</v>
      </c>
    </row>
    <row r="432" spans="1:27" ht="60" x14ac:dyDescent="0.25">
      <c r="C432" s="84">
        <v>430</v>
      </c>
      <c r="D432" s="4" t="str">
        <f>LOOKUP($E432,OBRAS!$D:$D,OBRAS!C:C)</f>
        <v>CONSTRUCCION DE EQUIPAMIENTO DE UNIDAD DEPORTIVA MUNICIPAL HONOFRE GRACIA SANCHEZ EN LA LOCALIDAD Y MUNICIPIO DE MAZATAN</v>
      </c>
      <c r="E432" s="4" t="s">
        <v>457</v>
      </c>
      <c r="F432" s="4"/>
      <c r="G432" s="4" t="str">
        <f>LOOKUP($E432,OBRAS!$D:$D,OBRAS!E:E)</f>
        <v>C-00109/0002</v>
      </c>
      <c r="H432" s="80" t="s">
        <v>15</v>
      </c>
      <c r="I432" s="6">
        <v>253509.13</v>
      </c>
      <c r="J432" s="6"/>
      <c r="K432" s="6">
        <f>ROUND(I432*0.3,2)</f>
        <v>76052.740000000005</v>
      </c>
      <c r="L432" s="6">
        <f t="shared" si="102"/>
        <v>177456.39</v>
      </c>
      <c r="M432" s="6">
        <f t="shared" si="103"/>
        <v>28393.02</v>
      </c>
      <c r="N432" s="6">
        <f t="shared" si="100"/>
        <v>205849.41</v>
      </c>
      <c r="O432" s="6">
        <f>+ROUND(I432*0.005,2)</f>
        <v>1267.55</v>
      </c>
      <c r="P432" s="6">
        <f t="shared" si="101"/>
        <v>204581.86</v>
      </c>
      <c r="Q432" s="4" t="str">
        <f>LOOKUP($E432,OBRAS!$D:$D,OBRAS!B:B)</f>
        <v>OBRAS Y BASTIMENTOS DEL NOROESTE, S.A. DE C.V.</v>
      </c>
      <c r="R432" s="4" t="str">
        <f>LOOKUP($E432,OBRAS!$D:$D,OBRAS!A:A)</f>
        <v>MAZATAN</v>
      </c>
      <c r="S432" s="4"/>
      <c r="T432" s="4"/>
      <c r="U432" s="4" t="s">
        <v>863</v>
      </c>
      <c r="V432" s="4"/>
      <c r="W432" s="6">
        <f>LOOKUP($E432,OBRAS!$D:$D,OBRAS!K:K)</f>
        <v>6682427.0199999996</v>
      </c>
      <c r="X432" s="109">
        <f t="shared" si="95"/>
        <v>4.3999999999999997E-2</v>
      </c>
      <c r="Y432" s="109">
        <f t="shared" si="96"/>
        <v>1</v>
      </c>
      <c r="Z432" s="109">
        <f t="shared" si="97"/>
        <v>1</v>
      </c>
      <c r="AA432" s="4" t="str">
        <f>LOOKUP($E432,OBRAS!$D:$D,OBRAS!H:H)</f>
        <v>OM-NC-15-196</v>
      </c>
    </row>
    <row r="433" spans="1:27" ht="60" x14ac:dyDescent="0.25">
      <c r="C433" s="84">
        <v>431</v>
      </c>
      <c r="D433" s="4" t="str">
        <f>LOOKUP($E433,OBRAS!$D:$D,OBRAS!C:C)</f>
        <v>CONSTRUCCION, REHABILITACION Y EQUIPAMIENTO DE UNIDAD DEPORTIVA BALDOMERO ALDAMA EN LA LOCALIDAD Y MUNICIPIO DE HUATABAMPO, SONORA</v>
      </c>
      <c r="E433" s="4" t="s">
        <v>755</v>
      </c>
      <c r="F433" s="4"/>
      <c r="G433" s="4"/>
      <c r="H433" s="80" t="s">
        <v>215</v>
      </c>
      <c r="I433" s="6">
        <v>1030155.23</v>
      </c>
      <c r="J433" s="6"/>
      <c r="K433" s="6">
        <f>ROUND(I433*0.3,2)</f>
        <v>309046.57</v>
      </c>
      <c r="L433" s="6">
        <f t="shared" si="102"/>
        <v>721108.66</v>
      </c>
      <c r="M433" s="6">
        <f t="shared" si="103"/>
        <v>115377.39</v>
      </c>
      <c r="N433" s="6">
        <f t="shared" si="100"/>
        <v>836486.05</v>
      </c>
      <c r="O433" s="6">
        <f>+ROUND(I433*0.005,2)</f>
        <v>5150.78</v>
      </c>
      <c r="P433" s="6">
        <f t="shared" si="101"/>
        <v>831335.27</v>
      </c>
      <c r="Q433" s="4" t="str">
        <f>LOOKUP($E433,OBRAS!$D:$D,OBRAS!B:B)</f>
        <v>SIGNS MANUFACTURAS Y CONSTRUCCIONES, S.A. DE C.V.</v>
      </c>
      <c r="R433" s="4" t="str">
        <f>LOOKUP($E433,OBRAS!$D:$D,OBRAS!A:A)</f>
        <v>HUATABAMPO</v>
      </c>
      <c r="S433" s="4"/>
      <c r="T433" s="4"/>
      <c r="U433" s="4" t="s">
        <v>863</v>
      </c>
      <c r="V433" s="4"/>
      <c r="W433" s="6">
        <f>LOOKUP($E433,OBRAS!$D:$D,OBRAS!K:K)</f>
        <v>12019389.67</v>
      </c>
      <c r="X433" s="109">
        <f t="shared" si="95"/>
        <v>9.9400000000000002E-2</v>
      </c>
      <c r="Y433" s="109">
        <f t="shared" si="96"/>
        <v>1</v>
      </c>
      <c r="Z433" s="109">
        <f t="shared" si="97"/>
        <v>1</v>
      </c>
      <c r="AA433" s="4" t="str">
        <f>LOOKUP($E433,OBRAS!$D:$D,OBRAS!H:H)</f>
        <v>OM-NC-15-203</v>
      </c>
    </row>
    <row r="434" spans="1:27" ht="60" x14ac:dyDescent="0.25">
      <c r="C434" s="84">
        <v>432</v>
      </c>
      <c r="D434" s="4" t="str">
        <f>LOOKUP($E434,OBRAS!$D:$D,OBRAS!C:C)</f>
        <v>CONSTRUCCION, REHABILITACION Y EQUIPAMIENTO DE UNIDAD DEPORTIVA BALDOMERO ALDAMA EN LA LOCALIDAD Y MUNICIPIO DE HUATABAMPO, SONORA</v>
      </c>
      <c r="E434" s="4" t="s">
        <v>755</v>
      </c>
      <c r="F434" s="4"/>
      <c r="G434" s="4"/>
      <c r="H434" s="80" t="s">
        <v>15</v>
      </c>
      <c r="I434" s="6">
        <v>311705.7</v>
      </c>
      <c r="J434" s="6"/>
      <c r="K434" s="6">
        <v>93511.7</v>
      </c>
      <c r="L434" s="6">
        <f t="shared" si="102"/>
        <v>218194</v>
      </c>
      <c r="M434" s="6">
        <f t="shared" si="103"/>
        <v>34911.040000000001</v>
      </c>
      <c r="N434" s="6">
        <f t="shared" si="100"/>
        <v>253105.04</v>
      </c>
      <c r="O434" s="6">
        <f>+ROUND(I434*0.005,2)</f>
        <v>1558.53</v>
      </c>
      <c r="P434" s="6">
        <f t="shared" si="101"/>
        <v>251546.51</v>
      </c>
      <c r="Q434" s="4" t="str">
        <f>LOOKUP($E434,OBRAS!$D:$D,OBRAS!B:B)</f>
        <v>SIGNS MANUFACTURAS Y CONSTRUCCIONES, S.A. DE C.V.</v>
      </c>
      <c r="R434" s="4" t="str">
        <f>LOOKUP($E434,OBRAS!$D:$D,OBRAS!A:A)</f>
        <v>HUATABAMPO</v>
      </c>
      <c r="S434" s="4"/>
      <c r="T434" s="4"/>
      <c r="U434" s="4" t="s">
        <v>863</v>
      </c>
      <c r="V434" s="4"/>
      <c r="W434" s="6">
        <f>LOOKUP($E434,OBRAS!$D:$D,OBRAS!K:K)</f>
        <v>12019389.67</v>
      </c>
      <c r="X434" s="109">
        <f t="shared" si="95"/>
        <v>3.0099999999999998E-2</v>
      </c>
      <c r="Y434" s="109">
        <f t="shared" si="96"/>
        <v>1</v>
      </c>
      <c r="Z434" s="109">
        <f t="shared" si="97"/>
        <v>1</v>
      </c>
      <c r="AA434" s="4" t="str">
        <f>LOOKUP($E434,OBRAS!$D:$D,OBRAS!H:H)</f>
        <v>OM-NC-15-203</v>
      </c>
    </row>
    <row r="435" spans="1:27" ht="60" x14ac:dyDescent="0.25">
      <c r="C435" s="84">
        <v>433</v>
      </c>
      <c r="D435" s="4" t="str">
        <f>LOOKUP($E435,OBRAS!$D:$D,OBRAS!C:C)</f>
        <v>CONSTRUCCION Y EQUIPAMIENTO DE UNIDAD DEPORTIVA MUNICIPAL EL ANDADOR EN LA LOCALIDAD Y MUNICIPIO DE SANTA ANA, SONORA.</v>
      </c>
      <c r="E435" s="4" t="s">
        <v>625</v>
      </c>
      <c r="F435" s="4" t="s">
        <v>217</v>
      </c>
      <c r="G435" s="4" t="str">
        <f>LOOKUP($E435,OBRAS!$D:$D,OBRAS!E:E)</f>
        <v>C-00109/0004</v>
      </c>
      <c r="H435" s="80" t="s">
        <v>215</v>
      </c>
      <c r="I435" s="6">
        <v>410617.64</v>
      </c>
      <c r="J435" s="6"/>
      <c r="K435" s="6">
        <f>ROUND(I435*0.3,2)</f>
        <v>123185.29</v>
      </c>
      <c r="L435" s="6">
        <f t="shared" si="102"/>
        <v>287432.34999999998</v>
      </c>
      <c r="M435" s="6">
        <f t="shared" si="103"/>
        <v>45989.18</v>
      </c>
      <c r="N435" s="6">
        <f t="shared" si="100"/>
        <v>333421.53000000003</v>
      </c>
      <c r="O435" s="6">
        <f>+ROUND(I435*0.005,2)</f>
        <v>2053.09</v>
      </c>
      <c r="P435" s="6">
        <f t="shared" si="101"/>
        <v>331368.44</v>
      </c>
      <c r="Q435" s="4" t="str">
        <f>LOOKUP($E435,OBRAS!$D:$D,OBRAS!B:B)</f>
        <v>BARREDA PROYECTO Y CONSTRUCCIONES, S.A. DE C.V.</v>
      </c>
      <c r="R435" s="4" t="str">
        <f>LOOKUP($E435,OBRAS!$D:$D,OBRAS!A:A)</f>
        <v>SANTA ANA</v>
      </c>
      <c r="S435" s="4"/>
      <c r="T435" s="4"/>
      <c r="U435" s="4" t="s">
        <v>863</v>
      </c>
      <c r="V435" s="4"/>
      <c r="W435" s="6">
        <f>LOOKUP($E435,OBRAS!$D:$D,OBRAS!K:K)</f>
        <v>6736102.7800000003</v>
      </c>
      <c r="X435" s="109">
        <f t="shared" si="95"/>
        <v>7.0699999999999999E-2</v>
      </c>
      <c r="Y435" s="109">
        <f t="shared" si="96"/>
        <v>0.99990000000000001</v>
      </c>
      <c r="Z435" s="109">
        <f t="shared" si="97"/>
        <v>1</v>
      </c>
      <c r="AA435" s="4"/>
    </row>
    <row r="436" spans="1:27" ht="75" x14ac:dyDescent="0.25">
      <c r="A436" s="90">
        <v>42632</v>
      </c>
      <c r="B436" s="56">
        <v>3686</v>
      </c>
      <c r="C436" s="49">
        <v>434</v>
      </c>
      <c r="D436" s="4" t="str">
        <f>LOOKUP($E436,OBRAS!$D:$D,OBRAS!C:C)</f>
        <v>SUPERVISION Y CONTROL DE CALIDAD DE LA OBRA: RECONSTRUCCION DE E.C. (HERMOSILLO -  BAHIA DE KINO) - GRANJA ACUICOLA SAN NICOLAS DEL KM 0+000 AL KM 10+410 EN VARIAS LOCALIDADES DE HERMOSILLO, SONORA.</v>
      </c>
      <c r="E436" s="4" t="s">
        <v>848</v>
      </c>
      <c r="F436" s="4"/>
      <c r="G436" s="4" t="str">
        <f>LOOKUP($E436,OBRAS!$D:$D,OBRAS!E:E)</f>
        <v>C-00098/0022</v>
      </c>
      <c r="H436" s="80" t="s">
        <v>103</v>
      </c>
      <c r="I436" s="6">
        <v>21364.720000000001</v>
      </c>
      <c r="J436" s="6"/>
      <c r="K436" s="6">
        <v>0</v>
      </c>
      <c r="L436" s="6">
        <f t="shared" si="102"/>
        <v>21364.720000000001</v>
      </c>
      <c r="M436" s="6">
        <f t="shared" si="103"/>
        <v>3418.36</v>
      </c>
      <c r="N436" s="6">
        <f t="shared" si="100"/>
        <v>24783.08</v>
      </c>
      <c r="O436" s="6">
        <f>+ROUND(I436*0.002,2)+ROUND(I436*0.0003,2)+ROUND(I436*0.0003,2)+ROUND(I436*0.0003,2)</f>
        <v>61.96</v>
      </c>
      <c r="P436" s="6">
        <f t="shared" si="101"/>
        <v>24721.119999999999</v>
      </c>
      <c r="Q436" s="4" t="str">
        <f>LOOKUP($E436,OBRAS!$D:$D,OBRAS!B:B)</f>
        <v>DAPCI, S.A. DE C.V.</v>
      </c>
      <c r="R436" s="4" t="str">
        <f>LOOKUP($E436,OBRAS!$D:$D,OBRAS!A:A)</f>
        <v>HERMOSILLO</v>
      </c>
      <c r="S436" s="4" t="str">
        <f>LOOKUP($E436,OBRAS!$D:$D,OBRAS!F:F)</f>
        <v>11000002002207E201K02104A622212161A013</v>
      </c>
      <c r="T436" s="4" t="str">
        <f>LOOKUP($E436,OBRAS!$D:$D,OBRAS!G:G)</f>
        <v>LICITACIÓN SIMPLIFICADA</v>
      </c>
      <c r="U436" s="4" t="s">
        <v>863</v>
      </c>
      <c r="V436" s="89">
        <v>42671</v>
      </c>
      <c r="W436" s="6">
        <f>LOOKUP($E436,OBRAS!$D:$D,OBRAS!K:K)</f>
        <v>573551.26</v>
      </c>
      <c r="X436" s="109">
        <f t="shared" si="95"/>
        <v>4.3200000000000002E-2</v>
      </c>
      <c r="Y436" s="109">
        <f t="shared" si="96"/>
        <v>0.71</v>
      </c>
      <c r="Z436" s="109">
        <f t="shared" si="97"/>
        <v>0.70989999999999998</v>
      </c>
      <c r="AA436" s="4" t="str">
        <f>LOOKUP($E436,OBRAS!$D:$D,OBRAS!H:H)</f>
        <v>SH-ED-16-066</v>
      </c>
    </row>
    <row r="437" spans="1:27" ht="60" x14ac:dyDescent="0.25">
      <c r="C437" s="84">
        <v>435</v>
      </c>
      <c r="D437" s="4" t="str">
        <f>LOOKUP($E437,OBRAS!$D:$D,OBRAS!C:C)</f>
        <v>CONSTRUCCION Y EQUIPAMIENTO DE UNIDAD DEPORTIVA MUNICIPAL EL ANDADOR EN LA LOCALIDAD Y MUNICIPIO DE SANTA ANA, SONORA.</v>
      </c>
      <c r="E437" s="4" t="s">
        <v>625</v>
      </c>
      <c r="F437" s="4" t="s">
        <v>217</v>
      </c>
      <c r="G437" s="4" t="str">
        <f>LOOKUP($E437,OBRAS!$D:$D,OBRAS!E:E)</f>
        <v>C-00109/0004</v>
      </c>
      <c r="H437" s="80" t="s">
        <v>15</v>
      </c>
      <c r="I437" s="6">
        <v>318913.96999999997</v>
      </c>
      <c r="J437" s="6"/>
      <c r="K437" s="6">
        <f>ROUND(I437*0.3,2)</f>
        <v>95674.19</v>
      </c>
      <c r="L437" s="6">
        <f t="shared" si="102"/>
        <v>223239.78</v>
      </c>
      <c r="M437" s="6">
        <f t="shared" si="103"/>
        <v>35718.36</v>
      </c>
      <c r="N437" s="6">
        <f t="shared" si="100"/>
        <v>258958.14</v>
      </c>
      <c r="O437" s="6">
        <f>+ROUND(I437*0.005,2)</f>
        <v>1594.57</v>
      </c>
      <c r="P437" s="6">
        <f t="shared" si="101"/>
        <v>257363.57</v>
      </c>
      <c r="Q437" s="4" t="str">
        <f>LOOKUP($E437,OBRAS!$D:$D,OBRAS!B:B)</f>
        <v>BARREDA PROYECTO Y CONSTRUCCIONES, S.A. DE C.V.</v>
      </c>
      <c r="R437" s="4" t="str">
        <f>LOOKUP($E437,OBRAS!$D:$D,OBRAS!A:A)</f>
        <v>SANTA ANA</v>
      </c>
      <c r="S437" s="4">
        <f>LOOKUP($E437,OBRAS!$D:$D,OBRAS!F:F)</f>
        <v>0</v>
      </c>
      <c r="T437" s="4">
        <f>LOOKUP($E437,OBRAS!$D:$D,OBRAS!G:G)</f>
        <v>0</v>
      </c>
      <c r="U437" s="4" t="s">
        <v>863</v>
      </c>
      <c r="V437" s="4"/>
      <c r="W437" s="6">
        <f>LOOKUP($E437,OBRAS!$D:$D,OBRAS!K:K)</f>
        <v>6736102.7800000003</v>
      </c>
      <c r="X437" s="109">
        <f t="shared" si="95"/>
        <v>5.4899999999999997E-2</v>
      </c>
      <c r="Y437" s="109">
        <f t="shared" si="96"/>
        <v>0.99990000000000001</v>
      </c>
      <c r="Z437" s="109">
        <f t="shared" si="97"/>
        <v>1</v>
      </c>
      <c r="AA437" s="4" t="str">
        <f>LOOKUP($E437,OBRAS!$D:$D,OBRAS!H:H)</f>
        <v>OM-NC-15-196</v>
      </c>
    </row>
    <row r="438" spans="1:27" ht="45" x14ac:dyDescent="0.25">
      <c r="A438" s="90">
        <v>42635</v>
      </c>
      <c r="B438" s="56">
        <v>3811</v>
      </c>
      <c r="C438" s="49">
        <v>436</v>
      </c>
      <c r="D438" s="4" t="str">
        <f>LOOKUP($E438,OBRAS!$D:$D,OBRAS!C:C)</f>
        <v>RECONSTRUCCION DEL CAMINO E.C. FEDERAL- LAS BOCAS EN VARIAS LOCALIDADES DEL MUNICIPIO DE HUATABAMPO, SONORA.</v>
      </c>
      <c r="E438" s="4" t="s">
        <v>279</v>
      </c>
      <c r="F438" s="4" t="s">
        <v>401</v>
      </c>
      <c r="G438" s="4" t="str">
        <f>LOOKUP($E438,OBRAS!$D:$D,OBRAS!E:E)</f>
        <v>C-00054/0020</v>
      </c>
      <c r="H438" s="80" t="s">
        <v>218</v>
      </c>
      <c r="I438" s="6">
        <v>488704.51</v>
      </c>
      <c r="J438" s="6"/>
      <c r="K438" s="6">
        <v>146611.34</v>
      </c>
      <c r="L438" s="6">
        <f t="shared" si="102"/>
        <v>342093.17</v>
      </c>
      <c r="M438" s="6">
        <f t="shared" si="103"/>
        <v>54734.91</v>
      </c>
      <c r="N438" s="6">
        <f t="shared" si="100"/>
        <v>396828.08</v>
      </c>
      <c r="O438" s="6">
        <f>+ROUND(I438*0.002,2)+ROUND(I438*0.0003,2)+ROUND(I438*0.0003,2)+ROUND(I438*0.0003,2)+ROUND(I438*0.002,2)</f>
        <v>2394.65</v>
      </c>
      <c r="P438" s="6">
        <f t="shared" si="101"/>
        <v>394433.43</v>
      </c>
      <c r="Q438" s="4" t="str">
        <f>LOOKUP($E438,OBRAS!$D:$D,OBRAS!B:B)</f>
        <v>EDIFICACIÓN INTEGRAL DEL NOROESTE, S.A. DE C.V.</v>
      </c>
      <c r="R438" s="4" t="str">
        <f>LOOKUP($E438,OBRAS!$D:$D,OBRAS!A:A)</f>
        <v>HUATABAMPO</v>
      </c>
      <c r="S438" s="4" t="str">
        <f>LOOKUP($E438,OBRAS!$D:$D,OBRAS!F:F)</f>
        <v>11000002003501E203K03203A625012162A212</v>
      </c>
      <c r="T438" s="4" t="str">
        <f>LOOKUP($E438,OBRAS!$D:$D,OBRAS!G:G)</f>
        <v>CE-926006995-E2-2016</v>
      </c>
      <c r="U438" s="4" t="s">
        <v>863</v>
      </c>
      <c r="V438" s="89">
        <v>42671</v>
      </c>
      <c r="W438" s="6">
        <f>LOOKUP($E438,OBRAS!$D:$D,OBRAS!K:K)</f>
        <v>22980026.969999999</v>
      </c>
      <c r="X438" s="109">
        <f t="shared" si="95"/>
        <v>2.47E-2</v>
      </c>
      <c r="Y438" s="109">
        <f>ROUND(SUMIF(E:E,E438,X:X),2)</f>
        <v>1</v>
      </c>
      <c r="Z438" s="109">
        <f t="shared" si="97"/>
        <v>1</v>
      </c>
      <c r="AA438" s="4" t="str">
        <f>LOOKUP($E438,OBRAS!$D:$D,OBRAS!H:H)</f>
        <v>OM-ED-16-002</v>
      </c>
    </row>
    <row r="439" spans="1:27" ht="30" x14ac:dyDescent="0.25">
      <c r="A439" s="90">
        <v>42635</v>
      </c>
      <c r="B439" s="56">
        <v>3812</v>
      </c>
      <c r="C439" s="49">
        <v>437</v>
      </c>
      <c r="D439" s="4" t="str">
        <f>LOOKUP($E439,OBRAS!$D:$D,OBRAS!C:C)</f>
        <v>RECONSTRUCCION DE LA CALLE GUERRERO DEL KM 0+000 AL KM 6+020</v>
      </c>
      <c r="E439" s="4" t="s">
        <v>300</v>
      </c>
      <c r="F439" s="4" t="s">
        <v>401</v>
      </c>
      <c r="G439" s="4" t="str">
        <f>LOOKUP($E439,OBRAS!$D:$D,OBRAS!E:E)</f>
        <v>C-00054/0074</v>
      </c>
      <c r="H439" s="80" t="s">
        <v>221</v>
      </c>
      <c r="I439" s="6">
        <v>1122845.5900000001</v>
      </c>
      <c r="J439" s="6"/>
      <c r="K439" s="6">
        <f>ROUND(I439*0.3,2)</f>
        <v>336853.68</v>
      </c>
      <c r="L439" s="6">
        <f t="shared" si="102"/>
        <v>785991.91</v>
      </c>
      <c r="M439" s="6">
        <f t="shared" si="103"/>
        <v>125758.71</v>
      </c>
      <c r="N439" s="6">
        <f t="shared" si="100"/>
        <v>911750.62</v>
      </c>
      <c r="O439" s="6">
        <f>+ROUND(I439*0.002,2)+ROUND(I439*0.0003,2)+ROUND(I439*0.0003,2)+ROUND(I439*0.0003,2)+ROUND(I439*0.002,2)</f>
        <v>5501.93</v>
      </c>
      <c r="P439" s="6">
        <f t="shared" si="101"/>
        <v>906248.69</v>
      </c>
      <c r="Q439" s="4" t="str">
        <f>LOOKUP($E439,OBRAS!$D:$D,OBRAS!B:B)</f>
        <v>ZERO EDIFICACIONES,S.A. DE C.V.</v>
      </c>
      <c r="R439" s="4" t="str">
        <f>LOOKUP($E439,OBRAS!$D:$D,OBRAS!A:A)</f>
        <v>HERMOSILLO</v>
      </c>
      <c r="S439" s="4" t="str">
        <f>LOOKUP($E439,OBRAS!$D:$D,OBRAS!F:F)</f>
        <v>11000002003501E204K08063A625012162A207</v>
      </c>
      <c r="T439" s="4" t="str">
        <f>LOOKUP($E439,OBRAS!$D:$D,OBRAS!G:G)</f>
        <v>CE-926006995-E41-2016</v>
      </c>
      <c r="U439" s="4" t="s">
        <v>863</v>
      </c>
      <c r="V439" s="89">
        <v>42703</v>
      </c>
      <c r="W439" s="6">
        <f>LOOKUP($E439,OBRAS!$D:$D,OBRAS!K:K)</f>
        <v>18289741.390000001</v>
      </c>
      <c r="X439" s="109">
        <f t="shared" si="95"/>
        <v>7.1199999999999999E-2</v>
      </c>
      <c r="Y439" s="109">
        <f t="shared" ref="Y439:Y458" si="104">SUMIF(E:E,E439,X:X)</f>
        <v>1</v>
      </c>
      <c r="Z439" s="109">
        <f t="shared" si="97"/>
        <v>1</v>
      </c>
      <c r="AA439" s="4" t="str">
        <f>LOOKUP($E439,OBRAS!$D:$D,OBRAS!H:H)</f>
        <v>SH-ED-17-R-013</v>
      </c>
    </row>
    <row r="440" spans="1:27" ht="30" x14ac:dyDescent="0.25">
      <c r="A440" s="90">
        <v>42635</v>
      </c>
      <c r="B440" s="56">
        <v>3813</v>
      </c>
      <c r="C440" s="49">
        <v>438</v>
      </c>
      <c r="D440" s="4" t="str">
        <f>LOOKUP($E440,OBRAS!$D:$D,OBRAS!C:C)</f>
        <v>OBRAS DE REHABILITACION DEL DELFINARIO SONORA (PRIMERA ETAPA)</v>
      </c>
      <c r="E440" s="4" t="s">
        <v>603</v>
      </c>
      <c r="F440" s="4" t="s">
        <v>224</v>
      </c>
      <c r="G440" s="4" t="str">
        <f>LOOKUP($E440,OBRAS!$D:$D,OBRAS!E:E)</f>
        <v>C-00061/0013</v>
      </c>
      <c r="H440" s="80" t="s">
        <v>221</v>
      </c>
      <c r="I440" s="6">
        <v>10514600.23</v>
      </c>
      <c r="J440" s="6"/>
      <c r="K440" s="6">
        <f>ROUND(I440*0.3,2)</f>
        <v>3154380.07</v>
      </c>
      <c r="L440" s="6">
        <f t="shared" si="102"/>
        <v>7360220.1600000001</v>
      </c>
      <c r="M440" s="6">
        <f t="shared" si="103"/>
        <v>1177635.23</v>
      </c>
      <c r="N440" s="6">
        <f t="shared" si="100"/>
        <v>8537855.3900000006</v>
      </c>
      <c r="O440" s="6">
        <f>+ROUND(I440*0.002,2)+ROUND(I440*0.0003,2)+ROUND(I440*0.0003,2)+ROUND(I440*0.0003,2)+ROUND(I440*0.002,2)</f>
        <v>51521.54</v>
      </c>
      <c r="P440" s="6">
        <f t="shared" si="101"/>
        <v>8486333.8499999996</v>
      </c>
      <c r="Q440" s="4" t="str">
        <f>LOOKUP($E440,OBRAS!$D:$D,OBRAS!B:B)</f>
        <v>CONSTRUCTORA MIRAMAR, S.A. DE C.V.</v>
      </c>
      <c r="R440" s="4" t="str">
        <f>LOOKUP($E440,OBRAS!$D:$D,OBRAS!A:A)</f>
        <v>GUAYMAS</v>
      </c>
      <c r="S440" s="4" t="str">
        <f>LOOKUP($E440,OBRAS!$D:$D,OBRAS!F:F)</f>
        <v>11000002002202E401K04039A622032165DM10</v>
      </c>
      <c r="T440" s="4" t="str">
        <f>LOOKUP($E440,OBRAS!$D:$D,OBRAS!G:G)</f>
        <v>CE-926006995-E37-2016</v>
      </c>
      <c r="U440" s="4" t="s">
        <v>863</v>
      </c>
      <c r="V440" s="89">
        <v>42648</v>
      </c>
      <c r="W440" s="6">
        <f>LOOKUP($E440,OBRAS!$D:$D,OBRAS!K:K)</f>
        <v>34216706.5</v>
      </c>
      <c r="X440" s="109">
        <f t="shared" si="95"/>
        <v>0.35649999999999998</v>
      </c>
      <c r="Y440" s="109">
        <f t="shared" si="104"/>
        <v>0.9748</v>
      </c>
      <c r="Z440" s="109">
        <f t="shared" si="97"/>
        <v>0.9819</v>
      </c>
      <c r="AA440" s="4" t="str">
        <f>LOOKUP($E440,OBRAS!$D:$D,OBRAS!H:H)</f>
        <v>SH-FAFEF-17-R-002</v>
      </c>
    </row>
    <row r="441" spans="1:27" ht="45" x14ac:dyDescent="0.25">
      <c r="C441" s="84">
        <v>439</v>
      </c>
      <c r="D441" s="4" t="str">
        <f>LOOKUP($E441,OBRAS!$D:$D,OBRAS!C:C)</f>
        <v>CONSTRUCCION Y EQUIPAMIENTO DE LA UNIDAD DEPORTIVA AURELIO RODRIGUEZ EN LA LOCALIDAD Y MUNICIPIO DE CANANEA, SONORA.</v>
      </c>
      <c r="E441" s="51" t="s">
        <v>896</v>
      </c>
      <c r="F441" s="4" t="s">
        <v>217</v>
      </c>
      <c r="G441" s="4" t="str">
        <f>LOOKUP($E441,OBRAS!$D:$D,OBRAS!E:E)</f>
        <v>C-00116/0002</v>
      </c>
      <c r="H441" s="98" t="s">
        <v>215</v>
      </c>
      <c r="I441" s="99">
        <v>952022.96</v>
      </c>
      <c r="J441" s="99"/>
      <c r="K441" s="99">
        <f>ROUND(I441*0.3,2)</f>
        <v>285606.89</v>
      </c>
      <c r="L441" s="6">
        <f t="shared" si="102"/>
        <v>666416.06999999995</v>
      </c>
      <c r="M441" s="6">
        <f t="shared" si="103"/>
        <v>106626.57</v>
      </c>
      <c r="N441" s="6">
        <f t="shared" si="100"/>
        <v>773042.64</v>
      </c>
      <c r="O441" s="6">
        <f>+ROUND(I441*0.005,2)</f>
        <v>4760.1099999999997</v>
      </c>
      <c r="P441" s="6">
        <f t="shared" si="101"/>
        <v>768282.53</v>
      </c>
      <c r="Q441" s="4" t="str">
        <f>LOOKUP($E441,OBRAS!$D:$D,OBRAS!B:B)</f>
        <v>CONSTRU ELECTRICA R Y R, S.A. DE C.V.</v>
      </c>
      <c r="R441" s="4" t="str">
        <f>LOOKUP($E441,OBRAS!$D:$D,OBRAS!A:A)</f>
        <v>CANANEA</v>
      </c>
      <c r="S441" s="4"/>
      <c r="T441" s="4"/>
      <c r="U441" s="4" t="s">
        <v>863</v>
      </c>
      <c r="V441" s="4"/>
      <c r="W441" s="6">
        <f>LOOKUP($E441,OBRAS!$D:$D,OBRAS!K:K)</f>
        <v>9190547.5</v>
      </c>
      <c r="X441" s="109">
        <f t="shared" ref="X441:X472" si="105">IF(H441&lt;&gt;"ANTICIPO",I441/(W441/1.16),"")</f>
        <v>0.1202</v>
      </c>
      <c r="Y441" s="109">
        <f t="shared" si="104"/>
        <v>1</v>
      </c>
      <c r="Z441" s="109">
        <f t="shared" ref="Z441:Z472" si="106">SUMIF(E:E,E441,N:N)/W441</f>
        <v>1</v>
      </c>
      <c r="AA441" s="4" t="str">
        <f>LOOKUP($E441,OBRAS!$D:$D,OBRAS!H:H)</f>
        <v>OM-NC-15-203</v>
      </c>
    </row>
    <row r="442" spans="1:27" ht="60" x14ac:dyDescent="0.25">
      <c r="A442" s="90">
        <v>42635</v>
      </c>
      <c r="B442" s="56">
        <v>3814</v>
      </c>
      <c r="C442" s="49">
        <v>440</v>
      </c>
      <c r="D442" s="4" t="str">
        <f>LOOKUP($E442,OBRAS!$D:$D,OBRAS!C:C)</f>
        <v>SUPERVISION EXTERNA Y CONTROL DE CALIDAD DE LA OBRA: REMODELACION DEL PARQUE INFANTIL EN LA LOCALIDAD Y MUNICIPIO DE HERMOSILLO, SONORA.</v>
      </c>
      <c r="E442" s="4" t="s">
        <v>757</v>
      </c>
      <c r="F442" s="4"/>
      <c r="G442" s="4" t="str">
        <f>LOOKUP($E442,OBRAS!$D:$D,OBRAS!E:E)</f>
        <v>C-00093/0004</v>
      </c>
      <c r="H442" s="80" t="s">
        <v>215</v>
      </c>
      <c r="I442" s="6">
        <v>37550.39</v>
      </c>
      <c r="J442" s="6"/>
      <c r="K442" s="6">
        <f>ROUND(I442*0.3,2)</f>
        <v>11265.12</v>
      </c>
      <c r="L442" s="6">
        <f t="shared" si="102"/>
        <v>26285.27</v>
      </c>
      <c r="M442" s="6">
        <f t="shared" si="103"/>
        <v>4205.6400000000003</v>
      </c>
      <c r="N442" s="6">
        <f t="shared" ref="N442:N473" si="107">M442+L442</f>
        <v>30490.91</v>
      </c>
      <c r="O442" s="6">
        <f>+ROUND(I442*0.005,2)</f>
        <v>187.75</v>
      </c>
      <c r="P442" s="6">
        <f t="shared" ref="P442:P473" si="108">N442-O442</f>
        <v>30303.16</v>
      </c>
      <c r="Q442" s="4" t="str">
        <f>LOOKUP($E442,OBRAS!$D:$D,OBRAS!B:B)</f>
        <v>ING. MARTIN GRAJEDA ARAGON</v>
      </c>
      <c r="R442" s="4" t="str">
        <f>LOOKUP($E442,OBRAS!$D:$D,OBRAS!A:A)</f>
        <v>HERMOSILLO</v>
      </c>
      <c r="S442" s="4" t="str">
        <f>LOOKUP($E442,OBRAS!$D:$D,OBRAS!F:F)</f>
        <v>11000002002202E406K17104A622202155GL07</v>
      </c>
      <c r="T442" s="4" t="str">
        <f>LOOKUP($E442,OBRAS!$D:$D,OBRAS!G:G)</f>
        <v>SO-926006995-N25-2015</v>
      </c>
      <c r="U442" s="4" t="s">
        <v>863</v>
      </c>
      <c r="V442" s="89">
        <v>42656</v>
      </c>
      <c r="W442" s="6">
        <f>LOOKUP($E442,OBRAS!$D:$D,OBRAS!K:K)</f>
        <v>514711.56</v>
      </c>
      <c r="X442" s="109">
        <f t="shared" si="105"/>
        <v>8.4599999999999995E-2</v>
      </c>
      <c r="Y442" s="109">
        <f t="shared" si="104"/>
        <v>1.0003</v>
      </c>
      <c r="Z442" s="109">
        <f t="shared" si="106"/>
        <v>0.7</v>
      </c>
      <c r="AA442" s="4" t="str">
        <f>LOOKUP($E442,OBRAS!$D:$D,OBRAS!H:H)</f>
        <v>SH-NC-16-R-003</v>
      </c>
    </row>
    <row r="443" spans="1:27" ht="30" x14ac:dyDescent="0.25">
      <c r="A443" s="90">
        <v>42635</v>
      </c>
      <c r="B443" s="56">
        <v>3815</v>
      </c>
      <c r="C443" s="49">
        <v>441</v>
      </c>
      <c r="D443" s="4" t="str">
        <f>LOOKUP($E443,OBRAS!$D:$D,OBRAS!C:C)</f>
        <v>REHABILITACION Y MODERNIZACION DE LA CASA HOGAR UNACARI</v>
      </c>
      <c r="E443" s="4" t="s">
        <v>140</v>
      </c>
      <c r="F443" s="4" t="s">
        <v>217</v>
      </c>
      <c r="G443" s="4" t="str">
        <f>LOOKUP($E443,OBRAS!$D:$D,OBRAS!E:E)</f>
        <v>C-00093/0002</v>
      </c>
      <c r="H443" s="80" t="s">
        <v>214</v>
      </c>
      <c r="I443" s="6">
        <v>62687.98</v>
      </c>
      <c r="J443" s="6"/>
      <c r="K443" s="6">
        <v>47194.42</v>
      </c>
      <c r="L443" s="6">
        <f t="shared" si="102"/>
        <v>15493.56</v>
      </c>
      <c r="M443" s="6">
        <f t="shared" si="103"/>
        <v>2478.9699999999998</v>
      </c>
      <c r="N443" s="6">
        <f t="shared" si="107"/>
        <v>17972.53</v>
      </c>
      <c r="O443" s="6">
        <f>+ROUND(I443*0.005,2)</f>
        <v>313.44</v>
      </c>
      <c r="P443" s="6">
        <f t="shared" si="108"/>
        <v>17659.09</v>
      </c>
      <c r="Q443" s="4" t="str">
        <f>LOOKUP($E443,OBRAS!$D:$D,OBRAS!B:B)</f>
        <v>ING. ROBERTO DEL RINCON MURO</v>
      </c>
      <c r="R443" s="4" t="str">
        <f>LOOKUP($E443,OBRAS!$D:$D,OBRAS!A:A)</f>
        <v>HERMOSILLO</v>
      </c>
      <c r="S443" s="4" t="str">
        <f>LOOKUP($E443,OBRAS!$D:$D,OBRAS!F:F)</f>
        <v>11000002002202E402K17105A612032155GL07</v>
      </c>
      <c r="T443" s="4">
        <f>LOOKUP($E443,OBRAS!$D:$D,OBRAS!G:G)</f>
        <v>0</v>
      </c>
      <c r="U443" s="4" t="s">
        <v>863</v>
      </c>
      <c r="V443" s="89">
        <v>42685</v>
      </c>
      <c r="W443" s="6">
        <f>LOOKUP($E443,OBRAS!$D:$D,OBRAS!K:K)</f>
        <v>2970290.45</v>
      </c>
      <c r="X443" s="109">
        <f t="shared" si="105"/>
        <v>2.4500000000000001E-2</v>
      </c>
      <c r="Y443" s="109">
        <f t="shared" si="104"/>
        <v>0.97840000000000005</v>
      </c>
      <c r="Z443" s="109">
        <f t="shared" si="106"/>
        <v>0.57840000000000003</v>
      </c>
      <c r="AA443" s="4" t="str">
        <f>LOOKUP($E443,OBRAS!$D:$D,OBRAS!H:H)</f>
        <v>SH-NC-16-R-007</v>
      </c>
    </row>
    <row r="444" spans="1:27" ht="60" x14ac:dyDescent="0.25">
      <c r="A444" s="90">
        <v>42635</v>
      </c>
      <c r="B444" s="56">
        <v>3816</v>
      </c>
      <c r="C444" s="49">
        <v>442</v>
      </c>
      <c r="D444" s="4" t="str">
        <f>LOOKUP($E444,OBRAS!$D:$D,OBRAS!C:C)</f>
        <v>CONSERVACION Y RECONSTRUCCION DE CARRETERAS ALIMENTADORAS REGION GUAYMAS-EMPALME, TRAMO: URSULO GALVAN-JUNELANCAHUI, DEL KM 0+000 AL KM 5+600</v>
      </c>
      <c r="E444" s="4" t="s">
        <v>550</v>
      </c>
      <c r="F444" s="4" t="s">
        <v>401</v>
      </c>
      <c r="G444" s="4" t="str">
        <f>LOOKUP($E444,OBRAS!$D:$D,OBRAS!E:E)</f>
        <v>C-00054/0060</v>
      </c>
      <c r="H444" s="80" t="s">
        <v>221</v>
      </c>
      <c r="I444" s="6">
        <v>1568184.59</v>
      </c>
      <c r="J444" s="6"/>
      <c r="K444" s="6">
        <f>ROUND(I444*0.3,2)</f>
        <v>470455.38</v>
      </c>
      <c r="L444" s="6">
        <f t="shared" si="102"/>
        <v>1097729.21</v>
      </c>
      <c r="M444" s="6">
        <f t="shared" si="103"/>
        <v>175636.67</v>
      </c>
      <c r="N444" s="6">
        <f t="shared" si="107"/>
        <v>1273365.8799999999</v>
      </c>
      <c r="O444" s="6">
        <f>+ROUND(I444*0.002,2)+ROUND(I444*0.0003,2)+ROUND(I444*0.0003,2)+ROUND(I444*0.0003,2)+ROUND(I444*0.002,2)</f>
        <v>7684.12</v>
      </c>
      <c r="P444" s="6">
        <f t="shared" si="108"/>
        <v>1265681.76</v>
      </c>
      <c r="Q444" s="4" t="str">
        <f>LOOKUP($E444,OBRAS!$D:$D,OBRAS!B:B)</f>
        <v>ACQUA  DREN  INGENIERIA S.A. DE C.V.</v>
      </c>
      <c r="R444" s="4" t="str">
        <f>LOOKUP($E444,OBRAS!$D:$D,OBRAS!A:A)</f>
        <v>VARIOS</v>
      </c>
      <c r="S444" s="4" t="str">
        <f>LOOKUP($E444,OBRAS!$D:$D,OBRAS!F:F)</f>
        <v>11000002003501E204K08063A625012162A213</v>
      </c>
      <c r="T444" s="4" t="str">
        <f>LOOKUP($E444,OBRAS!$D:$D,OBRAS!G:G)</f>
        <v>CE-926006995-E24-2016</v>
      </c>
      <c r="U444" s="4" t="s">
        <v>863</v>
      </c>
      <c r="V444" s="89">
        <v>42671</v>
      </c>
      <c r="W444" s="6">
        <f>LOOKUP($E444,OBRAS!$D:$D,OBRAS!K:K)</f>
        <v>14898875.880000001</v>
      </c>
      <c r="X444" s="109">
        <f t="shared" si="105"/>
        <v>0.1221</v>
      </c>
      <c r="Y444" s="109">
        <f t="shared" si="104"/>
        <v>0.60219999999999996</v>
      </c>
      <c r="Z444" s="109">
        <f t="shared" si="106"/>
        <v>0.72150000000000003</v>
      </c>
      <c r="AA444" s="4" t="str">
        <f>LOOKUP($E444,OBRAS!$D:$D,OBRAS!H:H)</f>
        <v>SH-ED-17-R-013</v>
      </c>
    </row>
    <row r="445" spans="1:27" ht="60" x14ac:dyDescent="0.25">
      <c r="A445" s="90">
        <v>42635</v>
      </c>
      <c r="B445" s="56">
        <v>3817</v>
      </c>
      <c r="C445" s="49">
        <v>443</v>
      </c>
      <c r="D445" s="4" t="str">
        <f>LOOKUP($E445,OBRAS!$D:$D,OBRAS!C:C)</f>
        <v>CONSTRUCCION DE LA CARRETERA E.C. 4 SUR (ALFREDO V. BONFIL) TRAMO DEL KM 1+700 AL KM 5+600 EN VARIAS LOCALIDADES DEL MUNICIPIO DE HERMOSILLO</v>
      </c>
      <c r="E445" s="4" t="s">
        <v>364</v>
      </c>
      <c r="F445" s="4"/>
      <c r="G445" s="4" t="str">
        <f>LOOKUP($E445,OBRAS!$D:$D,OBRAS!E:E)</f>
        <v>C-00054/0066</v>
      </c>
      <c r="H445" s="80" t="s">
        <v>221</v>
      </c>
      <c r="I445" s="6">
        <v>5624765.29</v>
      </c>
      <c r="J445" s="6"/>
      <c r="K445" s="6">
        <f>ROUND(I445*0.3,2)</f>
        <v>1687429.59</v>
      </c>
      <c r="L445" s="6">
        <f t="shared" si="102"/>
        <v>3937335.7</v>
      </c>
      <c r="M445" s="6">
        <f t="shared" si="103"/>
        <v>629973.71</v>
      </c>
      <c r="N445" s="6">
        <f t="shared" si="107"/>
        <v>4567309.41</v>
      </c>
      <c r="O445" s="6">
        <f>+ROUND(I445*0.002,2)+ROUND(I445*0.0003,2)+ROUND(I445*0.0003,2)+ROUND(I445*0.0003,2)+ROUND(I445*0.002,2)</f>
        <v>27561.35</v>
      </c>
      <c r="P445" s="6">
        <f t="shared" si="108"/>
        <v>4539748.0599999996</v>
      </c>
      <c r="Q445" s="4" t="str">
        <f>LOOKUP($E445,OBRAS!$D:$D,OBRAS!B:B)</f>
        <v>EDIFICACIONES Y PROYECTOS MOCELIK, S.A. DE C.V.</v>
      </c>
      <c r="R445" s="4" t="str">
        <f>LOOKUP($E445,OBRAS!$D:$D,OBRAS!A:A)</f>
        <v>HERMOSILLO</v>
      </c>
      <c r="S445" s="4" t="str">
        <f>LOOKUP($E445,OBRAS!$D:$D,OBRAS!F:F)</f>
        <v>11000002003501E204K08063A625012162A213</v>
      </c>
      <c r="T445" s="4" t="str">
        <f>LOOKUP($E445,OBRAS!$D:$D,OBRAS!G:G)</f>
        <v>CE-926006995-E34-2016</v>
      </c>
      <c r="U445" s="4" t="s">
        <v>863</v>
      </c>
      <c r="V445" s="89">
        <v>42647</v>
      </c>
      <c r="W445" s="6">
        <f>LOOKUP($E445,OBRAS!$D:$D,OBRAS!K:K)</f>
        <v>23895598.399999999</v>
      </c>
      <c r="X445" s="109">
        <f t="shared" si="105"/>
        <v>0.27310000000000001</v>
      </c>
      <c r="Y445" s="109">
        <f t="shared" si="104"/>
        <v>0.98550000000000004</v>
      </c>
      <c r="Z445" s="109">
        <f t="shared" si="106"/>
        <v>0.98980000000000001</v>
      </c>
      <c r="AA445" s="4" t="str">
        <f>LOOKUP($E445,OBRAS!$D:$D,OBRAS!H:H)</f>
        <v>SH-ED-17-R-013</v>
      </c>
    </row>
    <row r="446" spans="1:27" ht="60" x14ac:dyDescent="0.25">
      <c r="A446" s="90">
        <v>42635</v>
      </c>
      <c r="B446" s="56">
        <v>3818</v>
      </c>
      <c r="C446" s="49">
        <v>444</v>
      </c>
      <c r="D446" s="4" t="str">
        <f>LOOKUP($E446,OBRAS!$D:$D,OBRAS!C:C)</f>
        <v>SUPERVISION EXTERNA Y CONTROL DE CALIDAD CONSTRUCCION Y RECONSTRUCCION DEL TRAMO CABORCA-Y GRIEGA EN LA LOCALIDAD DE CABORCA, SONORA</v>
      </c>
      <c r="E446" s="4" t="s">
        <v>451</v>
      </c>
      <c r="F446" s="4"/>
      <c r="G446" s="4" t="str">
        <f>LOOKUP($E446,OBRAS!$D:$D,OBRAS!E:E)</f>
        <v>C-00098/0021</v>
      </c>
      <c r="H446" s="80" t="s">
        <v>215</v>
      </c>
      <c r="I446" s="6">
        <v>341098.49</v>
      </c>
      <c r="J446" s="6"/>
      <c r="K446" s="6">
        <f>ROUND(I446*0.1,2)</f>
        <v>34109.85</v>
      </c>
      <c r="L446" s="6">
        <f t="shared" si="102"/>
        <v>306988.64</v>
      </c>
      <c r="M446" s="6">
        <f t="shared" si="103"/>
        <v>49118.18</v>
      </c>
      <c r="N446" s="6">
        <f t="shared" si="107"/>
        <v>356106.82</v>
      </c>
      <c r="O446" s="6">
        <f>+ROUND(I446*0.002,2)+ROUND(I446*0.0003,2)+ROUND(I446*0.0003,2)+ROUND(I446*0.0003,2)</f>
        <v>989.19</v>
      </c>
      <c r="P446" s="6">
        <f t="shared" si="108"/>
        <v>355117.63</v>
      </c>
      <c r="Q446" s="4" t="str">
        <f>LOOKUP($E446,OBRAS!$D:$D,OBRAS!B:B)</f>
        <v>JRM CONSULTORES, S.A. DE C.V</v>
      </c>
      <c r="R446" s="4" t="str">
        <f>LOOKUP($E446,OBRAS!$D:$D,OBRAS!A:A)</f>
        <v>CABORCA</v>
      </c>
      <c r="S446" s="4" t="str">
        <f>LOOKUP($E446,OBRAS!$D:$D,OBRAS!F:F)</f>
        <v>11000002003501E203K03203A625132161A013C-00098/0021</v>
      </c>
      <c r="T446" s="4" t="str">
        <f>LOOKUP($E446,OBRAS!$D:$D,OBRAS!G:G)</f>
        <v>CE-926006995-E48-2016</v>
      </c>
      <c r="U446" s="4" t="s">
        <v>863</v>
      </c>
      <c r="V446" s="89">
        <v>42671</v>
      </c>
      <c r="W446" s="6">
        <f>LOOKUP($E446,OBRAS!$D:$D,OBRAS!K:K)</f>
        <v>2299094.85</v>
      </c>
      <c r="X446" s="109">
        <f t="shared" si="105"/>
        <v>0.1721</v>
      </c>
      <c r="Y446" s="109">
        <f t="shared" si="104"/>
        <v>1</v>
      </c>
      <c r="Z446" s="109">
        <f t="shared" si="106"/>
        <v>1</v>
      </c>
      <c r="AA446" s="4" t="str">
        <f>LOOKUP($E446,OBRAS!$D:$D,OBRAS!H:H)</f>
        <v>SH-ED-16-040</v>
      </c>
    </row>
    <row r="447" spans="1:27" ht="30" x14ac:dyDescent="0.25">
      <c r="A447" s="90">
        <v>42635</v>
      </c>
      <c r="B447" s="56">
        <v>3819</v>
      </c>
      <c r="C447" s="49">
        <v>445</v>
      </c>
      <c r="D447" s="4" t="str">
        <f>LOOKUP($E447,OBRAS!$D:$D,OBRAS!C:C)</f>
        <v>CONSERVACION Y RECONSTRUCCION DEL TRAMO MAZATAN-HERMOSILLO</v>
      </c>
      <c r="E447" s="4" t="s">
        <v>600</v>
      </c>
      <c r="F447" s="4" t="s">
        <v>401</v>
      </c>
      <c r="G447" s="4" t="str">
        <f>LOOKUP($E447,OBRAS!$D:$D,OBRAS!E:E)</f>
        <v>C-00054/0062</v>
      </c>
      <c r="H447" s="80" t="s">
        <v>103</v>
      </c>
      <c r="I447" s="6">
        <v>4040666.87</v>
      </c>
      <c r="J447" s="6"/>
      <c r="K447" s="6">
        <f>ROUND(I447*0.3,2)</f>
        <v>1212200.06</v>
      </c>
      <c r="L447" s="6">
        <f t="shared" si="102"/>
        <v>2828466.81</v>
      </c>
      <c r="M447" s="6">
        <f t="shared" si="103"/>
        <v>452554.69</v>
      </c>
      <c r="N447" s="6">
        <f t="shared" si="107"/>
        <v>3281021.5</v>
      </c>
      <c r="O447" s="6">
        <f>+ROUND(I447*0.002,2)+ROUND(I447*0.0003,2)+ROUND(I447*0.0003,2)+ROUND(I447*0.0003,2)+ROUND(I447*0.002,2)</f>
        <v>19799.259999999998</v>
      </c>
      <c r="P447" s="6">
        <f t="shared" si="108"/>
        <v>3261222.24</v>
      </c>
      <c r="Q447" s="4" t="str">
        <f>LOOKUP($E447,OBRAS!$D:$D,OBRAS!B:B)</f>
        <v>TECNOASFALTOS Y TERRACERIAS, S.A. DE C.V.</v>
      </c>
      <c r="R447" s="4" t="str">
        <f>LOOKUP($E447,OBRAS!$D:$D,OBRAS!A:A)</f>
        <v>VARIOS</v>
      </c>
      <c r="S447" s="4" t="str">
        <f>LOOKUP($E447,OBRAS!$D:$D,OBRAS!F:F)</f>
        <v>11000002003501E203K03203A625012162A213</v>
      </c>
      <c r="T447" s="4" t="str">
        <f>LOOKUP($E447,OBRAS!$D:$D,OBRAS!G:G)</f>
        <v>CE-926006995-E26-2016</v>
      </c>
      <c r="U447" s="4" t="s">
        <v>863</v>
      </c>
      <c r="V447" s="89">
        <v>42663</v>
      </c>
      <c r="W447" s="6">
        <f>LOOKUP($E447,OBRAS!$D:$D,OBRAS!K:K)</f>
        <v>25694303.850000001</v>
      </c>
      <c r="X447" s="109">
        <f t="shared" si="105"/>
        <v>0.18240000000000001</v>
      </c>
      <c r="Y447" s="109">
        <f t="shared" si="104"/>
        <v>1</v>
      </c>
      <c r="Z447" s="109">
        <f t="shared" si="106"/>
        <v>1</v>
      </c>
      <c r="AA447" s="4" t="str">
        <f>LOOKUP($E447,OBRAS!$D:$D,OBRAS!H:H)</f>
        <v>SH-ED-16-023</v>
      </c>
    </row>
    <row r="448" spans="1:27" ht="60" x14ac:dyDescent="0.25">
      <c r="A448" s="90">
        <v>42635</v>
      </c>
      <c r="B448" s="56">
        <v>3820</v>
      </c>
      <c r="C448" s="49">
        <v>446</v>
      </c>
      <c r="D448" s="4" t="str">
        <f>LOOKUP($E448,OBRAS!$D:$D,OBRAS!C:C)</f>
        <v>REHABILITACION DE RED DE CARRETERAS ALIMENTADORAS EN LA REGION DEL RIO DE SONORA EN EL ESTADO DE SONORA; SUBTRAMO KM 0+000 AL KM 75+000</v>
      </c>
      <c r="E448" s="4" t="s">
        <v>370</v>
      </c>
      <c r="F448" s="4"/>
      <c r="G448" s="4" t="str">
        <f>LOOKUP($E448,OBRAS!$D:$D,OBRAS!E:E)</f>
        <v>C-00054/0069</v>
      </c>
      <c r="H448" s="80" t="s">
        <v>55</v>
      </c>
      <c r="I448" s="6">
        <v>3931743.75</v>
      </c>
      <c r="J448" s="6"/>
      <c r="K448" s="6">
        <f>ROUND(I448*0.3,2)</f>
        <v>1179523.1299999999</v>
      </c>
      <c r="L448" s="6">
        <f t="shared" si="102"/>
        <v>2752220.62</v>
      </c>
      <c r="M448" s="6">
        <f t="shared" si="103"/>
        <v>440355.3</v>
      </c>
      <c r="N448" s="6">
        <f t="shared" si="107"/>
        <v>3192575.92</v>
      </c>
      <c r="O448" s="6">
        <f>+ROUND(I448*0.002,2)+ROUND(I448*0.0003,2)+ROUND(I448*0.0003,2)+ROUND(I448*0.0003,2)+ROUND(I448*0.002,2)</f>
        <v>19265.54</v>
      </c>
      <c r="P448" s="6">
        <f t="shared" si="108"/>
        <v>3173310.38</v>
      </c>
      <c r="Q448" s="4" t="str">
        <f>LOOKUP($E448,OBRAS!$D:$D,OBRAS!B:B)</f>
        <v>IKARO INGENIERIA Y ARQUITECTURA, S.A. DE C.V</v>
      </c>
      <c r="R448" s="4" t="str">
        <f>LOOKUP($E448,OBRAS!$D:$D,OBRAS!A:A)</f>
        <v>VARIOS</v>
      </c>
      <c r="S448" s="4" t="str">
        <f>LOOKUP($E448,OBRAS!$D:$D,OBRAS!F:F)</f>
        <v>11000002003501E204K08063A625012162A213</v>
      </c>
      <c r="T448" s="4" t="str">
        <f>LOOKUP($E448,OBRAS!$D:$D,OBRAS!G:G)</f>
        <v>CE-9260006995-E38-2016</v>
      </c>
      <c r="U448" s="4" t="s">
        <v>863</v>
      </c>
      <c r="V448" s="89">
        <v>42653</v>
      </c>
      <c r="W448" s="6">
        <f>LOOKUP($E448,OBRAS!$D:$D,OBRAS!K:K)</f>
        <v>76463113.200000003</v>
      </c>
      <c r="X448" s="109">
        <f t="shared" si="105"/>
        <v>5.96E-2</v>
      </c>
      <c r="Y448" s="109">
        <f t="shared" si="104"/>
        <v>0.98340000000000005</v>
      </c>
      <c r="Z448" s="109">
        <f t="shared" si="106"/>
        <v>0.98829999999999996</v>
      </c>
      <c r="AA448" s="4" t="str">
        <f>LOOKUP($E448,OBRAS!$D:$D,OBRAS!H:H)</f>
        <v>SH-ED-17-R-013</v>
      </c>
    </row>
    <row r="449" spans="1:27" ht="45" x14ac:dyDescent="0.25">
      <c r="A449" s="90">
        <v>42635</v>
      </c>
      <c r="B449" s="56">
        <v>3821</v>
      </c>
      <c r="C449" s="49">
        <v>447</v>
      </c>
      <c r="D449" s="4" t="str">
        <f>LOOKUP($E449,OBRAS!$D:$D,OBRAS!C:C)</f>
        <v>RECONSTRUCCIÓN DEL CAMINO CALLE 16 EN VARIAS LOCALIDADES DEL MUNICIPIO DE CAJEME, SONORA.</v>
      </c>
      <c r="E449" s="4" t="s">
        <v>394</v>
      </c>
      <c r="F449" s="4" t="s">
        <v>401</v>
      </c>
      <c r="G449" s="4" t="str">
        <f>LOOKUP($E449,OBRAS!$D:$D,OBRAS!E:E)</f>
        <v>C-00054/0021</v>
      </c>
      <c r="H449" s="80" t="s">
        <v>214</v>
      </c>
      <c r="I449" s="6">
        <v>2745636.82</v>
      </c>
      <c r="J449" s="6"/>
      <c r="K449" s="6">
        <f>ROUND(I449*0.3,2)</f>
        <v>823691.05</v>
      </c>
      <c r="L449" s="6">
        <f t="shared" si="102"/>
        <v>1921945.77</v>
      </c>
      <c r="M449" s="6">
        <f t="shared" si="103"/>
        <v>307511.32</v>
      </c>
      <c r="N449" s="6">
        <f t="shared" si="107"/>
        <v>2229457.09</v>
      </c>
      <c r="O449" s="6">
        <f>+ROUND(I449*0.002,2)+ROUND(I449*0.0003,2)+ROUND(I449*0.0003,2)+ROUND(I449*0.0003,2)+ROUND(I449*0.002,2)</f>
        <v>13453.61</v>
      </c>
      <c r="P449" s="6">
        <f t="shared" si="108"/>
        <v>2216003.48</v>
      </c>
      <c r="Q449" s="4" t="str">
        <f>LOOKUP($E449,OBRAS!$D:$D,OBRAS!B:B)</f>
        <v>TEKTON INGENIERIA, S.A. DE C.V.</v>
      </c>
      <c r="R449" s="4" t="str">
        <f>LOOKUP($E449,OBRAS!$D:$D,OBRAS!A:A)</f>
        <v>CAJEME</v>
      </c>
      <c r="S449" s="4" t="str">
        <f>LOOKUP($E449,OBRAS!$D:$D,OBRAS!F:F)</f>
        <v>11000002003501E203K03203A625012162A211</v>
      </c>
      <c r="T449" s="4" t="str">
        <f>LOOKUP($E449,OBRAS!$D:$D,OBRAS!G:G)</f>
        <v>CE-926006995-E3-2016</v>
      </c>
      <c r="U449" s="4" t="s">
        <v>863</v>
      </c>
      <c r="V449" s="89">
        <v>42663</v>
      </c>
      <c r="W449" s="6">
        <f>LOOKUP($E449,OBRAS!$D:$D,OBRAS!K:K)</f>
        <v>26465400</v>
      </c>
      <c r="X449" s="109">
        <f t="shared" si="105"/>
        <v>0.1203</v>
      </c>
      <c r="Y449" s="109">
        <f t="shared" si="104"/>
        <v>1</v>
      </c>
      <c r="Z449" s="109">
        <f t="shared" si="106"/>
        <v>1</v>
      </c>
      <c r="AA449" s="4" t="str">
        <f>LOOKUP($E449,OBRAS!$D:$D,OBRAS!H:H)</f>
        <v>SH-ED-17-R-013</v>
      </c>
    </row>
    <row r="450" spans="1:27" ht="60" x14ac:dyDescent="0.25">
      <c r="A450" s="90">
        <v>42635</v>
      </c>
      <c r="B450" s="56">
        <v>3822</v>
      </c>
      <c r="C450" s="49">
        <v>448</v>
      </c>
      <c r="D450" s="4" t="str">
        <f>LOOKUP($E450,OBRAS!$D:$D,OBRAS!C:C)</f>
        <v>SUPERVISION EXTERNA Y CONTROL DE CALIDAD DE LA REHABILITACION DE RED DE CARRETERAS ALIMENTADORAS EN LA REGION DEL RIO SONORA; SUBTRAMO KM 0+000 AL KM 75+000</v>
      </c>
      <c r="E450" s="4" t="s">
        <v>732</v>
      </c>
      <c r="F450" s="4"/>
      <c r="G450" s="4" t="str">
        <f>LOOKUP($E450,OBRAS!$D:$D,OBRAS!E:E)</f>
        <v>C-00098/0021</v>
      </c>
      <c r="H450" s="80" t="s">
        <v>15</v>
      </c>
      <c r="I450" s="6">
        <v>187437.51</v>
      </c>
      <c r="J450" s="6"/>
      <c r="K450" s="6"/>
      <c r="L450" s="6">
        <f t="shared" si="102"/>
        <v>187437.51</v>
      </c>
      <c r="M450" s="6">
        <f t="shared" si="103"/>
        <v>29990</v>
      </c>
      <c r="N450" s="6">
        <f t="shared" si="107"/>
        <v>217427.51</v>
      </c>
      <c r="O450" s="6">
        <f>+ROUND(I450*0.002,2)+ROUND(I450*0.0003,2)+ROUND(I450*0.0003,2)+ROUND(I450*0.0003,2)</f>
        <v>543.57000000000005</v>
      </c>
      <c r="P450" s="6">
        <f t="shared" si="108"/>
        <v>216883.94</v>
      </c>
      <c r="Q450" s="4" t="str">
        <f>LOOKUP($E450,OBRAS!$D:$D,OBRAS!B:B)</f>
        <v>ESCOBO S.A. DE C.V.</v>
      </c>
      <c r="R450" s="4" t="str">
        <f>LOOKUP($E450,OBRAS!$D:$D,OBRAS!A:A)</f>
        <v>VARIOS</v>
      </c>
      <c r="S450" s="4" t="str">
        <f>LOOKUP($E450,OBRAS!$D:$D,OBRAS!F:F)</f>
        <v>11000002003501E203K03203A625132161A013</v>
      </c>
      <c r="T450" s="4" t="str">
        <f>LOOKUP($E450,OBRAS!$D:$D,OBRAS!G:G)</f>
        <v>CE-966006995-E67-2016</v>
      </c>
      <c r="U450" s="4" t="s">
        <v>863</v>
      </c>
      <c r="V450" s="89">
        <v>42697</v>
      </c>
      <c r="W450" s="6">
        <f>LOOKUP($E450,OBRAS!$D:$D,OBRAS!K:K)</f>
        <v>2329580.42</v>
      </c>
      <c r="X450" s="109">
        <f t="shared" si="105"/>
        <v>9.3299999999999994E-2</v>
      </c>
      <c r="Y450" s="109">
        <f t="shared" si="104"/>
        <v>0.92679999999999996</v>
      </c>
      <c r="Z450" s="109">
        <f t="shared" si="106"/>
        <v>0.92669999999999997</v>
      </c>
      <c r="AA450" s="4" t="str">
        <f>LOOKUP($E450,OBRAS!$D:$D,OBRAS!H:H)</f>
        <v>SH-ED-16-060</v>
      </c>
    </row>
    <row r="451" spans="1:27" ht="60" x14ac:dyDescent="0.25">
      <c r="C451" s="84">
        <v>449</v>
      </c>
      <c r="D451" s="4" t="str">
        <f>LOOKUP($E451,OBRAS!$D:$D,OBRAS!C:C)</f>
        <v>CONSTRUCCION, REHABILITACION Y EQUIPAMIENTO DE UNIDAD DEPORTIVA BALDOMERO ALDAMA EN LA LOCALIDAD Y MUNICIPIO DE HUATABAMPO, SONORA</v>
      </c>
      <c r="E451" s="4" t="s">
        <v>755</v>
      </c>
      <c r="F451" s="4"/>
      <c r="G451" s="4">
        <f>LOOKUP($E451,OBRAS!$D:$D,OBRAS!E:E)</f>
        <v>0</v>
      </c>
      <c r="H451" s="80" t="s">
        <v>214</v>
      </c>
      <c r="I451" s="6">
        <v>397023.24</v>
      </c>
      <c r="J451" s="6"/>
      <c r="K451" s="6">
        <v>0</v>
      </c>
      <c r="L451" s="6">
        <f t="shared" si="102"/>
        <v>397023.24</v>
      </c>
      <c r="M451" s="6">
        <f t="shared" si="103"/>
        <v>63523.72</v>
      </c>
      <c r="N451" s="6">
        <f t="shared" si="107"/>
        <v>460546.96</v>
      </c>
      <c r="O451" s="6">
        <f>+ROUND(I451*0.005,2)</f>
        <v>1985.12</v>
      </c>
      <c r="P451" s="6">
        <f t="shared" si="108"/>
        <v>458561.84</v>
      </c>
      <c r="Q451" s="4" t="str">
        <f>LOOKUP($E451,OBRAS!$D:$D,OBRAS!B:B)</f>
        <v>SIGNS MANUFACTURAS Y CONSTRUCCIONES, S.A. DE C.V.</v>
      </c>
      <c r="R451" s="4" t="str">
        <f>LOOKUP($E451,OBRAS!$D:$D,OBRAS!A:A)</f>
        <v>HUATABAMPO</v>
      </c>
      <c r="S451" s="4"/>
      <c r="T451" s="4"/>
      <c r="U451" s="4" t="s">
        <v>863</v>
      </c>
      <c r="V451" s="4"/>
      <c r="W451" s="6">
        <f>LOOKUP($E451,OBRAS!$D:$D,OBRAS!K:K)</f>
        <v>12019389.67</v>
      </c>
      <c r="X451" s="109">
        <f t="shared" si="105"/>
        <v>3.8300000000000001E-2</v>
      </c>
      <c r="Y451" s="109">
        <f t="shared" si="104"/>
        <v>1</v>
      </c>
      <c r="Z451" s="109">
        <f t="shared" si="106"/>
        <v>1</v>
      </c>
      <c r="AA451" s="4" t="str">
        <f>LOOKUP($E451,OBRAS!$D:$D,OBRAS!H:H)</f>
        <v>OM-NC-15-203</v>
      </c>
    </row>
    <row r="452" spans="1:27" ht="60" x14ac:dyDescent="0.25">
      <c r="A452" s="90">
        <v>42635</v>
      </c>
      <c r="B452" s="56">
        <v>3823</v>
      </c>
      <c r="C452" s="49">
        <v>450</v>
      </c>
      <c r="D452" s="4" t="str">
        <f>LOOKUP($E452,OBRAS!$D:$D,OBRAS!C:C)</f>
        <v>SUPERVISION EXTERNA Y CONTROL DE CALIDAD DE LA RECONSTRUCCION DE CALLE 28 NORTE, DEL KM 0 + 000 AL KM 10+160, Y DEL KM 17+210 AL 17+982, HERMOSILLO</v>
      </c>
      <c r="E452" s="4" t="s">
        <v>675</v>
      </c>
      <c r="F452" s="4"/>
      <c r="G452" s="4" t="str">
        <f>LOOKUP($E452,OBRAS!$D:$D,OBRAS!E:E)</f>
        <v>C-00098/0022</v>
      </c>
      <c r="H452" s="80" t="s">
        <v>103</v>
      </c>
      <c r="I452" s="6">
        <v>8742.42</v>
      </c>
      <c r="J452" s="6"/>
      <c r="K452" s="6">
        <f>ROUND(I452*0.1,2)</f>
        <v>874.24</v>
      </c>
      <c r="L452" s="6">
        <f t="shared" si="102"/>
        <v>7868.18</v>
      </c>
      <c r="M452" s="6">
        <f t="shared" si="103"/>
        <v>1258.9100000000001</v>
      </c>
      <c r="N452" s="6">
        <f t="shared" si="107"/>
        <v>9127.09</v>
      </c>
      <c r="O452" s="6">
        <f>+ROUND(I452*0.002,2)+ROUND(I452*0.0003,2)+ROUND(I452*0.0003,2)+ROUND(I452*0.0003,2)</f>
        <v>25.34</v>
      </c>
      <c r="P452" s="6">
        <f t="shared" si="108"/>
        <v>9101.75</v>
      </c>
      <c r="Q452" s="4" t="str">
        <f>LOOKUP($E452,OBRAS!$D:$D,OBRAS!B:B)</f>
        <v>SATI CONSTRUCCIONES Y POYECTOS S.A. DE C.V.</v>
      </c>
      <c r="R452" s="4" t="str">
        <f>LOOKUP($E452,OBRAS!$D:$D,OBRAS!A:A)</f>
        <v>HERMOSILLO</v>
      </c>
      <c r="S452" s="4" t="str">
        <f>LOOKUP($E452,OBRAS!$D:$D,OBRAS!F:F)</f>
        <v>11000002002207E201K02104A622212161A013</v>
      </c>
      <c r="T452" s="4" t="str">
        <f>LOOKUP($E452,OBRAS!$D:$D,OBRAS!G:G)</f>
        <v>LICITACIÓN SIMPLIFICADA</v>
      </c>
      <c r="U452" s="4" t="s">
        <v>863</v>
      </c>
      <c r="V452" s="89">
        <v>42664</v>
      </c>
      <c r="W452" s="6">
        <f>LOOKUP($E452,OBRAS!$D:$D,OBRAS!K:K)</f>
        <v>608472.5</v>
      </c>
      <c r="X452" s="109">
        <f t="shared" si="105"/>
        <v>1.67E-2</v>
      </c>
      <c r="Y452" s="109">
        <f t="shared" si="104"/>
        <v>0.77780000000000005</v>
      </c>
      <c r="Z452" s="109">
        <f t="shared" si="106"/>
        <v>0.8</v>
      </c>
      <c r="AA452" s="4" t="str">
        <f>LOOKUP($E452,OBRAS!$D:$D,OBRAS!H:H)</f>
        <v>SH-ED-16-066</v>
      </c>
    </row>
    <row r="453" spans="1:27" ht="60" x14ac:dyDescent="0.25">
      <c r="A453" s="90">
        <v>42635</v>
      </c>
      <c r="C453" s="84">
        <v>451</v>
      </c>
      <c r="D453" s="4" t="str">
        <f>LOOKUP($E453,OBRAS!$D:$D,OBRAS!C:C)</f>
        <v>RECONSTRUCCION DEL CAMINO BACABACHI HUATABAMPO VARIOS TRAMOS DEL KM 5+600 AL KM 25+500 EN LA LOCALIDAD Y MUNCIPIO DE NAVOJOA, SONORA.</v>
      </c>
      <c r="E453" s="4" t="s">
        <v>759</v>
      </c>
      <c r="F453" s="4"/>
      <c r="G453" s="4"/>
      <c r="H453" s="80" t="s">
        <v>218</v>
      </c>
      <c r="I453" s="6">
        <v>1570357.43</v>
      </c>
      <c r="J453" s="6"/>
      <c r="K453" s="6">
        <f>ROUND(I453*0.3,2)</f>
        <v>471107.23</v>
      </c>
      <c r="L453" s="6">
        <f t="shared" si="102"/>
        <v>1099250.2</v>
      </c>
      <c r="M453" s="6">
        <f t="shared" si="103"/>
        <v>175880.03</v>
      </c>
      <c r="N453" s="6">
        <f t="shared" si="107"/>
        <v>1275130.23</v>
      </c>
      <c r="O453" s="6">
        <f>+ROUND(I453*0.005,2)</f>
        <v>7851.79</v>
      </c>
      <c r="P453" s="6">
        <f t="shared" si="108"/>
        <v>1267278.44</v>
      </c>
      <c r="Q453" s="4" t="s">
        <v>26</v>
      </c>
      <c r="R453" s="4" t="str">
        <f>LOOKUP($E453,OBRAS!$D:$D,OBRAS!A:A)</f>
        <v>NAVOJOA</v>
      </c>
      <c r="S453" s="4"/>
      <c r="T453" s="4"/>
      <c r="U453" s="4" t="s">
        <v>863</v>
      </c>
      <c r="V453" s="89"/>
      <c r="W453" s="6">
        <v>15050219.25</v>
      </c>
      <c r="X453" s="109">
        <f t="shared" si="105"/>
        <v>0.121</v>
      </c>
      <c r="Y453" s="109">
        <f t="shared" si="104"/>
        <v>0.97840000000000005</v>
      </c>
      <c r="Z453" s="109">
        <f t="shared" si="106"/>
        <v>0.97850000000000004</v>
      </c>
      <c r="AA453" s="4"/>
    </row>
    <row r="454" spans="1:27" ht="60" x14ac:dyDescent="0.25">
      <c r="A454" s="90">
        <v>42635</v>
      </c>
      <c r="C454" s="84">
        <v>452</v>
      </c>
      <c r="D454" s="4" t="str">
        <f>LOOKUP($E454,OBRAS!$D:$D,OBRAS!C:C)</f>
        <v>RECONSTRUCCION DEL CAMINO BACABACHI HUATABAMPO VARIOS TRAMOS DEL KM 5+600 AL KM 25+500 EN LA LOCALIDAD Y MUNCIPIO DE NAVOJOA, SONORA.</v>
      </c>
      <c r="E454" s="4" t="s">
        <v>759</v>
      </c>
      <c r="F454" s="4"/>
      <c r="G454" s="4"/>
      <c r="H454" s="80" t="s">
        <v>220</v>
      </c>
      <c r="I454" s="6">
        <v>1233966.71</v>
      </c>
      <c r="J454" s="6"/>
      <c r="K454" s="6">
        <f>ROUND(I454*0.3,2)</f>
        <v>370190.01</v>
      </c>
      <c r="L454" s="6">
        <f t="shared" si="102"/>
        <v>863776.7</v>
      </c>
      <c r="M454" s="6">
        <f t="shared" si="103"/>
        <v>138204.26999999999</v>
      </c>
      <c r="N454" s="6">
        <f t="shared" si="107"/>
        <v>1001980.97</v>
      </c>
      <c r="O454" s="6">
        <f>+ROUND(I454*0.005,2)</f>
        <v>6169.83</v>
      </c>
      <c r="P454" s="6">
        <f t="shared" si="108"/>
        <v>995811.14</v>
      </c>
      <c r="Q454" s="4" t="s">
        <v>26</v>
      </c>
      <c r="R454" s="4" t="str">
        <f>LOOKUP($E454,OBRAS!$D:$D,OBRAS!A:A)</f>
        <v>NAVOJOA</v>
      </c>
      <c r="S454" s="4"/>
      <c r="T454" s="4"/>
      <c r="U454" s="4" t="s">
        <v>863</v>
      </c>
      <c r="V454" s="89"/>
      <c r="W454" s="6">
        <v>15050219.25</v>
      </c>
      <c r="X454" s="109">
        <f t="shared" si="105"/>
        <v>9.5100000000000004E-2</v>
      </c>
      <c r="Y454" s="109">
        <f t="shared" si="104"/>
        <v>0.97840000000000005</v>
      </c>
      <c r="Z454" s="109">
        <f t="shared" si="106"/>
        <v>0.97850000000000004</v>
      </c>
      <c r="AA454" s="4"/>
    </row>
    <row r="455" spans="1:27" x14ac:dyDescent="0.25">
      <c r="A455" s="90">
        <v>42635</v>
      </c>
      <c r="C455" s="49">
        <v>453</v>
      </c>
      <c r="D455" s="4" t="e">
        <f>LOOKUP($E455,OBRAS!$D:$D,OBRAS!C:C)</f>
        <v>#N/A</v>
      </c>
      <c r="E455" s="4"/>
      <c r="F455" s="4"/>
      <c r="G455" s="4" t="e">
        <f>LOOKUP($E455,OBRAS!$D:$D,OBRAS!E:E)</f>
        <v>#N/A</v>
      </c>
      <c r="H455" s="80"/>
      <c r="I455" s="6"/>
      <c r="J455" s="6"/>
      <c r="K455" s="6">
        <f>ROUND(I455*0.3,2)</f>
        <v>0</v>
      </c>
      <c r="L455" s="6">
        <f t="shared" ref="L455:L486" si="109">I455-K455</f>
        <v>0</v>
      </c>
      <c r="M455" s="6">
        <f t="shared" ref="M455:M486" si="110">ROUND(L455*0.16,2)</f>
        <v>0</v>
      </c>
      <c r="N455" s="6">
        <f t="shared" si="107"/>
        <v>0</v>
      </c>
      <c r="O455" s="6">
        <f>+ROUND(I455*0.002,2)+ROUND(I455*0.0003,2)+ROUND(I455*0.0003,2)+ROUND(I455*0.0003,2)</f>
        <v>0</v>
      </c>
      <c r="P455" s="6">
        <f t="shared" si="108"/>
        <v>0</v>
      </c>
      <c r="Q455" s="4" t="e">
        <f>LOOKUP($E455,OBRAS!$D:$D,OBRAS!B:B)</f>
        <v>#N/A</v>
      </c>
      <c r="R455" s="4" t="e">
        <f>LOOKUP($E455,OBRAS!$D:$D,OBRAS!A:A)</f>
        <v>#N/A</v>
      </c>
      <c r="S455" s="4" t="e">
        <f>LOOKUP($E455,OBRAS!$D:$D,OBRAS!F:F)</f>
        <v>#N/A</v>
      </c>
      <c r="T455" s="4" t="e">
        <f>LOOKUP($E455,OBRAS!$D:$D,OBRAS!G:G)</f>
        <v>#N/A</v>
      </c>
      <c r="U455" s="4"/>
      <c r="V455" s="4"/>
      <c r="W455" s="6" t="e">
        <f>LOOKUP($E455,OBRAS!$D:$D,OBRAS!K:K)</f>
        <v>#N/A</v>
      </c>
      <c r="X455" s="109" t="e">
        <f t="shared" si="105"/>
        <v>#N/A</v>
      </c>
      <c r="Y455" s="109">
        <f t="shared" si="104"/>
        <v>0</v>
      </c>
      <c r="Z455" s="109" t="e">
        <f t="shared" si="106"/>
        <v>#N/A</v>
      </c>
      <c r="AA455" s="4" t="e">
        <f>LOOKUP($E455,OBRAS!$D:$D,OBRAS!H:H)</f>
        <v>#N/A</v>
      </c>
    </row>
    <row r="456" spans="1:27" ht="45" x14ac:dyDescent="0.25">
      <c r="A456" s="90">
        <v>42635</v>
      </c>
      <c r="B456" s="56">
        <v>3852</v>
      </c>
      <c r="C456" s="84">
        <v>454</v>
      </c>
      <c r="D456" s="4" t="str">
        <f>LOOKUP($E456,OBRAS!$D:$D,OBRAS!C:C)</f>
        <v>RECONSTRUCCION DE CAMINO CALLE 600 VARIOS TRAMOS DEL KM 20+100 AL KM 40+700, EN VARIAS LOCALIDADES DE CAJEME, SONORA.</v>
      </c>
      <c r="E456" s="4" t="s">
        <v>393</v>
      </c>
      <c r="F456" s="4"/>
      <c r="G456" s="4"/>
      <c r="H456" s="80" t="s">
        <v>215</v>
      </c>
      <c r="I456" s="6">
        <v>202311.09</v>
      </c>
      <c r="J456" s="6"/>
      <c r="K456" s="6">
        <v>60693.38</v>
      </c>
      <c r="L456" s="6">
        <f t="shared" si="109"/>
        <v>141617.71</v>
      </c>
      <c r="M456" s="6">
        <f t="shared" si="110"/>
        <v>22658.83</v>
      </c>
      <c r="N456" s="6">
        <f t="shared" si="107"/>
        <v>164276.54</v>
      </c>
      <c r="O456" s="6">
        <v>1011.56</v>
      </c>
      <c r="P456" s="6">
        <f t="shared" si="108"/>
        <v>163264.98000000001</v>
      </c>
      <c r="Q456" s="4" t="str">
        <f>LOOKUP($E456,OBRAS!$D:$D,OBRAS!B:B)</f>
        <v>MEZQUITE CONSTRUCCIONES, S.A. DE C.V.</v>
      </c>
      <c r="R456" s="4" t="s">
        <v>258</v>
      </c>
      <c r="S456" s="4"/>
      <c r="T456" s="4"/>
      <c r="U456" s="4" t="s">
        <v>863</v>
      </c>
      <c r="V456" s="4"/>
      <c r="W456" s="6">
        <f>LOOKUP($E456,OBRAS!$D:$D,OBRAS!K:K)</f>
        <v>7382663.6299999999</v>
      </c>
      <c r="X456" s="109">
        <f t="shared" si="105"/>
        <v>3.1800000000000002E-2</v>
      </c>
      <c r="Y456" s="109">
        <f t="shared" si="104"/>
        <v>0.99750000000000005</v>
      </c>
      <c r="Z456" s="109">
        <f t="shared" si="106"/>
        <v>0.99739999999999995</v>
      </c>
      <c r="AA456" s="4"/>
    </row>
    <row r="457" spans="1:27" ht="45" x14ac:dyDescent="0.25">
      <c r="A457" s="90">
        <v>42635</v>
      </c>
      <c r="B457" s="56">
        <v>3853</v>
      </c>
      <c r="C457" s="49">
        <v>455</v>
      </c>
      <c r="D457" s="4" t="str">
        <f>LOOKUP($E457,OBRAS!$D:$D,OBRAS!C:C)</f>
        <v>SUPERVISION EXTERNA Y CONTROL DE CALIDAD DE CONSTRUCCION DE LA BODEGA DE EVIDENCIAS DEL DISTRITO DE HERMOSILLO, PRIMERA ETAPA</v>
      </c>
      <c r="E457" s="4" t="s">
        <v>628</v>
      </c>
      <c r="F457" s="4"/>
      <c r="G457" s="4" t="str">
        <f>LOOKUP($E457,OBRAS!$D:$D,OBRAS!E:E)</f>
        <v>C-00098/0016-7</v>
      </c>
      <c r="H457" s="80" t="s">
        <v>55</v>
      </c>
      <c r="I457" s="6">
        <v>53408.25</v>
      </c>
      <c r="J457" s="6"/>
      <c r="K457" s="6">
        <v>0</v>
      </c>
      <c r="L457" s="6">
        <f t="shared" si="109"/>
        <v>53408.25</v>
      </c>
      <c r="M457" s="6">
        <f t="shared" si="110"/>
        <v>8545.32</v>
      </c>
      <c r="N457" s="6">
        <f t="shared" si="107"/>
        <v>61953.57</v>
      </c>
      <c r="O457" s="6">
        <f>+ROUND(I457*0.002,2)+ROUND(I457*0.0003,2)+ROUND(I457*0.0003,2)+ROUND(I457*0.0003,2)</f>
        <v>154.88</v>
      </c>
      <c r="P457" s="6">
        <f t="shared" si="108"/>
        <v>61798.69</v>
      </c>
      <c r="Q457" s="4" t="str">
        <f>LOOKUP($E457,OBRAS!$D:$D,OBRAS!B:B)</f>
        <v>GYS CONSTRUCTORES S.A. DE C.V.</v>
      </c>
      <c r="R457" s="4" t="str">
        <f>LOOKUP($E457,OBRAS!$D:$D,OBRAS!A:A)</f>
        <v>HERMOSILLO</v>
      </c>
      <c r="S457" s="4" t="str">
        <f>LOOKUP($E457,OBRAS!$D:$D,OBRAS!F:F)</f>
        <v>11000002002207E201K02104A622212161A013</v>
      </c>
      <c r="T457" s="4" t="str">
        <f>LOOKUP($E457,OBRAS!$D:$D,OBRAS!G:G)</f>
        <v>ADJUDICACIÓN DIRECTA</v>
      </c>
      <c r="U457" s="4" t="s">
        <v>863</v>
      </c>
      <c r="V457" s="89">
        <v>42660</v>
      </c>
      <c r="W457" s="6">
        <f>LOOKUP($E457,OBRAS!$D:$D,OBRAS!K:K)</f>
        <v>247814.28</v>
      </c>
      <c r="X457" s="109">
        <f t="shared" si="105"/>
        <v>0.25</v>
      </c>
      <c r="Y457" s="109">
        <f t="shared" si="104"/>
        <v>1</v>
      </c>
      <c r="Z457" s="109">
        <f t="shared" si="106"/>
        <v>1</v>
      </c>
      <c r="AA457" s="4" t="str">
        <f>LOOKUP($E457,OBRAS!$D:$D,OBRAS!H:H)</f>
        <v>SH-ED-16-011</v>
      </c>
    </row>
    <row r="458" spans="1:27" ht="60" x14ac:dyDescent="0.25">
      <c r="A458" s="90">
        <v>42635</v>
      </c>
      <c r="B458" s="56">
        <v>3854</v>
      </c>
      <c r="C458" s="49">
        <v>456</v>
      </c>
      <c r="D458" s="4" t="str">
        <f>LOOKUP($E458,OBRAS!$D:$D,OBRAS!C:C)</f>
        <v>SUPERVISION EXTERNA Y CONTROL DE CALIDAD PARA LA OBRA RECONSTRUCCION DE CAMINO HORNOS - ROSARIO EN VARIAS LOCALIDADES DE VARIOS MUNICIPIOS DEL ESTADO DE SONORA.</v>
      </c>
      <c r="E458" s="4" t="s">
        <v>315</v>
      </c>
      <c r="F458" s="4"/>
      <c r="G458" s="4" t="str">
        <f>LOOKUP($E458,OBRAS!$D:$D,OBRAS!E:E)</f>
        <v>C-00098/0022</v>
      </c>
      <c r="H458" s="80" t="s">
        <v>215</v>
      </c>
      <c r="I458" s="6">
        <v>307572.47999999998</v>
      </c>
      <c r="J458" s="6"/>
      <c r="K458" s="6">
        <f>ROUND(I458*0.1,2)</f>
        <v>30757.25</v>
      </c>
      <c r="L458" s="6">
        <f t="shared" si="109"/>
        <v>276815.23</v>
      </c>
      <c r="M458" s="6">
        <f t="shared" si="110"/>
        <v>44290.44</v>
      </c>
      <c r="N458" s="6">
        <f t="shared" si="107"/>
        <v>321105.67</v>
      </c>
      <c r="O458" s="6">
        <f>+ROUND(I458*0.002,2)+ROUND(I458*0.0003,2)+ROUND(I458*0.0003,2)+ROUND(I458*0.0003,2)</f>
        <v>891.95</v>
      </c>
      <c r="P458" s="6">
        <f t="shared" si="108"/>
        <v>320213.71999999997</v>
      </c>
      <c r="Q458" s="4" t="str">
        <f>LOOKUP($E458,OBRAS!$D:$D,OBRAS!B:B)</f>
        <v>OESTEC DE MEXICO SA DE CV</v>
      </c>
      <c r="R458" s="4" t="str">
        <f>LOOKUP($E458,OBRAS!$D:$D,OBRAS!A:A)</f>
        <v>VARIOS</v>
      </c>
      <c r="S458" s="4" t="str">
        <f>LOOKUP($E458,OBRAS!$D:$D,OBRAS!F:F)</f>
        <v>11000002002207E201K02104A622212161A013</v>
      </c>
      <c r="T458" s="4" t="str">
        <f>LOOKUP($E458,OBRAS!$D:$D,OBRAS!G:G)</f>
        <v>CE-9260066995-E46-2016</v>
      </c>
      <c r="U458" s="4" t="s">
        <v>863</v>
      </c>
      <c r="V458" s="89">
        <v>42671</v>
      </c>
      <c r="W458" s="6">
        <f>LOOKUP($E458,OBRAS!$D:$D,OBRAS!K:K)</f>
        <v>2497488.54</v>
      </c>
      <c r="X458" s="109">
        <f t="shared" si="105"/>
        <v>0.1429</v>
      </c>
      <c r="Y458" s="109">
        <f t="shared" si="104"/>
        <v>1.0003</v>
      </c>
      <c r="Z458" s="109">
        <f t="shared" si="106"/>
        <v>1</v>
      </c>
      <c r="AA458" s="4" t="str">
        <f>LOOKUP($E458,OBRAS!$D:$D,OBRAS!H:H)</f>
        <v>SH-ED-16-028</v>
      </c>
    </row>
    <row r="459" spans="1:27" ht="45" x14ac:dyDescent="0.25">
      <c r="A459" s="90">
        <v>42635</v>
      </c>
      <c r="B459" s="56">
        <v>3855</v>
      </c>
      <c r="C459" s="49">
        <v>457</v>
      </c>
      <c r="D459" s="4" t="str">
        <f>LOOKUP($E459,OBRAS!$D:$D,OBRAS!C:C)</f>
        <v>SUPERVISION EXTERNA Y CONTROL DE CALIDAD PARA LA OBRA: RECONSTRUCCIÓN DEL CAMINO CALLE 12 SUR, HERMOSILLO, SONORA.</v>
      </c>
      <c r="E459" s="4" t="s">
        <v>419</v>
      </c>
      <c r="F459" s="4"/>
      <c r="G459" s="4" t="str">
        <f>LOOKUP($E459,OBRAS!$D:$D,OBRAS!E:E)</f>
        <v>C-00098/0022</v>
      </c>
      <c r="H459" s="80" t="s">
        <v>215</v>
      </c>
      <c r="I459" s="6">
        <v>111586.12</v>
      </c>
      <c r="J459" s="6"/>
      <c r="K459" s="6">
        <f>ROUND(I459*0.1,2)</f>
        <v>11158.61</v>
      </c>
      <c r="L459" s="6">
        <f t="shared" si="109"/>
        <v>100427.51</v>
      </c>
      <c r="M459" s="6">
        <f t="shared" si="110"/>
        <v>16068.4</v>
      </c>
      <c r="N459" s="6">
        <f t="shared" si="107"/>
        <v>116495.91</v>
      </c>
      <c r="O459" s="6">
        <f>+ROUND(I459*0.002,2)+ROUND(I459*0.0003,2)+ROUND(I459*0.0003,2)+ROUND(I459*0.0003,2)</f>
        <v>323.61</v>
      </c>
      <c r="P459" s="6">
        <f t="shared" si="108"/>
        <v>116172.3</v>
      </c>
      <c r="Q459" s="4" t="str">
        <f>LOOKUP($E459,OBRAS!$D:$D,OBRAS!B:B)</f>
        <v>SEI TETRA, S. A. DE C. V.</v>
      </c>
      <c r="R459" s="4" t="str">
        <f>LOOKUP($E459,OBRAS!$D:$D,OBRAS!A:A)</f>
        <v>HERMOSILLO</v>
      </c>
      <c r="S459" s="4" t="str">
        <f>LOOKUP($E459,OBRAS!$D:$D,OBRAS!F:F)</f>
        <v>11000002002207E201K02104A622212161A013</v>
      </c>
      <c r="T459" s="4" t="str">
        <f>LOOKUP($E459,OBRAS!$D:$D,OBRAS!G:G)</f>
        <v>LICITACIÓN SIMPLIFICADA</v>
      </c>
      <c r="U459" s="4" t="s">
        <v>863</v>
      </c>
      <c r="V459" s="89">
        <v>42671</v>
      </c>
      <c r="W459" s="6">
        <f>LOOKUP($E459,OBRAS!$D:$D,OBRAS!K:K)</f>
        <v>703223.55</v>
      </c>
      <c r="X459" s="109">
        <f t="shared" si="105"/>
        <v>0.18410000000000001</v>
      </c>
      <c r="Y459" s="109">
        <f>ROUND(SUMIF(E:E,E459,X:X),2)</f>
        <v>1</v>
      </c>
      <c r="Z459" s="109">
        <f t="shared" si="106"/>
        <v>1</v>
      </c>
      <c r="AA459" s="4" t="str">
        <f>LOOKUP($E459,OBRAS!$D:$D,OBRAS!H:H)</f>
        <v>SH-ED-16-028</v>
      </c>
    </row>
    <row r="460" spans="1:27" ht="60" x14ac:dyDescent="0.25">
      <c r="A460" s="90">
        <v>42635</v>
      </c>
      <c r="B460" s="56">
        <v>3856</v>
      </c>
      <c r="C460" s="49">
        <v>458</v>
      </c>
      <c r="D460" s="4" t="str">
        <f>LOOKUP($E460,OBRAS!$D:$D,OBRAS!C:C)</f>
        <v>CONSERVACION Y RECONSTRUCCION DE CARRETERAS ALIMENTADORAS REGION GUAYMAS-EMPALME, TRAMO: E.C. (PROVIDENCIA-ORTIZ)-LA MISA</v>
      </c>
      <c r="E460" s="4" t="s">
        <v>582</v>
      </c>
      <c r="F460" s="4" t="s">
        <v>401</v>
      </c>
      <c r="G460" s="4" t="str">
        <f>LOOKUP($E460,OBRAS!$D:$D,OBRAS!E:E)</f>
        <v>C-00054/0065</v>
      </c>
      <c r="H460" s="80" t="s">
        <v>55</v>
      </c>
      <c r="I460" s="6">
        <v>6132860.5199999996</v>
      </c>
      <c r="J460" s="6"/>
      <c r="K460" s="6">
        <f>ROUND(I460*0.3,2)</f>
        <v>1839858.16</v>
      </c>
      <c r="L460" s="6">
        <f t="shared" si="109"/>
        <v>4293002.3600000003</v>
      </c>
      <c r="M460" s="6">
        <f t="shared" si="110"/>
        <v>686880.38</v>
      </c>
      <c r="N460" s="6">
        <f t="shared" si="107"/>
        <v>4979882.74</v>
      </c>
      <c r="O460" s="6">
        <v>30051.02</v>
      </c>
      <c r="P460" s="6">
        <f t="shared" si="108"/>
        <v>4949831.72</v>
      </c>
      <c r="Q460" s="4" t="str">
        <f>LOOKUP($E460,OBRAS!$D:$D,OBRAS!B:B)</f>
        <v>GILA MINAS Y DESARROLLOS SA DE CV</v>
      </c>
      <c r="R460" s="4" t="str">
        <f>LOOKUP($E460,OBRAS!$D:$D,OBRAS!A:A)</f>
        <v>VARIOS</v>
      </c>
      <c r="S460" s="4" t="str">
        <f>LOOKUP($E460,OBRAS!$D:$D,OBRAS!F:F)</f>
        <v>11000002003501E204K08063A625012162213</v>
      </c>
      <c r="T460" s="4" t="str">
        <f>LOOKUP($E460,OBRAS!$D:$D,OBRAS!G:G)</f>
        <v>CE-926006995-E29-2016</v>
      </c>
      <c r="U460" s="4" t="s">
        <v>863</v>
      </c>
      <c r="V460" s="89">
        <v>42663</v>
      </c>
      <c r="W460" s="6">
        <f>LOOKUP($E460,OBRAS!$D:$D,OBRAS!K:K)</f>
        <v>31555491.960000001</v>
      </c>
      <c r="X460" s="109">
        <f t="shared" si="105"/>
        <v>0.22539999999999999</v>
      </c>
      <c r="Y460" s="109">
        <f t="shared" ref="Y460:Y483" si="111">SUMIF(E:E,E460,X:X)</f>
        <v>0.9194</v>
      </c>
      <c r="Z460" s="109">
        <f t="shared" si="106"/>
        <v>0.9194</v>
      </c>
      <c r="AA460" s="4" t="str">
        <f>LOOKUP($E460,OBRAS!$D:$D,OBRAS!H:H)</f>
        <v>SH-ED-17-R-013</v>
      </c>
    </row>
    <row r="461" spans="1:27" ht="90" x14ac:dyDescent="0.25">
      <c r="A461" s="90">
        <v>42639</v>
      </c>
      <c r="B461" s="56">
        <v>3877</v>
      </c>
      <c r="C461" s="55">
        <v>459</v>
      </c>
      <c r="D461" s="4" t="str">
        <f>LOOKUP($E461,OBRAS!$D:$D,OBRAS!C:C)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461" s="4" t="s">
        <v>320</v>
      </c>
      <c r="F461" s="4"/>
      <c r="G461" s="4" t="str">
        <f>LOOKUP($E461,OBRAS!$D:$D,OBRAS!E:E)</f>
        <v>C-00098/0021</v>
      </c>
      <c r="H461" s="80" t="s">
        <v>55</v>
      </c>
      <c r="I461" s="6">
        <v>236819.84</v>
      </c>
      <c r="J461" s="6"/>
      <c r="K461" s="6">
        <f>ROUND(I461*0.1,2)</f>
        <v>23681.98</v>
      </c>
      <c r="L461" s="6">
        <f t="shared" si="109"/>
        <v>213137.86</v>
      </c>
      <c r="M461" s="6">
        <f t="shared" si="110"/>
        <v>34102.06</v>
      </c>
      <c r="N461" s="6">
        <f t="shared" si="107"/>
        <v>247239.92</v>
      </c>
      <c r="O461" s="6">
        <f>+ROUND(I461*0.002,2)+ROUND(I461*0.0003,2)+ROUND(I461*0.0003,2)+ROUND(I461*0.0003,2)</f>
        <v>686.79</v>
      </c>
      <c r="P461" s="6">
        <f t="shared" si="108"/>
        <v>246553.13</v>
      </c>
      <c r="Q461" s="4" t="str">
        <f>LOOKUP($E461,OBRAS!$D:$D,OBRAS!B:B)</f>
        <v>PROYECTOS Y SUPERVISION, J.H. ROMERO, S.A. DE C.V.</v>
      </c>
      <c r="R461" s="4" t="str">
        <f>LOOKUP($E461,OBRAS!$D:$D,OBRAS!A:A)</f>
        <v>VARIOS</v>
      </c>
      <c r="S461" s="4" t="str">
        <f>LOOKUP($E461,OBRAS!$D:$D,OBRAS!F:F)</f>
        <v>11000002003501E203K03203A625132161A013</v>
      </c>
      <c r="T461" s="4" t="str">
        <f>LOOKUP($E461,OBRAS!$D:$D,OBRAS!G:G)</f>
        <v>CE-926006995-E50-2016</v>
      </c>
      <c r="U461" s="4" t="s">
        <v>863</v>
      </c>
      <c r="V461" s="89">
        <v>42781</v>
      </c>
      <c r="W461" s="6">
        <f>LOOKUP($E461,OBRAS!$D:$D,OBRAS!K:K)</f>
        <v>1648266.09</v>
      </c>
      <c r="X461" s="109">
        <f t="shared" si="105"/>
        <v>0.16669999999999999</v>
      </c>
      <c r="Y461" s="109">
        <f t="shared" si="111"/>
        <v>1.0002</v>
      </c>
      <c r="Z461" s="109">
        <f t="shared" si="106"/>
        <v>1</v>
      </c>
      <c r="AA461" s="4" t="str">
        <f>LOOKUP($E461,OBRAS!$D:$D,OBRAS!H:H)</f>
        <v>SH-ED-16-040</v>
      </c>
    </row>
    <row r="462" spans="1:27" ht="45" x14ac:dyDescent="0.25">
      <c r="A462" s="90">
        <v>42639</v>
      </c>
      <c r="B462" s="56">
        <v>3878</v>
      </c>
      <c r="C462" s="55">
        <v>460</v>
      </c>
      <c r="D462" s="4" t="str">
        <f>LOOKUP($E462,OBRAS!$D:$D,OBRAS!C:C)</f>
        <v>SUPERVISION EXTERNA Y CONTROL DE CALIDAD PARA LA OBRA: RECONSTRUCCION DEL CAMINO E.C. FEDERAL 15-LAS BOCAS</v>
      </c>
      <c r="E462" s="4" t="s">
        <v>441</v>
      </c>
      <c r="F462" s="4"/>
      <c r="G462" s="4" t="str">
        <f>LOOKUP($E462,OBRAS!$D:$D,OBRAS!E:E)</f>
        <v>C-00098/0021</v>
      </c>
      <c r="H462" s="80" t="s">
        <v>55</v>
      </c>
      <c r="I462" s="6">
        <v>152329.66</v>
      </c>
      <c r="J462" s="6"/>
      <c r="K462" s="6">
        <f>ROUND(I462*0.1,2)</f>
        <v>15232.97</v>
      </c>
      <c r="L462" s="6">
        <f t="shared" si="109"/>
        <v>137096.69</v>
      </c>
      <c r="M462" s="6">
        <f t="shared" si="110"/>
        <v>21935.47</v>
      </c>
      <c r="N462" s="6">
        <f t="shared" si="107"/>
        <v>159032.16</v>
      </c>
      <c r="O462" s="6">
        <f>+ROUND(I462*0.002,2)+ROUND(I462*0.0003,2)+ROUND(I462*0.0003,2)+ROUND(I462*0.0003,2)</f>
        <v>441.76</v>
      </c>
      <c r="P462" s="6">
        <f t="shared" si="108"/>
        <v>158590.39999999999</v>
      </c>
      <c r="Q462" s="4" t="str">
        <f>LOOKUP($E462,OBRAS!$D:$D,OBRAS!B:B)</f>
        <v>ING. JOEL TOSAME IBARRA</v>
      </c>
      <c r="R462" s="4" t="str">
        <f>LOOKUP($E462,OBRAS!$D:$D,OBRAS!A:A)</f>
        <v>HUATABAMPO</v>
      </c>
      <c r="S462" s="4" t="str">
        <f>LOOKUP($E462,OBRAS!$D:$D,OBRAS!F:F)</f>
        <v>11000002003501E203K03203A625132161A013</v>
      </c>
      <c r="T462" s="4" t="str">
        <f>LOOKUP($E462,OBRAS!$D:$D,OBRAS!G:G)</f>
        <v>LICITACIÓN SIMPLIFICADA</v>
      </c>
      <c r="U462" s="4" t="s">
        <v>863</v>
      </c>
      <c r="V462" s="89">
        <v>42697</v>
      </c>
      <c r="W462" s="6">
        <f>LOOKUP($E462,OBRAS!$D:$D,OBRAS!K:K)</f>
        <v>706809.62</v>
      </c>
      <c r="X462" s="109">
        <f t="shared" si="105"/>
        <v>0.25</v>
      </c>
      <c r="Y462" s="109">
        <f t="shared" si="111"/>
        <v>1</v>
      </c>
      <c r="Z462" s="109">
        <f t="shared" si="106"/>
        <v>1</v>
      </c>
      <c r="AA462" s="4" t="str">
        <f>LOOKUP($E462,OBRAS!$D:$D,OBRAS!H:H)</f>
        <v>SH-ED-16-020</v>
      </c>
    </row>
    <row r="463" spans="1:27" ht="60" x14ac:dyDescent="0.25">
      <c r="A463" s="90">
        <v>42639</v>
      </c>
      <c r="B463" s="56">
        <v>3879</v>
      </c>
      <c r="C463" s="55">
        <v>461</v>
      </c>
      <c r="D463" s="4" t="str">
        <f>LOOKUP($E463,OBRAS!$D:$D,OBRAS!C:C)</f>
        <v>SUPERVISION EXTERNA Y CONTROL DE CALIDAD DE LA OBRA: CONSTRUCCION DE CONSERVATORIO DE MUSICA FRAY IVO TONECK, EN LA LOCALIDAD Y MUNICIPIO DE GUAYMAS, SONORA.</v>
      </c>
      <c r="E463" s="4" t="s">
        <v>501</v>
      </c>
      <c r="F463" s="4"/>
      <c r="G463" s="4" t="str">
        <f>LOOKUP($E463,OBRAS!$D:$D,OBRAS!E:E)</f>
        <v>C-00093/0009</v>
      </c>
      <c r="H463" s="80" t="s">
        <v>15</v>
      </c>
      <c r="I463" s="6">
        <v>40474.49</v>
      </c>
      <c r="J463" s="6"/>
      <c r="K463" s="6">
        <f>ROUND(I463*0.3,2)</f>
        <v>12142.35</v>
      </c>
      <c r="L463" s="6">
        <f t="shared" si="109"/>
        <v>28332.14</v>
      </c>
      <c r="M463" s="6">
        <f t="shared" si="110"/>
        <v>4533.1400000000003</v>
      </c>
      <c r="N463" s="6">
        <f t="shared" si="107"/>
        <v>32865.279999999999</v>
      </c>
      <c r="O463" s="6">
        <f>+ROUND(I463*0.005,2)</f>
        <v>202.37</v>
      </c>
      <c r="P463" s="6">
        <f t="shared" si="108"/>
        <v>32662.91</v>
      </c>
      <c r="Q463" s="4" t="str">
        <f>LOOKUP($E463,OBRAS!$D:$D,OBRAS!B:B)</f>
        <v>ING. MARTIN GRAJEDA ARAGON</v>
      </c>
      <c r="R463" s="4" t="str">
        <f>LOOKUP($E463,OBRAS!$D:$D,OBRAS!A:A)</f>
        <v>GUAYMAS</v>
      </c>
      <c r="S463" s="4" t="str">
        <f>LOOKUP($E463,OBRAS!$D:$D,OBRAS!F:F)</f>
        <v>11000002002402E406K06106A612222155GL10</v>
      </c>
      <c r="T463" s="4" t="str">
        <f>LOOKUP($E463,OBRAS!$D:$D,OBRAS!G:G)</f>
        <v>ADJUDICACIÓN DIRECTA</v>
      </c>
      <c r="U463" s="4" t="s">
        <v>863</v>
      </c>
      <c r="V463" s="89">
        <v>42710</v>
      </c>
      <c r="W463" s="6">
        <f>LOOKUP($E463,OBRAS!$D:$D,OBRAS!K:K)</f>
        <v>343063.19</v>
      </c>
      <c r="X463" s="109">
        <f t="shared" si="105"/>
        <v>0.13689999999999999</v>
      </c>
      <c r="Y463" s="109">
        <f t="shared" si="111"/>
        <v>1</v>
      </c>
      <c r="Z463" s="109">
        <f t="shared" si="106"/>
        <v>0.7</v>
      </c>
      <c r="AA463" s="4" t="str">
        <f>LOOKUP($E463,OBRAS!$D:$D,OBRAS!H:H)</f>
        <v>SH-NC-16-R-007.</v>
      </c>
    </row>
    <row r="464" spans="1:27" ht="60" x14ac:dyDescent="0.25">
      <c r="A464" s="90">
        <v>42639</v>
      </c>
      <c r="B464" s="56">
        <v>3880</v>
      </c>
      <c r="C464" s="55">
        <v>462</v>
      </c>
      <c r="D464" s="4" t="str">
        <f>LOOKUP($E464,OBRAS!$D:$D,OBRAS!C:C)</f>
        <v>SUPERVISION EXTERNA Y CONTROL DE CALIDAD DE LA OBRA: CONSTRUCCION DE CONSERVATORIO DE MUSICA FRAY IVO TONECK, EN LA LOCALIDAD Y MUNICIPIO DE GUAYMAS, SONORA.</v>
      </c>
      <c r="E464" s="4" t="s">
        <v>501</v>
      </c>
      <c r="F464" s="4"/>
      <c r="G464" s="4" t="str">
        <f>LOOKUP($E464,OBRAS!$D:$D,OBRAS!E:E)</f>
        <v>C-00093/0009</v>
      </c>
      <c r="H464" s="80" t="s">
        <v>214</v>
      </c>
      <c r="I464" s="6">
        <v>20645.96</v>
      </c>
      <c r="J464" s="6"/>
      <c r="K464" s="6">
        <f>ROUND(I464*0.3,2)</f>
        <v>6193.79</v>
      </c>
      <c r="L464" s="6">
        <f t="shared" si="109"/>
        <v>14452.17</v>
      </c>
      <c r="M464" s="6">
        <f t="shared" si="110"/>
        <v>2312.35</v>
      </c>
      <c r="N464" s="6">
        <f t="shared" si="107"/>
        <v>16764.52</v>
      </c>
      <c r="O464" s="6">
        <f>+ROUND(I464*0.005,2)</f>
        <v>103.23</v>
      </c>
      <c r="P464" s="6">
        <f t="shared" si="108"/>
        <v>16661.29</v>
      </c>
      <c r="Q464" s="4" t="str">
        <f>LOOKUP($E464,OBRAS!$D:$D,OBRAS!B:B)</f>
        <v>ING. MARTIN GRAJEDA ARAGON</v>
      </c>
      <c r="R464" s="4" t="str">
        <f>LOOKUP($E464,OBRAS!$D:$D,OBRAS!A:A)</f>
        <v>GUAYMAS</v>
      </c>
      <c r="S464" s="4" t="str">
        <f>LOOKUP($E464,OBRAS!$D:$D,OBRAS!F:F)</f>
        <v>11000002002402E406K06106A612222155GL10</v>
      </c>
      <c r="T464" s="4" t="str">
        <f>LOOKUP($E464,OBRAS!$D:$D,OBRAS!G:G)</f>
        <v>ADJUDICACIÓN DIRECTA</v>
      </c>
      <c r="U464" s="4" t="s">
        <v>863</v>
      </c>
      <c r="V464" s="89">
        <v>42710</v>
      </c>
      <c r="W464" s="6">
        <f>LOOKUP($E464,OBRAS!$D:$D,OBRAS!K:K)</f>
        <v>343063.19</v>
      </c>
      <c r="X464" s="109">
        <f t="shared" si="105"/>
        <v>6.9800000000000001E-2</v>
      </c>
      <c r="Y464" s="109">
        <f t="shared" si="111"/>
        <v>1</v>
      </c>
      <c r="Z464" s="109">
        <f t="shared" si="106"/>
        <v>0.7</v>
      </c>
      <c r="AA464" s="4" t="str">
        <f>LOOKUP($E464,OBRAS!$D:$D,OBRAS!H:H)</f>
        <v>SH-NC-16-R-007.</v>
      </c>
    </row>
    <row r="465" spans="1:27" ht="60" x14ac:dyDescent="0.25">
      <c r="A465" s="90">
        <v>42639</v>
      </c>
      <c r="B465" s="56">
        <v>3881</v>
      </c>
      <c r="C465" s="55">
        <v>463</v>
      </c>
      <c r="D465" s="4" t="str">
        <f>LOOKUP($E465,OBRAS!$D:$D,OBRAS!C:C)</f>
        <v>SUPERVISION EXTERNA Y CONTROL DE CALIDAD DE LA OBRA: CONSTRUCCION DE CONSERVATORIO DE MUSICA FRAY IVO TONECK, EN LA LOCALIDAD Y MUNICIPIO DE GUAYMAS, SONORA.</v>
      </c>
      <c r="E465" s="4" t="s">
        <v>501</v>
      </c>
      <c r="F465" s="4"/>
      <c r="G465" s="4" t="str">
        <f>LOOKUP($E465,OBRAS!$D:$D,OBRAS!E:E)</f>
        <v>C-00093/0009</v>
      </c>
      <c r="H465" s="80" t="s">
        <v>218</v>
      </c>
      <c r="I465" s="6">
        <v>39168.86</v>
      </c>
      <c r="J465" s="6"/>
      <c r="K465" s="6">
        <f>ROUND(I465*0.3,2)</f>
        <v>11750.66</v>
      </c>
      <c r="L465" s="6">
        <f t="shared" si="109"/>
        <v>27418.2</v>
      </c>
      <c r="M465" s="6">
        <f t="shared" si="110"/>
        <v>4386.91</v>
      </c>
      <c r="N465" s="6">
        <f t="shared" si="107"/>
        <v>31805.11</v>
      </c>
      <c r="O465" s="6">
        <f>+ROUND(I465*0.005,2)</f>
        <v>195.84</v>
      </c>
      <c r="P465" s="6">
        <f t="shared" si="108"/>
        <v>31609.27</v>
      </c>
      <c r="Q465" s="4" t="str">
        <f>LOOKUP($E465,OBRAS!$D:$D,OBRAS!B:B)</f>
        <v>ING. MARTIN GRAJEDA ARAGON</v>
      </c>
      <c r="R465" s="4" t="str">
        <f>LOOKUP($E465,OBRAS!$D:$D,OBRAS!A:A)</f>
        <v>GUAYMAS</v>
      </c>
      <c r="S465" s="4" t="str">
        <f>LOOKUP($E465,OBRAS!$D:$D,OBRAS!F:F)</f>
        <v>11000002002402E406K06106A612222155GL10</v>
      </c>
      <c r="T465" s="4" t="str">
        <f>LOOKUP($E465,OBRAS!$D:$D,OBRAS!G:G)</f>
        <v>ADJUDICACIÓN DIRECTA</v>
      </c>
      <c r="U465" s="4" t="s">
        <v>863</v>
      </c>
      <c r="V465" s="89">
        <v>42710</v>
      </c>
      <c r="W465" s="6">
        <f>LOOKUP($E465,OBRAS!$D:$D,OBRAS!K:K)</f>
        <v>343063.19</v>
      </c>
      <c r="X465" s="109">
        <f t="shared" si="105"/>
        <v>0.13239999999999999</v>
      </c>
      <c r="Y465" s="109">
        <f t="shared" si="111"/>
        <v>1</v>
      </c>
      <c r="Z465" s="109">
        <f t="shared" si="106"/>
        <v>0.7</v>
      </c>
      <c r="AA465" s="4" t="str">
        <f>LOOKUP($E465,OBRAS!$D:$D,OBRAS!H:H)</f>
        <v>SH-NC-16-R-007.</v>
      </c>
    </row>
    <row r="466" spans="1:27" ht="60" x14ac:dyDescent="0.25">
      <c r="A466" s="90">
        <v>42639</v>
      </c>
      <c r="B466" s="56">
        <v>3882</v>
      </c>
      <c r="C466" s="55">
        <v>464</v>
      </c>
      <c r="D466" s="4" t="str">
        <f>LOOKUP($E466,OBRAS!$D:$D,OBRAS!C:C)</f>
        <v>SUPERVISION EXTERNA Y CONTROL DE CALIDAD DE LA OBRA: CONSTRUCCION DE CONSERVATORIO DE MUSICA FRAY IVO TONECK, EN LA LOCALIDAD Y MUNICIPIO DE GUAYMAS, SONORA.</v>
      </c>
      <c r="E466" s="4" t="s">
        <v>501</v>
      </c>
      <c r="F466" s="4"/>
      <c r="G466" s="4" t="str">
        <f>LOOKUP($E466,OBRAS!$D:$D,OBRAS!E:E)</f>
        <v>C-00093/0009</v>
      </c>
      <c r="H466" s="80" t="s">
        <v>220</v>
      </c>
      <c r="I466" s="6">
        <v>19979.97</v>
      </c>
      <c r="J466" s="6"/>
      <c r="K466" s="6">
        <f>ROUND(I466*0.3,2)</f>
        <v>5993.99</v>
      </c>
      <c r="L466" s="6">
        <f t="shared" si="109"/>
        <v>13985.98</v>
      </c>
      <c r="M466" s="6">
        <f t="shared" si="110"/>
        <v>2237.7600000000002</v>
      </c>
      <c r="N466" s="6">
        <f t="shared" si="107"/>
        <v>16223.74</v>
      </c>
      <c r="O466" s="6">
        <f>+ROUND(I466*0.005,2)</f>
        <v>99.9</v>
      </c>
      <c r="P466" s="6">
        <f t="shared" si="108"/>
        <v>16123.84</v>
      </c>
      <c r="Q466" s="4" t="str">
        <f>LOOKUP($E466,OBRAS!$D:$D,OBRAS!B:B)</f>
        <v>ING. MARTIN GRAJEDA ARAGON</v>
      </c>
      <c r="R466" s="4" t="str">
        <f>LOOKUP($E466,OBRAS!$D:$D,OBRAS!A:A)</f>
        <v>GUAYMAS</v>
      </c>
      <c r="S466" s="4" t="str">
        <f>LOOKUP($E466,OBRAS!$D:$D,OBRAS!F:F)</f>
        <v>11000002002402E406K06106A612222155GL10</v>
      </c>
      <c r="T466" s="4" t="str">
        <f>LOOKUP($E466,OBRAS!$D:$D,OBRAS!G:G)</f>
        <v>ADJUDICACIÓN DIRECTA</v>
      </c>
      <c r="U466" s="4" t="s">
        <v>863</v>
      </c>
      <c r="V466" s="89">
        <v>42710</v>
      </c>
      <c r="W466" s="6">
        <f>LOOKUP($E466,OBRAS!$D:$D,OBRAS!K:K)</f>
        <v>343063.19</v>
      </c>
      <c r="X466" s="109">
        <f t="shared" si="105"/>
        <v>6.7599999999999993E-2</v>
      </c>
      <c r="Y466" s="109">
        <f t="shared" si="111"/>
        <v>1</v>
      </c>
      <c r="Z466" s="109">
        <f t="shared" si="106"/>
        <v>0.7</v>
      </c>
      <c r="AA466" s="4" t="str">
        <f>LOOKUP($E466,OBRAS!$D:$D,OBRAS!H:H)</f>
        <v>SH-NC-16-R-007.</v>
      </c>
    </row>
    <row r="467" spans="1:27" ht="45" x14ac:dyDescent="0.25">
      <c r="A467" s="90">
        <v>42639</v>
      </c>
      <c r="B467" s="56">
        <v>3883</v>
      </c>
      <c r="C467" s="55">
        <v>465</v>
      </c>
      <c r="D467" s="4" t="str">
        <f>LOOKUP($E467,OBRAS!$D:$D,OBRAS!C:C)</f>
        <v>CONSTRUCCION Y MODERNIZACION EN DISTRIBUIDOR VIAL EN LA LOCALIDAD Y MUNICIPIO DE NOGALES, SONORA</v>
      </c>
      <c r="E467" s="4" t="s">
        <v>233</v>
      </c>
      <c r="F467" s="4" t="s">
        <v>400</v>
      </c>
      <c r="G467" s="4" t="str">
        <f>LOOKUP($E467,OBRAS!$D:$D,OBRAS!E:E)</f>
        <v>C-00052/0136</v>
      </c>
      <c r="H467" s="80" t="s">
        <v>215</v>
      </c>
      <c r="I467" s="6">
        <v>781714.51</v>
      </c>
      <c r="J467" s="6"/>
      <c r="K467" s="6">
        <v>492480.14</v>
      </c>
      <c r="L467" s="6">
        <f t="shared" si="109"/>
        <v>289234.37</v>
      </c>
      <c r="M467" s="6">
        <f t="shared" si="110"/>
        <v>46277.5</v>
      </c>
      <c r="N467" s="6">
        <f t="shared" si="107"/>
        <v>335511.87</v>
      </c>
      <c r="O467" s="6">
        <f>+ROUND(I467*0.002,2)+ROUND(I467*0.0003,2)+ROUND(I467*0.0003,2)+ROUND(I467*0.0003,2)+ROUND(I467*0.002,2)</f>
        <v>3830.39</v>
      </c>
      <c r="P467" s="6">
        <f t="shared" si="108"/>
        <v>331681.48</v>
      </c>
      <c r="Q467" s="4" t="str">
        <f>LOOKUP($E467,OBRAS!$D:$D,OBRAS!B:B)</f>
        <v>LA GRANDE CONSTRUCTORA S.A. DE C.V.</v>
      </c>
      <c r="R467" s="4" t="str">
        <f>LOOKUP($E467,OBRAS!$D:$D,OBRAS!A:A)</f>
        <v>NOGALES</v>
      </c>
      <c r="S467" s="4" t="str">
        <f>LOOKUP($E467,OBRAS!$D:$D,OBRAS!F:F)</f>
        <v>11000002002201E201K13303A614202155DM03</v>
      </c>
      <c r="T467" s="4">
        <f>LOOKUP($E467,OBRAS!$D:$D,OBRAS!G:G)</f>
        <v>0</v>
      </c>
      <c r="U467" s="4" t="s">
        <v>863</v>
      </c>
      <c r="V467" s="89">
        <v>42657</v>
      </c>
      <c r="W467" s="6">
        <f>LOOKUP($E467,OBRAS!$D:$D,OBRAS!K:K)</f>
        <v>25515708.309999999</v>
      </c>
      <c r="X467" s="109">
        <f t="shared" si="105"/>
        <v>3.5499999999999997E-2</v>
      </c>
      <c r="Y467" s="109">
        <f t="shared" si="111"/>
        <v>0.52910000000000001</v>
      </c>
      <c r="Z467" s="109">
        <f t="shared" si="106"/>
        <v>0.20300000000000001</v>
      </c>
      <c r="AA467" s="4" t="str">
        <f>LOOKUP($E467,OBRAS!$D:$D,OBRAS!H:H)</f>
        <v>SH-FAFEF-16-R-007</v>
      </c>
    </row>
    <row r="468" spans="1:27" ht="45" x14ac:dyDescent="0.25">
      <c r="A468" s="90">
        <v>42639</v>
      </c>
      <c r="B468" s="56">
        <v>3884</v>
      </c>
      <c r="C468" s="55">
        <v>466</v>
      </c>
      <c r="D468" s="4" t="str">
        <f>LOOKUP($E468,OBRAS!$D:$D,OBRAS!C:C)</f>
        <v>CONSTRUCCION Y MODERNIZACION EN DISTRIBUIDOR VIAL EN LA LOCALIDAD Y MUNICIPIO DE NOGALES, SONORA</v>
      </c>
      <c r="E468" s="4" t="s">
        <v>233</v>
      </c>
      <c r="F468" s="4" t="s">
        <v>400</v>
      </c>
      <c r="G468" s="4" t="str">
        <f>LOOKUP($E468,OBRAS!$D:$D,OBRAS!E:E)</f>
        <v>C-00052/0136</v>
      </c>
      <c r="H468" s="80" t="s">
        <v>15</v>
      </c>
      <c r="I468" s="6">
        <v>1138174.56</v>
      </c>
      <c r="J468" s="6"/>
      <c r="K468" s="6">
        <v>717049.97</v>
      </c>
      <c r="L468" s="6">
        <f t="shared" si="109"/>
        <v>421124.59</v>
      </c>
      <c r="M468" s="6">
        <f t="shared" si="110"/>
        <v>67379.929999999993</v>
      </c>
      <c r="N468" s="6">
        <f t="shared" si="107"/>
        <v>488504.52</v>
      </c>
      <c r="O468" s="6">
        <f>+ROUND(I468*0.002,2)+ROUND(I468*0.0003,2)+ROUND(I468*0.0003,2)+ROUND(I468*0.0003,2)+ROUND(I468*0.002,2)</f>
        <v>5577.05</v>
      </c>
      <c r="P468" s="6">
        <f t="shared" si="108"/>
        <v>482927.47</v>
      </c>
      <c r="Q468" s="4" t="str">
        <f>LOOKUP($E468,OBRAS!$D:$D,OBRAS!B:B)</f>
        <v>LA GRANDE CONSTRUCTORA S.A. DE C.V.</v>
      </c>
      <c r="R468" s="4" t="str">
        <f>LOOKUP($E468,OBRAS!$D:$D,OBRAS!A:A)</f>
        <v>NOGALES</v>
      </c>
      <c r="S468" s="4" t="str">
        <f>LOOKUP($E468,OBRAS!$D:$D,OBRAS!F:F)</f>
        <v>11000002002201E201K13303A614202155DM03</v>
      </c>
      <c r="T468" s="4">
        <f>LOOKUP($E468,OBRAS!$D:$D,OBRAS!G:G)</f>
        <v>0</v>
      </c>
      <c r="U468" s="4" t="s">
        <v>863</v>
      </c>
      <c r="V468" s="89">
        <v>42657</v>
      </c>
      <c r="W468" s="6">
        <f>LOOKUP($E468,OBRAS!$D:$D,OBRAS!K:K)</f>
        <v>25515708.309999999</v>
      </c>
      <c r="X468" s="109">
        <f t="shared" si="105"/>
        <v>5.1700000000000003E-2</v>
      </c>
      <c r="Y468" s="109">
        <f t="shared" si="111"/>
        <v>0.52910000000000001</v>
      </c>
      <c r="Z468" s="109">
        <f t="shared" si="106"/>
        <v>0.20300000000000001</v>
      </c>
      <c r="AA468" s="4" t="str">
        <f>LOOKUP($E468,OBRAS!$D:$D,OBRAS!H:H)</f>
        <v>SH-FAFEF-16-R-007</v>
      </c>
    </row>
    <row r="469" spans="1:27" ht="45" x14ac:dyDescent="0.25">
      <c r="A469" s="90">
        <v>42657</v>
      </c>
      <c r="B469" s="56">
        <v>4271</v>
      </c>
      <c r="C469" s="55">
        <v>467</v>
      </c>
      <c r="D469" s="4" t="str">
        <f>LOOKUP($E469,OBRAS!$D:$D,OBRAS!C:C)</f>
        <v>CONSTRUCCION Y MODERNIZACION EN DISTRIBUIDOR VIAL EN LA LOCALIDAD Y MUNICIPIO DE NOGALES, SONORA</v>
      </c>
      <c r="E469" s="4" t="s">
        <v>233</v>
      </c>
      <c r="F469" s="4" t="s">
        <v>400</v>
      </c>
      <c r="G469" s="4" t="str">
        <f>LOOKUP($E469,OBRAS!$D:$D,OBRAS!E:E)</f>
        <v>C-00052/0136</v>
      </c>
      <c r="H469" s="80" t="s">
        <v>214</v>
      </c>
      <c r="I469" s="6">
        <v>987593.49</v>
      </c>
      <c r="J469" s="6"/>
      <c r="K469" s="6">
        <v>622183.9</v>
      </c>
      <c r="L469" s="6">
        <f t="shared" si="109"/>
        <v>365409.59</v>
      </c>
      <c r="M469" s="6">
        <f t="shared" si="110"/>
        <v>58465.53</v>
      </c>
      <c r="N469" s="6">
        <f t="shared" si="107"/>
        <v>423875.12</v>
      </c>
      <c r="O469" s="6">
        <f>+ROUND(I469*0.002,2)+ROUND(I469*0.0003,2)+ROUND(I469*0.0003,2)+ROUND(I469*0.0003,2)+ROUND(I469*0.002,2)</f>
        <v>4839.22</v>
      </c>
      <c r="P469" s="6">
        <f t="shared" si="108"/>
        <v>419035.9</v>
      </c>
      <c r="Q469" s="4" t="str">
        <f>LOOKUP($E469,OBRAS!$D:$D,OBRAS!B:B)</f>
        <v>LA GRANDE CONSTRUCTORA S.A. DE C.V.</v>
      </c>
      <c r="R469" s="4" t="str">
        <f>LOOKUP($E469,OBRAS!$D:$D,OBRAS!A:A)</f>
        <v>NOGALES</v>
      </c>
      <c r="S469" s="4" t="str">
        <f>LOOKUP($E469,OBRAS!$D:$D,OBRAS!F:F)</f>
        <v>11000002002201E201K13303A614202155DM03</v>
      </c>
      <c r="T469" s="4">
        <f>LOOKUP($E469,OBRAS!$D:$D,OBRAS!G:G)</f>
        <v>0</v>
      </c>
      <c r="U469" s="4" t="s">
        <v>863</v>
      </c>
      <c r="V469" s="89">
        <v>42759</v>
      </c>
      <c r="W469" s="6">
        <f>LOOKUP($E469,OBRAS!$D:$D,OBRAS!K:K)</f>
        <v>25515708.309999999</v>
      </c>
      <c r="X469" s="109">
        <f t="shared" si="105"/>
        <v>4.4900000000000002E-2</v>
      </c>
      <c r="Y469" s="109">
        <f t="shared" si="111"/>
        <v>0.52910000000000001</v>
      </c>
      <c r="Z469" s="109">
        <f t="shared" si="106"/>
        <v>0.20300000000000001</v>
      </c>
      <c r="AA469" s="4" t="str">
        <f>LOOKUP($E469,OBRAS!$D:$D,OBRAS!H:H)</f>
        <v>SH-FAFEF-16-R-007</v>
      </c>
    </row>
    <row r="470" spans="1:27" ht="75" x14ac:dyDescent="0.25">
      <c r="A470" s="90">
        <v>42639</v>
      </c>
      <c r="B470" s="56">
        <v>3886</v>
      </c>
      <c r="C470" s="55">
        <v>468</v>
      </c>
      <c r="D470" s="4" t="str">
        <f>LOOKUP($E470,OBRAS!$D:$D,OBRAS!C:C)</f>
        <v>DIRECTOR RESPONSABLE DE OBRA: CONSTRUCCIÓN DE BODEGA DE EVIDENCIAS EN EL DISTRITO DE HERMOSILLO PRIMERA ETAPA, EN LA LOCALIDAD Y MUNICIPIO DE HERMOSILLO, SONORA.</v>
      </c>
      <c r="E470" s="4" t="s">
        <v>691</v>
      </c>
      <c r="F470" s="4"/>
      <c r="G470" s="4" t="str">
        <f>LOOKUP($E470,OBRAS!$D:$D,OBRAS!E:E)</f>
        <v>C-00098/0016-7</v>
      </c>
      <c r="H470" s="80" t="s">
        <v>215</v>
      </c>
      <c r="I470" s="6">
        <v>2679.6</v>
      </c>
      <c r="J470" s="6"/>
      <c r="K470" s="6"/>
      <c r="L470" s="6">
        <f t="shared" si="109"/>
        <v>2679.6</v>
      </c>
      <c r="M470" s="6">
        <f t="shared" si="110"/>
        <v>428.74</v>
      </c>
      <c r="N470" s="6">
        <f t="shared" si="107"/>
        <v>3108.34</v>
      </c>
      <c r="O470" s="6">
        <f>+ROUND(I470*0.002,2)+ROUND(I470*0.0003,2)+ROUND(I470*0.0003,2)+ROUND(I470*0.0003,2)</f>
        <v>7.76</v>
      </c>
      <c r="P470" s="6">
        <f t="shared" si="108"/>
        <v>3100.58</v>
      </c>
      <c r="Q470" s="4" t="str">
        <f>LOOKUP($E470,OBRAS!$D:$D,OBRAS!B:B)</f>
        <v>ING. JOSE RAFAEL CANO AVILA</v>
      </c>
      <c r="R470" s="4" t="str">
        <f>LOOKUP($E470,OBRAS!$D:$D,OBRAS!A:A)</f>
        <v>HERMOSILLO</v>
      </c>
      <c r="S470" s="4" t="str">
        <f>LOOKUP($E470,OBRAS!$D:$D,OBRAS!F:F)</f>
        <v>11000002002207E201K02104A622212161A013</v>
      </c>
      <c r="T470" s="4" t="str">
        <f>LOOKUP($E470,OBRAS!$D:$D,OBRAS!G:G)</f>
        <v>ADJUDICACIÓN DIRECTA</v>
      </c>
      <c r="U470" s="4" t="s">
        <v>863</v>
      </c>
      <c r="V470" s="89">
        <v>42662</v>
      </c>
      <c r="W470" s="6">
        <f>LOOKUP($E470,OBRAS!$D:$D,OBRAS!K:K)</f>
        <v>110854.24</v>
      </c>
      <c r="X470" s="109">
        <f t="shared" si="105"/>
        <v>2.8000000000000001E-2</v>
      </c>
      <c r="Y470" s="109">
        <f t="shared" si="111"/>
        <v>0.97199999999999998</v>
      </c>
      <c r="Z470" s="109">
        <f t="shared" si="106"/>
        <v>0.97199999999999998</v>
      </c>
      <c r="AA470" s="4" t="str">
        <f>LOOKUP($E470,OBRAS!$D:$D,OBRAS!H:H)</f>
        <v>SH-ED-16-011</v>
      </c>
    </row>
    <row r="471" spans="1:27" ht="60" x14ac:dyDescent="0.25">
      <c r="C471" s="51">
        <v>469</v>
      </c>
      <c r="D471" s="4" t="str">
        <f>LOOKUP($E471,OBRAS!$D:$D,OBRAS!C:C)</f>
        <v>SUPERVISION EXTERNA Y CONSTROL DE CALIDAD DE LA OBRA: CONSERVACION Y RECONSTRUCCION DEL TRAMO URES - PUEBLO DE ALAMOS EN VARIAS LOCALIDADES DEL MUNICIPIO DE URES.</v>
      </c>
      <c r="E471" s="4" t="s">
        <v>695</v>
      </c>
      <c r="F471" s="4"/>
      <c r="G471" s="4" t="str">
        <f>LOOKUP($E471,OBRAS!$D:$D,OBRAS!E:E)</f>
        <v>C-00098/0021</v>
      </c>
      <c r="H471" s="80" t="s">
        <v>23</v>
      </c>
      <c r="I471" s="6">
        <v>104898.64</v>
      </c>
      <c r="J471" s="6"/>
      <c r="K471" s="6"/>
      <c r="L471" s="6">
        <f t="shared" si="109"/>
        <v>104898.64</v>
      </c>
      <c r="M471" s="6">
        <f t="shared" si="110"/>
        <v>16783.78</v>
      </c>
      <c r="N471" s="6">
        <f t="shared" si="107"/>
        <v>121682.42</v>
      </c>
      <c r="O471" s="6"/>
      <c r="P471" s="6">
        <f t="shared" si="108"/>
        <v>121682.42</v>
      </c>
      <c r="Q471" s="4" t="str">
        <f>LOOKUP($E471,OBRAS!$D:$D,OBRAS!B:B)</f>
        <v>GO SUPERVISION, PROYECTOS, ESTUDIOS Y CONSTROL DE CALIDAD DE OBRAS CIVILES, S.A. DE C.V.</v>
      </c>
      <c r="R471" s="4" t="str">
        <f>LOOKUP($E471,OBRAS!$D:$D,OBRAS!A:A)</f>
        <v>URES</v>
      </c>
      <c r="S471" s="4" t="str">
        <f>LOOKUP($E471,OBRAS!$D:$D,OBRAS!F:F)</f>
        <v>11000002003501E203K03203A625132161A013</v>
      </c>
      <c r="T471" s="4" t="str">
        <f>LOOKUP($E471,OBRAS!$D:$D,OBRAS!G:G)</f>
        <v>CE-926006995-E59-2016</v>
      </c>
      <c r="U471" s="4" t="s">
        <v>863</v>
      </c>
      <c r="V471" s="89">
        <v>42632</v>
      </c>
      <c r="W471" s="6">
        <f>LOOKUP($E471,OBRAS!$D:$D,OBRAS!K:K)</f>
        <v>1216824.22</v>
      </c>
      <c r="X471" s="109" t="str">
        <f t="shared" si="105"/>
        <v/>
      </c>
      <c r="Y471" s="109">
        <f t="shared" si="111"/>
        <v>0.81</v>
      </c>
      <c r="Z471" s="109">
        <f t="shared" si="106"/>
        <v>0.82899999999999996</v>
      </c>
      <c r="AA471" s="4" t="str">
        <f>LOOKUP($E471,OBRAS!$D:$D,OBRAS!H:H)</f>
        <v>SH-ED-16-051</v>
      </c>
    </row>
    <row r="472" spans="1:27" ht="75" x14ac:dyDescent="0.25">
      <c r="C472" s="51">
        <v>470</v>
      </c>
      <c r="D472" s="4" t="str">
        <f>LOOKUP($E472,OBRAS!$D:$D,OBRAS!C:C)</f>
        <v>REHABILITACION DE EDIFICIO PARA ALBERGAR JUZGADO DE ORALIDAD PENAL DEL DISTRITO JUDICIAL CON SEDE EN HERMOSILLO 2DA ETAPA (SEGUNDO NIVEL) EN LA LOCALIDAD Y MUNICIPIO DE HERMOSILLO, SONORA.</v>
      </c>
      <c r="E472" s="4" t="s">
        <v>707</v>
      </c>
      <c r="F472" s="4"/>
      <c r="G472" s="4" t="str">
        <f>LOOKUP($E472,OBRAS!$D:$D,OBRAS!E:E)</f>
        <v>C-00058/0010</v>
      </c>
      <c r="H472" s="80" t="s">
        <v>23</v>
      </c>
      <c r="I472" s="6">
        <v>554960.25</v>
      </c>
      <c r="J472" s="6"/>
      <c r="K472" s="6"/>
      <c r="L472" s="6">
        <f t="shared" si="109"/>
        <v>554960.25</v>
      </c>
      <c r="M472" s="6">
        <f t="shared" si="110"/>
        <v>88793.64</v>
      </c>
      <c r="N472" s="6">
        <f t="shared" si="107"/>
        <v>643753.89</v>
      </c>
      <c r="O472" s="6"/>
      <c r="P472" s="6">
        <f t="shared" si="108"/>
        <v>643753.89</v>
      </c>
      <c r="Q472" s="4" t="str">
        <f>LOOKUP($E472,OBRAS!$D:$D,OBRAS!B:B)</f>
        <v>INMOBILIARIA TIERRAS DEL DESIERTO, S.A. DE C.V.</v>
      </c>
      <c r="R472" s="4" t="str">
        <f>LOOKUP($E472,OBRAS!$D:$D,OBRAS!A:A)</f>
        <v>HERMOSILLO</v>
      </c>
      <c r="S472" s="4" t="str">
        <f>LOOKUP($E472,OBRAS!$D:$D,OBRAS!F:F)</f>
        <v>11000002001202E105K13041A622032165DM07</v>
      </c>
      <c r="T472" s="4" t="str">
        <f>LOOKUP($E472,OBRAS!$D:$D,OBRAS!G:G)</f>
        <v>LICITACIÓN SIMPLIFICADA</v>
      </c>
      <c r="U472" s="4" t="s">
        <v>863</v>
      </c>
      <c r="V472" s="89">
        <v>42604</v>
      </c>
      <c r="W472" s="6">
        <f>LOOKUP($E472,OBRAS!$D:$D,OBRAS!K:K)</f>
        <v>2145846.29</v>
      </c>
      <c r="X472" s="109" t="str">
        <f t="shared" si="105"/>
        <v/>
      </c>
      <c r="Y472" s="109">
        <f t="shared" si="111"/>
        <v>1.1404000000000001</v>
      </c>
      <c r="Z472" s="109">
        <f t="shared" si="106"/>
        <v>1.0005999999999999</v>
      </c>
      <c r="AA472" s="4" t="str">
        <f>LOOKUP($E472,OBRAS!$D:$D,OBRAS!H:H)</f>
        <v>SH-FAFEF-17-R-002</v>
      </c>
    </row>
    <row r="473" spans="1:27" ht="75" x14ac:dyDescent="0.25">
      <c r="C473" s="51">
        <v>471</v>
      </c>
      <c r="D473" s="4" t="str">
        <f>LOOKUP($E473,OBRAS!$D:$D,OBRAS!C:C)</f>
        <v>CONSTRUCCION DE PASO A DESNIVEL DENOMINADO "PUENTE UNIVERSITARIO", UBICADO SOBRE LA INTERNACIONAL 15 (UNISON, UTN, ACCESO AL HOSPITAL NUEVO IMSS) EN LA LOCALIDAD Y MUNICIPIO DE NOGALES, SONORA.</v>
      </c>
      <c r="E473" s="4" t="s">
        <v>712</v>
      </c>
      <c r="F473" s="4"/>
      <c r="G473" s="4" t="str">
        <f>LOOKUP($E473,OBRAS!$D:$D,OBRAS!E:E)</f>
        <v>C-00052/0173</v>
      </c>
      <c r="H473" s="80" t="s">
        <v>23</v>
      </c>
      <c r="I473" s="6">
        <v>22649280.149999999</v>
      </c>
      <c r="J473" s="6"/>
      <c r="K473" s="6"/>
      <c r="L473" s="6">
        <f t="shared" si="109"/>
        <v>22649280.149999999</v>
      </c>
      <c r="M473" s="6">
        <f t="shared" si="110"/>
        <v>3623884.82</v>
      </c>
      <c r="N473" s="6">
        <f t="shared" si="107"/>
        <v>26273164.969999999</v>
      </c>
      <c r="O473" s="6"/>
      <c r="P473" s="6">
        <f t="shared" si="108"/>
        <v>26273164.969999999</v>
      </c>
      <c r="Q473" s="4" t="str">
        <f>LOOKUP($E473,OBRAS!$D:$D,OBRAS!B:B)</f>
        <v>CONSTRUCTORA MIRAMAR, S.A. DE C.V.</v>
      </c>
      <c r="R473" s="4" t="str">
        <f>LOOKUP($E473,OBRAS!$D:$D,OBRAS!A:A)</f>
        <v>NOGALES</v>
      </c>
      <c r="S473" s="4" t="str">
        <f>LOOKUP($E473,OBRAS!$D:$D,OBRAS!F:F)</f>
        <v>11000002002201E202K05250A614202162A203</v>
      </c>
      <c r="T473" s="4" t="str">
        <f>LOOKUP($E473,OBRAS!$D:$D,OBRAS!G:G)</f>
        <v>CE-926006995-E72-2016</v>
      </c>
      <c r="U473" s="4" t="s">
        <v>863</v>
      </c>
      <c r="V473" s="89">
        <v>42593</v>
      </c>
      <c r="W473" s="6">
        <f>LOOKUP($E473,OBRAS!$D:$D,OBRAS!K:K)</f>
        <v>87577216.609999999</v>
      </c>
      <c r="X473" s="109" t="str">
        <f t="shared" ref="X473:X504" si="112">IF(H473&lt;&gt;"ANTICIPO",I473/(W473/1.16),"")</f>
        <v/>
      </c>
      <c r="Y473" s="109">
        <f t="shared" si="111"/>
        <v>0.19359999999999999</v>
      </c>
      <c r="Z473" s="109">
        <f t="shared" ref="Z473:Z504" si="113">SUMIF(E:E,E473,N:N)/W473</f>
        <v>0.4355</v>
      </c>
      <c r="AA473" s="4" t="str">
        <f>LOOKUP($E473,OBRAS!$D:$D,OBRAS!H:H)</f>
        <v>SH-ED-17-R-004</v>
      </c>
    </row>
    <row r="474" spans="1:27" ht="45" x14ac:dyDescent="0.25">
      <c r="C474" s="51">
        <v>472</v>
      </c>
      <c r="D474" s="4" t="str">
        <f>LOOKUP($E474,OBRAS!$D:$D,OBRAS!C:C)</f>
        <v>RECARPETEO CON MICRO CARPETA ASFALTICA DE 3 CM DE ESPESOR EN VARIAS CALLES Y AVENIDAS DE LA LOCALIDAD Y MUNICIPIO DE ETCHOJOA.</v>
      </c>
      <c r="E474" s="4" t="s">
        <v>35</v>
      </c>
      <c r="F474" s="4"/>
      <c r="G474" s="4" t="str">
        <f>LOOKUP($E474,OBRAS!$D:$D,OBRAS!E:E)</f>
        <v>C-00093/0046</v>
      </c>
      <c r="H474" s="80" t="s">
        <v>23</v>
      </c>
      <c r="I474" s="6">
        <v>1235432.25</v>
      </c>
      <c r="J474" s="6"/>
      <c r="K474" s="6"/>
      <c r="L474" s="6">
        <f t="shared" si="109"/>
        <v>1235432.25</v>
      </c>
      <c r="M474" s="6">
        <f t="shared" si="110"/>
        <v>197669.16</v>
      </c>
      <c r="N474" s="6">
        <f t="shared" ref="N474:N499" si="114">M474+L474</f>
        <v>1433101.41</v>
      </c>
      <c r="O474" s="6"/>
      <c r="P474" s="6">
        <f t="shared" ref="P474:P499" si="115">N474-O474</f>
        <v>1433101.41</v>
      </c>
      <c r="Q474" s="4" t="str">
        <f>LOOKUP($E474,OBRAS!$D:$D,OBRAS!B:B)</f>
        <v>PROYECTOS Y CONSTRUCCIONES MAGUS, S.A. DE C.V.</v>
      </c>
      <c r="R474" s="4" t="str">
        <f>LOOKUP($E474,OBRAS!$D:$D,OBRAS!A:A)</f>
        <v>ETCHOJOA</v>
      </c>
      <c r="S474" s="4" t="str">
        <f>LOOKUP($E474,OBRAS!$D:$D,OBRAS!F:F)</f>
        <v>11000002002201E201K02203A614202155GL12</v>
      </c>
      <c r="T474" s="4" t="str">
        <f>LOOKUP($E474,OBRAS!$D:$D,OBRAS!G:G)</f>
        <v>IO-926006995-E71-2015</v>
      </c>
      <c r="U474" s="4" t="s">
        <v>863</v>
      </c>
      <c r="V474" s="89">
        <v>42447</v>
      </c>
      <c r="W474" s="6">
        <f>LOOKUP($E474,OBRAS!$D:$D,OBRAS!K:K)</f>
        <v>4777004.6900000004</v>
      </c>
      <c r="X474" s="109" t="str">
        <f t="shared" si="112"/>
        <v/>
      </c>
      <c r="Y474" s="109">
        <f t="shared" si="111"/>
        <v>1</v>
      </c>
      <c r="Z474" s="109">
        <f t="shared" si="113"/>
        <v>1</v>
      </c>
      <c r="AA474" s="4" t="str">
        <f>LOOKUP($E474,OBRAS!$D:$D,OBRAS!H:H)</f>
        <v>SH-NC-16-R-003</v>
      </c>
    </row>
    <row r="475" spans="1:27" ht="30" x14ac:dyDescent="0.25">
      <c r="C475" s="51">
        <v>473</v>
      </c>
      <c r="D475" s="4" t="str">
        <f>LOOKUP($E475,OBRAS!$D:$D,OBRAS!C:C)</f>
        <v>RECONSTRUCCIÓN DEL CAMINO BACAME NUEVO</v>
      </c>
      <c r="E475" s="4" t="s">
        <v>503</v>
      </c>
      <c r="F475" s="4"/>
      <c r="G475" s="4" t="str">
        <f>LOOKUP($E475,OBRAS!$D:$D,OBRAS!E:E)</f>
        <v>C-00054/0023</v>
      </c>
      <c r="H475" s="80" t="s">
        <v>23</v>
      </c>
      <c r="I475" s="6">
        <v>1603427.12</v>
      </c>
      <c r="J475" s="6"/>
      <c r="K475" s="6"/>
      <c r="L475" s="6">
        <f t="shared" si="109"/>
        <v>1603427.12</v>
      </c>
      <c r="M475" s="6">
        <f t="shared" si="110"/>
        <v>256548.34</v>
      </c>
      <c r="N475" s="6">
        <f t="shared" si="114"/>
        <v>1859975.46</v>
      </c>
      <c r="O475" s="6"/>
      <c r="P475" s="6">
        <f t="shared" si="115"/>
        <v>1859975.46</v>
      </c>
      <c r="Q475" s="4" t="str">
        <f>LOOKUP($E475,OBRAS!$D:$D,OBRAS!B:B)</f>
        <v>GIBHER CONSTRUCTORES, S.A. DE C.V.</v>
      </c>
      <c r="R475" s="4" t="str">
        <f>LOOKUP($E475,OBRAS!$D:$D,OBRAS!A:A)</f>
        <v>ETCHOJOA</v>
      </c>
      <c r="S475" s="4" t="str">
        <f>LOOKUP($E475,OBRAS!$D:$D,OBRAS!F:F)</f>
        <v>11000002003501E204K08063A625012162A212</v>
      </c>
      <c r="T475" s="4" t="str">
        <f>LOOKUP($E475,OBRAS!$D:$D,OBRAS!G:G)</f>
        <v>CE-926006995-E5-2016</v>
      </c>
      <c r="U475" s="4" t="s">
        <v>863</v>
      </c>
      <c r="V475" s="89">
        <v>42447</v>
      </c>
      <c r="W475" s="6">
        <f>LOOKUP($E475,OBRAS!$D:$D,OBRAS!K:K)</f>
        <v>6757250.3700000001</v>
      </c>
      <c r="X475" s="109" t="str">
        <f t="shared" si="112"/>
        <v/>
      </c>
      <c r="Y475" s="109">
        <f t="shared" si="111"/>
        <v>1</v>
      </c>
      <c r="Z475" s="109">
        <f t="shared" si="113"/>
        <v>1</v>
      </c>
      <c r="AA475" s="4" t="str">
        <f>LOOKUP($E475,OBRAS!$D:$D,OBRAS!H:H)</f>
        <v>SH-ED-17-R-013</v>
      </c>
    </row>
    <row r="476" spans="1:27" ht="30" x14ac:dyDescent="0.25">
      <c r="C476" s="51">
        <v>474</v>
      </c>
      <c r="D476" s="4" t="str">
        <f>LOOKUP($E476,OBRAS!$D:$D,OBRAS!C:C)</f>
        <v>RECONSTRUCCIÓN DEL CAMINO NAVOJOA-ETCHOJOA-HUATABAMPO</v>
      </c>
      <c r="E476" s="4" t="s">
        <v>520</v>
      </c>
      <c r="F476" s="4"/>
      <c r="G476" s="4" t="str">
        <f>LOOKUP($E476,OBRAS!$D:$D,OBRAS!E:E)</f>
        <v>C-00054/0019</v>
      </c>
      <c r="H476" s="80" t="s">
        <v>23</v>
      </c>
      <c r="I476" s="6">
        <v>10952376.09</v>
      </c>
      <c r="J476" s="6"/>
      <c r="K476" s="6"/>
      <c r="L476" s="6">
        <f t="shared" si="109"/>
        <v>10952376.09</v>
      </c>
      <c r="M476" s="6">
        <f t="shared" si="110"/>
        <v>1752380.17</v>
      </c>
      <c r="N476" s="6">
        <f t="shared" si="114"/>
        <v>12704756.26</v>
      </c>
      <c r="O476" s="6"/>
      <c r="P476" s="6">
        <f t="shared" si="115"/>
        <v>12704756.26</v>
      </c>
      <c r="Q476" s="4" t="str">
        <f>LOOKUP($E476,OBRAS!$D:$D,OBRAS!B:B)</f>
        <v>CONSTRUKINO, S.A. DE C.V.</v>
      </c>
      <c r="R476" s="4" t="str">
        <f>LOOKUP($E476,OBRAS!$D:$D,OBRAS!A:A)</f>
        <v>VARIOS</v>
      </c>
      <c r="S476" s="4" t="str">
        <f>LOOKUP($E476,OBRAS!$D:$D,OBRAS!F:F)</f>
        <v>11000002003501E204K08063A625012162A213</v>
      </c>
      <c r="T476" s="4" t="str">
        <f>LOOKUP($E476,OBRAS!$D:$D,OBRAS!G:G)</f>
        <v>CE-926006995-E1-2016</v>
      </c>
      <c r="U476" s="4" t="s">
        <v>863</v>
      </c>
      <c r="V476" s="89">
        <v>42447</v>
      </c>
      <c r="W476" s="6">
        <f>LOOKUP($E476,OBRAS!$D:$D,OBRAS!K:K)</f>
        <v>42349187.57</v>
      </c>
      <c r="X476" s="109" t="str">
        <f t="shared" si="112"/>
        <v/>
      </c>
      <c r="Y476" s="109">
        <f t="shared" si="111"/>
        <v>1</v>
      </c>
      <c r="Z476" s="109">
        <f t="shared" si="113"/>
        <v>1</v>
      </c>
      <c r="AA476" s="4" t="str">
        <f>LOOKUP($E476,OBRAS!$D:$D,OBRAS!H:H)</f>
        <v>SH-ED-17-R-013</v>
      </c>
    </row>
    <row r="477" spans="1:27" ht="30" x14ac:dyDescent="0.25">
      <c r="C477" s="51">
        <v>475</v>
      </c>
      <c r="D477" s="4" t="str">
        <f>LOOKUP($E477,OBRAS!$D:$D,OBRAS!C:C)</f>
        <v>CONSTRUCCION DE PUENTE VEHICULAR SOBRE RIO MAYO, EN EL PERIFERICO PONIENTE EN NAVOJOA</v>
      </c>
      <c r="E477" s="4" t="s">
        <v>776</v>
      </c>
      <c r="F477" s="4"/>
      <c r="G477" s="4" t="str">
        <f>LOOKUP($E477,OBRAS!$D:$D,OBRAS!E:E)</f>
        <v>C-00052/0174</v>
      </c>
      <c r="H477" s="80" t="s">
        <v>23</v>
      </c>
      <c r="I477" s="6">
        <v>21333204</v>
      </c>
      <c r="J477" s="6"/>
      <c r="K477" s="6"/>
      <c r="L477" s="6">
        <f t="shared" si="109"/>
        <v>21333204</v>
      </c>
      <c r="M477" s="6">
        <f t="shared" si="110"/>
        <v>3413312.64</v>
      </c>
      <c r="N477" s="6">
        <f t="shared" si="114"/>
        <v>24746516.640000001</v>
      </c>
      <c r="O477" s="6"/>
      <c r="P477" s="6">
        <f t="shared" si="115"/>
        <v>24746516.640000001</v>
      </c>
      <c r="Q477" s="4" t="str">
        <f>LOOKUP($E477,OBRAS!$D:$D,OBRAS!B:B)</f>
        <v>ING. LUIS EDUARDO GUERRA ESQUIVEL</v>
      </c>
      <c r="R477" s="4" t="str">
        <f>LOOKUP($E477,OBRAS!$D:$D,OBRAS!A:A)</f>
        <v>NAVOJOA</v>
      </c>
      <c r="S477" s="4" t="str">
        <f>LOOKUP($E477,OBRAS!$D:$D,OBRAS!F:F)</f>
        <v>11000002002201E202K05250A615122162A212</v>
      </c>
      <c r="T477" s="4">
        <f>LOOKUP($E477,OBRAS!$D:$D,OBRAS!G:G)</f>
        <v>0</v>
      </c>
      <c r="U477" s="4" t="s">
        <v>863</v>
      </c>
      <c r="V477" s="89">
        <v>42632</v>
      </c>
      <c r="W477" s="6">
        <f>LOOKUP($E477,OBRAS!$D:$D,OBRAS!K:K)</f>
        <v>82488388.799999997</v>
      </c>
      <c r="X477" s="109" t="str">
        <f t="shared" si="112"/>
        <v/>
      </c>
      <c r="Y477" s="109">
        <f t="shared" si="111"/>
        <v>0.64639999999999997</v>
      </c>
      <c r="Z477" s="109">
        <f t="shared" si="113"/>
        <v>0.75249999999999995</v>
      </c>
      <c r="AA477" s="4" t="str">
        <f>LOOKUP($E477,OBRAS!$D:$D,OBRAS!H:H)</f>
        <v>SH-ED-17-R-004</v>
      </c>
    </row>
    <row r="478" spans="1:27" ht="60" x14ac:dyDescent="0.25">
      <c r="C478" s="51">
        <v>476</v>
      </c>
      <c r="D478" s="4" t="str">
        <f>LOOKUP($E478,OBRAS!$D:$D,OBRAS!C:C)</f>
        <v>REHABILITACION DE PAVIMENTOS A BASE DE RECARPETEO EN CALLE MONTEVERDE ENTRE BLVD. PROGRESO Y VERACRUZ EN LA LOCALIDAD Y MUNICIPIO DE HERMOSILLO, SONORA</v>
      </c>
      <c r="E478" s="4" t="s">
        <v>777</v>
      </c>
      <c r="F478" s="4"/>
      <c r="G478" s="4" t="str">
        <f>LOOKUP($E478,OBRAS!$D:$D,OBRAS!E:E)</f>
        <v>C-00052/0175</v>
      </c>
      <c r="H478" s="80" t="s">
        <v>23</v>
      </c>
      <c r="I478" s="6">
        <v>5053297.91</v>
      </c>
      <c r="J478" s="6"/>
      <c r="K478" s="6"/>
      <c r="L478" s="6">
        <f t="shared" si="109"/>
        <v>5053297.91</v>
      </c>
      <c r="M478" s="6">
        <f t="shared" si="110"/>
        <v>808527.67</v>
      </c>
      <c r="N478" s="6">
        <f t="shared" si="114"/>
        <v>5861825.5800000001</v>
      </c>
      <c r="O478" s="6"/>
      <c r="P478" s="6">
        <f t="shared" si="115"/>
        <v>5861825.5800000001</v>
      </c>
      <c r="Q478" s="4" t="str">
        <f>LOOKUP($E478,OBRAS!$D:$D,OBRAS!B:B)</f>
        <v>PROYECTOS Y CONSTRUCCIONES VIRGO, S. A. DE C. V.</v>
      </c>
      <c r="R478" s="4" t="str">
        <f>LOOKUP($E478,OBRAS!$D:$D,OBRAS!A:A)</f>
        <v>HERMOSILLO</v>
      </c>
      <c r="S478" s="4" t="str">
        <f>LOOKUP($E478,OBRAS!$D:$D,OBRAS!F:F)</f>
        <v>11000002002201E202K05186A614202165CN07</v>
      </c>
      <c r="T478" s="4" t="str">
        <f>LOOKUP($E478,OBRAS!$D:$D,OBRAS!G:G)</f>
        <v>LO-926006995-E84-2016</v>
      </c>
      <c r="U478" s="4" t="s">
        <v>863</v>
      </c>
      <c r="V478" s="89">
        <v>42614</v>
      </c>
      <c r="W478" s="6">
        <f>LOOKUP($E478,OBRAS!$D:$D,OBRAS!K:K)</f>
        <v>19539418.57</v>
      </c>
      <c r="X478" s="109" t="str">
        <f t="shared" si="112"/>
        <v/>
      </c>
      <c r="Y478" s="109">
        <f t="shared" si="111"/>
        <v>0.97240000000000004</v>
      </c>
      <c r="Z478" s="109">
        <f t="shared" si="113"/>
        <v>0.98070000000000002</v>
      </c>
      <c r="AA478" s="4" t="str">
        <f>LOOKUP($E478,OBRAS!$D:$D,OBRAS!H:H)</f>
        <v>SH-NC-17-R-004</v>
      </c>
    </row>
    <row r="479" spans="1:27" ht="75" x14ac:dyDescent="0.25">
      <c r="C479" s="51">
        <v>477</v>
      </c>
      <c r="D479" s="4" t="str">
        <f>LOOKUP($E479,OBRAS!$D:$D,OBRAS!C:C)</f>
        <v>REHABILITACION DE PAVIMIENTOS A BASE DE RECARPETEO EN CALLE REFORMA EN LOS TRAMOS DE PROGRESO Y AVE 13 DE JOSE CARMELO A AVE 8 Y DE BLVD SERNA A BLVD LUIS ENCINAS EN LA LOCALIDAD Y MUNICIPIO DE HERMOSILLO, SON</v>
      </c>
      <c r="E479" s="4" t="s">
        <v>824</v>
      </c>
      <c r="F479" s="4"/>
      <c r="G479" s="4" t="str">
        <f>LOOKUP($E479,OBRAS!$D:$D,OBRAS!E:E)</f>
        <v>C-00052/0177</v>
      </c>
      <c r="H479" s="80" t="s">
        <v>23</v>
      </c>
      <c r="I479" s="6">
        <v>5915470.2800000003</v>
      </c>
      <c r="J479" s="6"/>
      <c r="K479" s="6"/>
      <c r="L479" s="6">
        <f t="shared" si="109"/>
        <v>5915470.2800000003</v>
      </c>
      <c r="M479" s="6">
        <f t="shared" si="110"/>
        <v>946475.24</v>
      </c>
      <c r="N479" s="6">
        <f t="shared" si="114"/>
        <v>6861945.5199999996</v>
      </c>
      <c r="O479" s="6"/>
      <c r="P479" s="6">
        <f t="shared" si="115"/>
        <v>6861945.5199999996</v>
      </c>
      <c r="Q479" s="4" t="str">
        <f>LOOKUP($E479,OBRAS!$D:$D,OBRAS!B:B)</f>
        <v>CONSTRUPIMA, S.A. DE C.V.</v>
      </c>
      <c r="R479" s="4" t="str">
        <f>LOOKUP($E479,OBRAS!$D:$D,OBRAS!A:A)</f>
        <v>HERMOSILLO</v>
      </c>
      <c r="S479" s="4" t="str">
        <f>LOOKUP($E479,OBRAS!$D:$D,OBRAS!F:F)</f>
        <v>11000002002201E202K05186A614202165CN07</v>
      </c>
      <c r="T479" s="4" t="str">
        <f>LOOKUP($E479,OBRAS!$D:$D,OBRAS!G:G)</f>
        <v>LO-956006995-E85-2016</v>
      </c>
      <c r="U479" s="4" t="s">
        <v>863</v>
      </c>
      <c r="V479" s="89">
        <v>42619</v>
      </c>
      <c r="W479" s="6">
        <f>LOOKUP($E479,OBRAS!$D:$D,OBRAS!K:K)</f>
        <v>22873151.760000002</v>
      </c>
      <c r="X479" s="109" t="str">
        <f t="shared" si="112"/>
        <v/>
      </c>
      <c r="Y479" s="109">
        <f t="shared" si="111"/>
        <v>0.87480000000000002</v>
      </c>
      <c r="Z479" s="109">
        <f t="shared" si="113"/>
        <v>0.9123</v>
      </c>
      <c r="AA479" s="4" t="str">
        <f>LOOKUP($E479,OBRAS!$D:$D,OBRAS!H:H)</f>
        <v>SH-NC-17-R-004</v>
      </c>
    </row>
    <row r="480" spans="1:27" ht="60" x14ac:dyDescent="0.25">
      <c r="C480" s="51">
        <v>478</v>
      </c>
      <c r="D480" s="4" t="str">
        <f>LOOKUP($E480,OBRAS!$D:$D,OBRAS!C:C)</f>
        <v>CONSERVACION Y RECONSTRUCCION DEL CAMINO DE ACCESO AL DELFINARIO, DESDE EL BLVD. MANLIO FABIO BELTRONES AL BLVD. ENCINAS JOHNSON</v>
      </c>
      <c r="E480" s="4" t="s">
        <v>814</v>
      </c>
      <c r="F480" s="4"/>
      <c r="G480" s="4" t="str">
        <f>LOOKUP($E480,OBRAS!$D:$D,OBRAS!E:E)</f>
        <v>C-00054/0076</v>
      </c>
      <c r="H480" s="80" t="s">
        <v>23</v>
      </c>
      <c r="I480" s="6">
        <v>3803245.34</v>
      </c>
      <c r="J480" s="6"/>
      <c r="K480" s="6"/>
      <c r="L480" s="6">
        <f t="shared" si="109"/>
        <v>3803245.34</v>
      </c>
      <c r="M480" s="6">
        <f t="shared" si="110"/>
        <v>608519.25</v>
      </c>
      <c r="N480" s="6">
        <f t="shared" si="114"/>
        <v>4411764.59</v>
      </c>
      <c r="O480" s="6"/>
      <c r="P480" s="6">
        <f t="shared" si="115"/>
        <v>4411764.59</v>
      </c>
      <c r="Q480" s="4" t="str">
        <f>LOOKUP($E480,OBRAS!$D:$D,OBRAS!B:B)</f>
        <v>EDIFICADORA CABO HARO, S.A. DE C.V.</v>
      </c>
      <c r="R480" s="4" t="str">
        <f>LOOKUP($E480,OBRAS!$D:$D,OBRAS!A:A)</f>
        <v>GUAYMAS</v>
      </c>
      <c r="S480" s="4" t="str">
        <f>LOOKUP($E480,OBRAS!$D:$D,OBRAS!F:F)</f>
        <v>11000002003501E204K08063A625012165DM10</v>
      </c>
      <c r="T480" s="4" t="str">
        <f>LOOKUP($E480,OBRAS!$D:$D,OBRAS!G:G)</f>
        <v>CE-926006995-E83-2016</v>
      </c>
      <c r="U480" s="4" t="s">
        <v>863</v>
      </c>
      <c r="V480" s="89">
        <v>42619</v>
      </c>
      <c r="W480" s="6">
        <f>LOOKUP($E480,OBRAS!$D:$D,OBRAS!K:K)</f>
        <v>15121824.33</v>
      </c>
      <c r="X480" s="109" t="str">
        <f t="shared" si="112"/>
        <v/>
      </c>
      <c r="Y480" s="109">
        <f t="shared" si="111"/>
        <v>0.67730000000000001</v>
      </c>
      <c r="Z480" s="109">
        <f t="shared" si="113"/>
        <v>0.76590000000000003</v>
      </c>
      <c r="AA480" s="4" t="str">
        <f>LOOKUP($E480,OBRAS!$D:$D,OBRAS!H:H)</f>
        <v>SH-FAFEF-17-R-001</v>
      </c>
    </row>
    <row r="481" spans="1:27" ht="30" x14ac:dyDescent="0.25">
      <c r="C481" s="51">
        <v>479</v>
      </c>
      <c r="D481" s="4" t="str">
        <f>LOOKUP($E481,OBRAS!$D:$D,OBRAS!C:C)</f>
        <v>REUBICACION DE COLECTOR Y CARCAMO DE BOMBEO</v>
      </c>
      <c r="E481" s="4" t="s">
        <v>813</v>
      </c>
      <c r="F481" s="4"/>
      <c r="G481" s="4" t="str">
        <f>LOOKUP($E481,OBRAS!$D:$D,OBRAS!E:E)</f>
        <v>C-00051/0005</v>
      </c>
      <c r="H481" s="80" t="s">
        <v>23</v>
      </c>
      <c r="I481" s="6">
        <v>3336015.72</v>
      </c>
      <c r="J481" s="6"/>
      <c r="K481" s="6"/>
      <c r="L481" s="6">
        <f t="shared" si="109"/>
        <v>3336015.72</v>
      </c>
      <c r="M481" s="6">
        <f t="shared" si="110"/>
        <v>533762.52</v>
      </c>
      <c r="N481" s="6">
        <f t="shared" si="114"/>
        <v>3869778.24</v>
      </c>
      <c r="O481" s="6"/>
      <c r="P481" s="6">
        <f t="shared" si="115"/>
        <v>3869778.24</v>
      </c>
      <c r="Q481" s="4" t="str">
        <f>LOOKUP($E481,OBRAS!$D:$D,OBRAS!B:B)</f>
        <v>CONSTRUCTORA KIOKI, S. A. DE C. V.</v>
      </c>
      <c r="R481" s="4" t="str">
        <f>LOOKUP($E481,OBRAS!$D:$D,OBRAS!A:A)</f>
        <v>SAN IGNACIO RIO MUERTO</v>
      </c>
      <c r="S481" s="4" t="str">
        <f>LOOKUP($E481,OBRAS!$D:$D,OBRAS!F:F)</f>
        <v>11000002002201E202K06024A614092165DM10</v>
      </c>
      <c r="T481" s="4" t="str">
        <f>LOOKUP($E481,OBRAS!$D:$D,OBRAS!G:G)</f>
        <v>CE-926006995-E82-2016</v>
      </c>
      <c r="U481" s="4" t="s">
        <v>863</v>
      </c>
      <c r="V481" s="89">
        <v>42618</v>
      </c>
      <c r="W481" s="6">
        <f>LOOKUP($E481,OBRAS!$D:$D,OBRAS!K:K)</f>
        <v>12899260.779999999</v>
      </c>
      <c r="X481" s="109" t="str">
        <f t="shared" si="112"/>
        <v/>
      </c>
      <c r="Y481" s="109">
        <f t="shared" si="111"/>
        <v>0.21560000000000001</v>
      </c>
      <c r="Z481" s="109">
        <f t="shared" si="113"/>
        <v>0.45090000000000002</v>
      </c>
      <c r="AA481" s="4" t="str">
        <f>LOOKUP($E481,OBRAS!$D:$D,OBRAS!H:H)</f>
        <v>SH-FAFEF-17-R-001</v>
      </c>
    </row>
    <row r="482" spans="1:27" ht="30" x14ac:dyDescent="0.25">
      <c r="C482" s="51">
        <v>480</v>
      </c>
      <c r="D482" s="4" t="str">
        <f>LOOKUP($E482,OBRAS!$D:$D,OBRAS!C:C)</f>
        <v>PAVIMENTACION CON CONCRETO HIDRAULICO DEL BLVD. LAZARO GUTIERREZ DE LARA</v>
      </c>
      <c r="E482" s="4" t="s">
        <v>804</v>
      </c>
      <c r="F482" s="4"/>
      <c r="G482" s="4" t="str">
        <f>LOOKUP($E482,OBRAS!$D:$D,OBRAS!E:E)</f>
        <v>C-00052/0181</v>
      </c>
      <c r="H482" s="80" t="s">
        <v>23</v>
      </c>
      <c r="I482" s="6">
        <v>8518690.3499999996</v>
      </c>
      <c r="J482" s="6"/>
      <c r="K482" s="6"/>
      <c r="L482" s="6">
        <f t="shared" si="109"/>
        <v>8518690.3499999996</v>
      </c>
      <c r="M482" s="6">
        <f t="shared" si="110"/>
        <v>1362990.46</v>
      </c>
      <c r="N482" s="6">
        <f t="shared" si="114"/>
        <v>9881680.8100000005</v>
      </c>
      <c r="O482" s="6"/>
      <c r="P482" s="6">
        <f t="shared" si="115"/>
        <v>9881680.8100000005</v>
      </c>
      <c r="Q482" s="4" t="str">
        <f>LOOKUP($E482,OBRAS!$D:$D,OBRAS!B:B)</f>
        <v>PREMEZCLADOS NOGALES, S.A. DE C.V.</v>
      </c>
      <c r="R482" s="4" t="str">
        <f>LOOKUP($E482,OBRAS!$D:$D,OBRAS!A:A)</f>
        <v>CANANEA</v>
      </c>
      <c r="S482" s="4" t="str">
        <f>LOOKUP($E482,OBRAS!$D:$D,OBRAS!F:F)</f>
        <v>11000002002201E202K05186A614222155DM04</v>
      </c>
      <c r="T482" s="4" t="str">
        <f>LOOKUP($E482,OBRAS!$D:$D,OBRAS!G:G)</f>
        <v>CE-926006995-E81-2016</v>
      </c>
      <c r="U482" s="4" t="s">
        <v>863</v>
      </c>
      <c r="V482" s="89">
        <v>42626</v>
      </c>
      <c r="W482" s="6">
        <f>LOOKUP($E482,OBRAS!$D:$D,OBRAS!K:K)</f>
        <v>32938936.050000001</v>
      </c>
      <c r="X482" s="109" t="str">
        <f t="shared" si="112"/>
        <v/>
      </c>
      <c r="Y482" s="109">
        <f t="shared" si="111"/>
        <v>0.31090000000000001</v>
      </c>
      <c r="Z482" s="109">
        <f t="shared" si="113"/>
        <v>0.39029999999999998</v>
      </c>
      <c r="AA482" s="4" t="str">
        <f>LOOKUP($E482,OBRAS!$D:$D,OBRAS!H:H)</f>
        <v>SH-FAFEF-17-R-003</v>
      </c>
    </row>
    <row r="483" spans="1:27" ht="105" x14ac:dyDescent="0.25">
      <c r="C483" s="51">
        <v>481</v>
      </c>
      <c r="D483" s="4" t="str">
        <f>LOOKUP($E483,OBRAS!$D:$D,OBRAS!C:C)</f>
        <v>CONSTRUCCION DE MURO A BASE DE BLOCK SOBRE BARDAS PERIMETRALES EXISTENTES Y SUSTITUCION DE CERCOS DE MALLA CICLONICA POR BARDAS DE BLOCK APARENTE PARA INCREMENTAR LA SEGURIDAD DEL CENTRO UNACARI, EN LA LOCALIDAD Y MUNICIPIO DE HERMOSILLO, SONORA.</v>
      </c>
      <c r="E483" s="4" t="s">
        <v>18</v>
      </c>
      <c r="F483" s="4"/>
      <c r="G483" s="4" t="str">
        <f>LOOKUP($E483,OBRAS!$D:$D,OBRAS!E:E)</f>
        <v>C-00061/0012</v>
      </c>
      <c r="H483" s="80" t="s">
        <v>23</v>
      </c>
      <c r="I483" s="6">
        <v>100797.59</v>
      </c>
      <c r="J483" s="6"/>
      <c r="K483" s="6"/>
      <c r="L483" s="6">
        <f t="shared" si="109"/>
        <v>100797.59</v>
      </c>
      <c r="M483" s="6">
        <f t="shared" si="110"/>
        <v>16127.61</v>
      </c>
      <c r="N483" s="6">
        <f t="shared" si="114"/>
        <v>116925.2</v>
      </c>
      <c r="O483" s="6"/>
      <c r="P483" s="6">
        <f t="shared" si="115"/>
        <v>116925.2</v>
      </c>
      <c r="Q483" s="4" t="str">
        <f>LOOKUP($E483,OBRAS!$D:$D,OBRAS!B:B)</f>
        <v>COTISA DESARROLLOS E INFRAESTRUCTURA, S.A. DE C.V.</v>
      </c>
      <c r="R483" s="4" t="str">
        <f>LOOKUP($E483,OBRAS!$D:$D,OBRAS!A:A)</f>
        <v>HERMOSILLO</v>
      </c>
      <c r="S483" s="4" t="str">
        <f>LOOKUP($E483,OBRAS!$D:$D,OBRAS!F:F)</f>
        <v>11000002002202E402K17105A612012155DM07</v>
      </c>
      <c r="T483" s="4" t="str">
        <f>LOOKUP($E483,OBRAS!$D:$D,OBRAS!G:G)</f>
        <v>ADJUDICACIÓN DIRECTA</v>
      </c>
      <c r="U483" s="4" t="s">
        <v>863</v>
      </c>
      <c r="V483" s="89">
        <v>42429</v>
      </c>
      <c r="W483" s="6">
        <f>LOOKUP($E483,OBRAS!$D:$D,OBRAS!K:K)</f>
        <v>389750.66</v>
      </c>
      <c r="X483" s="109" t="str">
        <f t="shared" si="112"/>
        <v/>
      </c>
      <c r="Y483" s="109">
        <f t="shared" si="111"/>
        <v>0.90039999999999998</v>
      </c>
      <c r="Z483" s="109">
        <f t="shared" si="113"/>
        <v>0.90039999999999998</v>
      </c>
      <c r="AA483" s="4" t="str">
        <f>LOOKUP($E483,OBRAS!$D:$D,OBRAS!H:H)</f>
        <v>SH-FAFEF-16-R-002</v>
      </c>
    </row>
    <row r="484" spans="1:27" ht="60" x14ac:dyDescent="0.25">
      <c r="C484" s="51">
        <v>482</v>
      </c>
      <c r="D484" s="4" t="str">
        <f>LOOKUP($E484,OBRAS!$D:$D,OBRAS!C:C)</f>
        <v>SUPERVISION EXTERNA Y CONTROL DE CALIDAD DE LA CONSTRUCCION DE LA CARRETERA E.C. CALLE 4 SUR- (ALFREDO V. BONFIL) TRAMO DEL KM 1+700 AL KM 5+000</v>
      </c>
      <c r="E484" s="4" t="s">
        <v>809</v>
      </c>
      <c r="F484" s="4"/>
      <c r="G484" s="4" t="str">
        <f>LOOKUP($E484,OBRAS!$D:$D,OBRAS!E:E)</f>
        <v>C-00098/0021</v>
      </c>
      <c r="H484" s="80" t="s">
        <v>23</v>
      </c>
      <c r="I484" s="6">
        <v>68186.95</v>
      </c>
      <c r="J484" s="6"/>
      <c r="K484" s="6"/>
      <c r="L484" s="6">
        <f t="shared" si="109"/>
        <v>68186.95</v>
      </c>
      <c r="M484" s="6">
        <f t="shared" si="110"/>
        <v>10909.91</v>
      </c>
      <c r="N484" s="6">
        <f t="shared" si="114"/>
        <v>79096.86</v>
      </c>
      <c r="O484" s="6"/>
      <c r="P484" s="6">
        <f t="shared" si="115"/>
        <v>79096.86</v>
      </c>
      <c r="Q484" s="4" t="str">
        <f>LOOKUP($E484,OBRAS!$D:$D,OBRAS!B:B)</f>
        <v>SEI TETRA, S. A. DE C. V.</v>
      </c>
      <c r="R484" s="4" t="str">
        <f>LOOKUP($E484,OBRAS!$D:$D,OBRAS!A:A)</f>
        <v>VARIOS</v>
      </c>
      <c r="S484" s="4" t="str">
        <f>LOOKUP($E484,OBRAS!$D:$D,OBRAS!F:F)</f>
        <v>11000002003501E203K03203A625132161A013</v>
      </c>
      <c r="T484" s="4" t="str">
        <f>LOOKUP($E484,OBRAS!$D:$D,OBRAS!G:G)</f>
        <v>LICITACIÓN SIMPLIFICADA</v>
      </c>
      <c r="U484" s="4" t="s">
        <v>863</v>
      </c>
      <c r="V484" s="89">
        <v>42622</v>
      </c>
      <c r="W484" s="6">
        <f>LOOKUP($E484,OBRAS!$D:$D,OBRAS!K:K)</f>
        <v>790968.61</v>
      </c>
      <c r="X484" s="109" t="str">
        <f t="shared" si="112"/>
        <v/>
      </c>
      <c r="Y484" s="109">
        <f>ROUND(SUMIF(E:E,E484,X:X),2)</f>
        <v>1</v>
      </c>
      <c r="Z484" s="109">
        <f t="shared" si="113"/>
        <v>1</v>
      </c>
      <c r="AA484" s="4" t="str">
        <f>LOOKUP($E484,OBRAS!$D:$D,OBRAS!H:H)</f>
        <v>SH-ED-16-051</v>
      </c>
    </row>
    <row r="485" spans="1:27" ht="45" x14ac:dyDescent="0.25">
      <c r="C485" s="51">
        <v>483</v>
      </c>
      <c r="D485" s="4" t="str">
        <f>LOOKUP($E485,OBRAS!$D:$D,OBRAS!C:C)</f>
        <v>REHABILITACION DE PAVIMENTOS A BASE DE RECARPETEO EN AVE JOSE S. HEALY, AVE JOSE CARMELO Y PERIMETRAL NORTE</v>
      </c>
      <c r="E485" s="4" t="s">
        <v>872</v>
      </c>
      <c r="F485" s="4"/>
      <c r="G485" s="4" t="str">
        <f>LOOKUP($E485,OBRAS!$D:$D,OBRAS!E:E)</f>
        <v>C-00052/0178</v>
      </c>
      <c r="H485" s="80" t="s">
        <v>23</v>
      </c>
      <c r="I485" s="6">
        <v>6763957.8499999996</v>
      </c>
      <c r="J485" s="6"/>
      <c r="K485" s="6"/>
      <c r="L485" s="6">
        <f t="shared" si="109"/>
        <v>6763957.8499999996</v>
      </c>
      <c r="M485" s="6">
        <f t="shared" si="110"/>
        <v>1082233.26</v>
      </c>
      <c r="N485" s="6">
        <f t="shared" si="114"/>
        <v>7846191.1100000003</v>
      </c>
      <c r="O485" s="6"/>
      <c r="P485" s="6">
        <f t="shared" si="115"/>
        <v>7846191.1100000003</v>
      </c>
      <c r="Q485" s="4" t="str">
        <f>LOOKUP($E485,OBRAS!$D:$D,OBRAS!B:B)</f>
        <v>GRUPO CONSTRUCCIONES PLANIFICADAS, SA DE CV</v>
      </c>
      <c r="R485" s="4" t="str">
        <f>LOOKUP($E485,OBRAS!$D:$D,OBRAS!A:A)</f>
        <v>HERMOSILLO</v>
      </c>
      <c r="S485" s="4" t="str">
        <f>LOOKUP($E485,OBRAS!$D:$D,OBRAS!F:F)</f>
        <v>11000002002201E202K05186A614202165CN07</v>
      </c>
      <c r="T485" s="4" t="str">
        <f>LOOKUP($E485,OBRAS!$D:$D,OBRAS!G:G)</f>
        <v>LO-926006995-E86-2016</v>
      </c>
      <c r="U485" s="4" t="s">
        <v>863</v>
      </c>
      <c r="V485" s="89">
        <v>42626</v>
      </c>
      <c r="W485" s="6">
        <f>LOOKUP($E485,OBRAS!$D:$D,OBRAS!K:K)</f>
        <v>26153970.379999999</v>
      </c>
      <c r="X485" s="109" t="str">
        <f t="shared" si="112"/>
        <v/>
      </c>
      <c r="Y485" s="109">
        <f t="shared" ref="Y485:Y513" si="116">SUMIF(E:E,E485,X:X)</f>
        <v>0.94479999999999997</v>
      </c>
      <c r="Z485" s="109">
        <f t="shared" si="113"/>
        <v>0.96140000000000003</v>
      </c>
      <c r="AA485" s="4" t="str">
        <f>LOOKUP($E485,OBRAS!$D:$D,OBRAS!H:H)</f>
        <v>SH-NC-17-R-004</v>
      </c>
    </row>
    <row r="486" spans="1:27" ht="30" x14ac:dyDescent="0.25">
      <c r="C486" s="51">
        <v>484</v>
      </c>
      <c r="D486" s="4" t="str">
        <f>LOOKUP($E486,OBRAS!$D:$D,OBRAS!C:C)</f>
        <v>MODERNIZACIÓN DE LA CALLE ROSALES, ETAPA 1 EN  HERMOSILLO, SONORA.</v>
      </c>
      <c r="E486" s="4" t="s">
        <v>858</v>
      </c>
      <c r="F486" s="4"/>
      <c r="G486" s="4" t="str">
        <f>LOOKUP($E486,OBRAS!$D:$D,OBRAS!E:E)</f>
        <v>C-00052/0180</v>
      </c>
      <c r="H486" s="80" t="s">
        <v>23</v>
      </c>
      <c r="I486" s="6">
        <v>7718622.9299999997</v>
      </c>
      <c r="J486" s="6"/>
      <c r="K486" s="6"/>
      <c r="L486" s="6">
        <f t="shared" si="109"/>
        <v>7718622.9299999997</v>
      </c>
      <c r="M486" s="6">
        <f t="shared" si="110"/>
        <v>1234979.67</v>
      </c>
      <c r="N486" s="6">
        <f t="shared" si="114"/>
        <v>8953602.5999999996</v>
      </c>
      <c r="O486" s="6"/>
      <c r="P486" s="6">
        <f t="shared" si="115"/>
        <v>8953602.5999999996</v>
      </c>
      <c r="Q486" s="4" t="str">
        <f>LOOKUP($E486,OBRAS!$D:$D,OBRAS!B:B)</f>
        <v>CONSTRUCTORA PARGEL, S. A. DE C. V.</v>
      </c>
      <c r="R486" s="4" t="str">
        <f>LOOKUP($E486,OBRAS!$D:$D,OBRAS!A:A)</f>
        <v>HERMOSILLO</v>
      </c>
      <c r="S486" s="4" t="str">
        <f>LOOKUP($E486,OBRAS!$D:$D,OBRAS!F:F)</f>
        <v>11000002002201E202K05251A614202165DM07</v>
      </c>
      <c r="T486" s="4" t="str">
        <f>LOOKUP($E486,OBRAS!$D:$D,OBRAS!G:G)</f>
        <v>CE-926006995-E80-2016</v>
      </c>
      <c r="U486" s="4" t="s">
        <v>863</v>
      </c>
      <c r="V486" s="89">
        <v>42626</v>
      </c>
      <c r="W486" s="6">
        <f>LOOKUP($E486,OBRAS!$D:$D,OBRAS!K:K)</f>
        <v>29931744.359999999</v>
      </c>
      <c r="X486" s="109" t="str">
        <f t="shared" si="112"/>
        <v/>
      </c>
      <c r="Y486" s="109">
        <f t="shared" si="116"/>
        <v>0.1181</v>
      </c>
      <c r="Z486" s="109">
        <f t="shared" si="113"/>
        <v>0.38179999999999997</v>
      </c>
      <c r="AA486" s="4" t="str">
        <f>LOOKUP($E486,OBRAS!$D:$D,OBRAS!H:H)</f>
        <v>SH-FAFEF-17-R-001</v>
      </c>
    </row>
    <row r="487" spans="1:27" ht="75" x14ac:dyDescent="0.25">
      <c r="C487" s="51">
        <v>485</v>
      </c>
      <c r="D487" s="4" t="str">
        <f>LOOKUP($E487,OBRAS!$D:$D,OBRAS!C:C)</f>
        <v>REHABILITACIÓN DE PAVIMENTOS A BASE DE RECARPETEO EN BLVD. GARCIA MORALES ENTRE ANTONIO QUIROGA Y ACCESO AL AEROPUERTO EN LA LOCALIDAD Y MUNICIPIO DE HERMOSILLO, SONORA.</v>
      </c>
      <c r="E487" s="4" t="s">
        <v>835</v>
      </c>
      <c r="F487" s="4"/>
      <c r="G487" s="4" t="str">
        <f>LOOKUP($E487,OBRAS!$D:$D,OBRAS!E:E)</f>
        <v>C-00052/0179</v>
      </c>
      <c r="H487" s="80" t="s">
        <v>23</v>
      </c>
      <c r="I487" s="6">
        <v>4931894.09</v>
      </c>
      <c r="J487" s="6"/>
      <c r="K487" s="6"/>
      <c r="L487" s="6">
        <f t="shared" ref="L487:L499" si="117">I487-K487</f>
        <v>4931894.09</v>
      </c>
      <c r="M487" s="6">
        <f t="shared" ref="M487" si="118">ROUND(L487*0.16,2)</f>
        <v>789103.05</v>
      </c>
      <c r="N487" s="6">
        <f t="shared" si="114"/>
        <v>5720997.1399999997</v>
      </c>
      <c r="O487" s="6"/>
      <c r="P487" s="6">
        <f t="shared" si="115"/>
        <v>5720997.1399999997</v>
      </c>
      <c r="Q487" s="4" t="str">
        <f>LOOKUP($E487,OBRAS!$D:$D,OBRAS!B:B)</f>
        <v>CONSTRUCCIONES EL LLANO, S.A. DE C.V.</v>
      </c>
      <c r="R487" s="4" t="str">
        <f>LOOKUP($E487,OBRAS!$D:$D,OBRAS!A:A)</f>
        <v>HERMOSILLO</v>
      </c>
      <c r="S487" s="4" t="str">
        <f>LOOKUP($E487,OBRAS!$D:$D,OBRAS!F:F)</f>
        <v>11000002002201E202K05186A614202165CN07</v>
      </c>
      <c r="T487" s="4" t="str">
        <f>LOOKUP($E487,OBRAS!$D:$D,OBRAS!G:G)</f>
        <v>LO-956006995-E87-2016</v>
      </c>
      <c r="U487" s="4" t="s">
        <v>863</v>
      </c>
      <c r="V487" s="89">
        <v>42646</v>
      </c>
      <c r="W487" s="6">
        <f>LOOKUP($E487,OBRAS!$D:$D,OBRAS!K:K)</f>
        <v>19069990.460000001</v>
      </c>
      <c r="X487" s="109" t="str">
        <f t="shared" si="112"/>
        <v/>
      </c>
      <c r="Y487" s="109">
        <f t="shared" si="116"/>
        <v>0.97560000000000002</v>
      </c>
      <c r="Z487" s="109">
        <f t="shared" si="113"/>
        <v>0.98280000000000001</v>
      </c>
      <c r="AA487" s="4" t="str">
        <f>LOOKUP($E487,OBRAS!$D:$D,OBRAS!H:H)</f>
        <v>SH-NC-17-R-004</v>
      </c>
    </row>
    <row r="488" spans="1:27" ht="60" x14ac:dyDescent="0.25">
      <c r="C488" s="51">
        <v>486</v>
      </c>
      <c r="D488" s="4" t="str">
        <f>LOOKUP($E488,OBRAS!$D:$D,OBRAS!C:C)</f>
        <v>SUPERVISION EXTERNA Y CONTROL DE CALIDAD DE LA OBRA: CONSTRUCCION DE PUENTE VEHICULAR SOBRE RIO MAYO, EN EL PERIFERICO PONIENTE EN NAVOJOA</v>
      </c>
      <c r="E488" s="4" t="s">
        <v>822</v>
      </c>
      <c r="F488" s="4"/>
      <c r="G488" s="4" t="str">
        <f>LOOKUP($E488,OBRAS!$D:$D,OBRAS!E:E)</f>
        <v>C-00098/0021</v>
      </c>
      <c r="H488" s="80" t="s">
        <v>23</v>
      </c>
      <c r="I488" s="6">
        <v>292988.71999999997</v>
      </c>
      <c r="J488" s="6"/>
      <c r="K488" s="6"/>
      <c r="L488" s="6">
        <f t="shared" si="117"/>
        <v>292988.71999999997</v>
      </c>
      <c r="M488" s="6">
        <v>46878.19</v>
      </c>
      <c r="N488" s="6">
        <f t="shared" si="114"/>
        <v>339866.91</v>
      </c>
      <c r="O488" s="6"/>
      <c r="P488" s="6">
        <f t="shared" si="115"/>
        <v>339866.91</v>
      </c>
      <c r="Q488" s="4" t="str">
        <f>LOOKUP($E488,OBRAS!$D:$D,OBRAS!B:B)</f>
        <v>CONSTRUCCIONES ALVERLI DEL NOROESTE, S. A. DE C. V.</v>
      </c>
      <c r="R488" s="4" t="str">
        <f>LOOKUP($E488,OBRAS!$D:$D,OBRAS!A:A)</f>
        <v>NAVOJOA</v>
      </c>
      <c r="S488" s="4" t="str">
        <f>LOOKUP($E488,OBRAS!$D:$D,OBRAS!F:F)</f>
        <v>11000002003501E203K03203A625132161A013</v>
      </c>
      <c r="T488" s="4" t="str">
        <f>LOOKUP($E488,OBRAS!$D:$D,OBRAS!G:G)</f>
        <v>CE-926006995-E88-2016</v>
      </c>
      <c r="U488" s="4" t="s">
        <v>863</v>
      </c>
      <c r="V488" s="89">
        <v>42781</v>
      </c>
      <c r="W488" s="6">
        <f>LOOKUP($E488,OBRAS!$D:$D,OBRAS!K:K)</f>
        <v>3398669.09</v>
      </c>
      <c r="X488" s="109" t="str">
        <f t="shared" si="112"/>
        <v/>
      </c>
      <c r="Y488" s="109">
        <f t="shared" si="116"/>
        <v>0.57640000000000002</v>
      </c>
      <c r="Z488" s="109">
        <f t="shared" si="113"/>
        <v>0.61880000000000002</v>
      </c>
      <c r="AA488" s="4" t="str">
        <f>LOOKUP($E488,OBRAS!$D:$D,OBRAS!H:H)</f>
        <v>SH-ED-16-093</v>
      </c>
    </row>
    <row r="489" spans="1:27" ht="75" x14ac:dyDescent="0.25">
      <c r="C489" s="51">
        <v>487</v>
      </c>
      <c r="D489" s="4" t="str">
        <f>LOOKUP($E489,OBRAS!$D:$D,OBRAS!C:C)</f>
        <v>SUPERVISION EXTERNA Y CONTROL DE CALIDAD DE LA OBRA: CONSTRUCCIÓN DE CENTRO DE REHABILITACIÓN Y EDUCACIÓN ESPECIAL EN LA LOCALIDAD DE CD. OBREGON MUNICIPIO DE CAJEME, SONORA.</v>
      </c>
      <c r="E489" s="4" t="s">
        <v>838</v>
      </c>
      <c r="F489" s="4"/>
      <c r="G489" s="4" t="str">
        <f>LOOKUP($E489,OBRAS!$D:$D,OBRAS!E:E)</f>
        <v>C-00098/0022</v>
      </c>
      <c r="H489" s="80" t="s">
        <v>23</v>
      </c>
      <c r="I489" s="6">
        <v>97582.99</v>
      </c>
      <c r="J489" s="6"/>
      <c r="K489" s="6"/>
      <c r="L489" s="6">
        <f t="shared" si="117"/>
        <v>97582.99</v>
      </c>
      <c r="M489" s="6">
        <f t="shared" ref="M489:M499" si="119">ROUND(L489*0.16,2)</f>
        <v>15613.28</v>
      </c>
      <c r="N489" s="6">
        <f t="shared" si="114"/>
        <v>113196.27</v>
      </c>
      <c r="O489" s="6"/>
      <c r="P489" s="6">
        <f t="shared" si="115"/>
        <v>113196.27</v>
      </c>
      <c r="Q489" s="4" t="str">
        <f>LOOKUP($E489,OBRAS!$D:$D,OBRAS!B:B)</f>
        <v>J.G. SERRANO Y ASOCIADOS, S.C.</v>
      </c>
      <c r="R489" s="4" t="str">
        <f>LOOKUP($E489,OBRAS!$D:$D,OBRAS!A:A)</f>
        <v>CAJEME</v>
      </c>
      <c r="S489" s="4" t="str">
        <f>LOOKUP($E489,OBRAS!$D:$D,OBRAS!F:F)</f>
        <v>11000002002207E202K05079A622212161A013</v>
      </c>
      <c r="T489" s="4" t="str">
        <f>LOOKUP($E489,OBRAS!$D:$D,OBRAS!G:G)</f>
        <v>CE-926006995-E89-2016</v>
      </c>
      <c r="U489" s="4" t="s">
        <v>863</v>
      </c>
      <c r="V489" s="89">
        <v>42635</v>
      </c>
      <c r="W489" s="6">
        <f>LOOKUP($E489,OBRAS!$D:$D,OBRAS!K:K)</f>
        <v>1131962.7</v>
      </c>
      <c r="X489" s="109" t="str">
        <f t="shared" si="112"/>
        <v/>
      </c>
      <c r="Y489" s="109">
        <f t="shared" si="116"/>
        <v>0.621</v>
      </c>
      <c r="Z489" s="109">
        <f t="shared" si="113"/>
        <v>0.65900000000000003</v>
      </c>
      <c r="AA489" s="4" t="str">
        <f>LOOKUP($E489,OBRAS!$D:$D,OBRAS!H:H)</f>
        <v>SH-ED-17-R-024</v>
      </c>
    </row>
    <row r="490" spans="1:27" ht="60" x14ac:dyDescent="0.25">
      <c r="C490" s="51">
        <v>488</v>
      </c>
      <c r="D490" s="4" t="str">
        <f>LOOKUP($E490,OBRAS!$D:$D,OBRAS!C:C)</f>
        <v>CONSERVACION Y RECONSTRUCCION DE CARRETERAS ALIMENTADORAS REGION GUAYMAS--EMPALME, TRAMO: AGUILITAS-BRINGAS DEL KM 0+000 AL KM 10+500</v>
      </c>
      <c r="E490" s="4" t="s">
        <v>566</v>
      </c>
      <c r="F490" s="4"/>
      <c r="G490" s="4" t="str">
        <f>LOOKUP($E490,OBRAS!$D:$D,OBRAS!E:E)</f>
        <v>C-00054/0058</v>
      </c>
      <c r="H490" s="80" t="s">
        <v>23</v>
      </c>
      <c r="I490" s="6">
        <v>5521396</v>
      </c>
      <c r="J490" s="6"/>
      <c r="K490" s="6"/>
      <c r="L490" s="6">
        <f t="shared" si="117"/>
        <v>5521396</v>
      </c>
      <c r="M490" s="6">
        <f t="shared" si="119"/>
        <v>883423.36</v>
      </c>
      <c r="N490" s="6">
        <f t="shared" si="114"/>
        <v>6404819.3600000003</v>
      </c>
      <c r="O490" s="6"/>
      <c r="P490" s="6">
        <f t="shared" si="115"/>
        <v>6404819.3600000003</v>
      </c>
      <c r="Q490" s="4" t="str">
        <f>LOOKUP($E490,OBRAS!$D:$D,OBRAS!B:B)</f>
        <v>MAQUINARIA Y AGREGADOS GALA S.A. DE C.V.</v>
      </c>
      <c r="R490" s="4" t="str">
        <f>LOOKUP($E490,OBRAS!$D:$D,OBRAS!A:A)</f>
        <v>VARIOS</v>
      </c>
      <c r="S490" s="4" t="str">
        <f>LOOKUP($E490,OBRAS!$D:$D,OBRAS!F:F)</f>
        <v>11000002003501E204K08063A625012162A213</v>
      </c>
      <c r="T490" s="4" t="str">
        <f>LOOKUP($E490,OBRAS!$D:$D,OBRAS!G:G)</f>
        <v>CE-926006995-E22-2016</v>
      </c>
      <c r="U490" s="4" t="s">
        <v>863</v>
      </c>
      <c r="V490" s="89">
        <v>42515</v>
      </c>
      <c r="W490" s="6">
        <f>LOOKUP($E490,OBRAS!$D:$D,OBRAS!K:K)</f>
        <v>21349397.859999999</v>
      </c>
      <c r="X490" s="109" t="str">
        <f t="shared" si="112"/>
        <v/>
      </c>
      <c r="Y490" s="109">
        <f t="shared" si="116"/>
        <v>0.96679999999999999</v>
      </c>
      <c r="Z490" s="109">
        <f t="shared" si="113"/>
        <v>0.96679999999999999</v>
      </c>
      <c r="AA490" s="4" t="str">
        <f>LOOKUP($E490,OBRAS!$D:$D,OBRAS!H:H)</f>
        <v>SH-ED-17-R-013</v>
      </c>
    </row>
    <row r="491" spans="1:27" ht="30" x14ac:dyDescent="0.25">
      <c r="C491" s="84">
        <v>489</v>
      </c>
      <c r="D491" s="4" t="str">
        <f>LOOKUP($E491,OBRAS!$D:$D,OBRAS!C:C)</f>
        <v>CANCHA DE FUTBOL DE PASTO SINTETICO PARA LA ESCUELA PRIMARIA ESTHER QUIJADA DOMINGUEZ</v>
      </c>
      <c r="E491" s="4" t="s">
        <v>843</v>
      </c>
      <c r="F491" s="4"/>
      <c r="G491" s="4"/>
      <c r="H491" s="80" t="s">
        <v>221</v>
      </c>
      <c r="I491" s="6">
        <v>46422.97</v>
      </c>
      <c r="J491" s="6"/>
      <c r="K491" s="6">
        <f t="shared" ref="K491:K499" si="120">ROUND(I491*0.3,2)</f>
        <v>13926.89</v>
      </c>
      <c r="L491" s="6">
        <f t="shared" si="117"/>
        <v>32496.080000000002</v>
      </c>
      <c r="M491" s="6">
        <f t="shared" si="119"/>
        <v>5199.37</v>
      </c>
      <c r="N491" s="6">
        <f t="shared" si="114"/>
        <v>37695.449999999997</v>
      </c>
      <c r="O491" s="6">
        <f>+ROUND(I491*0.005,2)</f>
        <v>232.11</v>
      </c>
      <c r="P491" s="6">
        <f t="shared" si="115"/>
        <v>37463.339999999997</v>
      </c>
      <c r="Q491" s="4" t="str">
        <f>LOOKUP($E491,OBRAS!$D:$D,OBRAS!B:B)</f>
        <v>GRUPO DESARROLLO CONGRUUS SA DE CV</v>
      </c>
      <c r="R491" s="4" t="str">
        <f>LOOKUP($E491,OBRAS!$D:$D,OBRAS!A:A)</f>
        <v>S.L.R.C.</v>
      </c>
      <c r="S491" s="4">
        <f>LOOKUP($E491,OBRAS!$D:$D,OBRAS!F:F)</f>
        <v>0</v>
      </c>
      <c r="T491" s="4">
        <f>LOOKUP($E491,OBRAS!$D:$D,OBRAS!G:G)</f>
        <v>0</v>
      </c>
      <c r="U491" s="4" t="s">
        <v>863</v>
      </c>
      <c r="V491" s="4"/>
      <c r="W491" s="6">
        <f>LOOKUP($E491,OBRAS!$D:$D,OBRAS!K:K)</f>
        <v>1959188.77</v>
      </c>
      <c r="X491" s="109">
        <f t="shared" si="112"/>
        <v>2.75E-2</v>
      </c>
      <c r="Y491" s="109">
        <f t="shared" si="116"/>
        <v>0.89500000000000002</v>
      </c>
      <c r="Z491" s="109">
        <f t="shared" si="113"/>
        <v>0.89510000000000001</v>
      </c>
      <c r="AA491" s="4" t="str">
        <f>LOOKUP($E491,OBRAS!$D:$D,OBRAS!H:H)</f>
        <v>SH-NC-16-R-002</v>
      </c>
    </row>
    <row r="492" spans="1:27" ht="30" x14ac:dyDescent="0.25">
      <c r="C492" s="84">
        <v>490</v>
      </c>
      <c r="D492" s="4" t="str">
        <f>LOOKUP($E492,OBRAS!$D:$D,OBRAS!C:C)</f>
        <v>CANCHA DE FUTBOL DE PASTO SINTETICO PARA LA ESCUELA PRIMARIA ESTHER QUIJADA DOMINGUEZ</v>
      </c>
      <c r="E492" s="4" t="s">
        <v>843</v>
      </c>
      <c r="F492" s="4"/>
      <c r="G492" s="4"/>
      <c r="H492" s="80" t="s">
        <v>55</v>
      </c>
      <c r="I492" s="6">
        <v>71492.960000000006</v>
      </c>
      <c r="J492" s="6"/>
      <c r="K492" s="6">
        <f t="shared" si="120"/>
        <v>21447.89</v>
      </c>
      <c r="L492" s="6">
        <f t="shared" si="117"/>
        <v>50045.07</v>
      </c>
      <c r="M492" s="6">
        <f t="shared" si="119"/>
        <v>8007.21</v>
      </c>
      <c r="N492" s="6">
        <f t="shared" si="114"/>
        <v>58052.28</v>
      </c>
      <c r="O492" s="6">
        <f>+ROUND(I492*0.005,2)</f>
        <v>357.46</v>
      </c>
      <c r="P492" s="6">
        <f t="shared" si="115"/>
        <v>57694.82</v>
      </c>
      <c r="Q492" s="4" t="str">
        <f>LOOKUP($E492,OBRAS!$D:$D,OBRAS!B:B)</f>
        <v>GRUPO DESARROLLO CONGRUUS SA DE CV</v>
      </c>
      <c r="R492" s="4" t="str">
        <f>LOOKUP($E492,OBRAS!$D:$D,OBRAS!A:A)</f>
        <v>S.L.R.C.</v>
      </c>
      <c r="S492" s="4">
        <f>LOOKUP($E492,OBRAS!$D:$D,OBRAS!F:F)</f>
        <v>0</v>
      </c>
      <c r="T492" s="4">
        <f>LOOKUP($E492,OBRAS!$D:$D,OBRAS!G:G)</f>
        <v>0</v>
      </c>
      <c r="U492" s="4" t="s">
        <v>863</v>
      </c>
      <c r="V492" s="4"/>
      <c r="W492" s="6">
        <f>LOOKUP($E492,OBRAS!$D:$D,OBRAS!K:K)</f>
        <v>1959188.77</v>
      </c>
      <c r="X492" s="109">
        <f t="shared" si="112"/>
        <v>4.2299999999999997E-2</v>
      </c>
      <c r="Y492" s="109">
        <f t="shared" si="116"/>
        <v>0.89500000000000002</v>
      </c>
      <c r="Z492" s="109">
        <f t="shared" si="113"/>
        <v>0.89510000000000001</v>
      </c>
      <c r="AA492" s="4" t="str">
        <f>LOOKUP($E492,OBRAS!$D:$D,OBRAS!H:H)</f>
        <v>SH-NC-16-R-002</v>
      </c>
    </row>
    <row r="493" spans="1:27" ht="30" x14ac:dyDescent="0.25">
      <c r="C493" s="84">
        <v>491</v>
      </c>
      <c r="D493" s="4" t="str">
        <f>LOOKUP($E493,OBRAS!$D:$D,OBRAS!C:C)</f>
        <v>CANCHA DE FUTBOL DE PASTO SINTETICO PARA LA ESCUELA PRIMARIA ESTHER QUIJADA DOMINGUEZ</v>
      </c>
      <c r="E493" s="4" t="s">
        <v>843</v>
      </c>
      <c r="F493" s="4"/>
      <c r="G493" s="4"/>
      <c r="H493" s="80" t="s">
        <v>215</v>
      </c>
      <c r="I493" s="6">
        <v>122282.15</v>
      </c>
      <c r="J493" s="6"/>
      <c r="K493" s="6">
        <f t="shared" si="120"/>
        <v>36684.65</v>
      </c>
      <c r="L493" s="6">
        <f t="shared" si="117"/>
        <v>85597.5</v>
      </c>
      <c r="M493" s="6">
        <f t="shared" si="119"/>
        <v>13695.6</v>
      </c>
      <c r="N493" s="6">
        <f t="shared" si="114"/>
        <v>99293.1</v>
      </c>
      <c r="O493" s="6">
        <f>+ROUND(I493*0.005,2)</f>
        <v>611.41</v>
      </c>
      <c r="P493" s="6">
        <f t="shared" si="115"/>
        <v>98681.69</v>
      </c>
      <c r="Q493" s="4" t="str">
        <f>LOOKUP($E493,OBRAS!$D:$D,OBRAS!B:B)</f>
        <v>GRUPO DESARROLLO CONGRUUS SA DE CV</v>
      </c>
      <c r="R493" s="4" t="str">
        <f>LOOKUP($E493,OBRAS!$D:$D,OBRAS!A:A)</f>
        <v>S.L.R.C.</v>
      </c>
      <c r="S493" s="4">
        <f>LOOKUP($E493,OBRAS!$D:$D,OBRAS!F:F)</f>
        <v>0</v>
      </c>
      <c r="T493" s="4">
        <f>LOOKUP($E493,OBRAS!$D:$D,OBRAS!G:G)</f>
        <v>0</v>
      </c>
      <c r="U493" s="4" t="s">
        <v>863</v>
      </c>
      <c r="V493" s="4"/>
      <c r="W493" s="6">
        <f>LOOKUP($E493,OBRAS!$D:$D,OBRAS!K:K)</f>
        <v>1959188.77</v>
      </c>
      <c r="X493" s="109">
        <f t="shared" si="112"/>
        <v>7.2400000000000006E-2</v>
      </c>
      <c r="Y493" s="109">
        <f t="shared" si="116"/>
        <v>0.89500000000000002</v>
      </c>
      <c r="Z493" s="109">
        <f t="shared" si="113"/>
        <v>0.89510000000000001</v>
      </c>
      <c r="AA493" s="4" t="str">
        <f>LOOKUP($E493,OBRAS!$D:$D,OBRAS!H:H)</f>
        <v>SH-NC-16-R-002</v>
      </c>
    </row>
    <row r="494" spans="1:27" ht="45" x14ac:dyDescent="0.25">
      <c r="A494" s="90">
        <v>42642</v>
      </c>
      <c r="B494" s="56">
        <v>3968</v>
      </c>
      <c r="C494" s="49">
        <v>492</v>
      </c>
      <c r="D494" s="4" t="str">
        <f>LOOKUP($E494,OBRAS!$D:$D,OBRAS!C:C)</f>
        <v>CONSTRUCCION DE PARQUE, PLAYA Y BALNEARIO "KINO MAGICO" (ETAPA 1) EN LA COMISARIA DE BAHIA DE KINO</v>
      </c>
      <c r="E494" s="4" t="s">
        <v>578</v>
      </c>
      <c r="F494" s="4"/>
      <c r="G494" s="4" t="str">
        <f>LOOKUP($E494,OBRAS!$D:$D,OBRAS!E:E)</f>
        <v>C-00053/0014</v>
      </c>
      <c r="H494" s="80" t="s">
        <v>103</v>
      </c>
      <c r="I494" s="6">
        <v>212358.64</v>
      </c>
      <c r="J494" s="6"/>
      <c r="K494" s="6">
        <f t="shared" si="120"/>
        <v>63707.59</v>
      </c>
      <c r="L494" s="6">
        <f t="shared" si="117"/>
        <v>148651.04999999999</v>
      </c>
      <c r="M494" s="6">
        <f t="shared" si="119"/>
        <v>23784.17</v>
      </c>
      <c r="N494" s="6">
        <f t="shared" si="114"/>
        <v>172435.22</v>
      </c>
      <c r="O494" s="6">
        <f>+ROUND(I494*0.002,2)+ROUND(I494*0.0003,2)+ROUND(I494*0.0003,2)+ROUND(I494*0.0003,2)+ROUND(I494*0.002,2)</f>
        <v>1040.57</v>
      </c>
      <c r="P494" s="6">
        <f t="shared" si="115"/>
        <v>171394.65</v>
      </c>
      <c r="Q494" s="4" t="str">
        <f>LOOKUP($E494,OBRAS!$D:$D,OBRAS!B:B)</f>
        <v>PROMOTORA MAJERUS, S. DE R.L.</v>
      </c>
      <c r="R494" s="4" t="str">
        <f>LOOKUP($E494,OBRAS!$D:$D,OBRAS!A:A)</f>
        <v>HERMOSILLO</v>
      </c>
      <c r="S494" s="4" t="str">
        <f>LOOKUP($E494,OBRAS!$D:$D,OBRAS!F:F)</f>
        <v>11000002003701E305K07123A612092162A207</v>
      </c>
      <c r="T494" s="4" t="str">
        <f>LOOKUP($E494,OBRAS!$D:$D,OBRAS!G:G)</f>
        <v>CE-926006995-E33-2016</v>
      </c>
      <c r="U494" s="4" t="s">
        <v>863</v>
      </c>
      <c r="V494" s="89">
        <v>42663</v>
      </c>
      <c r="W494" s="6">
        <f>LOOKUP($E494,OBRAS!$D:$D,OBRAS!K:K)</f>
        <v>61862670.979999997</v>
      </c>
      <c r="X494" s="109">
        <f t="shared" si="112"/>
        <v>4.0000000000000001E-3</v>
      </c>
      <c r="Y494" s="109">
        <f t="shared" si="116"/>
        <v>0.32969999999999999</v>
      </c>
      <c r="Z494" s="109">
        <f t="shared" si="113"/>
        <v>0.52780000000000005</v>
      </c>
      <c r="AA494" s="4" t="str">
        <f>LOOKUP($E494,OBRAS!$D:$D,OBRAS!H:H)</f>
        <v>SH-ED-17-R-004</v>
      </c>
    </row>
    <row r="495" spans="1:27" ht="45" x14ac:dyDescent="0.25">
      <c r="A495" s="90">
        <v>42642</v>
      </c>
      <c r="B495" s="56">
        <v>3969</v>
      </c>
      <c r="C495" s="49">
        <v>493</v>
      </c>
      <c r="D495" s="4" t="str">
        <f>LOOKUP($E495,OBRAS!$D:$D,OBRAS!C:C)</f>
        <v>CONSTRUCCION DE PARQUE, PLAYA Y BALNEARIO "KINO MAGICO" (ETAPA 1) EN LA COMISARIA DE BAHIA DE KINO</v>
      </c>
      <c r="E495" s="4" t="s">
        <v>578</v>
      </c>
      <c r="F495" s="4"/>
      <c r="G495" s="4" t="str">
        <f>LOOKUP($E495,OBRAS!$D:$D,OBRAS!E:E)</f>
        <v>C-00053/0014</v>
      </c>
      <c r="H495" s="80" t="s">
        <v>221</v>
      </c>
      <c r="I495" s="6">
        <v>344732.49</v>
      </c>
      <c r="J495" s="6"/>
      <c r="K495" s="6">
        <f t="shared" si="120"/>
        <v>103419.75</v>
      </c>
      <c r="L495" s="6">
        <f t="shared" si="117"/>
        <v>241312.74</v>
      </c>
      <c r="M495" s="6">
        <f t="shared" si="119"/>
        <v>38610.04</v>
      </c>
      <c r="N495" s="6">
        <f t="shared" si="114"/>
        <v>279922.78000000003</v>
      </c>
      <c r="O495" s="6">
        <f>+ROUND(I495*0.002,2)+ROUND(I495*0.0003,2)+ROUND(I495*0.0003,2)+ROUND(I495*0.0003,2)+ROUND(I495*0.002,2)</f>
        <v>1689.18</v>
      </c>
      <c r="P495" s="6">
        <f t="shared" si="115"/>
        <v>278233.59999999998</v>
      </c>
      <c r="Q495" s="4" t="str">
        <f>LOOKUP($E495,OBRAS!$D:$D,OBRAS!B:B)</f>
        <v>PROMOTORA MAJERUS, S. DE R.L.</v>
      </c>
      <c r="R495" s="4" t="str">
        <f>LOOKUP($E495,OBRAS!$D:$D,OBRAS!A:A)</f>
        <v>HERMOSILLO</v>
      </c>
      <c r="S495" s="4" t="str">
        <f>LOOKUP($E495,OBRAS!$D:$D,OBRAS!F:F)</f>
        <v>11000002003701E305K07123A612092162A207</v>
      </c>
      <c r="T495" s="4" t="str">
        <f>LOOKUP($E495,OBRAS!$D:$D,OBRAS!G:G)</f>
        <v>CE-926006995-E33-2016</v>
      </c>
      <c r="U495" s="4" t="s">
        <v>863</v>
      </c>
      <c r="V495" s="89">
        <v>42663</v>
      </c>
      <c r="W495" s="6">
        <f>LOOKUP($E495,OBRAS!$D:$D,OBRAS!K:K)</f>
        <v>61862670.979999997</v>
      </c>
      <c r="X495" s="109">
        <f t="shared" si="112"/>
        <v>6.4999999999999997E-3</v>
      </c>
      <c r="Y495" s="109">
        <f t="shared" si="116"/>
        <v>0.32969999999999999</v>
      </c>
      <c r="Z495" s="109">
        <f t="shared" si="113"/>
        <v>0.52780000000000005</v>
      </c>
      <c r="AA495" s="4" t="str">
        <f>LOOKUP($E495,OBRAS!$D:$D,OBRAS!H:H)</f>
        <v>SH-ED-17-R-004</v>
      </c>
    </row>
    <row r="496" spans="1:27" ht="30" x14ac:dyDescent="0.25">
      <c r="A496" s="90">
        <v>42643</v>
      </c>
      <c r="B496" s="56">
        <v>3999</v>
      </c>
      <c r="C496" s="49">
        <v>494</v>
      </c>
      <c r="D496" s="4" t="str">
        <f>LOOKUP($E496,OBRAS!$D:$D,OBRAS!C:C)</f>
        <v>CONSERVACION Y RECONSTRUCCION DE LA CARRETERA SAN IGNACIO-JUPATAHUECA</v>
      </c>
      <c r="E496" s="4" t="s">
        <v>558</v>
      </c>
      <c r="F496" s="4"/>
      <c r="G496" s="4" t="str">
        <f>LOOKUP($E496,OBRAS!$D:$D,OBRAS!E:E)</f>
        <v>C-00054/0064</v>
      </c>
      <c r="H496" s="80" t="s">
        <v>55</v>
      </c>
      <c r="I496" s="6">
        <v>6648220.8399999999</v>
      </c>
      <c r="J496" s="6"/>
      <c r="K496" s="6">
        <f t="shared" si="120"/>
        <v>1994466.25</v>
      </c>
      <c r="L496" s="6">
        <f t="shared" si="117"/>
        <v>4653754.59</v>
      </c>
      <c r="M496" s="6">
        <f t="shared" si="119"/>
        <v>744600.73</v>
      </c>
      <c r="N496" s="6">
        <f t="shared" si="114"/>
        <v>5398355.3200000003</v>
      </c>
      <c r="O496" s="6">
        <f>+ROUND(I496*0.002,2)+ROUND(I496*0.0003,2)+ROUND(I496*0.0003,2)+ROUND(I496*0.0003,2)+ROUND(I496*0.002,2)</f>
        <v>32576.29</v>
      </c>
      <c r="P496" s="6">
        <f t="shared" si="115"/>
        <v>5365779.03</v>
      </c>
      <c r="Q496" s="4" t="str">
        <f>LOOKUP($E496,OBRAS!$D:$D,OBRAS!B:B)</f>
        <v>GIBHER CONSTRUCTORES, S.A. DE C.V.</v>
      </c>
      <c r="R496" s="4" t="str">
        <f>LOOKUP($E496,OBRAS!$D:$D,OBRAS!A:A)</f>
        <v>VARIOS</v>
      </c>
      <c r="S496" s="4" t="str">
        <f>LOOKUP($E496,OBRAS!$D:$D,OBRAS!F:F)</f>
        <v>11000002003501E204K08063A625012162A213</v>
      </c>
      <c r="T496" s="4" t="str">
        <f>LOOKUP($E496,OBRAS!$D:$D,OBRAS!G:G)</f>
        <v>CE-926006995-E28-2016</v>
      </c>
      <c r="U496" s="4" t="s">
        <v>863</v>
      </c>
      <c r="V496" s="89">
        <v>42663</v>
      </c>
      <c r="W496" s="6">
        <f>LOOKUP($E496,OBRAS!$D:$D,OBRAS!K:K)</f>
        <v>20287001.809999999</v>
      </c>
      <c r="X496" s="109">
        <f t="shared" si="112"/>
        <v>0.38009999999999999</v>
      </c>
      <c r="Y496" s="109">
        <f t="shared" si="116"/>
        <v>0.99990000000000001</v>
      </c>
      <c r="Z496" s="109">
        <f t="shared" si="113"/>
        <v>1</v>
      </c>
      <c r="AA496" s="4" t="str">
        <f>LOOKUP($E496,OBRAS!$D:$D,OBRAS!H:H)</f>
        <v>SH-ED-17-R-013</v>
      </c>
    </row>
    <row r="497" spans="1:27" ht="30" x14ac:dyDescent="0.25">
      <c r="C497" s="84">
        <v>495</v>
      </c>
      <c r="D497" s="4" t="str">
        <f>LOOKUP($E497,OBRAS!$D:$D,OBRAS!C:C)</f>
        <v>CONSTRUCCION DEL CENTRO CULTURAL AL NORTE DE HERMOSILLO</v>
      </c>
      <c r="E497" s="4" t="s">
        <v>790</v>
      </c>
      <c r="F497" s="4" t="s">
        <v>895</v>
      </c>
      <c r="G497" s="4" t="str">
        <f>LOOKUP($E497,OBRAS!$D:$D,OBRAS!E:E)</f>
        <v>C-00111/0001</v>
      </c>
      <c r="H497" s="80" t="s">
        <v>221</v>
      </c>
      <c r="I497" s="6">
        <v>898688.89</v>
      </c>
      <c r="J497" s="6"/>
      <c r="K497" s="6">
        <f t="shared" si="120"/>
        <v>269606.67</v>
      </c>
      <c r="L497" s="6">
        <f t="shared" si="117"/>
        <v>629082.22</v>
      </c>
      <c r="M497" s="6">
        <f t="shared" si="119"/>
        <v>100653.16</v>
      </c>
      <c r="N497" s="6">
        <f t="shared" si="114"/>
        <v>729735.38</v>
      </c>
      <c r="O497" s="6">
        <f>+ROUND(I497*0.005,2)</f>
        <v>4493.4399999999996</v>
      </c>
      <c r="P497" s="6">
        <f t="shared" si="115"/>
        <v>725241.94</v>
      </c>
      <c r="Q497" s="4" t="str">
        <f>LOOKUP($E497,OBRAS!$D:$D,OBRAS!B:B)</f>
        <v>CONSTRUCTORA MIRAMAR, S.A. DE C.V.</v>
      </c>
      <c r="R497" s="4" t="str">
        <f>LOOKUP($E497,OBRAS!$D:$D,OBRAS!A:A)</f>
        <v>HERMOSILLO</v>
      </c>
      <c r="S497" s="4">
        <f>LOOKUP($E497,OBRAS!$D:$D,OBRAS!F:F)</f>
        <v>0</v>
      </c>
      <c r="T497" s="4">
        <f>LOOKUP($E497,OBRAS!$D:$D,OBRAS!G:G)</f>
        <v>0</v>
      </c>
      <c r="U497" s="4" t="s">
        <v>863</v>
      </c>
      <c r="V497" s="4"/>
      <c r="W497" s="6">
        <f>LOOKUP($E497,OBRAS!$D:$D,OBRAS!K:K)</f>
        <v>3955324.73</v>
      </c>
      <c r="X497" s="109">
        <f t="shared" si="112"/>
        <v>0.2636</v>
      </c>
      <c r="Y497" s="109">
        <f t="shared" si="116"/>
        <v>1.1862999999999999</v>
      </c>
      <c r="Z497" s="109">
        <f t="shared" si="113"/>
        <v>1.1862999999999999</v>
      </c>
      <c r="AA497" s="4">
        <f>LOOKUP($E497,OBRAS!$D:$D,OBRAS!H:H)</f>
        <v>4908879.3099999996</v>
      </c>
    </row>
    <row r="498" spans="1:27" ht="45" x14ac:dyDescent="0.25">
      <c r="A498" s="90">
        <v>42653</v>
      </c>
      <c r="B498" s="56">
        <v>4180</v>
      </c>
      <c r="C498" s="49">
        <v>496</v>
      </c>
      <c r="D498" s="4" t="str">
        <f>LOOKUP($E498,OBRAS!$D:$D,OBRAS!C:C)</f>
        <v>RECONSTRUCCION DE CALLE 26 DEL KM 70+000 AL 101+300 EN VARIAS LOCALIDADES DEL MUNICIPIO DE HERMOSILLO, SONORA</v>
      </c>
      <c r="E498" s="4" t="s">
        <v>386</v>
      </c>
      <c r="F498" s="4" t="s">
        <v>401</v>
      </c>
      <c r="G498" s="4" t="str">
        <f>LOOKUP($E498,OBRAS!$D:$D,OBRAS!E:E)</f>
        <v>C-00054/0073</v>
      </c>
      <c r="H498" s="80" t="s">
        <v>55</v>
      </c>
      <c r="I498" s="6">
        <v>5369954.9000000004</v>
      </c>
      <c r="J498" s="6"/>
      <c r="K498" s="6">
        <f t="shared" si="120"/>
        <v>1610986.47</v>
      </c>
      <c r="L498" s="6">
        <f t="shared" si="117"/>
        <v>3758968.43</v>
      </c>
      <c r="M498" s="6">
        <f t="shared" si="119"/>
        <v>601434.94999999995</v>
      </c>
      <c r="N498" s="6">
        <f t="shared" si="114"/>
        <v>4360403.38</v>
      </c>
      <c r="O498" s="6">
        <f>+ROUND(I498*0.002,2)+ROUND(I498*0.0003,2)+ROUND(I498*0.0003,2)+ROUND(I498*0.0003,2)+ROUND(I498*0.002,2)</f>
        <v>26312.79</v>
      </c>
      <c r="P498" s="6">
        <f t="shared" si="115"/>
        <v>4334090.59</v>
      </c>
      <c r="Q498" s="4" t="str">
        <f>LOOKUP($E498,OBRAS!$D:$D,OBRAS!B:B)</f>
        <v>GYEMM INMOBILIARIA Y DISEÑOS EN INGENIERIA Y ARQUITECTURA, S.A. DE C.V.</v>
      </c>
      <c r="R498" s="4" t="str">
        <f>LOOKUP($E498,OBRAS!$D:$D,OBRAS!A:A)</f>
        <v>HERMOSILLO</v>
      </c>
      <c r="S498" s="4" t="str">
        <f>LOOKUP($E498,OBRAS!$D:$D,OBRAS!F:F)</f>
        <v>11000002003501E204K08063A625012162A207</v>
      </c>
      <c r="T498" s="4" t="str">
        <f>LOOKUP($E498,OBRAS!$D:$D,OBRAS!G:G)</f>
        <v>CE-926006995-E42-2016</v>
      </c>
      <c r="U498" s="4" t="s">
        <v>863</v>
      </c>
      <c r="V498" s="89">
        <v>42674</v>
      </c>
      <c r="W498" s="6">
        <f>LOOKUP($E498,OBRAS!$D:$D,OBRAS!K:K)</f>
        <v>45827894.390000001</v>
      </c>
      <c r="X498" s="109">
        <f t="shared" si="112"/>
        <v>0.13589999999999999</v>
      </c>
      <c r="Y498" s="109">
        <f t="shared" si="116"/>
        <v>0.50019999999999998</v>
      </c>
      <c r="Z498" s="109">
        <f t="shared" si="113"/>
        <v>0.65010000000000001</v>
      </c>
      <c r="AA498" s="4" t="str">
        <f>LOOKUP($E498,OBRAS!$D:$D,OBRAS!H:H)</f>
        <v>SH-ED-17-R-004</v>
      </c>
    </row>
    <row r="499" spans="1:27" ht="60" x14ac:dyDescent="0.25">
      <c r="A499" s="90">
        <v>42649</v>
      </c>
      <c r="B499" s="56">
        <v>4120</v>
      </c>
      <c r="C499" s="49">
        <v>497</v>
      </c>
      <c r="D499" s="4" t="str">
        <f>LOOKUP($E499,OBRAS!$D:$D,OBRAS!C:C)</f>
        <v>RECONSTRUCCION DE E.C. (CALLE 36 SUR) GRANJAS ACUICOLAS DEL KM 0+000 AL KM 12+660, EN VARIAS LOCALIDADES DEL MUNICIPIO DE HERMOSILLO.</v>
      </c>
      <c r="E499" s="4" t="s">
        <v>375</v>
      </c>
      <c r="F499" s="4"/>
      <c r="G499" s="4" t="str">
        <f>LOOKUP($E499,OBRAS!$D:$D,OBRAS!E:E)</f>
        <v>C-00054/0071</v>
      </c>
      <c r="H499" s="80" t="s">
        <v>103</v>
      </c>
      <c r="I499" s="6">
        <v>1237026.75</v>
      </c>
      <c r="J499" s="6"/>
      <c r="K499" s="6">
        <f t="shared" si="120"/>
        <v>371108.03</v>
      </c>
      <c r="L499" s="6">
        <f t="shared" si="117"/>
        <v>865918.72</v>
      </c>
      <c r="M499" s="6">
        <f t="shared" si="119"/>
        <v>138547</v>
      </c>
      <c r="N499" s="6">
        <f t="shared" si="114"/>
        <v>1004465.72</v>
      </c>
      <c r="O499" s="6">
        <f>+ROUND(I499*0.002,2)+ROUND(I499*0.0003,2)+ROUND(I499*0.0003,2)+ROUND(I499*0.0003,2)+ROUND(I499*0.002,2)</f>
        <v>6061.43</v>
      </c>
      <c r="P499" s="6">
        <f t="shared" si="115"/>
        <v>998404.29</v>
      </c>
      <c r="Q499" s="4" t="str">
        <f>LOOKUP($E499,OBRAS!$D:$D,OBRAS!B:B)</f>
        <v>RENTA, MOVIMIENTO DE CONSTRUCCION EQUIPEN, S.A. DE C.V.</v>
      </c>
      <c r="R499" s="4" t="str">
        <f>LOOKUP($E499,OBRAS!$D:$D,OBRAS!A:A)</f>
        <v>HERMOSILLO</v>
      </c>
      <c r="S499" s="4" t="str">
        <f>LOOKUP($E499,OBRAS!$D:$D,OBRAS!F:F)</f>
        <v>11000002003501E204K08063A625012162A207</v>
      </c>
      <c r="T499" s="4" t="str">
        <f>LOOKUP($E499,OBRAS!$D:$D,OBRAS!G:G)</f>
        <v>CE-926006995-E44-2016</v>
      </c>
      <c r="U499" s="4" t="s">
        <v>863</v>
      </c>
      <c r="V499" s="89">
        <v>42685</v>
      </c>
      <c r="W499" s="6">
        <f>LOOKUP($E499,OBRAS!$D:$D,OBRAS!K:K)</f>
        <v>22599852.190000001</v>
      </c>
      <c r="X499" s="109">
        <f t="shared" si="112"/>
        <v>6.3500000000000001E-2</v>
      </c>
      <c r="Y499" s="109">
        <f t="shared" si="116"/>
        <v>0.66990000000000005</v>
      </c>
      <c r="Z499" s="109">
        <f t="shared" si="113"/>
        <v>0.76890000000000003</v>
      </c>
      <c r="AA499" s="4" t="str">
        <f>LOOKUP($E499,OBRAS!$D:$D,OBRAS!H:H)</f>
        <v>SH-ED-17-R-004</v>
      </c>
    </row>
    <row r="500" spans="1:27" x14ac:dyDescent="0.25">
      <c r="C500" s="116"/>
      <c r="D500" s="4"/>
      <c r="E500" s="4"/>
      <c r="F500" s="4"/>
      <c r="G500" s="4"/>
      <c r="H500" s="80"/>
      <c r="I500" s="6"/>
      <c r="J500" s="6"/>
      <c r="K500" s="6"/>
      <c r="L500" s="6"/>
      <c r="M500" s="6"/>
      <c r="N500" s="6"/>
      <c r="O500" s="6"/>
      <c r="P500" s="6"/>
      <c r="Q500" s="4"/>
      <c r="R500" s="4"/>
      <c r="S500" s="4" t="e">
        <f>LOOKUP($E500,OBRAS!$D:$D,OBRAS!F:F)</f>
        <v>#N/A</v>
      </c>
      <c r="T500" s="4" t="e">
        <f>LOOKUP($E500,OBRAS!$D:$D,OBRAS!G:G)</f>
        <v>#N/A</v>
      </c>
      <c r="U500" s="4"/>
      <c r="V500" s="89"/>
      <c r="W500" s="6" t="e">
        <f>LOOKUP($E500,OBRAS!$D:$D,OBRAS!K:K)</f>
        <v>#N/A</v>
      </c>
      <c r="X500" s="109" t="e">
        <f t="shared" si="112"/>
        <v>#N/A</v>
      </c>
      <c r="Y500" s="109">
        <f t="shared" si="116"/>
        <v>0</v>
      </c>
      <c r="Z500" s="109" t="e">
        <f t="shared" si="113"/>
        <v>#N/A</v>
      </c>
      <c r="AA500" s="4" t="e">
        <f>LOOKUP($E500,OBRAS!$D:$D,OBRAS!H:H)</f>
        <v>#N/A</v>
      </c>
    </row>
    <row r="501" spans="1:27" ht="30" x14ac:dyDescent="0.25">
      <c r="C501" s="84">
        <v>499</v>
      </c>
      <c r="D501" s="4" t="str">
        <f>LOOKUP($E501,OBRAS!$D:$D,OBRAS!C:C)</f>
        <v>RECONSTRUCCION DE CAMINO CALLE 900 VARIOS TRAMOS DEL KM 8+200 AL KM 36+139</v>
      </c>
      <c r="E501" s="4" t="s">
        <v>697</v>
      </c>
      <c r="F501" s="4" t="s">
        <v>217</v>
      </c>
      <c r="G501" s="4" t="str">
        <f>LOOKUP($E501,OBRAS!$D:$D,OBRAS!E:E)</f>
        <v>C-00110/0002</v>
      </c>
      <c r="H501" s="80" t="s">
        <v>55</v>
      </c>
      <c r="I501" s="6">
        <v>1208176.1100000001</v>
      </c>
      <c r="J501" s="6"/>
      <c r="K501" s="6">
        <f>ROUND(I501*0.3,2)</f>
        <v>362452.83</v>
      </c>
      <c r="L501" s="6">
        <f t="shared" ref="L501:L516" si="121">I501-K501</f>
        <v>845723.28</v>
      </c>
      <c r="M501" s="6">
        <f t="shared" ref="M501:M516" si="122">ROUND(L501*0.16,2)</f>
        <v>135315.72</v>
      </c>
      <c r="N501" s="6">
        <f t="shared" ref="N501:N516" si="123">M501+L501</f>
        <v>981039</v>
      </c>
      <c r="O501" s="6">
        <f>+ROUND(I501*0.005,2)</f>
        <v>6040.88</v>
      </c>
      <c r="P501" s="6">
        <f t="shared" ref="P501:P516" si="124">N501-O501</f>
        <v>974998.12</v>
      </c>
      <c r="Q501" s="4" t="str">
        <f>LOOKUP($E501,OBRAS!$D:$D,OBRAS!B:B)</f>
        <v>EXPLORACIONES MINERAS DEL DESIERTO, S.A. DE C.V.</v>
      </c>
      <c r="R501" s="4" t="str">
        <f>LOOKUP($E501,OBRAS!$D:$D,OBRAS!A:A)</f>
        <v>CAJEME</v>
      </c>
      <c r="S501" s="4" t="str">
        <f>LOOKUP($E501,OBRAS!$D:$D,OBRAS!F:F)</f>
        <v>11000016003501E203K03203A411061155GZ11</v>
      </c>
      <c r="T501" s="4" t="str">
        <f>LOOKUP($E501,OBRAS!$D:$D,OBRAS!G:G)</f>
        <v>LO-926006995-N40-2015</v>
      </c>
      <c r="U501" s="4" t="s">
        <v>863</v>
      </c>
      <c r="V501" s="4"/>
      <c r="W501" s="6">
        <f>LOOKUP($E501,OBRAS!$D:$D,OBRAS!K:K)</f>
        <v>7521996.9299999997</v>
      </c>
      <c r="X501" s="109">
        <f t="shared" si="112"/>
        <v>0.18629999999999999</v>
      </c>
      <c r="Y501" s="109">
        <f t="shared" si="116"/>
        <v>0.97889999999999999</v>
      </c>
      <c r="Z501" s="109">
        <f t="shared" si="113"/>
        <v>0.97889999999999999</v>
      </c>
      <c r="AA501" s="4" t="str">
        <f>LOOKUP($E501,OBRAS!$D:$D,OBRAS!H:H)</f>
        <v>SH-NC-16-R-004.</v>
      </c>
    </row>
    <row r="502" spans="1:27" ht="30" x14ac:dyDescent="0.25">
      <c r="C502" s="84">
        <v>500</v>
      </c>
      <c r="D502" s="4" t="str">
        <f>LOOKUP($E502,OBRAS!$D:$D,OBRAS!C:C)</f>
        <v>RECONSTRUCCION DE CAMINO CALLE 900 VARIOS TRAMOS DEL KM 8+200 AL KM 36+139</v>
      </c>
      <c r="E502" s="4" t="s">
        <v>697</v>
      </c>
      <c r="F502" s="4" t="s">
        <v>217</v>
      </c>
      <c r="G502" s="4" t="str">
        <f>LOOKUP($E502,OBRAS!$D:$D,OBRAS!E:E)</f>
        <v>C-00110/0002</v>
      </c>
      <c r="H502" s="80" t="s">
        <v>215</v>
      </c>
      <c r="I502" s="6">
        <v>588963.1</v>
      </c>
      <c r="J502" s="6"/>
      <c r="K502" s="6">
        <v>176688.99</v>
      </c>
      <c r="L502" s="6">
        <f t="shared" si="121"/>
        <v>412274.11</v>
      </c>
      <c r="M502" s="6">
        <f t="shared" si="122"/>
        <v>65963.86</v>
      </c>
      <c r="N502" s="6">
        <f t="shared" si="123"/>
        <v>478237.97</v>
      </c>
      <c r="O502" s="6">
        <f>+ROUND(I502*0.005,2)</f>
        <v>2944.82</v>
      </c>
      <c r="P502" s="6">
        <f t="shared" si="124"/>
        <v>475293.15</v>
      </c>
      <c r="Q502" s="4" t="str">
        <f>LOOKUP($E502,OBRAS!$D:$D,OBRAS!B:B)</f>
        <v>EXPLORACIONES MINERAS DEL DESIERTO, S.A. DE C.V.</v>
      </c>
      <c r="R502" s="4" t="str">
        <f>LOOKUP($E502,OBRAS!$D:$D,OBRAS!A:A)</f>
        <v>CAJEME</v>
      </c>
      <c r="S502" s="4" t="str">
        <f>LOOKUP($E502,OBRAS!$D:$D,OBRAS!F:F)</f>
        <v>11000016003501E203K03203A411061155GZ11</v>
      </c>
      <c r="T502" s="4" t="str">
        <f>LOOKUP($E502,OBRAS!$D:$D,OBRAS!G:G)</f>
        <v>LO-926006995-N40-2015</v>
      </c>
      <c r="U502" s="4" t="s">
        <v>863</v>
      </c>
      <c r="V502" s="4"/>
      <c r="W502" s="6">
        <f>LOOKUP($E502,OBRAS!$D:$D,OBRAS!K:K)</f>
        <v>7521996.9299999997</v>
      </c>
      <c r="X502" s="109">
        <f t="shared" si="112"/>
        <v>9.0800000000000006E-2</v>
      </c>
      <c r="Y502" s="109">
        <f t="shared" si="116"/>
        <v>0.97889999999999999</v>
      </c>
      <c r="Z502" s="109">
        <f t="shared" si="113"/>
        <v>0.97889999999999999</v>
      </c>
      <c r="AA502" s="4" t="str">
        <f>LOOKUP($E502,OBRAS!$D:$D,OBRAS!H:H)</f>
        <v>SH-NC-16-R-004.</v>
      </c>
    </row>
    <row r="503" spans="1:27" ht="45" x14ac:dyDescent="0.25">
      <c r="A503" s="90">
        <v>42653</v>
      </c>
      <c r="B503" s="56">
        <v>4181</v>
      </c>
      <c r="C503" s="49">
        <v>501</v>
      </c>
      <c r="D503" s="4" t="str">
        <f>LOOKUP($E503,OBRAS!$D:$D,OBRAS!C:C)</f>
        <v>RECONSTRUCCION DE E. C. (HERMOSILLO-BAHIA DE KINO)- GRANJA ACUICOLA SAN NICOLAS DEL KM 0+000 AL KM 10+410, HERMOSILLO</v>
      </c>
      <c r="E503" s="4" t="s">
        <v>326</v>
      </c>
      <c r="F503" s="4" t="s">
        <v>306</v>
      </c>
      <c r="G503" s="4" t="str">
        <f>LOOKUP($E503,OBRAS!$D:$D,OBRAS!E:E)</f>
        <v>C-00054/0075</v>
      </c>
      <c r="H503" s="80" t="s">
        <v>103</v>
      </c>
      <c r="I503" s="6">
        <v>868506.34</v>
      </c>
      <c r="J503" s="6"/>
      <c r="K503" s="6">
        <f t="shared" ref="K503:K509" si="125">ROUND(I503*0.3,2)</f>
        <v>260551.9</v>
      </c>
      <c r="L503" s="6">
        <f t="shared" si="121"/>
        <v>607954.43999999994</v>
      </c>
      <c r="M503" s="6">
        <f t="shared" si="122"/>
        <v>97272.71</v>
      </c>
      <c r="N503" s="6">
        <f t="shared" si="123"/>
        <v>705227.15</v>
      </c>
      <c r="O503" s="6">
        <f>+ROUND(I503*0.002,2)+ROUND(I503*0.0003,2)+ROUND(I503*0.0003,2)+ROUND(I503*0.0003,2)+ROUND(I503*0.002,2)</f>
        <v>4255.67</v>
      </c>
      <c r="P503" s="6">
        <f t="shared" si="124"/>
        <v>700971.48</v>
      </c>
      <c r="Q503" s="4" t="str">
        <f>LOOKUP($E503,OBRAS!$D:$D,OBRAS!B:B)</f>
        <v>GALEONEZS LM CONSTRUCCIONES, S. A. DE C. V.</v>
      </c>
      <c r="R503" s="4" t="str">
        <f>LOOKUP($E503,OBRAS!$D:$D,OBRAS!A:A)</f>
        <v>HERMOSILLO</v>
      </c>
      <c r="S503" s="4" t="str">
        <f>LOOKUP($E503,OBRAS!$D:$D,OBRAS!F:F)</f>
        <v>11000002003501E204K08063A625012162A207</v>
      </c>
      <c r="T503" s="4" t="str">
        <f>LOOKUP($E503,OBRAS!$D:$D,OBRAS!G:G)</f>
        <v>CE-926006995-E43-2016</v>
      </c>
      <c r="U503" s="4" t="s">
        <v>863</v>
      </c>
      <c r="V503" s="89">
        <v>42653</v>
      </c>
      <c r="W503" s="6">
        <f>LOOKUP($E503,OBRAS!$D:$D,OBRAS!K:K)</f>
        <v>19015925.609999999</v>
      </c>
      <c r="X503" s="109">
        <f t="shared" si="112"/>
        <v>5.2999999999999999E-2</v>
      </c>
      <c r="Y503" s="109">
        <f t="shared" si="116"/>
        <v>0.82530000000000003</v>
      </c>
      <c r="Z503" s="109">
        <f t="shared" si="113"/>
        <v>0.87770000000000004</v>
      </c>
      <c r="AA503" s="4" t="str">
        <f>LOOKUP($E503,OBRAS!$D:$D,OBRAS!H:H)</f>
        <v>SH-ED-17-R-004</v>
      </c>
    </row>
    <row r="504" spans="1:27" ht="45" x14ac:dyDescent="0.25">
      <c r="A504" s="90">
        <v>42660</v>
      </c>
      <c r="B504" s="56">
        <v>4299</v>
      </c>
      <c r="C504" s="49">
        <v>502</v>
      </c>
      <c r="D504" s="4" t="str">
        <f>LOOKUP($E504,OBRAS!$D:$D,OBRAS!C:C)</f>
        <v>RECONSTRUCCION DE E. C. (HERMOSILLO-BAHIA DE KINO)- GRANJA ACUICOLA SAN NICOLAS DEL KM 0+000 AL KM 10+410, HERMOSILLO</v>
      </c>
      <c r="E504" s="4" t="s">
        <v>326</v>
      </c>
      <c r="F504" s="4" t="s">
        <v>306</v>
      </c>
      <c r="G504" s="4" t="str">
        <f>LOOKUP($E504,OBRAS!$D:$D,OBRAS!E:E)</f>
        <v>C-00054/0075</v>
      </c>
      <c r="H504" s="80" t="s">
        <v>221</v>
      </c>
      <c r="I504" s="6">
        <v>3437411.29</v>
      </c>
      <c r="J504" s="6"/>
      <c r="K504" s="6">
        <f t="shared" si="125"/>
        <v>1031223.39</v>
      </c>
      <c r="L504" s="6">
        <f t="shared" si="121"/>
        <v>2406187.9</v>
      </c>
      <c r="M504" s="6">
        <f t="shared" si="122"/>
        <v>384990.06</v>
      </c>
      <c r="N504" s="6">
        <f t="shared" si="123"/>
        <v>2791177.96</v>
      </c>
      <c r="O504" s="6">
        <f>+ROUND(I504*0.002,2)+ROUND(I504*0.0003,2)+ROUND(I504*0.0003,2)+ROUND(I504*0.0003,2)+ROUND(I504*0.002,2)</f>
        <v>16843.3</v>
      </c>
      <c r="P504" s="6">
        <f t="shared" si="124"/>
        <v>2774334.66</v>
      </c>
      <c r="Q504" s="4" t="str">
        <f>LOOKUP($E504,OBRAS!$D:$D,OBRAS!B:B)</f>
        <v>GALEONEZS LM CONSTRUCCIONES, S. A. DE C. V.</v>
      </c>
      <c r="R504" s="4" t="str">
        <f>LOOKUP($E504,OBRAS!$D:$D,OBRAS!A:A)</f>
        <v>HERMOSILLO</v>
      </c>
      <c r="S504" s="4" t="str">
        <f>LOOKUP($E504,OBRAS!$D:$D,OBRAS!F:F)</f>
        <v>11000002003501E204K08063A625012162A207</v>
      </c>
      <c r="T504" s="4" t="str">
        <f>LOOKUP($E504,OBRAS!$D:$D,OBRAS!G:G)</f>
        <v>CE-926006995-E43-2016</v>
      </c>
      <c r="U504" s="4" t="s">
        <v>863</v>
      </c>
      <c r="V504" s="89">
        <v>42653</v>
      </c>
      <c r="W504" s="6">
        <f>LOOKUP($E504,OBRAS!$D:$D,OBRAS!K:K)</f>
        <v>19015925.609999999</v>
      </c>
      <c r="X504" s="109">
        <f t="shared" si="112"/>
        <v>0.2097</v>
      </c>
      <c r="Y504" s="109">
        <f t="shared" si="116"/>
        <v>0.82530000000000003</v>
      </c>
      <c r="Z504" s="109">
        <f t="shared" si="113"/>
        <v>0.87770000000000004</v>
      </c>
      <c r="AA504" s="4" t="str">
        <f>LOOKUP($E504,OBRAS!$D:$D,OBRAS!H:H)</f>
        <v>SH-ED-17-R-004</v>
      </c>
    </row>
    <row r="505" spans="1:27" ht="30" x14ac:dyDescent="0.25">
      <c r="A505" s="90">
        <v>42664</v>
      </c>
      <c r="B505" s="56">
        <v>4451</v>
      </c>
      <c r="C505" s="49">
        <v>503</v>
      </c>
      <c r="D505" s="4" t="str">
        <f>LOOKUP($E505,OBRAS!$D:$D,OBRAS!C:C)</f>
        <v>CONSERVACION Y RECONSTRUCCION DE LA VIALIDAD YAQUI-MAYO</v>
      </c>
      <c r="E505" s="4" t="s">
        <v>570</v>
      </c>
      <c r="F505" s="4"/>
      <c r="G505" s="4" t="str">
        <f>LOOKUP($E505,OBRAS!$D:$D,OBRAS!E:E)</f>
        <v>C-00054/0063</v>
      </c>
      <c r="H505" s="80" t="s">
        <v>221</v>
      </c>
      <c r="I505" s="6">
        <v>5474013.3899999997</v>
      </c>
      <c r="J505" s="6"/>
      <c r="K505" s="6">
        <f t="shared" si="125"/>
        <v>1642204.02</v>
      </c>
      <c r="L505" s="6">
        <f t="shared" si="121"/>
        <v>3831809.37</v>
      </c>
      <c r="M505" s="6">
        <f t="shared" si="122"/>
        <v>613089.5</v>
      </c>
      <c r="N505" s="6">
        <f t="shared" si="123"/>
        <v>4444898.87</v>
      </c>
      <c r="O505" s="6">
        <f>+ROUND(I505*0.002,2)+ROUND(I505*0.0003,2)+ROUND(I505*0.0003,2)+ROUND(I505*0.0003,2)+ROUND(I505*0.002,2)</f>
        <v>26822.66</v>
      </c>
      <c r="P505" s="6">
        <f t="shared" si="124"/>
        <v>4418076.21</v>
      </c>
      <c r="Q505" s="4" t="str">
        <f>LOOKUP($E505,OBRAS!$D:$D,OBRAS!B:B)</f>
        <v>GRUPO MESIS, S.A. DE C.V.</v>
      </c>
      <c r="R505" s="4" t="str">
        <f>LOOKUP($E505,OBRAS!$D:$D,OBRAS!A:A)</f>
        <v>VARIOS</v>
      </c>
      <c r="S505" s="4" t="str">
        <f>LOOKUP($E505,OBRAS!$D:$D,OBRAS!F:F)</f>
        <v>11000002003501E204K08063A625012162A213</v>
      </c>
      <c r="T505" s="4" t="str">
        <f>LOOKUP($E505,OBRAS!$D:$D,OBRAS!G:G)</f>
        <v>CE-926006995-E27-2016</v>
      </c>
      <c r="U505" s="4" t="s">
        <v>863</v>
      </c>
      <c r="V505" s="89">
        <v>42685</v>
      </c>
      <c r="W505" s="6">
        <f>LOOKUP($E505,OBRAS!$D:$D,OBRAS!K:K)</f>
        <v>24023981.969999999</v>
      </c>
      <c r="X505" s="109">
        <f t="shared" ref="X505:X536" si="126">IF(H505&lt;&gt;"ANTICIPO",I505/(W505/1.16),"")</f>
        <v>0.26429999999999998</v>
      </c>
      <c r="Y505" s="109">
        <f t="shared" si="116"/>
        <v>0.99150000000000005</v>
      </c>
      <c r="Z505" s="109">
        <f t="shared" ref="Z505:Z536" si="127">SUMIF(E:E,E505,N:N)/W505</f>
        <v>0.99160000000000004</v>
      </c>
      <c r="AA505" s="4" t="str">
        <f>LOOKUP($E505,OBRAS!$D:$D,OBRAS!H:H)</f>
        <v>SH-ED-17-R-013</v>
      </c>
    </row>
    <row r="506" spans="1:27" ht="60" x14ac:dyDescent="0.25">
      <c r="C506" s="84">
        <v>504</v>
      </c>
      <c r="D506" s="4" t="str">
        <f>LOOKUP($E506,OBRAS!$D:$D,OBRAS!C:C)</f>
        <v>RECONSTRUCCION DEL CAMINO BACABACHI HUATABAMPO VARIOS TRAMOS DEL KM 5+600 AL KM 25+500 EN LA LOCALIDAD Y MUNCIPIO DE NAVOJOA, SONORA.</v>
      </c>
      <c r="E506" s="4" t="s">
        <v>759</v>
      </c>
      <c r="F506" s="4"/>
      <c r="G506" s="4"/>
      <c r="H506" s="80" t="s">
        <v>748</v>
      </c>
      <c r="I506" s="6">
        <v>1186278.33</v>
      </c>
      <c r="J506" s="6"/>
      <c r="K506" s="6">
        <f t="shared" si="125"/>
        <v>355883.5</v>
      </c>
      <c r="L506" s="6">
        <f t="shared" si="121"/>
        <v>830394.83</v>
      </c>
      <c r="M506" s="6">
        <f t="shared" si="122"/>
        <v>132863.17000000001</v>
      </c>
      <c r="N506" s="6">
        <f t="shared" si="123"/>
        <v>963258</v>
      </c>
      <c r="O506" s="6">
        <f>+ROUND(I506*0.005,2)</f>
        <v>5931.39</v>
      </c>
      <c r="P506" s="6">
        <f t="shared" si="124"/>
        <v>957326.61</v>
      </c>
      <c r="Q506" s="4" t="str">
        <f>LOOKUP($E506,OBRAS!$D:$D,OBRAS!B:B)</f>
        <v>TESIA CONSTRUCCIONES, S.A. DE C.V.</v>
      </c>
      <c r="R506" s="4" t="str">
        <f>LOOKUP($E506,OBRAS!$D:$D,OBRAS!A:A)</f>
        <v>NAVOJOA</v>
      </c>
      <c r="S506" s="4"/>
      <c r="T506" s="4"/>
      <c r="U506" s="4" t="s">
        <v>863</v>
      </c>
      <c r="V506" s="4"/>
      <c r="W506" s="6">
        <f>LOOKUP($E506,OBRAS!$D:$D,OBRAS!K:K)</f>
        <v>15050219.25</v>
      </c>
      <c r="X506" s="109">
        <f t="shared" si="126"/>
        <v>9.1399999999999995E-2</v>
      </c>
      <c r="Y506" s="109">
        <f t="shared" si="116"/>
        <v>0.97840000000000005</v>
      </c>
      <c r="Z506" s="109">
        <f t="shared" si="127"/>
        <v>0.97850000000000004</v>
      </c>
      <c r="AA506" s="4"/>
    </row>
    <row r="507" spans="1:27" ht="60" x14ac:dyDescent="0.25">
      <c r="C507" s="84">
        <v>505</v>
      </c>
      <c r="D507" s="4" t="str">
        <f>LOOKUP($E507,OBRAS!$D:$D,OBRAS!C:C)</f>
        <v>RECONSTRUCCION DEL CAMINO BACABACHI HUATABAMPO VARIOS TRAMOS DEL KM 5+600 AL KM 25+500 EN LA LOCALIDAD Y MUNCIPIO DE NAVOJOA, SONORA.</v>
      </c>
      <c r="E507" s="4" t="s">
        <v>759</v>
      </c>
      <c r="F507" s="4"/>
      <c r="G507" s="4"/>
      <c r="H507" s="80" t="s">
        <v>249</v>
      </c>
      <c r="I507" s="6">
        <v>636440.63</v>
      </c>
      <c r="J507" s="6"/>
      <c r="K507" s="6">
        <f t="shared" si="125"/>
        <v>190932.19</v>
      </c>
      <c r="L507" s="6">
        <f t="shared" si="121"/>
        <v>445508.44</v>
      </c>
      <c r="M507" s="6">
        <f t="shared" si="122"/>
        <v>71281.350000000006</v>
      </c>
      <c r="N507" s="6">
        <f t="shared" si="123"/>
        <v>516789.79</v>
      </c>
      <c r="O507" s="6">
        <f>+ROUND(I507*0.005,2)</f>
        <v>3182.2</v>
      </c>
      <c r="P507" s="6">
        <f t="shared" si="124"/>
        <v>513607.59</v>
      </c>
      <c r="Q507" s="4" t="str">
        <f>LOOKUP($E507,OBRAS!$D:$D,OBRAS!B:B)</f>
        <v>TESIA CONSTRUCCIONES, S.A. DE C.V.</v>
      </c>
      <c r="R507" s="4" t="str">
        <f>LOOKUP($E507,OBRAS!$D:$D,OBRAS!A:A)</f>
        <v>NAVOJOA</v>
      </c>
      <c r="S507" s="4"/>
      <c r="T507" s="4"/>
      <c r="U507" s="4" t="s">
        <v>863</v>
      </c>
      <c r="V507" s="4"/>
      <c r="W507" s="6">
        <f>LOOKUP($E507,OBRAS!$D:$D,OBRAS!K:K)</f>
        <v>15050219.25</v>
      </c>
      <c r="X507" s="109">
        <f t="shared" si="126"/>
        <v>4.9099999999999998E-2</v>
      </c>
      <c r="Y507" s="109">
        <f t="shared" si="116"/>
        <v>0.97840000000000005</v>
      </c>
      <c r="Z507" s="109">
        <f t="shared" si="127"/>
        <v>0.97850000000000004</v>
      </c>
      <c r="AA507" s="4"/>
    </row>
    <row r="508" spans="1:27" ht="60" x14ac:dyDescent="0.25">
      <c r="C508" s="84">
        <v>506</v>
      </c>
      <c r="D508" s="4" t="str">
        <f>LOOKUP($E508,OBRAS!$D:$D,OBRAS!C:C)</f>
        <v>RECONSTRUCCION DEL CAMINO BACABACHI HUATABAMPO VARIOS TRAMOS DEL KM 5+600 AL KM 25+500 EN LA LOCALIDAD Y MUNCIPIO DE NAVOJOA, SONORA.</v>
      </c>
      <c r="E508" s="4" t="s">
        <v>759</v>
      </c>
      <c r="F508" s="4"/>
      <c r="G508" s="4"/>
      <c r="H508" s="80" t="s">
        <v>264</v>
      </c>
      <c r="I508" s="6">
        <v>1295317.1399999999</v>
      </c>
      <c r="J508" s="6"/>
      <c r="K508" s="6">
        <f t="shared" si="125"/>
        <v>388595.14</v>
      </c>
      <c r="L508" s="6">
        <f t="shared" si="121"/>
        <v>906722</v>
      </c>
      <c r="M508" s="6">
        <f t="shared" si="122"/>
        <v>145075.51999999999</v>
      </c>
      <c r="N508" s="6">
        <f t="shared" si="123"/>
        <v>1051797.52</v>
      </c>
      <c r="O508" s="6">
        <f>+ROUND(I508*0.005,2)</f>
        <v>6476.59</v>
      </c>
      <c r="P508" s="6">
        <f t="shared" si="124"/>
        <v>1045320.93</v>
      </c>
      <c r="Q508" s="4" t="str">
        <f>LOOKUP($E508,OBRAS!$D:$D,OBRAS!B:B)</f>
        <v>TESIA CONSTRUCCIONES, S.A. DE C.V.</v>
      </c>
      <c r="R508" s="4" t="str">
        <f>LOOKUP($E508,OBRAS!$D:$D,OBRAS!A:A)</f>
        <v>NAVOJOA</v>
      </c>
      <c r="S508" s="4"/>
      <c r="T508" s="4"/>
      <c r="U508" s="4" t="s">
        <v>863</v>
      </c>
      <c r="V508" s="4"/>
      <c r="W508" s="6">
        <f>LOOKUP($E508,OBRAS!$D:$D,OBRAS!K:K)</f>
        <v>15050219.25</v>
      </c>
      <c r="X508" s="109">
        <f t="shared" si="126"/>
        <v>9.98E-2</v>
      </c>
      <c r="Y508" s="109">
        <f t="shared" si="116"/>
        <v>0.97840000000000005</v>
      </c>
      <c r="Z508" s="109">
        <f t="shared" si="127"/>
        <v>0.97850000000000004</v>
      </c>
      <c r="AA508" s="4"/>
    </row>
    <row r="509" spans="1:27" ht="60" x14ac:dyDescent="0.25">
      <c r="C509" s="84">
        <v>507</v>
      </c>
      <c r="D509" s="4" t="str">
        <f>LOOKUP($E509,OBRAS!$D:$D,OBRAS!C:C)</f>
        <v>RECONSTRUCCION DEL CAMINO BACABACHI HUATABAMPO VARIOS TRAMOS DEL KM 5+600 AL KM 25+500 EN LA LOCALIDAD Y MUNCIPIO DE NAVOJOA, SONORA.</v>
      </c>
      <c r="E509" s="4" t="s">
        <v>759</v>
      </c>
      <c r="F509" s="4"/>
      <c r="G509" s="4"/>
      <c r="H509" s="80" t="s">
        <v>268</v>
      </c>
      <c r="I509" s="6">
        <v>90521.04</v>
      </c>
      <c r="J509" s="6"/>
      <c r="K509" s="6">
        <f t="shared" si="125"/>
        <v>27156.31</v>
      </c>
      <c r="L509" s="6">
        <f t="shared" si="121"/>
        <v>63364.73</v>
      </c>
      <c r="M509" s="6">
        <f t="shared" si="122"/>
        <v>10138.36</v>
      </c>
      <c r="N509" s="6">
        <f t="shared" si="123"/>
        <v>73503.09</v>
      </c>
      <c r="O509" s="6">
        <f>+ROUND(I509*0.005,2)</f>
        <v>452.61</v>
      </c>
      <c r="P509" s="6">
        <f t="shared" si="124"/>
        <v>73050.48</v>
      </c>
      <c r="Q509" s="4" t="str">
        <f>LOOKUP($E509,OBRAS!$D:$D,OBRAS!B:B)</f>
        <v>TESIA CONSTRUCCIONES, S.A. DE C.V.</v>
      </c>
      <c r="R509" s="4" t="str">
        <f>LOOKUP($E509,OBRAS!$D:$D,OBRAS!A:A)</f>
        <v>NAVOJOA</v>
      </c>
      <c r="S509" s="4"/>
      <c r="T509" s="4"/>
      <c r="U509" s="4" t="s">
        <v>863</v>
      </c>
      <c r="V509" s="4"/>
      <c r="W509" s="6">
        <f>LOOKUP($E509,OBRAS!$D:$D,OBRAS!K:K)</f>
        <v>15050219.25</v>
      </c>
      <c r="X509" s="109">
        <f t="shared" si="126"/>
        <v>7.0000000000000001E-3</v>
      </c>
      <c r="Y509" s="109">
        <f t="shared" si="116"/>
        <v>0.97840000000000005</v>
      </c>
      <c r="Z509" s="109">
        <f t="shared" si="127"/>
        <v>0.97850000000000004</v>
      </c>
      <c r="AA509" s="4"/>
    </row>
    <row r="510" spans="1:27" ht="60" x14ac:dyDescent="0.25">
      <c r="A510" s="90">
        <v>42662</v>
      </c>
      <c r="B510" s="56">
        <v>4371</v>
      </c>
      <c r="C510" s="49">
        <v>508</v>
      </c>
      <c r="D510" s="4" t="str">
        <f>LOOKUP($E510,OBRAS!$D:$D,OBRAS!C:C)</f>
        <v>SUPERVISION EXTERNA Y CONTROL DE CALIDAD CONCLUSION DE LA MODERNIZACION Y RECONSTRUCCION DEL TRAMO ESPERANZA - HORNOS (DEL KM 8 + 800 AL KM 17 + 400)</v>
      </c>
      <c r="E510" s="4" t="s">
        <v>291</v>
      </c>
      <c r="F510" s="4"/>
      <c r="G510" s="4" t="str">
        <f>LOOKUP($E510,OBRAS!$D:$D,OBRAS!E:E)</f>
        <v>C-00098/0021</v>
      </c>
      <c r="H510" s="80" t="s">
        <v>55</v>
      </c>
      <c r="I510" s="6">
        <v>351313.07</v>
      </c>
      <c r="J510" s="6"/>
      <c r="K510" s="6">
        <f>ROUND(I510*0.1,2)</f>
        <v>35131.31</v>
      </c>
      <c r="L510" s="6">
        <f t="shared" si="121"/>
        <v>316181.76000000001</v>
      </c>
      <c r="M510" s="6">
        <f t="shared" si="122"/>
        <v>50589.08</v>
      </c>
      <c r="N510" s="6">
        <f t="shared" si="123"/>
        <v>366770.84</v>
      </c>
      <c r="O510" s="6">
        <f>+ROUND(I510*0.002,2)+ROUND(I510*0.0003,2)+ROUND(I510*0.0003,2)+ROUND(I510*0.0003,2)</f>
        <v>1018.8</v>
      </c>
      <c r="P510" s="6">
        <f t="shared" si="124"/>
        <v>365752.04</v>
      </c>
      <c r="Q510" s="4" t="str">
        <f>LOOKUP($E510,OBRAS!$D:$D,OBRAS!B:B)</f>
        <v>OESTEC DE MEXICO SA DE CV</v>
      </c>
      <c r="R510" s="4" t="str">
        <f>LOOKUP($E510,OBRAS!$D:$D,OBRAS!A:A)</f>
        <v>VARIOS</v>
      </c>
      <c r="S510" s="4" t="str">
        <f>LOOKUP($E510,OBRAS!$D:$D,OBRAS!F:F)</f>
        <v>11000002003501E203K03203A625132161A013</v>
      </c>
      <c r="T510" s="4" t="str">
        <f>LOOKUP($E510,OBRAS!$D:$D,OBRAS!G:G)</f>
        <v>CE-926006995-E52-2016</v>
      </c>
      <c r="U510" s="4" t="s">
        <v>863</v>
      </c>
      <c r="V510" s="89">
        <v>42697</v>
      </c>
      <c r="W510" s="6">
        <f>LOOKUP($E510,OBRAS!$D:$D,OBRAS!K:K)</f>
        <v>2445138.9700000002</v>
      </c>
      <c r="X510" s="109">
        <f t="shared" si="126"/>
        <v>0.16669999999999999</v>
      </c>
      <c r="Y510" s="109">
        <f t="shared" si="116"/>
        <v>0.96409999999999996</v>
      </c>
      <c r="Z510" s="109">
        <f t="shared" si="127"/>
        <v>0.96760000000000002</v>
      </c>
      <c r="AA510" s="4" t="str">
        <f>LOOKUP($E510,OBRAS!$D:$D,OBRAS!H:H)</f>
        <v>SH-ED-16-040</v>
      </c>
    </row>
    <row r="511" spans="1:27" ht="45" x14ac:dyDescent="0.25">
      <c r="A511" s="90">
        <v>42660</v>
      </c>
      <c r="B511" s="56">
        <v>4278</v>
      </c>
      <c r="C511" s="49">
        <v>509</v>
      </c>
      <c r="D511" s="4" t="str">
        <f>LOOKUP($E511,OBRAS!$D:$D,OBRAS!C:C)</f>
        <v>SUPERVISION EXTERNA: CONSTRUCCION DE PARQUE DE ACCESO DEL MUSEO MUSAS EN LA LOCALIDAD Y MUNICIPIO DE HERMOSILLO</v>
      </c>
      <c r="E511" s="4" t="s">
        <v>470</v>
      </c>
      <c r="F511" s="4" t="s">
        <v>217</v>
      </c>
      <c r="G511" s="4" t="str">
        <f>LOOKUP($E511,OBRAS!$D:$D,OBRAS!E:E)</f>
        <v>C-00093/0010</v>
      </c>
      <c r="H511" s="80" t="s">
        <v>15</v>
      </c>
      <c r="I511" s="6">
        <v>27272.25</v>
      </c>
      <c r="J511" s="6"/>
      <c r="K511" s="6">
        <f>ROUND(I511*0.3,2)</f>
        <v>8181.68</v>
      </c>
      <c r="L511" s="6">
        <f t="shared" si="121"/>
        <v>19090.57</v>
      </c>
      <c r="M511" s="6">
        <f t="shared" si="122"/>
        <v>3054.49</v>
      </c>
      <c r="N511" s="6">
        <f t="shared" si="123"/>
        <v>22145.06</v>
      </c>
      <c r="O511" s="6">
        <f>+ROUND(I511*0.005,2)</f>
        <v>136.36000000000001</v>
      </c>
      <c r="P511" s="6">
        <f t="shared" si="124"/>
        <v>22008.7</v>
      </c>
      <c r="Q511" s="4" t="str">
        <f>LOOKUP($E511,OBRAS!$D:$D,OBRAS!B:B)</f>
        <v>ING. MARTIN GRAJEDA ARAGON</v>
      </c>
      <c r="R511" s="4" t="str">
        <f>LOOKUP($E511,OBRAS!$D:$D,OBRAS!A:A)</f>
        <v>HERMOSILLO</v>
      </c>
      <c r="S511" s="4" t="str">
        <f>LOOKUP($E511,OBRAS!$D:$D,OBRAS!F:F)</f>
        <v>11000002002402E406K06106A612222155GL07</v>
      </c>
      <c r="T511" s="4" t="str">
        <f>LOOKUP($E511,OBRAS!$D:$D,OBRAS!G:G)</f>
        <v>SO-926006995-N22-2015
DIRECTA</v>
      </c>
      <c r="U511" s="4" t="s">
        <v>863</v>
      </c>
      <c r="V511" s="89">
        <v>42677</v>
      </c>
      <c r="W511" s="6">
        <f>LOOKUP($E511,OBRAS!$D:$D,OBRAS!K:K)</f>
        <v>183692.58</v>
      </c>
      <c r="X511" s="109">
        <f t="shared" si="126"/>
        <v>0.17219999999999999</v>
      </c>
      <c r="Y511" s="109">
        <f t="shared" si="116"/>
        <v>0.99990000000000001</v>
      </c>
      <c r="Z511" s="109">
        <f t="shared" si="127"/>
        <v>0.7</v>
      </c>
      <c r="AA511" s="4" t="str">
        <f>LOOKUP($E511,OBRAS!$D:$D,OBRAS!H:H)</f>
        <v>SH-NC-16-R-007</v>
      </c>
    </row>
    <row r="512" spans="1:27" ht="75" x14ac:dyDescent="0.25">
      <c r="A512" s="90">
        <v>42646</v>
      </c>
      <c r="B512" s="56">
        <v>4029</v>
      </c>
      <c r="C512" s="49">
        <v>510</v>
      </c>
      <c r="D512" s="4" t="str">
        <f>LOOKUP($E512,OBRAS!$D:$D,OBRAS!C:C)</f>
        <v>SUPERVISION Y CONTROL DE CALIDAD DE LA OBRA: RECONSTRUCCION DE E.C. (HERMOSILLO -  BAHIA DE KINO) - GRANJA ACUICOLA SAN NICOLAS DEL KM 0+000 AL KM 10+410 EN VARIAS LOCALIDADES DE HERMOSILLO, SONORA.</v>
      </c>
      <c r="E512" s="4" t="s">
        <v>848</v>
      </c>
      <c r="F512" s="4"/>
      <c r="G512" s="4" t="str">
        <f>LOOKUP($E512,OBRAS!$D:$D,OBRAS!E:E)</f>
        <v>C-00098/0022</v>
      </c>
      <c r="H512" s="80" t="s">
        <v>221</v>
      </c>
      <c r="I512" s="6">
        <v>82406.789999999994</v>
      </c>
      <c r="J512" s="6"/>
      <c r="K512" s="6">
        <v>0</v>
      </c>
      <c r="L512" s="6">
        <f t="shared" si="121"/>
        <v>82406.789999999994</v>
      </c>
      <c r="M512" s="6">
        <f t="shared" si="122"/>
        <v>13185.09</v>
      </c>
      <c r="N512" s="6">
        <f t="shared" si="123"/>
        <v>95591.88</v>
      </c>
      <c r="O512" s="6">
        <f>+ROUND(I512*0.002,2)+ROUND(I512*0.0003,2)+ROUND(I512*0.0003,2)+ROUND(I512*0.0003,2)</f>
        <v>238.97</v>
      </c>
      <c r="P512" s="6">
        <f t="shared" si="124"/>
        <v>95352.91</v>
      </c>
      <c r="Q512" s="4" t="str">
        <f>LOOKUP($E512,OBRAS!$D:$D,OBRAS!B:B)</f>
        <v>DAPCI, S.A. DE C.V.</v>
      </c>
      <c r="R512" s="4" t="str">
        <f>LOOKUP($E512,OBRAS!$D:$D,OBRAS!A:A)</f>
        <v>HERMOSILLO</v>
      </c>
      <c r="S512" s="4" t="str">
        <f>LOOKUP($E512,OBRAS!$D:$D,OBRAS!F:F)</f>
        <v>11000002002207E201K02104A622212161A013</v>
      </c>
      <c r="T512" s="4" t="str">
        <f>LOOKUP($E512,OBRAS!$D:$D,OBRAS!G:G)</f>
        <v>LICITACIÓN SIMPLIFICADA</v>
      </c>
      <c r="U512" s="4" t="s">
        <v>863</v>
      </c>
      <c r="V512" s="89">
        <v>42781</v>
      </c>
      <c r="W512" s="6">
        <f>LOOKUP($E512,OBRAS!$D:$D,OBRAS!K:K)</f>
        <v>573551.26</v>
      </c>
      <c r="X512" s="109">
        <f t="shared" si="126"/>
        <v>0.16669999999999999</v>
      </c>
      <c r="Y512" s="109">
        <f t="shared" si="116"/>
        <v>0.71</v>
      </c>
      <c r="Z512" s="109">
        <f t="shared" si="127"/>
        <v>0.70989999999999998</v>
      </c>
      <c r="AA512" s="4" t="str">
        <f>LOOKUP($E512,OBRAS!$D:$D,OBRAS!H:H)</f>
        <v>SH-ED-16-066</v>
      </c>
    </row>
    <row r="513" spans="1:27" ht="60" x14ac:dyDescent="0.25">
      <c r="A513" s="90">
        <v>42646</v>
      </c>
      <c r="B513" s="56">
        <v>4030</v>
      </c>
      <c r="C513" s="49">
        <v>511</v>
      </c>
      <c r="D513" s="4" t="str">
        <f>LOOKUP($E513,OBRAS!$D:$D,OBRAS!C:C)</f>
        <v>SUPERVISION EXTERNA Y CONTROL DE CALIDAD DE RECONSTRUCCION DEL CAMINO HERMOSILLO-BAHIA DE KINO EN VARIAS LOCALIADES DEL MUNICIPIO DE HERMOSILLO, SONORA.</v>
      </c>
      <c r="E513" s="4" t="s">
        <v>421</v>
      </c>
      <c r="F513" s="4"/>
      <c r="G513" s="4" t="str">
        <f>LOOKUP($E513,OBRAS!$D:$D,OBRAS!E:E)</f>
        <v>C-00098/0021</v>
      </c>
      <c r="H513" s="80" t="s">
        <v>215</v>
      </c>
      <c r="I513" s="6">
        <v>175315.91</v>
      </c>
      <c r="J513" s="6"/>
      <c r="K513" s="6">
        <f>ROUND(I513*0.1,2)</f>
        <v>17531.59</v>
      </c>
      <c r="L513" s="6">
        <f t="shared" si="121"/>
        <v>157784.32000000001</v>
      </c>
      <c r="M513" s="6">
        <f t="shared" si="122"/>
        <v>25245.49</v>
      </c>
      <c r="N513" s="6">
        <f t="shared" si="123"/>
        <v>183029.81</v>
      </c>
      <c r="O513" s="6">
        <f>+ROUND(I513*0.002,2)+ROUND(I513*0.0003,2)+ROUND(I513*0.0003,2)+ROUND(I513*0.0003,2)</f>
        <v>508.4</v>
      </c>
      <c r="P513" s="6">
        <f t="shared" si="124"/>
        <v>182521.41</v>
      </c>
      <c r="Q513" s="4" t="str">
        <f>LOOKUP($E513,OBRAS!$D:$D,OBRAS!B:B)</f>
        <v>SEI TETRA, S. A. DE C. V.</v>
      </c>
      <c r="R513" s="4" t="str">
        <f>LOOKUP($E513,OBRAS!$D:$D,OBRAS!A:A)</f>
        <v>HERMOSILLO</v>
      </c>
      <c r="S513" s="4" t="str">
        <f>LOOKUP($E513,OBRAS!$D:$D,OBRAS!F:F)</f>
        <v>11000002003501E203K03203A625132161A013</v>
      </c>
      <c r="T513" s="4" t="str">
        <f>LOOKUP($E513,OBRAS!$D:$D,OBRAS!G:G)</f>
        <v>CE-926006995-E49-2016</v>
      </c>
      <c r="U513" s="4" t="s">
        <v>863</v>
      </c>
      <c r="V513" s="89">
        <v>42781</v>
      </c>
      <c r="W513" s="6">
        <f>LOOKUP($E513,OBRAS!$D:$D,OBRAS!K:K)</f>
        <v>1146994.1499999999</v>
      </c>
      <c r="X513" s="109">
        <f t="shared" si="126"/>
        <v>0.17730000000000001</v>
      </c>
      <c r="Y513" s="109">
        <f t="shared" si="116"/>
        <v>1</v>
      </c>
      <c r="Z513" s="109">
        <f t="shared" si="127"/>
        <v>1</v>
      </c>
      <c r="AA513" s="4" t="str">
        <f>LOOKUP($E513,OBRAS!$D:$D,OBRAS!H:H)</f>
        <v>SH-ED-16-040</v>
      </c>
    </row>
    <row r="514" spans="1:27" ht="60" x14ac:dyDescent="0.25">
      <c r="A514" s="90">
        <v>42713</v>
      </c>
      <c r="B514" s="56">
        <v>5696</v>
      </c>
      <c r="C514" s="49">
        <v>512</v>
      </c>
      <c r="D514" s="4" t="str">
        <f>LOOKUP($E514,OBRAS!$D:$D,OBRAS!C:C)</f>
        <v>SUPERVISION EXTERNA Y CONTROL DE CALIDAD DE LA CONSTRUCCION DE LA CARRETERA E.C. CALLE 4 SUR- (ALFREDO V. BONFIL) TRAMO DEL KM 1+700 AL KM 5+000</v>
      </c>
      <c r="E514" s="4" t="s">
        <v>809</v>
      </c>
      <c r="F514" s="4"/>
      <c r="G514" s="4" t="str">
        <f>LOOKUP($E514,OBRAS!$D:$D,OBRAS!E:E)</f>
        <v>C-00098/0021</v>
      </c>
      <c r="H514" s="80" t="s">
        <v>55</v>
      </c>
      <c r="I514" s="6">
        <v>227289.83</v>
      </c>
      <c r="J514" s="6"/>
      <c r="K514" s="6">
        <f>ROUND(I514*0.1,2)</f>
        <v>22728.98</v>
      </c>
      <c r="L514" s="6">
        <f t="shared" si="121"/>
        <v>204560.85</v>
      </c>
      <c r="M514" s="6">
        <f t="shared" si="122"/>
        <v>32729.74</v>
      </c>
      <c r="N514" s="6">
        <f t="shared" si="123"/>
        <v>237290.59</v>
      </c>
      <c r="O514" s="6">
        <f>+ROUND(I514*0.002,2)+ROUND(I514*0.0003,2)+ROUND(I514*0.0003,2)+ROUND(I514*0.0003,2)</f>
        <v>659.15</v>
      </c>
      <c r="P514" s="6">
        <f t="shared" si="124"/>
        <v>236631.44</v>
      </c>
      <c r="Q514" s="4" t="str">
        <f>LOOKUP($E514,OBRAS!$D:$D,OBRAS!B:B)</f>
        <v>SEI TETRA, S. A. DE C. V.</v>
      </c>
      <c r="R514" s="4" t="str">
        <f>LOOKUP($E514,OBRAS!$D:$D,OBRAS!A:A)</f>
        <v>VARIOS</v>
      </c>
      <c r="S514" s="4" t="str">
        <f>LOOKUP($E514,OBRAS!$D:$D,OBRAS!F:F)</f>
        <v>11000002003501E203K03203A625132161A013</v>
      </c>
      <c r="T514" s="4" t="str">
        <f>LOOKUP($E514,OBRAS!$D:$D,OBRAS!G:G)</f>
        <v>LICITACIÓN SIMPLIFICADA</v>
      </c>
      <c r="U514" s="4" t="s">
        <v>2238</v>
      </c>
      <c r="V514" s="89">
        <v>42713</v>
      </c>
      <c r="W514" s="6">
        <f>LOOKUP($E514,OBRAS!$D:$D,OBRAS!K:K)</f>
        <v>790968.61</v>
      </c>
      <c r="X514" s="109">
        <f t="shared" si="126"/>
        <v>0.33329999999999999</v>
      </c>
      <c r="Y514" s="109">
        <f>ROUND(SUMIF(E:E,E514,X:X),2)</f>
        <v>1</v>
      </c>
      <c r="Z514" s="109">
        <f t="shared" si="127"/>
        <v>1</v>
      </c>
      <c r="AA514" s="4" t="str">
        <f>LOOKUP($E514,OBRAS!$D:$D,OBRAS!H:H)</f>
        <v>SH-ED-16-051</v>
      </c>
    </row>
    <row r="515" spans="1:27" ht="30" x14ac:dyDescent="0.25">
      <c r="A515" s="90">
        <v>42653</v>
      </c>
      <c r="B515" s="56">
        <v>4182</v>
      </c>
      <c r="C515" s="49">
        <v>513</v>
      </c>
      <c r="D515" s="4" t="str">
        <f>LOOKUP($E515,OBRAS!$D:$D,OBRAS!C:C)</f>
        <v>MODERNIZACION DEL PERIFERICO PONIENTE (1 ETAPA), NAVOJOA</v>
      </c>
      <c r="E515" s="4" t="s">
        <v>536</v>
      </c>
      <c r="F515" s="4" t="s">
        <v>224</v>
      </c>
      <c r="G515" s="4" t="str">
        <f>LOOKUP($E515,OBRAS!$D:$D,OBRAS!E:E)</f>
        <v>C-00052/0171</v>
      </c>
      <c r="H515" s="80" t="s">
        <v>103</v>
      </c>
      <c r="I515" s="6">
        <v>5042874.9000000004</v>
      </c>
      <c r="J515" s="6"/>
      <c r="K515" s="6">
        <f>ROUND(I515*0.3,2)</f>
        <v>1512862.47</v>
      </c>
      <c r="L515" s="6">
        <f t="shared" si="121"/>
        <v>3530012.43</v>
      </c>
      <c r="M515" s="6">
        <f t="shared" si="122"/>
        <v>564801.99</v>
      </c>
      <c r="N515" s="6">
        <f t="shared" si="123"/>
        <v>4094814.42</v>
      </c>
      <c r="O515" s="6">
        <f>+ROUND(I515*0.002,2)+ROUND(I515*0.0003,2)+ROUND(I515*0.0003,2)+ROUND(I515*0.0003,2)+ROUND(I515*0.002,2)</f>
        <v>24710.080000000002</v>
      </c>
      <c r="P515" s="6">
        <f t="shared" si="124"/>
        <v>4070104.34</v>
      </c>
      <c r="Q515" s="4" t="str">
        <f>LOOKUP($E515,OBRAS!$D:$D,OBRAS!B:B)</f>
        <v>LC PROYECTOS Y CONSTRUCCIONES S.A. DE C.V.</v>
      </c>
      <c r="R515" s="4" t="str">
        <f>LOOKUP($E515,OBRAS!$D:$D,OBRAS!A:A)</f>
        <v>NAVOJOA</v>
      </c>
      <c r="S515" s="4" t="str">
        <f>LOOKUP($E515,OBRAS!$D:$D,OBRAS!F:F)</f>
        <v>11000002002201E202K05186A614202162A212</v>
      </c>
      <c r="T515" s="4" t="str">
        <f>LOOKUP($E515,OBRAS!$D:$D,OBRAS!G:G)</f>
        <v>CE-926006995-E15-2016</v>
      </c>
      <c r="U515" s="4" t="s">
        <v>863</v>
      </c>
      <c r="V515" s="89">
        <v>42671</v>
      </c>
      <c r="W515" s="6">
        <f>LOOKUP($E515,OBRAS!$D:$D,OBRAS!K:K)</f>
        <v>154846331.36000001</v>
      </c>
      <c r="X515" s="109">
        <f t="shared" si="126"/>
        <v>3.78E-2</v>
      </c>
      <c r="Y515" s="109">
        <f t="shared" ref="Y515:Y547" si="128">SUMIF(E:E,E515,X:X)</f>
        <v>0.83420000000000005</v>
      </c>
      <c r="Z515" s="109">
        <f t="shared" si="127"/>
        <v>0.88400000000000001</v>
      </c>
      <c r="AA515" s="4" t="str">
        <f>LOOKUP($E515,OBRAS!$D:$D,OBRAS!H:H)</f>
        <v>SH-ED-17-R-004</v>
      </c>
    </row>
    <row r="516" spans="1:27" ht="45" x14ac:dyDescent="0.25">
      <c r="A516" s="90">
        <v>42649</v>
      </c>
      <c r="B516" s="56">
        <v>4121</v>
      </c>
      <c r="C516" s="49">
        <v>514</v>
      </c>
      <c r="D516" s="4" t="str">
        <f>LOOKUP($E516,OBRAS!$D:$D,OBRAS!C:C)</f>
        <v>RECONSTRUCCIÓN DEL CAMINO CALLE 16 EN VARIAS LOCALIDADES DEL MUNICIPIO DE CAJEME, SONORA.</v>
      </c>
      <c r="E516" s="4" t="s">
        <v>394</v>
      </c>
      <c r="F516" s="4" t="s">
        <v>401</v>
      </c>
      <c r="G516" s="4" t="str">
        <f>LOOKUP($E516,OBRAS!$D:$D,OBRAS!E:E)</f>
        <v>C-00054/0021</v>
      </c>
      <c r="H516" s="80" t="s">
        <v>218</v>
      </c>
      <c r="I516" s="6">
        <v>1761530.68</v>
      </c>
      <c r="J516" s="6"/>
      <c r="K516" s="6">
        <f>ROUND(I516*0.3,2)</f>
        <v>528459.19999999995</v>
      </c>
      <c r="L516" s="6">
        <f t="shared" si="121"/>
        <v>1233071.48</v>
      </c>
      <c r="M516" s="6">
        <f t="shared" si="122"/>
        <v>197291.44</v>
      </c>
      <c r="N516" s="6">
        <f t="shared" si="123"/>
        <v>1430362.92</v>
      </c>
      <c r="O516" s="6">
        <f>+ROUND(I516*0.002,2)+ROUND(I516*0.0003,2)+ROUND(I516*0.0003,2)+ROUND(I516*0.0003,2)+ROUND(I516*0.002,2)</f>
        <v>8631.5</v>
      </c>
      <c r="P516" s="6">
        <f t="shared" si="124"/>
        <v>1421731.42</v>
      </c>
      <c r="Q516" s="4" t="str">
        <f>LOOKUP($E516,OBRAS!$D:$D,OBRAS!B:B)</f>
        <v>TEKTON INGENIERIA, S.A. DE C.V.</v>
      </c>
      <c r="R516" s="4" t="str">
        <f>LOOKUP($E516,OBRAS!$D:$D,OBRAS!A:A)</f>
        <v>CAJEME</v>
      </c>
      <c r="S516" s="4" t="str">
        <f>LOOKUP($E516,OBRAS!$D:$D,OBRAS!F:F)</f>
        <v>11000002003501E203K03203A625012162A211</v>
      </c>
      <c r="T516" s="4" t="str">
        <f>LOOKUP($E516,OBRAS!$D:$D,OBRAS!G:G)</f>
        <v>CE-926006995-E3-2016</v>
      </c>
      <c r="U516" s="4" t="s">
        <v>863</v>
      </c>
      <c r="V516" s="89">
        <v>42685</v>
      </c>
      <c r="W516" s="6">
        <f>LOOKUP($E516,OBRAS!$D:$D,OBRAS!K:K)</f>
        <v>26465400</v>
      </c>
      <c r="X516" s="109">
        <f t="shared" si="126"/>
        <v>7.7200000000000005E-2</v>
      </c>
      <c r="Y516" s="109">
        <f t="shared" si="128"/>
        <v>1</v>
      </c>
      <c r="Z516" s="109">
        <f t="shared" si="127"/>
        <v>1</v>
      </c>
      <c r="AA516" s="4" t="str">
        <f>LOOKUP($E516,OBRAS!$D:$D,OBRAS!H:H)</f>
        <v>SH-ED-17-R-013</v>
      </c>
    </row>
    <row r="517" spans="1:27" x14ac:dyDescent="0.25">
      <c r="C517" s="111"/>
      <c r="D517" s="4"/>
      <c r="E517" s="4"/>
      <c r="F517" s="4"/>
      <c r="G517" s="4"/>
      <c r="H517" s="80"/>
      <c r="I517" s="6"/>
      <c r="J517" s="6"/>
      <c r="K517" s="6"/>
      <c r="L517" s="6"/>
      <c r="M517" s="6"/>
      <c r="N517" s="6"/>
      <c r="O517" s="6"/>
      <c r="P517" s="6"/>
      <c r="Q517" s="4"/>
      <c r="R517" s="4"/>
      <c r="S517" s="4" t="e">
        <f>LOOKUP($E517,OBRAS!$D:$D,OBRAS!F:F)</f>
        <v>#N/A</v>
      </c>
      <c r="T517" s="4" t="e">
        <f>LOOKUP($E517,OBRAS!$D:$D,OBRAS!G:G)</f>
        <v>#N/A</v>
      </c>
      <c r="U517" s="4"/>
      <c r="V517" s="89"/>
      <c r="W517" s="6" t="e">
        <f>LOOKUP($E517,OBRAS!$D:$D,OBRAS!K:K)</f>
        <v>#N/A</v>
      </c>
      <c r="X517" s="109" t="e">
        <f t="shared" si="126"/>
        <v>#N/A</v>
      </c>
      <c r="Y517" s="109">
        <f t="shared" si="128"/>
        <v>0</v>
      </c>
      <c r="Z517" s="109" t="e">
        <f t="shared" si="127"/>
        <v>#N/A</v>
      </c>
      <c r="AA517" s="4" t="e">
        <f>LOOKUP($E517,OBRAS!$D:$D,OBRAS!H:H)</f>
        <v>#N/A</v>
      </c>
    </row>
    <row r="518" spans="1:27" ht="30" x14ac:dyDescent="0.25">
      <c r="A518" s="90">
        <v>42662</v>
      </c>
      <c r="B518" s="56">
        <v>4378</v>
      </c>
      <c r="C518" s="49">
        <v>516</v>
      </c>
      <c r="D518" s="4" t="str">
        <f>LOOKUP($E518,OBRAS!$D:$D,OBRAS!C:C)</f>
        <v>RECONSTRUCCIÓN DE CAMINO HORNOS-ROSARIO</v>
      </c>
      <c r="E518" s="4" t="s">
        <v>532</v>
      </c>
      <c r="F518" s="4" t="s">
        <v>224</v>
      </c>
      <c r="G518" s="4" t="str">
        <f>LOOKUP($E518,OBRAS!$D:$D,OBRAS!E:E)</f>
        <v>C-00054/0024</v>
      </c>
      <c r="H518" s="80" t="s">
        <v>214</v>
      </c>
      <c r="I518" s="6">
        <v>2776031.9</v>
      </c>
      <c r="J518" s="6"/>
      <c r="K518" s="6">
        <f>ROUND(I518*0.3,2)</f>
        <v>832809.57</v>
      </c>
      <c r="L518" s="6">
        <f t="shared" ref="L518:L549" si="129">I518-K518</f>
        <v>1943222.33</v>
      </c>
      <c r="M518" s="6">
        <f t="shared" ref="M518:M549" si="130">ROUND(L518*0.16,2)</f>
        <v>310915.57</v>
      </c>
      <c r="N518" s="6">
        <f t="shared" ref="N518:N549" si="131">M518+L518</f>
        <v>2254137.9</v>
      </c>
      <c r="O518" s="6">
        <f t="shared" ref="O518:O524" si="132">+ROUND(I518*0.002,2)+ROUND(I518*0.0003,2)+ROUND(I518*0.0003,2)+ROUND(I518*0.0003,2)+ROUND(I518*0.002,2)</f>
        <v>13602.55</v>
      </c>
      <c r="P518" s="6">
        <f t="shared" ref="P518:P549" si="133">N518-O518</f>
        <v>2240535.35</v>
      </c>
      <c r="Q518" s="4" t="str">
        <f>LOOKUP($E518,OBRAS!$D:$D,OBRAS!B:B)</f>
        <v>ADMINISTRADORA DE OBRAS OACSA, S.A. DE C.V.</v>
      </c>
      <c r="R518" s="4" t="str">
        <f>LOOKUP($E518,OBRAS!$D:$D,OBRAS!A:A)</f>
        <v>VARIOS</v>
      </c>
      <c r="S518" s="4" t="str">
        <f>LOOKUP($E518,OBRAS!$D:$D,OBRAS!F:F)</f>
        <v>11000002003501E204K08063A625012162A213</v>
      </c>
      <c r="T518" s="4" t="str">
        <f>LOOKUP($E518,OBRAS!$D:$D,OBRAS!G:G)</f>
        <v>CE-926006995-E7-2016</v>
      </c>
      <c r="U518" s="4" t="s">
        <v>863</v>
      </c>
      <c r="V518" s="89">
        <v>42685</v>
      </c>
      <c r="W518" s="6">
        <f>LOOKUP($E518,OBRAS!$D:$D,OBRAS!K:K)</f>
        <v>83353232.650000006</v>
      </c>
      <c r="X518" s="109">
        <f t="shared" si="126"/>
        <v>3.8600000000000002E-2</v>
      </c>
      <c r="Y518" s="109">
        <f t="shared" si="128"/>
        <v>0.99390000000000001</v>
      </c>
      <c r="Z518" s="109">
        <f t="shared" si="127"/>
        <v>0.99370000000000003</v>
      </c>
      <c r="AA518" s="4" t="str">
        <f>LOOKUP($E518,OBRAS!$D:$D,OBRAS!H:H)</f>
        <v>SH-ED-17-R-013</v>
      </c>
    </row>
    <row r="519" spans="1:27" ht="30" x14ac:dyDescent="0.25">
      <c r="A519" s="90">
        <v>42662</v>
      </c>
      <c r="B519" s="56">
        <v>4384</v>
      </c>
      <c r="C519" s="49">
        <v>517</v>
      </c>
      <c r="D519" s="4" t="str">
        <f>LOOKUP($E519,OBRAS!$D:$D,OBRAS!C:C)</f>
        <v>RECONSTRUCCIÓN DE CAMINO HORNOS-ROSARIO</v>
      </c>
      <c r="E519" s="4" t="s">
        <v>532</v>
      </c>
      <c r="F519" s="4" t="s">
        <v>224</v>
      </c>
      <c r="G519" s="4" t="str">
        <f>LOOKUP($E519,OBRAS!$D:$D,OBRAS!E:E)</f>
        <v>C-00054/0024</v>
      </c>
      <c r="H519" s="80" t="s">
        <v>218</v>
      </c>
      <c r="I519" s="6">
        <v>2126453.2200000002</v>
      </c>
      <c r="J519" s="6"/>
      <c r="K519" s="6">
        <f>ROUND(I519*0.3,2)</f>
        <v>637935.97</v>
      </c>
      <c r="L519" s="6">
        <f t="shared" si="129"/>
        <v>1488517.25</v>
      </c>
      <c r="M519" s="6">
        <f t="shared" si="130"/>
        <v>238162.76</v>
      </c>
      <c r="N519" s="6">
        <f t="shared" si="131"/>
        <v>1726680.01</v>
      </c>
      <c r="O519" s="6">
        <f t="shared" si="132"/>
        <v>10419.64</v>
      </c>
      <c r="P519" s="6">
        <f t="shared" si="133"/>
        <v>1716260.37</v>
      </c>
      <c r="Q519" s="4" t="str">
        <f>LOOKUP($E519,OBRAS!$D:$D,OBRAS!B:B)</f>
        <v>ADMINISTRADORA DE OBRAS OACSA, S.A. DE C.V.</v>
      </c>
      <c r="R519" s="4" t="str">
        <f>LOOKUP($E519,OBRAS!$D:$D,OBRAS!A:A)</f>
        <v>VARIOS</v>
      </c>
      <c r="S519" s="4" t="str">
        <f>LOOKUP($E519,OBRAS!$D:$D,OBRAS!F:F)</f>
        <v>11000002003501E204K08063A625012162A213</v>
      </c>
      <c r="T519" s="4" t="str">
        <f>LOOKUP($E519,OBRAS!$D:$D,OBRAS!G:G)</f>
        <v>CE-926006995-E7-2016</v>
      </c>
      <c r="U519" s="4" t="s">
        <v>863</v>
      </c>
      <c r="V519" s="89">
        <v>42717</v>
      </c>
      <c r="W519" s="6">
        <f>LOOKUP($E519,OBRAS!$D:$D,OBRAS!K:K)</f>
        <v>83353232.650000006</v>
      </c>
      <c r="X519" s="109">
        <f t="shared" si="126"/>
        <v>2.9600000000000001E-2</v>
      </c>
      <c r="Y519" s="109">
        <f t="shared" si="128"/>
        <v>0.99390000000000001</v>
      </c>
      <c r="Z519" s="109">
        <f t="shared" si="127"/>
        <v>0.99370000000000003</v>
      </c>
      <c r="AA519" s="4" t="str">
        <f>LOOKUP($E519,OBRAS!$D:$D,OBRAS!H:H)</f>
        <v>SH-ED-17-R-013</v>
      </c>
    </row>
    <row r="520" spans="1:27" ht="45" x14ac:dyDescent="0.25">
      <c r="A520" s="90">
        <v>42632</v>
      </c>
      <c r="B520" s="56">
        <v>4377</v>
      </c>
      <c r="C520" s="49">
        <v>518</v>
      </c>
      <c r="D520" s="4" t="str">
        <f>LOOKUP($E520,OBRAS!$D:$D,OBRAS!C:C)</f>
        <v>CONCLUSION DE LA MODERNIZACION Y RECONSTRUCCION DEL TRAMO ESPERANZA - HORNOS (DEL KM 8 + 800 AL KM 17 + 400)</v>
      </c>
      <c r="E520" s="4" t="s">
        <v>597</v>
      </c>
      <c r="F520" s="4" t="s">
        <v>224</v>
      </c>
      <c r="G520" s="4" t="str">
        <f>LOOKUP($E520,OBRAS!$D:$D,OBRAS!E:E)</f>
        <v>C-00054/0053</v>
      </c>
      <c r="H520" s="80" t="s">
        <v>15</v>
      </c>
      <c r="I520" s="6">
        <v>6352135.0700000003</v>
      </c>
      <c r="J520" s="6"/>
      <c r="K520" s="6">
        <f>ROUND(I520*0.3,2)</f>
        <v>1905640.52</v>
      </c>
      <c r="L520" s="6">
        <f t="shared" si="129"/>
        <v>4446494.55</v>
      </c>
      <c r="M520" s="6">
        <f t="shared" si="130"/>
        <v>711439.13</v>
      </c>
      <c r="N520" s="6">
        <f t="shared" si="131"/>
        <v>5157933.68</v>
      </c>
      <c r="O520" s="6">
        <f t="shared" si="132"/>
        <v>31125.46</v>
      </c>
      <c r="P520" s="6">
        <f t="shared" si="133"/>
        <v>5126808.22</v>
      </c>
      <c r="Q520" s="4" t="str">
        <f>LOOKUP($E520,OBRAS!$D:$D,OBRAS!B:B)</f>
        <v>INGENIEROS CIVILES, S.A. DE C.V.</v>
      </c>
      <c r="R520" s="4" t="str">
        <f>LOOKUP($E520,OBRAS!$D:$D,OBRAS!A:A)</f>
        <v>VARIOS</v>
      </c>
      <c r="S520" s="4" t="str">
        <f>LOOKUP($E520,OBRAS!$D:$D,OBRAS!F:F)</f>
        <v>11000002003501E204K08063A625012162A213</v>
      </c>
      <c r="T520" s="4" t="str">
        <f>LOOKUP($E520,OBRAS!$D:$D,OBRAS!G:G)</f>
        <v>CE-966006995-E17-2016</v>
      </c>
      <c r="U520" s="4" t="s">
        <v>863</v>
      </c>
      <c r="V520" s="89">
        <v>42685</v>
      </c>
      <c r="W520" s="6">
        <f>LOOKUP($E520,OBRAS!$D:$D,OBRAS!K:K)</f>
        <v>79892690.269999996</v>
      </c>
      <c r="X520" s="109">
        <f t="shared" si="126"/>
        <v>9.2200000000000004E-2</v>
      </c>
      <c r="Y520" s="109">
        <f t="shared" si="128"/>
        <v>0.98319999999999996</v>
      </c>
      <c r="Z520" s="109">
        <f t="shared" si="127"/>
        <v>0.98309999999999997</v>
      </c>
      <c r="AA520" s="4" t="str">
        <f>LOOKUP($E520,OBRAS!$D:$D,OBRAS!H:H)</f>
        <v>SH-ED-17-R-013</v>
      </c>
    </row>
    <row r="521" spans="1:27" ht="30" x14ac:dyDescent="0.25">
      <c r="A521" s="90">
        <v>42662</v>
      </c>
      <c r="B521" s="56">
        <v>4385</v>
      </c>
      <c r="C521" s="49">
        <v>519</v>
      </c>
      <c r="D521" s="4" t="str">
        <f>LOOKUP($E521,OBRAS!$D:$D,OBRAS!C:C)</f>
        <v>RECONSTRUCCIÓN DE CAMINO HORNOS-ROSARIO</v>
      </c>
      <c r="E521" s="4" t="s">
        <v>532</v>
      </c>
      <c r="F521" s="4" t="s">
        <v>224</v>
      </c>
      <c r="G521" s="4" t="str">
        <f>LOOKUP($E521,OBRAS!$D:$D,OBRAS!E:E)</f>
        <v>C-00054/0024</v>
      </c>
      <c r="H521" s="80" t="s">
        <v>220</v>
      </c>
      <c r="I521" s="6">
        <v>15332278.689999999</v>
      </c>
      <c r="J521" s="6"/>
      <c r="K521" s="6">
        <f>ROUND(I521*0.3,2)</f>
        <v>4599683.6100000003</v>
      </c>
      <c r="L521" s="6">
        <f t="shared" si="129"/>
        <v>10732595.08</v>
      </c>
      <c r="M521" s="6">
        <f t="shared" si="130"/>
        <v>1717215.21</v>
      </c>
      <c r="N521" s="6">
        <f t="shared" si="131"/>
        <v>12449810.289999999</v>
      </c>
      <c r="O521" s="137">
        <f t="shared" si="132"/>
        <v>75128.160000000003</v>
      </c>
      <c r="P521" s="6">
        <f t="shared" si="133"/>
        <v>12374682.130000001</v>
      </c>
      <c r="Q521" s="4" t="str">
        <f>LOOKUP($E521,OBRAS!$D:$D,OBRAS!B:B)</f>
        <v>ADMINISTRADORA DE OBRAS OACSA, S.A. DE C.V.</v>
      </c>
      <c r="R521" s="4" t="str">
        <f>LOOKUP($E521,OBRAS!$D:$D,OBRAS!A:A)</f>
        <v>VARIOS</v>
      </c>
      <c r="S521" s="4" t="str">
        <f>LOOKUP($E521,OBRAS!$D:$D,OBRAS!F:F)</f>
        <v>11000002003501E204K08063A625012162A213</v>
      </c>
      <c r="T521" s="4" t="str">
        <f>LOOKUP($E521,OBRAS!$D:$D,OBRAS!G:G)</f>
        <v>CE-926006995-E7-2016</v>
      </c>
      <c r="U521" s="4" t="s">
        <v>863</v>
      </c>
      <c r="V521" s="89">
        <v>42685</v>
      </c>
      <c r="W521" s="6">
        <f>LOOKUP($E521,OBRAS!$D:$D,OBRAS!K:K)</f>
        <v>83353232.650000006</v>
      </c>
      <c r="X521" s="109">
        <f t="shared" si="126"/>
        <v>0.21340000000000001</v>
      </c>
      <c r="Y521" s="109">
        <f t="shared" si="128"/>
        <v>0.99390000000000001</v>
      </c>
      <c r="Z521" s="109">
        <f t="shared" si="127"/>
        <v>0.99370000000000003</v>
      </c>
      <c r="AA521" s="4" t="str">
        <f>LOOKUP($E521,OBRAS!$D:$D,OBRAS!H:H)</f>
        <v>SH-ED-17-R-013</v>
      </c>
    </row>
    <row r="522" spans="1:27" ht="30" x14ac:dyDescent="0.25">
      <c r="A522" s="90">
        <v>42656</v>
      </c>
      <c r="B522" s="56">
        <v>4234</v>
      </c>
      <c r="C522" s="49">
        <v>520</v>
      </c>
      <c r="D522" s="4" t="str">
        <f>LOOKUP($E522,OBRAS!$D:$D,OBRAS!C:C)</f>
        <v>CONSTRUCCION Y RECONSTRUCCION DEL TRAMO CABORCA-Y GRIEGA</v>
      </c>
      <c r="E522" s="4" t="s">
        <v>586</v>
      </c>
      <c r="F522" s="4"/>
      <c r="G522" s="4" t="str">
        <f>LOOKUP($E522,OBRAS!$D:$D,OBRAS!E:E)</f>
        <v>C-00054/0056</v>
      </c>
      <c r="H522" s="80" t="s">
        <v>15</v>
      </c>
      <c r="I522" s="6">
        <v>7882658.2800000003</v>
      </c>
      <c r="J522" s="6"/>
      <c r="K522" s="6">
        <v>0</v>
      </c>
      <c r="L522" s="6">
        <f t="shared" si="129"/>
        <v>7882658.2800000003</v>
      </c>
      <c r="M522" s="6">
        <f t="shared" si="130"/>
        <v>1261225.32</v>
      </c>
      <c r="N522" s="6">
        <f t="shared" si="131"/>
        <v>9143883.5999999996</v>
      </c>
      <c r="O522" s="6">
        <f t="shared" si="132"/>
        <v>38625.040000000001</v>
      </c>
      <c r="P522" s="6">
        <f t="shared" si="133"/>
        <v>9105258.5600000005</v>
      </c>
      <c r="Q522" s="4" t="str">
        <f>LOOKUP($E522,OBRAS!$D:$D,OBRAS!B:B)</f>
        <v>MEZQUITE CONSTRUCCIONES,S.A.DE C.V.</v>
      </c>
      <c r="R522" s="4" t="str">
        <f>LOOKUP($E522,OBRAS!$D:$D,OBRAS!A:A)</f>
        <v>CABORCA</v>
      </c>
      <c r="S522" s="4" t="str">
        <f>LOOKUP($E522,OBRAS!$D:$D,OBRAS!F:F)</f>
        <v>11000002003501E204K08063A625012162A202</v>
      </c>
      <c r="T522" s="4" t="str">
        <f>LOOKUP($E522,OBRAS!$D:$D,OBRAS!G:G)</f>
        <v>CE-926006995-E20-2016</v>
      </c>
      <c r="U522" s="4" t="s">
        <v>863</v>
      </c>
      <c r="V522" s="89">
        <v>42671</v>
      </c>
      <c r="W522" s="6">
        <f>LOOKUP($E522,OBRAS!$D:$D,OBRAS!K:K)</f>
        <v>78902188.120000005</v>
      </c>
      <c r="X522" s="109">
        <f t="shared" si="126"/>
        <v>0.1159</v>
      </c>
      <c r="Y522" s="109">
        <f t="shared" si="128"/>
        <v>0.74160000000000004</v>
      </c>
      <c r="Z522" s="109">
        <f t="shared" si="127"/>
        <v>0.74160000000000004</v>
      </c>
      <c r="AA522" s="4" t="str">
        <f>LOOKUP($E522,OBRAS!$D:$D,OBRAS!H:H)</f>
        <v>SH-ED-17-R-013</v>
      </c>
    </row>
    <row r="523" spans="1:27" ht="30" x14ac:dyDescent="0.25">
      <c r="A523" s="90">
        <v>42654</v>
      </c>
      <c r="B523" s="56">
        <v>4216</v>
      </c>
      <c r="C523" s="49">
        <v>521</v>
      </c>
      <c r="D523" s="4" t="str">
        <f>LOOKUP($E523,OBRAS!$D:$D,OBRAS!C:C)</f>
        <v>RECONSTRUCCIÓN DEL CAMINO BACAME NUEVO</v>
      </c>
      <c r="E523" s="4" t="s">
        <v>503</v>
      </c>
      <c r="F523" s="4" t="s">
        <v>224</v>
      </c>
      <c r="G523" s="4" t="str">
        <f>LOOKUP($E523,OBRAS!$D:$D,OBRAS!E:E)</f>
        <v>C-00054/0023</v>
      </c>
      <c r="H523" s="80" t="s">
        <v>215</v>
      </c>
      <c r="I523" s="6">
        <v>1130656.55</v>
      </c>
      <c r="J523" s="6"/>
      <c r="K523" s="6">
        <f>ROUND(I523*0.3,2)</f>
        <v>339196.97</v>
      </c>
      <c r="L523" s="6">
        <f t="shared" si="129"/>
        <v>791459.58</v>
      </c>
      <c r="M523" s="6">
        <f t="shared" si="130"/>
        <v>126633.53</v>
      </c>
      <c r="N523" s="6">
        <f t="shared" si="131"/>
        <v>918093.11</v>
      </c>
      <c r="O523" s="6">
        <f t="shared" si="132"/>
        <v>5540.22</v>
      </c>
      <c r="P523" s="6">
        <f t="shared" si="133"/>
        <v>912552.89</v>
      </c>
      <c r="Q523" s="4" t="str">
        <f>LOOKUP($E523,OBRAS!$D:$D,OBRAS!B:B)</f>
        <v>GIBHER CONSTRUCTORES, S.A. DE C.V.</v>
      </c>
      <c r="R523" s="4" t="str">
        <f>LOOKUP($E523,OBRAS!$D:$D,OBRAS!A:A)</f>
        <v>ETCHOJOA</v>
      </c>
      <c r="S523" s="4" t="str">
        <f>LOOKUP($E523,OBRAS!$D:$D,OBRAS!F:F)</f>
        <v>11000002003501E204K08063A625012162A212</v>
      </c>
      <c r="T523" s="4" t="str">
        <f>LOOKUP($E523,OBRAS!$D:$D,OBRAS!G:G)</f>
        <v>CE-926006995-E5-2016</v>
      </c>
      <c r="U523" s="4" t="s">
        <v>863</v>
      </c>
      <c r="V523" s="89">
        <v>42671</v>
      </c>
      <c r="W523" s="6">
        <f>LOOKUP($E523,OBRAS!$D:$D,OBRAS!K:K)</f>
        <v>6757250.3700000001</v>
      </c>
      <c r="X523" s="109">
        <f t="shared" si="126"/>
        <v>0.19409999999999999</v>
      </c>
      <c r="Y523" s="109">
        <f t="shared" si="128"/>
        <v>1</v>
      </c>
      <c r="Z523" s="109">
        <f t="shared" si="127"/>
        <v>1</v>
      </c>
      <c r="AA523" s="4" t="str">
        <f>LOOKUP($E523,OBRAS!$D:$D,OBRAS!H:H)</f>
        <v>SH-ED-17-R-013</v>
      </c>
    </row>
    <row r="524" spans="1:27" ht="60" x14ac:dyDescent="0.25">
      <c r="A524" s="90">
        <v>42661</v>
      </c>
      <c r="B524" s="56">
        <v>4332</v>
      </c>
      <c r="C524" s="49">
        <v>522</v>
      </c>
      <c r="D524" s="4" t="str">
        <f>LOOKUP($E524,OBRAS!$D:$D,OBRAS!C:C)</f>
        <v>CONSERVACION Y RECONSTRUCCION DE CARRETERAS ALIMENTADORAS REGION GUAYMAS-EMPALME, TRAMO: E.C. (PROVIDENCIA-ORTIZ)-LA MISA</v>
      </c>
      <c r="E524" s="4" t="s">
        <v>582</v>
      </c>
      <c r="F524" s="4" t="s">
        <v>248</v>
      </c>
      <c r="G524" s="4" t="str">
        <f>LOOKUP($E524,OBRAS!$D:$D,OBRAS!E:E)</f>
        <v>C-00054/0065</v>
      </c>
      <c r="H524" s="80" t="s">
        <v>215</v>
      </c>
      <c r="I524" s="6">
        <v>3119588.97</v>
      </c>
      <c r="J524" s="6"/>
      <c r="K524" s="6">
        <v>935876.69</v>
      </c>
      <c r="L524" s="6">
        <f t="shared" si="129"/>
        <v>2183712.2799999998</v>
      </c>
      <c r="M524" s="6">
        <f t="shared" si="130"/>
        <v>349393.96</v>
      </c>
      <c r="N524" s="6">
        <f t="shared" si="131"/>
        <v>2533106.2400000002</v>
      </c>
      <c r="O524" s="6">
        <f t="shared" si="132"/>
        <v>15286</v>
      </c>
      <c r="P524" s="6">
        <f t="shared" si="133"/>
        <v>2517820.2400000002</v>
      </c>
      <c r="Q524" s="4" t="str">
        <f>LOOKUP($E524,OBRAS!$D:$D,OBRAS!B:B)</f>
        <v>GILA MINAS Y DESARROLLOS SA DE CV</v>
      </c>
      <c r="R524" s="4" t="str">
        <f>LOOKUP($E524,OBRAS!$D:$D,OBRAS!A:A)</f>
        <v>VARIOS</v>
      </c>
      <c r="S524" s="4" t="str">
        <f>LOOKUP($E524,OBRAS!$D:$D,OBRAS!F:F)</f>
        <v>11000002003501E204K08063A625012162213</v>
      </c>
      <c r="T524" s="4" t="str">
        <f>LOOKUP($E524,OBRAS!$D:$D,OBRAS!G:G)</f>
        <v>CE-926006995-E29-2016</v>
      </c>
      <c r="U524" s="4" t="s">
        <v>863</v>
      </c>
      <c r="V524" s="89">
        <v>42712</v>
      </c>
      <c r="W524" s="6">
        <f>LOOKUP($E524,OBRAS!$D:$D,OBRAS!K:K)</f>
        <v>31555491.960000001</v>
      </c>
      <c r="X524" s="109">
        <f t="shared" si="126"/>
        <v>0.1147</v>
      </c>
      <c r="Y524" s="109">
        <f t="shared" si="128"/>
        <v>0.9194</v>
      </c>
      <c r="Z524" s="109">
        <f t="shared" si="127"/>
        <v>0.9194</v>
      </c>
      <c r="AA524" s="4" t="str">
        <f>LOOKUP($E524,OBRAS!$D:$D,OBRAS!H:H)</f>
        <v>SH-ED-17-R-013</v>
      </c>
    </row>
    <row r="525" spans="1:27" x14ac:dyDescent="0.25">
      <c r="C525" s="51">
        <v>523</v>
      </c>
      <c r="D525" s="4" t="e">
        <f>LOOKUP($E525,OBRAS!$D:$D,OBRAS!C:C)</f>
        <v>#N/A</v>
      </c>
      <c r="E525" s="4"/>
      <c r="F525" s="4" t="s">
        <v>224</v>
      </c>
      <c r="G525" s="4" t="e">
        <f>LOOKUP($E525,OBRAS!$D:$D,OBRAS!E:E)</f>
        <v>#N/A</v>
      </c>
      <c r="H525" s="80"/>
      <c r="I525" s="6"/>
      <c r="J525" s="6"/>
      <c r="K525" s="6">
        <f>ROUND(I525*0.3,2)</f>
        <v>0</v>
      </c>
      <c r="L525" s="6">
        <f t="shared" si="129"/>
        <v>0</v>
      </c>
      <c r="M525" s="6">
        <f t="shared" si="130"/>
        <v>0</v>
      </c>
      <c r="N525" s="6">
        <f t="shared" si="131"/>
        <v>0</v>
      </c>
      <c r="O525" s="6">
        <f>+ROUND(I525*0.002,2)+ROUND(I525*0.0003,2)+ROUND(I525*0.0003,2)+ROUND(I525*0.0003,2)</f>
        <v>0</v>
      </c>
      <c r="P525" s="6">
        <f t="shared" si="133"/>
        <v>0</v>
      </c>
      <c r="Q525" s="4" t="e">
        <f>LOOKUP($E525,OBRAS!$D:$D,OBRAS!B:B)</f>
        <v>#N/A</v>
      </c>
      <c r="R525" s="4" t="e">
        <f>LOOKUP($E525,OBRAS!$D:$D,OBRAS!A:A)</f>
        <v>#N/A</v>
      </c>
      <c r="S525" s="4" t="e">
        <f>LOOKUP($E525,OBRAS!$D:$D,OBRAS!F:F)</f>
        <v>#N/A</v>
      </c>
      <c r="T525" s="4" t="e">
        <f>LOOKUP($E525,OBRAS!$D:$D,OBRAS!G:G)</f>
        <v>#N/A</v>
      </c>
      <c r="U525" s="4"/>
      <c r="V525" s="4"/>
      <c r="W525" s="6" t="e">
        <f>LOOKUP($E525,OBRAS!$D:$D,OBRAS!K:K)</f>
        <v>#N/A</v>
      </c>
      <c r="X525" s="109" t="e">
        <f t="shared" si="126"/>
        <v>#N/A</v>
      </c>
      <c r="Y525" s="109">
        <f t="shared" si="128"/>
        <v>0</v>
      </c>
      <c r="Z525" s="109" t="e">
        <f t="shared" si="127"/>
        <v>#N/A</v>
      </c>
      <c r="AA525" s="4" t="e">
        <f>LOOKUP($E525,OBRAS!$D:$D,OBRAS!H:H)</f>
        <v>#N/A</v>
      </c>
    </row>
    <row r="526" spans="1:27" ht="45" x14ac:dyDescent="0.25">
      <c r="A526" s="90">
        <v>42716</v>
      </c>
      <c r="B526" s="56">
        <v>5736</v>
      </c>
      <c r="C526" s="49">
        <v>524</v>
      </c>
      <c r="D526" s="4" t="str">
        <f>LOOKUP($E526,OBRAS!$D:$D,OBRAS!C:C)</f>
        <v>RECONSTRUCCION DEL CAMINO HUATABAMPO-YAVAROS EN VARIAS LOCALIDADES DEL MUNICIPIO DE HUATABAMPO, SONORA.</v>
      </c>
      <c r="E526" s="4" t="s">
        <v>80</v>
      </c>
      <c r="F526" s="4"/>
      <c r="G526" s="4" t="str">
        <f>LOOKUP($E526,OBRAS!$D:$D,OBRAS!E:E)</f>
        <v>C-00054/0022</v>
      </c>
      <c r="H526" s="80" t="s">
        <v>15</v>
      </c>
      <c r="I526" s="6">
        <v>2094919.39</v>
      </c>
      <c r="J526" s="6"/>
      <c r="K526" s="6">
        <v>628475.81000000006</v>
      </c>
      <c r="L526" s="6">
        <f t="shared" si="129"/>
        <v>1466443.58</v>
      </c>
      <c r="M526" s="6">
        <f t="shared" si="130"/>
        <v>234630.97</v>
      </c>
      <c r="N526" s="6">
        <f t="shared" si="131"/>
        <v>1701074.55</v>
      </c>
      <c r="O526" s="6">
        <f>+ROUND(I526*0.002,2)+ROUND(I526*0.0003,2)+ROUND(I526*0.0003,2)+ROUND(I526*0.0003,2)+ROUND(I526*0.002,2)</f>
        <v>10265.120000000001</v>
      </c>
      <c r="P526" s="6">
        <f t="shared" si="133"/>
        <v>1690809.43</v>
      </c>
      <c r="Q526" s="4" t="str">
        <f>LOOKUP($E526,OBRAS!$D:$D,OBRAS!B:B)</f>
        <v>CONSTRUCTORA SIVIRAL, S.A. DE C.V.</v>
      </c>
      <c r="R526" s="4" t="str">
        <f>LOOKUP($E526,OBRAS!$D:$D,OBRAS!A:A)</f>
        <v>HUATABAMPO</v>
      </c>
      <c r="S526" s="4" t="str">
        <f>LOOKUP($E526,OBRAS!$D:$D,OBRAS!F:F)</f>
        <v>11000002003501E203K03203A625012162A12</v>
      </c>
      <c r="T526" s="4" t="str">
        <f>LOOKUP($E526,OBRAS!$D:$D,OBRAS!G:G)</f>
        <v>CE-926006995-E4-2016</v>
      </c>
      <c r="U526" s="4" t="s">
        <v>863</v>
      </c>
      <c r="V526" s="89">
        <v>42762</v>
      </c>
      <c r="W526" s="6">
        <f>LOOKUP($E526,OBRAS!$D:$D,OBRAS!K:K)</f>
        <v>17283667.420000002</v>
      </c>
      <c r="X526" s="109">
        <f t="shared" si="126"/>
        <v>0.1406</v>
      </c>
      <c r="Y526" s="109">
        <f t="shared" si="128"/>
        <v>1</v>
      </c>
      <c r="Z526" s="109">
        <f t="shared" si="127"/>
        <v>1</v>
      </c>
      <c r="AA526" s="4" t="str">
        <f>LOOKUP($E526,OBRAS!$D:$D,OBRAS!H:H)</f>
        <v>OM-ED-16-002</v>
      </c>
    </row>
    <row r="527" spans="1:27" x14ac:dyDescent="0.25">
      <c r="C527" s="111">
        <v>525</v>
      </c>
      <c r="D527" s="4" t="e">
        <f>LOOKUP($E527,OBRAS!$D:$D,OBRAS!C:C)</f>
        <v>#N/A</v>
      </c>
      <c r="E527" s="4"/>
      <c r="F527" s="4" t="s">
        <v>224</v>
      </c>
      <c r="G527" s="4" t="e">
        <f>LOOKUP($E527,OBRAS!$D:$D,OBRAS!E:E)</f>
        <v>#N/A</v>
      </c>
      <c r="H527" s="80"/>
      <c r="I527" s="6"/>
      <c r="J527" s="6"/>
      <c r="K527" s="6">
        <f>ROUND(I527*0.3,2)</f>
        <v>0</v>
      </c>
      <c r="L527" s="6">
        <f t="shared" si="129"/>
        <v>0</v>
      </c>
      <c r="M527" s="6">
        <f t="shared" si="130"/>
        <v>0</v>
      </c>
      <c r="N527" s="6">
        <f t="shared" si="131"/>
        <v>0</v>
      </c>
      <c r="O527" s="6">
        <f>+ROUND(I527*0.002,2)+ROUND(I527*0.0003,2)+ROUND(I527*0.0003,2)+ROUND(I527*0.0003,2)+ROUND(I527*0.002,2)</f>
        <v>0</v>
      </c>
      <c r="P527" s="6">
        <f t="shared" si="133"/>
        <v>0</v>
      </c>
      <c r="Q527" s="4" t="e">
        <f>LOOKUP($E527,OBRAS!$D:$D,OBRAS!B:B)</f>
        <v>#N/A</v>
      </c>
      <c r="R527" s="4" t="e">
        <f>LOOKUP($E527,OBRAS!$D:$D,OBRAS!A:A)</f>
        <v>#N/A</v>
      </c>
      <c r="S527" s="4" t="e">
        <f>LOOKUP($E527,OBRAS!$D:$D,OBRAS!F:F)</f>
        <v>#N/A</v>
      </c>
      <c r="T527" s="4" t="e">
        <f>LOOKUP($E527,OBRAS!$D:$D,OBRAS!G:G)</f>
        <v>#N/A</v>
      </c>
      <c r="U527" s="4"/>
      <c r="V527" s="89"/>
      <c r="W527" s="6" t="e">
        <f>LOOKUP($E527,OBRAS!$D:$D,OBRAS!K:K)</f>
        <v>#N/A</v>
      </c>
      <c r="X527" s="109" t="e">
        <f t="shared" si="126"/>
        <v>#N/A</v>
      </c>
      <c r="Y527" s="109">
        <f t="shared" si="128"/>
        <v>0</v>
      </c>
      <c r="Z527" s="109" t="e">
        <f t="shared" si="127"/>
        <v>#N/A</v>
      </c>
      <c r="AA527" s="4" t="e">
        <f>LOOKUP($E527,OBRAS!$D:$D,OBRAS!H:H)</f>
        <v>#N/A</v>
      </c>
    </row>
    <row r="528" spans="1:27" ht="30" x14ac:dyDescent="0.25">
      <c r="A528" s="90">
        <v>42664</v>
      </c>
      <c r="B528" s="56">
        <v>4450</v>
      </c>
      <c r="C528" s="49">
        <v>526</v>
      </c>
      <c r="D528" s="4" t="str">
        <f>LOOKUP($E528,OBRAS!$D:$D,OBRAS!C:C)</f>
        <v>CONSERVACION Y RECONSTRUCCION DE LA CARRETERA SAN IGNACIO-JUPATAHUECA</v>
      </c>
      <c r="E528" s="4" t="s">
        <v>558</v>
      </c>
      <c r="F528" s="4"/>
      <c r="G528" s="4" t="str">
        <f>LOOKUP($E528,OBRAS!$D:$D,OBRAS!E:E)</f>
        <v>C-00054/0064</v>
      </c>
      <c r="H528" s="80" t="s">
        <v>215</v>
      </c>
      <c r="I528" s="6">
        <v>611891.77</v>
      </c>
      <c r="J528" s="6"/>
      <c r="K528" s="6">
        <v>183567.54</v>
      </c>
      <c r="L528" s="6">
        <f t="shared" si="129"/>
        <v>428324.23</v>
      </c>
      <c r="M528" s="6">
        <f t="shared" si="130"/>
        <v>68531.88</v>
      </c>
      <c r="N528" s="6">
        <f t="shared" si="131"/>
        <v>496856.11</v>
      </c>
      <c r="O528" s="6">
        <f>+ROUND(I528*0.002,2)+ROUND(I528*0.0003,2)+ROUND(I528*0.0003,2)+ROUND(I528*0.0003,2)+ROUND(I528*0.002,2)</f>
        <v>2998.27</v>
      </c>
      <c r="P528" s="6">
        <f t="shared" si="133"/>
        <v>493857.84</v>
      </c>
      <c r="Q528" s="4" t="str">
        <f>LOOKUP($E528,OBRAS!$D:$D,OBRAS!B:B)</f>
        <v>GIBHER CONSTRUCTORES, S.A. DE C.V.</v>
      </c>
      <c r="R528" s="4" t="str">
        <f>LOOKUP($E528,OBRAS!$D:$D,OBRAS!A:A)</f>
        <v>VARIOS</v>
      </c>
      <c r="S528" s="4" t="str">
        <f>LOOKUP($E528,OBRAS!$D:$D,OBRAS!F:F)</f>
        <v>11000002003501E204K08063A625012162A213</v>
      </c>
      <c r="T528" s="4" t="str">
        <f>LOOKUP($E528,OBRAS!$D:$D,OBRAS!G:G)</f>
        <v>CE-926006995-E28-2016</v>
      </c>
      <c r="U528" s="4" t="s">
        <v>863</v>
      </c>
      <c r="V528" s="89">
        <v>42685</v>
      </c>
      <c r="W528" s="6">
        <f>LOOKUP($E528,OBRAS!$D:$D,OBRAS!K:K)</f>
        <v>20287001.809999999</v>
      </c>
      <c r="X528" s="109">
        <f t="shared" si="126"/>
        <v>3.5000000000000003E-2</v>
      </c>
      <c r="Y528" s="109">
        <f t="shared" si="128"/>
        <v>0.99990000000000001</v>
      </c>
      <c r="Z528" s="109">
        <f t="shared" si="127"/>
        <v>1</v>
      </c>
      <c r="AA528" s="4" t="str">
        <f>LOOKUP($E528,OBRAS!$D:$D,OBRAS!H:H)</f>
        <v>SH-ED-17-R-013</v>
      </c>
    </row>
    <row r="529" spans="1:27" ht="30" x14ac:dyDescent="0.25">
      <c r="A529" s="90">
        <v>42675</v>
      </c>
      <c r="B529" s="56">
        <v>4755</v>
      </c>
      <c r="C529" s="49">
        <v>527</v>
      </c>
      <c r="D529" s="4" t="str">
        <f>LOOKUP($E529,OBRAS!$D:$D,OBRAS!C:C)</f>
        <v>CONSERVACION Y RECONSTRUCCION DEL TRAMO MAZATAN-HERMOSILLO</v>
      </c>
      <c r="E529" s="4" t="s">
        <v>600</v>
      </c>
      <c r="F529" s="4" t="s">
        <v>401</v>
      </c>
      <c r="G529" s="4" t="str">
        <f>LOOKUP($E529,OBRAS!$D:$D,OBRAS!E:E)</f>
        <v>C-00054/0062</v>
      </c>
      <c r="H529" s="80" t="s">
        <v>221</v>
      </c>
      <c r="I529" s="6">
        <v>11230546.109999999</v>
      </c>
      <c r="J529" s="6"/>
      <c r="K529" s="6">
        <f>ROUND(I529*0.3,2)</f>
        <v>3369163.83</v>
      </c>
      <c r="L529" s="6">
        <f t="shared" si="129"/>
        <v>7861382.2800000003</v>
      </c>
      <c r="M529" s="6">
        <f t="shared" si="130"/>
        <v>1257821.1599999999</v>
      </c>
      <c r="N529" s="6">
        <f t="shared" si="131"/>
        <v>9119203.4399999995</v>
      </c>
      <c r="O529" s="6">
        <f>+ROUND(I529*0.002,2)+ROUND(I529*0.0003,2)+ROUND(I529*0.0003,2)+ROUND(I529*0.0003,2)+ROUND(I529*0.002,2)</f>
        <v>55029.66</v>
      </c>
      <c r="P529" s="6">
        <f t="shared" si="133"/>
        <v>9064173.7799999993</v>
      </c>
      <c r="Q529" s="4" t="str">
        <f>LOOKUP($E529,OBRAS!$D:$D,OBRAS!B:B)</f>
        <v>TECNOASFALTOS Y TERRACERIAS, S.A. DE C.V.</v>
      </c>
      <c r="R529" s="4" t="str">
        <f>LOOKUP($E529,OBRAS!$D:$D,OBRAS!A:A)</f>
        <v>VARIOS</v>
      </c>
      <c r="S529" s="4" t="str">
        <f>LOOKUP($E529,OBRAS!$D:$D,OBRAS!F:F)</f>
        <v>11000002003501E203K03203A625012162A213</v>
      </c>
      <c r="T529" s="4" t="str">
        <f>LOOKUP($E529,OBRAS!$D:$D,OBRAS!G:G)</f>
        <v>CE-926006995-E26-2016</v>
      </c>
      <c r="U529" s="4" t="s">
        <v>863</v>
      </c>
      <c r="V529" s="89">
        <v>42690</v>
      </c>
      <c r="W529" s="6">
        <f>LOOKUP($E529,OBRAS!$D:$D,OBRAS!K:K)</f>
        <v>25694303.850000001</v>
      </c>
      <c r="X529" s="109">
        <f t="shared" si="126"/>
        <v>0.50700000000000001</v>
      </c>
      <c r="Y529" s="109">
        <f t="shared" si="128"/>
        <v>1</v>
      </c>
      <c r="Z529" s="109">
        <f t="shared" si="127"/>
        <v>1</v>
      </c>
      <c r="AA529" s="4" t="str">
        <f>LOOKUP($E529,OBRAS!$D:$D,OBRAS!H:H)</f>
        <v>SH-ED-16-023</v>
      </c>
    </row>
    <row r="530" spans="1:27" ht="60" x14ac:dyDescent="0.25">
      <c r="A530" s="90">
        <v>42649</v>
      </c>
      <c r="B530" s="56">
        <v>4122</v>
      </c>
      <c r="C530" s="49">
        <v>528</v>
      </c>
      <c r="D530" s="4" t="str">
        <f>LOOKUP($E530,OBRAS!$D:$D,OBRAS!C:C)</f>
        <v>SUPERVISION EXTERNA Y CONTROL DE CALIDAD DE LA REHABILITACION DE RED DE CARRETERAS ALIMENTADORAS EN LA REGION DEL RIO SONORA; SUBTRAMO KM 75+000 AL KM 149+000</v>
      </c>
      <c r="E530" s="4" t="s">
        <v>749</v>
      </c>
      <c r="F530" s="4"/>
      <c r="G530" s="4" t="str">
        <f>LOOKUP($E530,OBRAS!$D:$D,OBRAS!E:E)</f>
        <v>C-00098/0021</v>
      </c>
      <c r="H530" s="80" t="s">
        <v>55</v>
      </c>
      <c r="I530" s="6">
        <v>337018.99</v>
      </c>
      <c r="J530" s="6"/>
      <c r="K530" s="6">
        <v>0</v>
      </c>
      <c r="L530" s="6">
        <f t="shared" si="129"/>
        <v>337018.99</v>
      </c>
      <c r="M530" s="6">
        <f t="shared" si="130"/>
        <v>53923.040000000001</v>
      </c>
      <c r="N530" s="6">
        <f t="shared" si="131"/>
        <v>390942.03</v>
      </c>
      <c r="O530" s="6">
        <f>+ROUND(I530*0.002,2)+ROUND(I530*0.0003,2)+ROUND(I530*0.0003,2)+ROUND(I530*0.0003,2)</f>
        <v>977.37</v>
      </c>
      <c r="P530" s="6">
        <f t="shared" si="133"/>
        <v>389964.66</v>
      </c>
      <c r="Q530" s="4" t="str">
        <f>LOOKUP($E530,OBRAS!$D:$D,OBRAS!B:B)</f>
        <v>ESCOBO S.A. DE C.V.</v>
      </c>
      <c r="R530" s="4" t="str">
        <f>LOOKUP($E530,OBRAS!$D:$D,OBRAS!A:A)</f>
        <v>VARIOS</v>
      </c>
      <c r="S530" s="4" t="str">
        <f>LOOKUP($E530,OBRAS!$D:$D,OBRAS!F:F)</f>
        <v>11000002003501E203K03203A625132161A013</v>
      </c>
      <c r="T530" s="4" t="str">
        <f>LOOKUP($E530,OBRAS!$D:$D,OBRAS!G:G)</f>
        <v>CE-966006995-E68-2016</v>
      </c>
      <c r="U530" s="4" t="s">
        <v>863</v>
      </c>
      <c r="V530" s="89">
        <v>42781</v>
      </c>
      <c r="W530" s="6">
        <f>LOOKUP($E530,OBRAS!$D:$D,OBRAS!K:K)</f>
        <v>2346107.56</v>
      </c>
      <c r="X530" s="109">
        <f t="shared" si="126"/>
        <v>0.1666</v>
      </c>
      <c r="Y530" s="109">
        <f t="shared" si="128"/>
        <v>0.78280000000000005</v>
      </c>
      <c r="Z530" s="109">
        <f t="shared" si="127"/>
        <v>0.78280000000000005</v>
      </c>
      <c r="AA530" s="4" t="str">
        <f>LOOKUP($E530,OBRAS!$D:$D,OBRAS!H:H)</f>
        <v>SH-ED-16-060</v>
      </c>
    </row>
    <row r="531" spans="1:27" ht="45" x14ac:dyDescent="0.25">
      <c r="C531" s="49">
        <v>529</v>
      </c>
      <c r="D531" s="4" t="str">
        <f>LOOKUP($E531,OBRAS!$D:$D,OBRAS!C:C)</f>
        <v>REHABILITACION DE PAVIMENTOS DE AV. MIGUEL HIDALGO EN LA LOCALIDAD Y MUNICIPIO DE SANTA CRUZ, SONORA.</v>
      </c>
      <c r="E531" s="4" t="s">
        <v>900</v>
      </c>
      <c r="F531" s="4"/>
      <c r="G531" s="4" t="str">
        <f>LOOKUP($E531,OBRAS!$D:$D,OBRAS!E:E)</f>
        <v>C-00052/0203</v>
      </c>
      <c r="H531" s="80" t="s">
        <v>23</v>
      </c>
      <c r="I531" s="6">
        <v>220236.56</v>
      </c>
      <c r="J531" s="6"/>
      <c r="K531" s="6">
        <v>0</v>
      </c>
      <c r="L531" s="6">
        <f t="shared" si="129"/>
        <v>220236.56</v>
      </c>
      <c r="M531" s="6">
        <f t="shared" si="130"/>
        <v>35237.85</v>
      </c>
      <c r="N531" s="6">
        <f t="shared" si="131"/>
        <v>255474.41</v>
      </c>
      <c r="O531" s="6">
        <v>0</v>
      </c>
      <c r="P531" s="6">
        <f t="shared" si="133"/>
        <v>255474.41</v>
      </c>
      <c r="Q531" s="4" t="str">
        <f>LOOKUP($E531,OBRAS!$D:$D,OBRAS!B:B)</f>
        <v>PROMOCIONES TESIA, S.A. DE C.V.</v>
      </c>
      <c r="R531" s="4" t="str">
        <f>LOOKUP($E531,OBRAS!$D:$D,OBRAS!A:A)</f>
        <v>SANTA CRUZ</v>
      </c>
      <c r="S531" s="4" t="str">
        <f>LOOKUP($E531,OBRAS!$D:$D,OBRAS!F:F)</f>
        <v>11000002002201E202K05186A614202165FN03</v>
      </c>
      <c r="T531" s="4" t="str">
        <f>LOOKUP($E531,OBRAS!$D:$D,OBRAS!G:G)</f>
        <v>AO-926006995-E111-2016</v>
      </c>
      <c r="U531" s="4" t="s">
        <v>863</v>
      </c>
      <c r="V531" s="89">
        <v>42677</v>
      </c>
      <c r="W531" s="6">
        <f>LOOKUP($E531,OBRAS!$D:$D,OBRAS!K:K)</f>
        <v>851581.37</v>
      </c>
      <c r="X531" s="109" t="str">
        <f t="shared" si="126"/>
        <v/>
      </c>
      <c r="Y531" s="109">
        <f t="shared" si="128"/>
        <v>0.97230000000000005</v>
      </c>
      <c r="Z531" s="109">
        <f t="shared" si="127"/>
        <v>0.97219999999999995</v>
      </c>
      <c r="AA531" s="4" t="str">
        <f>LOOKUP($E531,OBRAS!$D:$D,OBRAS!H:H)</f>
        <v>SH-NC-17-R-005</v>
      </c>
    </row>
    <row r="532" spans="1:27" ht="60" x14ac:dyDescent="0.25">
      <c r="C532" s="49">
        <v>530</v>
      </c>
      <c r="D532" s="4" t="str">
        <f>LOOKUP($E532,OBRAS!$D:$D,OBRAS!C:C)</f>
        <v>PAVIMENTACION CON CARPETA ASFALTICA DE 5CMS DE ESPESOR DE LA AVENIDA FABRICA DE LOS ANGELES Y AV. PRINCIPAL DE LA LOCALIDAD FABRICA DE LOS ANGELES</v>
      </c>
      <c r="E532" s="4" t="s">
        <v>907</v>
      </c>
      <c r="F532" s="4"/>
      <c r="G532" s="4" t="str">
        <f>LOOKUP($E532,OBRAS!$D:$D,OBRAS!E:E)</f>
        <v>C-00052/0200</v>
      </c>
      <c r="H532" s="80" t="s">
        <v>23</v>
      </c>
      <c r="I532" s="6">
        <v>1029051.96</v>
      </c>
      <c r="J532" s="6"/>
      <c r="K532" s="6">
        <v>0</v>
      </c>
      <c r="L532" s="6">
        <f t="shared" si="129"/>
        <v>1029051.96</v>
      </c>
      <c r="M532" s="6">
        <f t="shared" si="130"/>
        <v>164648.31</v>
      </c>
      <c r="N532" s="6">
        <f t="shared" si="131"/>
        <v>1193700.27</v>
      </c>
      <c r="O532" s="6">
        <v>0</v>
      </c>
      <c r="P532" s="6">
        <f t="shared" si="133"/>
        <v>1193700.27</v>
      </c>
      <c r="Q532" s="4" t="str">
        <f>LOOKUP($E532,OBRAS!$D:$D,OBRAS!B:B)</f>
        <v>PROYECTOS Y EDIFICACIONES RANDA, S.A. DE C.V.</v>
      </c>
      <c r="R532" s="4" t="str">
        <f>LOOKUP($E532,OBRAS!$D:$D,OBRAS!A:A)</f>
        <v>SAN MIGUEL DE HORCASITAS</v>
      </c>
      <c r="S532" s="4" t="str">
        <f>LOOKUP($E532,OBRAS!$D:$D,OBRAS!F:F)</f>
        <v>11000002002201E202K05186A614202165FC05</v>
      </c>
      <c r="T532" s="4" t="str">
        <f>LOOKUP($E532,OBRAS!$D:$D,OBRAS!G:G)</f>
        <v>IO-926006995-E104-2016</v>
      </c>
      <c r="U532" s="4" t="s">
        <v>863</v>
      </c>
      <c r="V532" s="89">
        <v>42656</v>
      </c>
      <c r="W532" s="6">
        <f>LOOKUP($E532,OBRAS!$D:$D,OBRAS!K:K)</f>
        <v>3979000.91</v>
      </c>
      <c r="X532" s="109" t="str">
        <f t="shared" si="126"/>
        <v/>
      </c>
      <c r="Y532" s="109">
        <f t="shared" si="128"/>
        <v>0.91039999999999999</v>
      </c>
      <c r="Z532" s="109">
        <f t="shared" si="127"/>
        <v>0.93730000000000002</v>
      </c>
      <c r="AA532" s="4" t="str">
        <f>LOOKUP($E532,OBRAS!$D:$D,OBRAS!H:H)</f>
        <v>SH-NC-17-R-009</v>
      </c>
    </row>
    <row r="533" spans="1:27" ht="60" x14ac:dyDescent="0.25">
      <c r="A533" s="90">
        <v>42649</v>
      </c>
      <c r="B533" s="56">
        <v>4123</v>
      </c>
      <c r="C533" s="49">
        <v>531</v>
      </c>
      <c r="D533" s="4" t="str">
        <f>LOOKUP($E533,OBRAS!$D:$D,OBRAS!C:C)</f>
        <v>SUPERVISION EXTERNA Y CONTROL DE CALIDAD DE LA REHABILITACION DE EDIFICIO PARA ALBERGAR JUZGADO DE ORALIDAD PENAL DEL DISTRITO JUDICIAL CON SEDE EN HERMOSILLO, 2DA ETAPA</v>
      </c>
      <c r="E533" s="4" t="s">
        <v>471</v>
      </c>
      <c r="F533" s="4"/>
      <c r="G533" s="4" t="str">
        <f>LOOKUP($E533,OBRAS!$D:$D,OBRAS!E:E)</f>
        <v>C-00098/0016-5</v>
      </c>
      <c r="H533" s="80" t="s">
        <v>221</v>
      </c>
      <c r="I533" s="6">
        <v>24471.53</v>
      </c>
      <c r="J533" s="6"/>
      <c r="K533" s="6">
        <v>0</v>
      </c>
      <c r="L533" s="6">
        <f t="shared" si="129"/>
        <v>24471.53</v>
      </c>
      <c r="M533" s="6">
        <f t="shared" si="130"/>
        <v>3915.44</v>
      </c>
      <c r="N533" s="6">
        <f t="shared" si="131"/>
        <v>28386.97</v>
      </c>
      <c r="O533" s="6">
        <f>+ROUND(I533*0.002,2)+ROUND(I533*0.0003,2)+ROUND(I533*0.0003,2)+ROUND(I533*0.0003,2)</f>
        <v>70.959999999999994</v>
      </c>
      <c r="P533" s="6">
        <f t="shared" si="133"/>
        <v>28316.01</v>
      </c>
      <c r="Q533" s="4" t="str">
        <f>LOOKUP($E533,OBRAS!$D:$D,OBRAS!B:B)</f>
        <v>GYS CONSTRUCTORES S.A. DE C.V.</v>
      </c>
      <c r="R533" s="4" t="str">
        <f>LOOKUP($E533,OBRAS!$D:$D,OBRAS!A:A)</f>
        <v>HERMOSILLO</v>
      </c>
      <c r="S533" s="4" t="str">
        <f>LOOKUP($E533,OBRAS!$D:$D,OBRAS!F:F)</f>
        <v>11000002002207E201K02104A622212161A013</v>
      </c>
      <c r="T533" s="4" t="str">
        <f>LOOKUP($E533,OBRAS!$D:$D,OBRAS!G:G)</f>
        <v>ADJUDICACIÓN DIRECTA</v>
      </c>
      <c r="U533" s="4" t="s">
        <v>863</v>
      </c>
      <c r="V533" s="89">
        <v>42671</v>
      </c>
      <c r="W533" s="6">
        <f>LOOKUP($E533,OBRAS!$D:$D,OBRAS!K:K)</f>
        <v>70967.48</v>
      </c>
      <c r="X533" s="109">
        <f t="shared" si="126"/>
        <v>0.4</v>
      </c>
      <c r="Y533" s="109">
        <f t="shared" si="128"/>
        <v>1</v>
      </c>
      <c r="Z533" s="109">
        <f t="shared" si="127"/>
        <v>1</v>
      </c>
      <c r="AA533" s="4" t="str">
        <f>LOOKUP($E533,OBRAS!$D:$D,OBRAS!H:H)</f>
        <v>SH-ED-16-011</v>
      </c>
    </row>
    <row r="534" spans="1:27" ht="60" x14ac:dyDescent="0.25">
      <c r="C534" s="51">
        <v>532</v>
      </c>
      <c r="D534" s="4" t="str">
        <f>LOOKUP($E534,OBRAS!$D:$D,OBRAS!C:C)</f>
        <v>REHABILITACION DE PAVIMENTOS A BASE DE RECARPETEO CON CARPETA ASFALTICA DE 3CM ESPESOR, EN 12 CALLES DE LA LOCALIDAD DE EMPALME</v>
      </c>
      <c r="E534" s="4" t="s">
        <v>914</v>
      </c>
      <c r="F534" s="4"/>
      <c r="G534" s="4" t="str">
        <f>LOOKUP($E534,OBRAS!$D:$D,OBRAS!E:E)</f>
        <v>C-00052/0231</v>
      </c>
      <c r="H534" s="80" t="s">
        <v>23</v>
      </c>
      <c r="I534" s="6">
        <v>2647720.34</v>
      </c>
      <c r="J534" s="6"/>
      <c r="K534" s="6"/>
      <c r="L534" s="6">
        <f t="shared" si="129"/>
        <v>2647720.34</v>
      </c>
      <c r="M534" s="6">
        <f t="shared" si="130"/>
        <v>423635.25</v>
      </c>
      <c r="N534" s="6">
        <f t="shared" si="131"/>
        <v>3071355.59</v>
      </c>
      <c r="O534" s="6">
        <v>0</v>
      </c>
      <c r="P534" s="6">
        <f t="shared" si="133"/>
        <v>3071355.59</v>
      </c>
      <c r="Q534" s="4" t="str">
        <f>LOOKUP($E534,OBRAS!$D:$D,OBRAS!B:B)</f>
        <v>CONCRETOS Y AGREGADOS DE CAJEME, S.A. DE C.V.</v>
      </c>
      <c r="R534" s="4" t="str">
        <f>LOOKUP($E534,OBRAS!$D:$D,OBRAS!A:A)</f>
        <v>EMPALME</v>
      </c>
      <c r="S534" s="4" t="str">
        <f>LOOKUP($E534,OBRAS!$D:$D,OBRAS!F:F)</f>
        <v>11000002002201E202K05186A614202165CN07</v>
      </c>
      <c r="T534" s="4" t="str">
        <f>LOOKUP($E534,OBRAS!$D:$D,OBRAS!G:G)</f>
        <v>LO-926006995-E92-2016</v>
      </c>
      <c r="U534" s="4" t="s">
        <v>863</v>
      </c>
      <c r="V534" s="89">
        <v>42660</v>
      </c>
      <c r="W534" s="6">
        <f>LOOKUP($E534,OBRAS!$D:$D,OBRAS!K:K)</f>
        <v>10237851.949999999</v>
      </c>
      <c r="X534" s="109" t="str">
        <f t="shared" si="126"/>
        <v/>
      </c>
      <c r="Y534" s="109">
        <f t="shared" si="128"/>
        <v>1.6299999999999999E-2</v>
      </c>
      <c r="Z534" s="109">
        <f t="shared" si="127"/>
        <v>0.31140000000000001</v>
      </c>
      <c r="AA534" s="4" t="str">
        <f>LOOKUP($E534,OBRAS!$D:$D,OBRAS!H:H)</f>
        <v>SH-NC-17-R-005</v>
      </c>
    </row>
    <row r="535" spans="1:27" ht="45" x14ac:dyDescent="0.25">
      <c r="C535" s="51">
        <v>533</v>
      </c>
      <c r="D535" s="4" t="str">
        <f>LOOKUP($E535,OBRAS!$D:$D,OBRAS!C:C)</f>
        <v>PAVIMENTACION CON CONCRETO HIDRAULICO EN LA CALLE AGUSTIN FIGUEROA EN LA LOCALIDAD DE BANAMICHI, SONORA</v>
      </c>
      <c r="E535" s="4" t="s">
        <v>919</v>
      </c>
      <c r="F535" s="4"/>
      <c r="G535" s="4" t="str">
        <f>LOOKUP($E535,OBRAS!$D:$D,OBRAS!E:E)</f>
        <v>C-00052/0204</v>
      </c>
      <c r="H535" s="80" t="s">
        <v>23</v>
      </c>
      <c r="I535" s="6">
        <v>489011.46</v>
      </c>
      <c r="J535" s="6"/>
      <c r="K535" s="6">
        <v>0</v>
      </c>
      <c r="L535" s="6">
        <f t="shared" si="129"/>
        <v>489011.46</v>
      </c>
      <c r="M535" s="6">
        <f t="shared" si="130"/>
        <v>78241.83</v>
      </c>
      <c r="N535" s="6">
        <f t="shared" si="131"/>
        <v>567253.29</v>
      </c>
      <c r="O535" s="6">
        <v>0</v>
      </c>
      <c r="P535" s="6">
        <f t="shared" si="133"/>
        <v>567253.29</v>
      </c>
      <c r="Q535" s="4" t="str">
        <f>LOOKUP($E535,OBRAS!$D:$D,OBRAS!B:B)</f>
        <v>ORTOPLAN CONSULTORES S. A. DE C. V.</v>
      </c>
      <c r="R535" s="4" t="str">
        <f>LOOKUP($E535,OBRAS!$D:$D,OBRAS!A:A)</f>
        <v>BANAMICHI</v>
      </c>
      <c r="S535" s="4" t="str">
        <f>LOOKUP($E535,OBRAS!$D:$D,OBRAS!F:F)</f>
        <v>11000002002201E202K05186A614202165FN05</v>
      </c>
      <c r="T535" s="4" t="str">
        <f>LOOKUP($E535,OBRAS!$D:$D,OBRAS!G:G)</f>
        <v>10-926006995-E105-2016</v>
      </c>
      <c r="U535" s="4" t="s">
        <v>863</v>
      </c>
      <c r="V535" s="89">
        <v>42657</v>
      </c>
      <c r="W535" s="6">
        <f>LOOKUP($E535,OBRAS!$D:$D,OBRAS!K:K)</f>
        <v>1890844.29</v>
      </c>
      <c r="X535" s="109" t="str">
        <f t="shared" si="126"/>
        <v/>
      </c>
      <c r="Y535" s="109">
        <f t="shared" si="128"/>
        <v>0.93669999999999998</v>
      </c>
      <c r="Z535" s="109">
        <f t="shared" si="127"/>
        <v>0.95569999999999999</v>
      </c>
      <c r="AA535" s="4" t="str">
        <f>LOOKUP($E535,OBRAS!$D:$D,OBRAS!H:H)</f>
        <v>SH-NC-17-R-005</v>
      </c>
    </row>
    <row r="536" spans="1:27" ht="60" x14ac:dyDescent="0.25">
      <c r="C536" s="51">
        <v>534</v>
      </c>
      <c r="D536" s="4" t="str">
        <f>LOOKUP($E536,OBRAS!$D:$D,OBRAS!C:C)</f>
        <v>PAVIMENTACION CON CONCRETO HIDRAULICO DE 15 CMS DE ESPESOR EN LAS CALLES JOSE A. LUNA Y VICENTE GUERRERO EN LA LOCALIDAD Y MUNICIPIO DE ACONCHI, SONORA</v>
      </c>
      <c r="E536" s="4" t="s">
        <v>924</v>
      </c>
      <c r="F536" s="4"/>
      <c r="G536" s="4" t="str">
        <f>LOOKUP($E536,OBRAS!$D:$D,OBRAS!E:E)</f>
        <v>C-00052/0214</v>
      </c>
      <c r="H536" s="80" t="s">
        <v>23</v>
      </c>
      <c r="I536" s="6">
        <v>671359.79</v>
      </c>
      <c r="J536" s="6"/>
      <c r="K536" s="6">
        <v>0</v>
      </c>
      <c r="L536" s="6">
        <f t="shared" si="129"/>
        <v>671359.79</v>
      </c>
      <c r="M536" s="6">
        <f t="shared" si="130"/>
        <v>107417.57</v>
      </c>
      <c r="N536" s="6">
        <f t="shared" si="131"/>
        <v>778777.36</v>
      </c>
      <c r="O536" s="6">
        <v>0</v>
      </c>
      <c r="P536" s="6">
        <f t="shared" si="133"/>
        <v>778777.36</v>
      </c>
      <c r="Q536" s="4" t="str">
        <f>LOOKUP($E536,OBRAS!$D:$D,OBRAS!B:B)</f>
        <v>ORTOPLAN CONSULTORES S. A. DE C. V.</v>
      </c>
      <c r="R536" s="4" t="str">
        <f>LOOKUP($E536,OBRAS!$D:$D,OBRAS!A:A)</f>
        <v>ACONCHI</v>
      </c>
      <c r="S536" s="4" t="str">
        <f>LOOKUP($E536,OBRAS!$D:$D,OBRAS!F:F)</f>
        <v>11000002002201E202K05186A614202165FN05</v>
      </c>
      <c r="T536" s="4" t="str">
        <f>LOOKUP($E536,OBRAS!$D:$D,OBRAS!G:G)</f>
        <v>10-926006995-E106-2016</v>
      </c>
      <c r="U536" s="4" t="s">
        <v>863</v>
      </c>
      <c r="V536" s="89">
        <v>42657</v>
      </c>
      <c r="W536" s="6">
        <f>LOOKUP($E536,OBRAS!$D:$D,OBRAS!K:K)</f>
        <v>2595924.5299999998</v>
      </c>
      <c r="X536" s="109" t="str">
        <f t="shared" si="126"/>
        <v/>
      </c>
      <c r="Y536" s="109">
        <f t="shared" si="128"/>
        <v>0.81279999999999997</v>
      </c>
      <c r="Z536" s="109">
        <f t="shared" si="127"/>
        <v>0.86899999999999999</v>
      </c>
      <c r="AA536" s="4" t="str">
        <f>LOOKUP($E536,OBRAS!$D:$D,OBRAS!H:H)</f>
        <v>SH-NC-17-R-005</v>
      </c>
    </row>
    <row r="537" spans="1:27" ht="60" x14ac:dyDescent="0.25">
      <c r="A537" s="90">
        <v>42649</v>
      </c>
      <c r="B537" s="56">
        <v>4128</v>
      </c>
      <c r="C537" s="49">
        <v>535</v>
      </c>
      <c r="D537" s="4" t="str">
        <f>LOOKUP($E537,OBRAS!$D:$D,OBRAS!C:C)</f>
        <v>SUPERVISION EXTERNA Y CONTROL DE CALIDAD PARA LA OBRA RECONSTRUCCION DEL CAMINO NAVOJOA-ETCHOJOA-HUATABAMPO DE VARIAS LOCALIDADES Y MUNICIPIOS DE SONORA.</v>
      </c>
      <c r="E537" s="4" t="s">
        <v>359</v>
      </c>
      <c r="F537" s="4"/>
      <c r="G537" s="4" t="str">
        <f>LOOKUP($E537,OBRAS!$D:$D,OBRAS!E:E)</f>
        <v>C-00098/0021</v>
      </c>
      <c r="H537" s="80" t="s">
        <v>55</v>
      </c>
      <c r="I537" s="6">
        <v>227375.43</v>
      </c>
      <c r="J537" s="6"/>
      <c r="K537" s="6">
        <f t="shared" ref="K537:K542" si="134">ROUND(I537*0.1,2)</f>
        <v>22737.54</v>
      </c>
      <c r="L537" s="6">
        <f t="shared" si="129"/>
        <v>204637.89</v>
      </c>
      <c r="M537" s="6">
        <f t="shared" si="130"/>
        <v>32742.06</v>
      </c>
      <c r="N537" s="6">
        <f t="shared" si="131"/>
        <v>237379.95</v>
      </c>
      <c r="O537" s="6">
        <f t="shared" ref="O537:O542" si="135">+ROUND(I537*0.002,2)+ROUND(I537*0.0003,2)+ROUND(I537*0.0003,2)+ROUND(I537*0.0003,2)</f>
        <v>659.38</v>
      </c>
      <c r="P537" s="6">
        <f t="shared" si="133"/>
        <v>236720.57</v>
      </c>
      <c r="Q537" s="4" t="str">
        <f>LOOKUP($E537,OBRAS!$D:$D,OBRAS!B:B)</f>
        <v>ADRIANA BELTRAN LAGARDA</v>
      </c>
      <c r="R537" s="4" t="str">
        <f>LOOKUP($E537,OBRAS!$D:$D,OBRAS!A:A)</f>
        <v>VARIOS</v>
      </c>
      <c r="S537" s="4" t="str">
        <f>LOOKUP($E537,OBRAS!$D:$D,OBRAS!F:F)</f>
        <v>11000002003501E203K03203A625132161A013</v>
      </c>
      <c r="T537" s="4" t="str">
        <f>LOOKUP($E537,OBRAS!$D:$D,OBRAS!G:G)</f>
        <v>CE-926006995-E45-2016</v>
      </c>
      <c r="U537" s="4" t="s">
        <v>863</v>
      </c>
      <c r="V537" s="89">
        <v>42697</v>
      </c>
      <c r="W537" s="6">
        <f>LOOKUP($E537,OBRAS!$D:$D,OBRAS!K:K)</f>
        <v>1055021.97</v>
      </c>
      <c r="X537" s="109">
        <f t="shared" ref="X537:X568" si="136">IF(H537&lt;&gt;"ANTICIPO",I537/(W537/1.16),"")</f>
        <v>0.25</v>
      </c>
      <c r="Y537" s="109">
        <f t="shared" si="128"/>
        <v>1</v>
      </c>
      <c r="Z537" s="109">
        <f t="shared" ref="Z537:Z568" si="137">SUMIF(E:E,E537,N:N)/W537</f>
        <v>1</v>
      </c>
      <c r="AA537" s="4" t="str">
        <f>LOOKUP($E537,OBRAS!$D:$D,OBRAS!H:H)</f>
        <v>SH-ED-16-020</v>
      </c>
    </row>
    <row r="538" spans="1:27" ht="75" x14ac:dyDescent="0.25">
      <c r="A538" s="90">
        <v>42649</v>
      </c>
      <c r="B538" s="56">
        <v>4129</v>
      </c>
      <c r="C538" s="49">
        <v>536</v>
      </c>
      <c r="D538" s="4" t="str">
        <f>LOOKUP($E538,OBRAS!$D:$D,OBRAS!C:C)</f>
        <v>SUPERVISION EXTERNA PARA LA OBRA: CONSTRUCCION DE PARQUE, PLAYA Y BALNEARIO KINO MAGICO (ETAPA 1) EN LA COMISARIA DE BAHIA DE KINO MUNICIPIO DE HERMOSILLO, SONORA.</v>
      </c>
      <c r="E538" s="4" t="s">
        <v>410</v>
      </c>
      <c r="F538" s="4" t="s">
        <v>927</v>
      </c>
      <c r="G538" s="4" t="str">
        <f>LOOKUP($E538,OBRAS!$D:$D,OBRAS!E:E)</f>
        <v>C-00053/0014</v>
      </c>
      <c r="H538" s="80" t="s">
        <v>221</v>
      </c>
      <c r="I538" s="6">
        <v>299129.75</v>
      </c>
      <c r="J538" s="6"/>
      <c r="K538" s="6">
        <f t="shared" si="134"/>
        <v>29912.98</v>
      </c>
      <c r="L538" s="6">
        <f t="shared" si="129"/>
        <v>269216.77</v>
      </c>
      <c r="M538" s="6">
        <f t="shared" si="130"/>
        <v>43074.68</v>
      </c>
      <c r="N538" s="6">
        <f t="shared" si="131"/>
        <v>312291.45</v>
      </c>
      <c r="O538" s="6">
        <f t="shared" si="135"/>
        <v>867.48</v>
      </c>
      <c r="P538" s="6">
        <f t="shared" si="133"/>
        <v>311423.96999999997</v>
      </c>
      <c r="Q538" s="4" t="str">
        <f>LOOKUP($E538,OBRAS!$D:$D,OBRAS!B:B)</f>
        <v>CONSULTORIA Y CONSTRUCCION DEL NOROESTE</v>
      </c>
      <c r="R538" s="4" t="str">
        <f>LOOKUP($E538,OBRAS!$D:$D,OBRAS!A:A)</f>
        <v>HERMOSILLO</v>
      </c>
      <c r="S538" s="4" t="str">
        <f>LOOKUP($E538,OBRAS!$D:$D,OBRAS!F:F)</f>
        <v>11000002003701E306K05101A121012162A207</v>
      </c>
      <c r="T538" s="4" t="str">
        <f>LOOKUP($E538,OBRAS!$D:$D,OBRAS!G:G)</f>
        <v>CE-926006995-E56-2016</v>
      </c>
      <c r="U538" s="4" t="s">
        <v>863</v>
      </c>
      <c r="V538" s="89">
        <v>42697</v>
      </c>
      <c r="W538" s="6">
        <f>LOOKUP($E538,OBRAS!$D:$D,OBRAS!K:K)</f>
        <v>2428933.5699999998</v>
      </c>
      <c r="X538" s="109">
        <f t="shared" si="136"/>
        <v>0.1429</v>
      </c>
      <c r="Y538" s="109">
        <f t="shared" si="128"/>
        <v>0.71450000000000002</v>
      </c>
      <c r="Z538" s="109">
        <f t="shared" si="137"/>
        <v>0.7429</v>
      </c>
      <c r="AA538" s="4" t="str">
        <f>LOOKUP($E538,OBRAS!$D:$D,OBRAS!H:H)</f>
        <v>SH-ED-16-046</v>
      </c>
    </row>
    <row r="539" spans="1:27" ht="75" x14ac:dyDescent="0.25">
      <c r="A539" s="90">
        <v>42649</v>
      </c>
      <c r="B539" s="56">
        <v>4130</v>
      </c>
      <c r="C539" s="49">
        <v>537</v>
      </c>
      <c r="D539" s="4" t="str">
        <f>LOOKUP($E539,OBRAS!$D:$D,OBRAS!C:C)</f>
        <v>SUPERVISION EXTERNA PARA LA OBRA: CONSTRUCCION DE PARQUE, PLAYA Y BALNEARIO KINO MAGICO (ETAPA 1) EN LA COMISARIA DE BAHIA DE KINO MUNICIPIO DE HERMOSILLO, SONORA.</v>
      </c>
      <c r="E539" s="4" t="s">
        <v>410</v>
      </c>
      <c r="F539" s="4" t="s">
        <v>927</v>
      </c>
      <c r="G539" s="4" t="str">
        <f>LOOKUP($E539,OBRAS!$D:$D,OBRAS!E:E)</f>
        <v>C-00053/0014</v>
      </c>
      <c r="H539" s="80" t="s">
        <v>55</v>
      </c>
      <c r="I539" s="6">
        <v>299129.75</v>
      </c>
      <c r="J539" s="6"/>
      <c r="K539" s="6">
        <f t="shared" si="134"/>
        <v>29912.98</v>
      </c>
      <c r="L539" s="6">
        <f t="shared" si="129"/>
        <v>269216.77</v>
      </c>
      <c r="M539" s="6">
        <f t="shared" si="130"/>
        <v>43074.68</v>
      </c>
      <c r="N539" s="6">
        <f t="shared" si="131"/>
        <v>312291.45</v>
      </c>
      <c r="O539" s="6">
        <f t="shared" si="135"/>
        <v>867.48</v>
      </c>
      <c r="P539" s="6">
        <f t="shared" si="133"/>
        <v>311423.96999999997</v>
      </c>
      <c r="Q539" s="4" t="str">
        <f>LOOKUP($E539,OBRAS!$D:$D,OBRAS!B:B)</f>
        <v>CONSULTORIA Y CONSTRUCCION DEL NOROESTE</v>
      </c>
      <c r="R539" s="4" t="str">
        <f>LOOKUP($E539,OBRAS!$D:$D,OBRAS!A:A)</f>
        <v>HERMOSILLO</v>
      </c>
      <c r="S539" s="4" t="str">
        <f>LOOKUP($E539,OBRAS!$D:$D,OBRAS!F:F)</f>
        <v>11000002003701E306K05101A121012162A207</v>
      </c>
      <c r="T539" s="4" t="str">
        <f>LOOKUP($E539,OBRAS!$D:$D,OBRAS!G:G)</f>
        <v>CE-926006995-E56-2016</v>
      </c>
      <c r="U539" s="4" t="s">
        <v>863</v>
      </c>
      <c r="V539" s="89">
        <v>42781</v>
      </c>
      <c r="W539" s="6">
        <f>LOOKUP($E539,OBRAS!$D:$D,OBRAS!K:K)</f>
        <v>2428933.5699999998</v>
      </c>
      <c r="X539" s="109">
        <f t="shared" si="136"/>
        <v>0.1429</v>
      </c>
      <c r="Y539" s="109">
        <f t="shared" si="128"/>
        <v>0.71450000000000002</v>
      </c>
      <c r="Z539" s="109">
        <f t="shared" si="137"/>
        <v>0.7429</v>
      </c>
      <c r="AA539" s="4" t="str">
        <f>LOOKUP($E539,OBRAS!$D:$D,OBRAS!H:H)</f>
        <v>SH-ED-16-046</v>
      </c>
    </row>
    <row r="540" spans="1:27" ht="60" x14ac:dyDescent="0.25">
      <c r="A540" s="90">
        <v>42649</v>
      </c>
      <c r="B540" s="56">
        <v>4131</v>
      </c>
      <c r="C540" s="49">
        <v>538</v>
      </c>
      <c r="D540" s="4" t="str">
        <f>LOOKUP($E540,OBRAS!$D:$D,OBRAS!C:C)</f>
        <v>SUPERVISION EXTERNA Y CONTROL DE CALIDAD DE LA OBRA: RECONSTRUCCION  DEL CAMINO  CALLE 1900 EN VARIAS LOCALIDADES DEL MUNICIPIO DE CAJEME, SONORA.</v>
      </c>
      <c r="E540" s="4" t="s">
        <v>424</v>
      </c>
      <c r="F540" s="4"/>
      <c r="G540" s="4" t="str">
        <f>LOOKUP($E540,OBRAS!$D:$D,OBRAS!E:E)</f>
        <v>C-00098/0021</v>
      </c>
      <c r="H540" s="80" t="s">
        <v>221</v>
      </c>
      <c r="I540" s="6">
        <v>159403.78</v>
      </c>
      <c r="J540" s="6"/>
      <c r="K540" s="6">
        <f t="shared" si="134"/>
        <v>15940.38</v>
      </c>
      <c r="L540" s="6">
        <f t="shared" si="129"/>
        <v>143463.4</v>
      </c>
      <c r="M540" s="6">
        <f t="shared" si="130"/>
        <v>22954.14</v>
      </c>
      <c r="N540" s="6">
        <f t="shared" si="131"/>
        <v>166417.54</v>
      </c>
      <c r="O540" s="6">
        <f t="shared" si="135"/>
        <v>462.27</v>
      </c>
      <c r="P540" s="6">
        <f t="shared" si="133"/>
        <v>165955.26999999999</v>
      </c>
      <c r="Q540" s="4" t="str">
        <f>LOOKUP($E540,OBRAS!$D:$D,OBRAS!B:B)</f>
        <v>SEI TETRA, S. A. DE C. V.</v>
      </c>
      <c r="R540" s="4" t="str">
        <f>LOOKUP($E540,OBRAS!$D:$D,OBRAS!A:A)</f>
        <v>CAJEME</v>
      </c>
      <c r="S540" s="4" t="str">
        <f>LOOKUP($E540,OBRAS!$D:$D,OBRAS!F:F)</f>
        <v>11000002003501E203K03203A625132161A013</v>
      </c>
      <c r="T540" s="4" t="str">
        <f>LOOKUP($E540,OBRAS!$D:$D,OBRAS!G:G)</f>
        <v>LICITACIÓN SIMPLIFICADA</v>
      </c>
      <c r="U540" s="4" t="s">
        <v>863</v>
      </c>
      <c r="V540" s="89">
        <v>42697</v>
      </c>
      <c r="W540" s="6">
        <f>LOOKUP($E540,OBRAS!$D:$D,OBRAS!K:K)</f>
        <v>739633.54</v>
      </c>
      <c r="X540" s="109">
        <f t="shared" si="136"/>
        <v>0.25</v>
      </c>
      <c r="Y540" s="109">
        <f t="shared" si="128"/>
        <v>1</v>
      </c>
      <c r="Z540" s="109">
        <f t="shared" si="137"/>
        <v>1</v>
      </c>
      <c r="AA540" s="4" t="str">
        <f>LOOKUP($E540,OBRAS!$D:$D,OBRAS!H:H)</f>
        <v>SH-ED-16-051</v>
      </c>
    </row>
    <row r="541" spans="1:27" ht="60" x14ac:dyDescent="0.25">
      <c r="A541" s="90">
        <v>42649</v>
      </c>
      <c r="B541" s="56">
        <v>4132</v>
      </c>
      <c r="C541" s="49">
        <v>539</v>
      </c>
      <c r="D541" s="4" t="str">
        <f>LOOKUP($E541,OBRAS!$D:$D,OBRAS!C:C)</f>
        <v>SUPERVISION EXTERNA Y CONTROL DE CALIDAD DE LA OBRA: RECONSTRUCCION  DEL CAMINO  CALLE 1900 EN VARIAS LOCALIDADES DEL MUNICIPIO DE CAJEME, SONORA.</v>
      </c>
      <c r="E541" s="4" t="s">
        <v>424</v>
      </c>
      <c r="F541" s="4"/>
      <c r="G541" s="4" t="str">
        <f>LOOKUP($E541,OBRAS!$D:$D,OBRAS!E:E)</f>
        <v>C-00098/0021</v>
      </c>
      <c r="H541" s="80" t="s">
        <v>55</v>
      </c>
      <c r="I541" s="6">
        <v>159403.78</v>
      </c>
      <c r="J541" s="6"/>
      <c r="K541" s="6">
        <f t="shared" si="134"/>
        <v>15940.38</v>
      </c>
      <c r="L541" s="6">
        <f t="shared" si="129"/>
        <v>143463.4</v>
      </c>
      <c r="M541" s="6">
        <f t="shared" si="130"/>
        <v>22954.14</v>
      </c>
      <c r="N541" s="6">
        <f t="shared" si="131"/>
        <v>166417.54</v>
      </c>
      <c r="O541" s="6">
        <f t="shared" si="135"/>
        <v>462.27</v>
      </c>
      <c r="P541" s="6">
        <f t="shared" si="133"/>
        <v>165955.26999999999</v>
      </c>
      <c r="Q541" s="4" t="str">
        <f>LOOKUP($E541,OBRAS!$D:$D,OBRAS!B:B)</f>
        <v>SEI TETRA, S. A. DE C. V.</v>
      </c>
      <c r="R541" s="4" t="str">
        <f>LOOKUP($E541,OBRAS!$D:$D,OBRAS!A:A)</f>
        <v>CAJEME</v>
      </c>
      <c r="S541" s="4" t="str">
        <f>LOOKUP($E541,OBRAS!$D:$D,OBRAS!F:F)</f>
        <v>11000002003501E203K03203A625132161A013</v>
      </c>
      <c r="T541" s="4" t="str">
        <f>LOOKUP($E541,OBRAS!$D:$D,OBRAS!G:G)</f>
        <v>LICITACIÓN SIMPLIFICADA</v>
      </c>
      <c r="U541" s="4" t="s">
        <v>863</v>
      </c>
      <c r="V541" s="89">
        <v>42697</v>
      </c>
      <c r="W541" s="6">
        <f>LOOKUP($E541,OBRAS!$D:$D,OBRAS!K:K)</f>
        <v>739633.54</v>
      </c>
      <c r="X541" s="109">
        <f t="shared" si="136"/>
        <v>0.25</v>
      </c>
      <c r="Y541" s="109">
        <f t="shared" si="128"/>
        <v>1</v>
      </c>
      <c r="Z541" s="109">
        <f t="shared" si="137"/>
        <v>1</v>
      </c>
      <c r="AA541" s="4" t="str">
        <f>LOOKUP($E541,OBRAS!$D:$D,OBRAS!H:H)</f>
        <v>SH-ED-16-051</v>
      </c>
    </row>
    <row r="542" spans="1:27" ht="60" x14ac:dyDescent="0.25">
      <c r="A542" s="90">
        <v>42649</v>
      </c>
      <c r="B542" s="56">
        <v>4133</v>
      </c>
      <c r="C542" s="49">
        <v>540</v>
      </c>
      <c r="D542" s="4" t="str">
        <f>LOOKUP($E542,OBRAS!$D:$D,OBRAS!C:C)</f>
        <v>SUPERVISION EXTERNA Y CONTROL DE CALIDAD DE RECONSTRUCCION DEL CAMINO HERMOSILLO-BAHIA DE KINO EN VARIAS LOCALIADES DEL MUNICIPIO DE HERMOSILLO, SONORA.</v>
      </c>
      <c r="E542" s="4" t="s">
        <v>421</v>
      </c>
      <c r="F542" s="4"/>
      <c r="G542" s="4" t="str">
        <f>LOOKUP($E542,OBRAS!$D:$D,OBRAS!E:E)</f>
        <v>C-00098/0021</v>
      </c>
      <c r="H542" s="80" t="s">
        <v>15</v>
      </c>
      <c r="I542" s="6">
        <v>168303.26</v>
      </c>
      <c r="J542" s="6"/>
      <c r="K542" s="6">
        <f t="shared" si="134"/>
        <v>16830.330000000002</v>
      </c>
      <c r="L542" s="6">
        <f t="shared" si="129"/>
        <v>151472.93</v>
      </c>
      <c r="M542" s="6">
        <f t="shared" si="130"/>
        <v>24235.67</v>
      </c>
      <c r="N542" s="6">
        <f t="shared" si="131"/>
        <v>175708.6</v>
      </c>
      <c r="O542" s="6">
        <f t="shared" si="135"/>
        <v>488.08</v>
      </c>
      <c r="P542" s="6">
        <f t="shared" si="133"/>
        <v>175220.52</v>
      </c>
      <c r="Q542" s="4" t="str">
        <f>LOOKUP($E542,OBRAS!$D:$D,OBRAS!B:B)</f>
        <v>SEI TETRA, S. A. DE C. V.</v>
      </c>
      <c r="R542" s="4" t="str">
        <f>LOOKUP($E542,OBRAS!$D:$D,OBRAS!A:A)</f>
        <v>HERMOSILLO</v>
      </c>
      <c r="S542" s="4" t="str">
        <f>LOOKUP($E542,OBRAS!$D:$D,OBRAS!F:F)</f>
        <v>11000002003501E203K03203A625132161A013</v>
      </c>
      <c r="T542" s="4" t="str">
        <f>LOOKUP($E542,OBRAS!$D:$D,OBRAS!G:G)</f>
        <v>CE-926006995-E49-2016</v>
      </c>
      <c r="U542" s="4" t="s">
        <v>863</v>
      </c>
      <c r="V542" s="89">
        <v>42781</v>
      </c>
      <c r="W542" s="6">
        <f>LOOKUP($E542,OBRAS!$D:$D,OBRAS!K:K)</f>
        <v>1146994.1499999999</v>
      </c>
      <c r="X542" s="109">
        <f t="shared" si="136"/>
        <v>0.17019999999999999</v>
      </c>
      <c r="Y542" s="109">
        <f t="shared" si="128"/>
        <v>1</v>
      </c>
      <c r="Z542" s="109">
        <f t="shared" si="137"/>
        <v>1</v>
      </c>
      <c r="AA542" s="4" t="str">
        <f>LOOKUP($E542,OBRAS!$D:$D,OBRAS!H:H)</f>
        <v>SH-ED-16-040</v>
      </c>
    </row>
    <row r="543" spans="1:27" ht="45" x14ac:dyDescent="0.25">
      <c r="C543" s="49">
        <v>541</v>
      </c>
      <c r="D543" s="4" t="str">
        <f>LOOKUP($E543,OBRAS!$D:$D,OBRAS!C:C)</f>
        <v>REHABILITACION DE PAVIMENTOS EN 12 CALLES DE CD. OBREGON NORTE EN LA LOCALIDAD DE CD. OBREGON MUNICIPIO DE CAJEME, SONORA.</v>
      </c>
      <c r="E543" s="4" t="s">
        <v>930</v>
      </c>
      <c r="F543" s="4"/>
      <c r="G543" s="4" t="str">
        <f>LOOKUP($E543,OBRAS!$D:$D,OBRAS!E:E)</f>
        <v>C-00052/0219</v>
      </c>
      <c r="H543" s="80" t="s">
        <v>23</v>
      </c>
      <c r="I543" s="6">
        <v>4045551.47</v>
      </c>
      <c r="J543" s="6"/>
      <c r="K543" s="6"/>
      <c r="L543" s="6">
        <f t="shared" si="129"/>
        <v>4045551.47</v>
      </c>
      <c r="M543" s="6">
        <f t="shared" si="130"/>
        <v>647288.24</v>
      </c>
      <c r="N543" s="6">
        <f t="shared" si="131"/>
        <v>4692839.71</v>
      </c>
      <c r="O543" s="6">
        <v>0</v>
      </c>
      <c r="P543" s="6">
        <f t="shared" si="133"/>
        <v>4692839.71</v>
      </c>
      <c r="Q543" s="4" t="str">
        <f>LOOKUP($E543,OBRAS!$D:$D,OBRAS!B:B)</f>
        <v>EDIFICACION INTEGRAL DEL NOROESTE S. A. DE C. V.</v>
      </c>
      <c r="R543" s="4" t="str">
        <f>LOOKUP($E543,OBRAS!$D:$D,OBRAS!A:A)</f>
        <v>CAJEME</v>
      </c>
      <c r="S543" s="4" t="str">
        <f>LOOKUP($E543,OBRAS!$D:$D,OBRAS!F:F)</f>
        <v>11000002002201E202K05186A614202165FN11</v>
      </c>
      <c r="T543" s="4" t="str">
        <f>LOOKUP($E543,OBRAS!$D:$D,OBRAS!G:G)</f>
        <v>LO-926006995-E97-2016</v>
      </c>
      <c r="U543" s="4" t="s">
        <v>863</v>
      </c>
      <c r="V543" s="89">
        <v>42669</v>
      </c>
      <c r="W543" s="6">
        <f>LOOKUP($E543,OBRAS!$D:$D,OBRAS!K:K)</f>
        <v>15642799.039999999</v>
      </c>
      <c r="X543" s="109" t="str">
        <f t="shared" si="136"/>
        <v/>
      </c>
      <c r="Y543" s="109">
        <f t="shared" si="128"/>
        <v>0.6623</v>
      </c>
      <c r="Z543" s="109">
        <f t="shared" si="137"/>
        <v>0.76370000000000005</v>
      </c>
      <c r="AA543" s="4" t="str">
        <f>LOOKUP($E543,OBRAS!$D:$D,OBRAS!H:H)</f>
        <v>SH-NC-17-R-005</v>
      </c>
    </row>
    <row r="544" spans="1:27" ht="45" x14ac:dyDescent="0.25">
      <c r="C544" s="49">
        <v>542</v>
      </c>
      <c r="D544" s="4" t="str">
        <f>LOOKUP($E544,OBRAS!$D:$D,OBRAS!C:C)</f>
        <v>REHABILITACION DE PAVIMENTOS DE VARIAS CALLES CON MICROCARPETA EN LA LOCALIDAD Y MUNICIPIO DE PITIQUITO, SONORA</v>
      </c>
      <c r="E544" s="4" t="s">
        <v>937</v>
      </c>
      <c r="F544" s="4"/>
      <c r="G544" s="4" t="str">
        <f>LOOKUP($E544,OBRAS!$D:$D,OBRAS!E:E)</f>
        <v>C-00052/0211</v>
      </c>
      <c r="H544" s="80" t="s">
        <v>23</v>
      </c>
      <c r="I544" s="6">
        <v>833600.7</v>
      </c>
      <c r="J544" s="6"/>
      <c r="K544" s="6"/>
      <c r="L544" s="6">
        <f t="shared" si="129"/>
        <v>833600.7</v>
      </c>
      <c r="M544" s="6">
        <f t="shared" si="130"/>
        <v>133376.10999999999</v>
      </c>
      <c r="N544" s="6">
        <f t="shared" si="131"/>
        <v>966976.81</v>
      </c>
      <c r="O544" s="6">
        <v>0</v>
      </c>
      <c r="P544" s="6">
        <f t="shared" si="133"/>
        <v>966976.81</v>
      </c>
      <c r="Q544" s="4" t="str">
        <f>LOOKUP($E544,OBRAS!$D:$D,OBRAS!B:B)</f>
        <v>SOL Y MAR CONSTRUCCIONES JEEV, S. DE R. L. DE C. V.</v>
      </c>
      <c r="R544" s="4" t="str">
        <f>LOOKUP($E544,OBRAS!$D:$D,OBRAS!A:A)</f>
        <v>PITIQUITO</v>
      </c>
      <c r="S544" s="4" t="str">
        <f>LOOKUP($E544,OBRAS!$D:$D,OBRAS!F:F)</f>
        <v>11000002002201E202K05186A614202165FN02</v>
      </c>
      <c r="T544" s="4" t="str">
        <f>LOOKUP($E544,OBRAS!$D:$D,OBRAS!G:G)</f>
        <v>IO-926006995-E100-2016</v>
      </c>
      <c r="U544" s="4" t="s">
        <v>863</v>
      </c>
      <c r="V544" s="89">
        <v>42677</v>
      </c>
      <c r="W544" s="6">
        <f>LOOKUP($E544,OBRAS!$D:$D,OBRAS!K:K)</f>
        <v>3223256.02</v>
      </c>
      <c r="X544" s="109" t="str">
        <f t="shared" si="136"/>
        <v/>
      </c>
      <c r="Y544" s="109">
        <f t="shared" si="128"/>
        <v>0.95289999999999997</v>
      </c>
      <c r="Z544" s="109">
        <f t="shared" si="137"/>
        <v>0.96709999999999996</v>
      </c>
      <c r="AA544" s="4" t="str">
        <f>LOOKUP($E544,OBRAS!$D:$D,OBRAS!H:H)</f>
        <v>SH-NC-17-R-005</v>
      </c>
    </row>
    <row r="545" spans="1:27" ht="60" x14ac:dyDescent="0.25">
      <c r="C545" s="49">
        <v>543</v>
      </c>
      <c r="D545" s="4" t="str">
        <f>LOOKUP($E545,OBRAS!$D:$D,OBRAS!C:C)</f>
        <v>PAVIMENTACION CON CONCRETO HIDRAULICO DE 15 CMS DE ESPESOR EN CALLE GALEANA EN LA LOCALIDAD Y MUNICIPIO DE TRINCHERAS, SONORA</v>
      </c>
      <c r="E545" s="4" t="s">
        <v>934</v>
      </c>
      <c r="F545" s="4"/>
      <c r="G545" s="4" t="str">
        <f>LOOKUP($E545,OBRAS!$D:$D,OBRAS!E:E)</f>
        <v>C-00052/0194</v>
      </c>
      <c r="H545" s="80" t="s">
        <v>23</v>
      </c>
      <c r="I545" s="6">
        <v>511219.25</v>
      </c>
      <c r="J545" s="6"/>
      <c r="K545" s="6">
        <v>0</v>
      </c>
      <c r="L545" s="6">
        <f t="shared" si="129"/>
        <v>511219.25</v>
      </c>
      <c r="M545" s="6">
        <f t="shared" si="130"/>
        <v>81795.08</v>
      </c>
      <c r="N545" s="6">
        <f t="shared" si="131"/>
        <v>593014.32999999996</v>
      </c>
      <c r="O545" s="6">
        <v>0</v>
      </c>
      <c r="P545" s="6">
        <f t="shared" si="133"/>
        <v>593014.32999999996</v>
      </c>
      <c r="Q545" s="4" t="str">
        <f>LOOKUP($E545,OBRAS!$D:$D,OBRAS!B:B)</f>
        <v>SOL Y MAR CONSTRUCCIONES JEEV, S. DE R. L. DE C. V.</v>
      </c>
      <c r="R545" s="4" t="str">
        <f>LOOKUP($E545,OBRAS!$D:$D,OBRAS!A:A)</f>
        <v>TRINCHERAS</v>
      </c>
      <c r="S545" s="4" t="str">
        <f>LOOKUP($E545,OBRAS!$D:$D,OBRAS!F:F)</f>
        <v>11000002002201E202K05186A614202165FC02</v>
      </c>
      <c r="T545" s="4" t="str">
        <f>LOOKUP($E545,OBRAS!$D:$D,OBRAS!G:G)</f>
        <v>IO-926006995-E112-2016</v>
      </c>
      <c r="U545" s="4" t="s">
        <v>863</v>
      </c>
      <c r="V545" s="89">
        <v>42678</v>
      </c>
      <c r="W545" s="6">
        <f>LOOKUP($E545,OBRAS!$D:$D,OBRAS!K:K)</f>
        <v>1976714.43</v>
      </c>
      <c r="X545" s="109" t="str">
        <f t="shared" si="136"/>
        <v/>
      </c>
      <c r="Y545" s="109">
        <f t="shared" si="128"/>
        <v>1</v>
      </c>
      <c r="Z545" s="109">
        <f t="shared" si="137"/>
        <v>1</v>
      </c>
      <c r="AA545" s="4" t="str">
        <f>LOOKUP($E545,OBRAS!$D:$D,OBRAS!H:H)</f>
        <v>SH-NC-17-R-009</v>
      </c>
    </row>
    <row r="546" spans="1:27" ht="90" x14ac:dyDescent="0.25">
      <c r="A546" s="90">
        <v>42654</v>
      </c>
      <c r="B546" s="56">
        <v>4209</v>
      </c>
      <c r="C546" s="49">
        <v>544</v>
      </c>
      <c r="D546" s="4" t="str">
        <f>LOOKUP($E546,OBRAS!$D:$D,OBRAS!C:C)</f>
        <v>SUPERVISION EXTERNA Y CONTROL DE CALIDAD PARA LA OBRA: CONSERVACIÓN Y RECONSTRUCCION DEL TRAMO MAZATÁN-VILLA PESQUEIRA-SAN PEDRO DE LA CUEVA EN LA REGION DE LA SIERRA EN VARIAS LOCALIDADES DE VARIOS MUNICIPIOS EN SONORA.</v>
      </c>
      <c r="E546" s="4" t="s">
        <v>437</v>
      </c>
      <c r="F546" s="4"/>
      <c r="G546" s="4" t="str">
        <f>LOOKUP($E546,OBRAS!$D:$D,OBRAS!E:E)</f>
        <v>C-00098/0021</v>
      </c>
      <c r="H546" s="80" t="s">
        <v>103</v>
      </c>
      <c r="I546" s="6">
        <v>147843.44</v>
      </c>
      <c r="J546" s="6"/>
      <c r="K546" s="6">
        <f>ROUND(I546*0.1,2)</f>
        <v>14784.34</v>
      </c>
      <c r="L546" s="6">
        <f t="shared" si="129"/>
        <v>133059.1</v>
      </c>
      <c r="M546" s="6">
        <f t="shared" si="130"/>
        <v>21289.46</v>
      </c>
      <c r="N546" s="6">
        <f t="shared" si="131"/>
        <v>154348.56</v>
      </c>
      <c r="O546" s="6">
        <f>+ROUND(I546*0.002,2)+ROUND(I546*0.0003,2)+ROUND(I546*0.0003,2)+ROUND(I546*0.0003,2)</f>
        <v>428.74</v>
      </c>
      <c r="P546" s="6">
        <f t="shared" si="133"/>
        <v>153919.82</v>
      </c>
      <c r="Q546" s="4" t="str">
        <f>LOOKUP($E546,OBRAS!$D:$D,OBRAS!B:B)</f>
        <v>LABORATORIO, ESTUDIOS Y SERVICIOS PROFESIONALES DE INGENIERIA, S.A. DE C.V.</v>
      </c>
      <c r="R546" s="4" t="str">
        <f>LOOKUP($E546,OBRAS!$D:$D,OBRAS!A:A)</f>
        <v>VARIOS</v>
      </c>
      <c r="S546" s="4" t="str">
        <f>LOOKUP($E546,OBRAS!$D:$D,OBRAS!F:F)</f>
        <v>11000002003501E203K03203A625132161A013</v>
      </c>
      <c r="T546" s="4" t="str">
        <f>LOOKUP($E546,OBRAS!$D:$D,OBRAS!G:G)</f>
        <v>CE-926006995-E58-2016</v>
      </c>
      <c r="U546" s="4" t="s">
        <v>863</v>
      </c>
      <c r="V546" s="89">
        <v>42781</v>
      </c>
      <c r="W546" s="6">
        <f>LOOKUP($E546,OBRAS!$D:$D,OBRAS!K:K)</f>
        <v>1028990.34</v>
      </c>
      <c r="X546" s="109">
        <f t="shared" si="136"/>
        <v>0.16669999999999999</v>
      </c>
      <c r="Y546" s="109">
        <f t="shared" si="128"/>
        <v>0.50009999999999999</v>
      </c>
      <c r="Z546" s="109">
        <f t="shared" si="137"/>
        <v>0.55000000000000004</v>
      </c>
      <c r="AA546" s="4" t="str">
        <f>LOOKUP($E546,OBRAS!$D:$D,OBRAS!H:H)</f>
        <v>SH-ED-16-051</v>
      </c>
    </row>
    <row r="547" spans="1:27" ht="75" x14ac:dyDescent="0.25">
      <c r="A547" s="90">
        <v>42654</v>
      </c>
      <c r="B547" s="56">
        <v>4210</v>
      </c>
      <c r="C547" s="49">
        <v>545</v>
      </c>
      <c r="D547" s="4" t="str">
        <f>LOOKUP($E547,OBRAS!$D:$D,OBRAS!C:C)</f>
        <v>SUPERVISION EXTERNA Y CONTROL DE CALIDAD DE LA OBRA: CONSERVACION Y RECONSTRUCCION DEL TRAMO MAZATAN - HERMOSILLO EN VARIAS LOCALIDADES DE VARIOS MUNICIPIOS DEL ESTADO DE SONORA.</v>
      </c>
      <c r="E547" s="4" t="s">
        <v>431</v>
      </c>
      <c r="F547" s="4"/>
      <c r="G547" s="4" t="str">
        <f>LOOKUP($E547,OBRAS!$D:$D,OBRAS!E:E)</f>
        <v>C-00098/0021</v>
      </c>
      <c r="H547" s="80" t="s">
        <v>103</v>
      </c>
      <c r="I547" s="6">
        <v>223877.65</v>
      </c>
      <c r="J547" s="6"/>
      <c r="K547" s="6">
        <f>ROUND(I547*0.1,2)</f>
        <v>22387.77</v>
      </c>
      <c r="L547" s="6">
        <f t="shared" si="129"/>
        <v>201489.88</v>
      </c>
      <c r="M547" s="6">
        <f t="shared" si="130"/>
        <v>32238.38</v>
      </c>
      <c r="N547" s="6">
        <f t="shared" si="131"/>
        <v>233728.26</v>
      </c>
      <c r="O547" s="6">
        <f>+ROUND(I547*0.002,2)+ROUND(I547*0.0003,2)+ROUND(I547*0.0003,2)+ROUND(I547*0.0003,2)</f>
        <v>649.24</v>
      </c>
      <c r="P547" s="6">
        <f t="shared" si="133"/>
        <v>233079.02</v>
      </c>
      <c r="Q547" s="4" t="str">
        <f>LOOKUP($E547,OBRAS!$D:$D,OBRAS!B:B)</f>
        <v>LABORATORIO, ESTUDIOS Y SERVICIOS PROFESIONALES DE INGENIERIA, S.A. DE C.V.</v>
      </c>
      <c r="R547" s="4" t="str">
        <f>LOOKUP($E547,OBRAS!$D:$D,OBRAS!A:A)</f>
        <v>VARIOS</v>
      </c>
      <c r="S547" s="4" t="str">
        <f>LOOKUP($E547,OBRAS!$D:$D,OBRAS!F:F)</f>
        <v>11000002003501E203K03203A625132161A013</v>
      </c>
      <c r="T547" s="4" t="str">
        <f>LOOKUP($E547,OBRAS!$D:$D,OBRAS!G:G)</f>
        <v>LICITACIÓN SIMPLIFICADA</v>
      </c>
      <c r="U547" s="4" t="s">
        <v>863</v>
      </c>
      <c r="V547" s="89">
        <v>42697</v>
      </c>
      <c r="W547" s="6">
        <f>LOOKUP($E547,OBRAS!$D:$D,OBRAS!K:K)</f>
        <v>779094.22</v>
      </c>
      <c r="X547" s="109">
        <f t="shared" si="136"/>
        <v>0.33329999999999999</v>
      </c>
      <c r="Y547" s="109">
        <f t="shared" si="128"/>
        <v>0.99990000000000001</v>
      </c>
      <c r="Z547" s="109">
        <f t="shared" si="137"/>
        <v>1</v>
      </c>
      <c r="AA547" s="4" t="str">
        <f>LOOKUP($E547,OBRAS!$D:$D,OBRAS!H:H)</f>
        <v>SH-ED-16-051</v>
      </c>
    </row>
    <row r="548" spans="1:27" ht="45" x14ac:dyDescent="0.25">
      <c r="A548" s="90">
        <v>42713</v>
      </c>
      <c r="B548" s="56">
        <v>5701</v>
      </c>
      <c r="C548" s="49">
        <v>546</v>
      </c>
      <c r="D548" s="4" t="str">
        <f>LOOKUP($E548,OBRAS!$D:$D,OBRAS!C:C)</f>
        <v>SUPERVISION EXTERNA Y CONTROL DE CALIDAD PARA LA OBRA: RECONSTRUCCIÓN DEL CAMINO CALLE 12 SUR, HERMOSILLO, SONORA.</v>
      </c>
      <c r="E548" s="4" t="s">
        <v>419</v>
      </c>
      <c r="F548" s="4"/>
      <c r="G548" s="4" t="str">
        <f>LOOKUP($E548,OBRAS!$D:$D,OBRAS!E:E)</f>
        <v>C-00098/0022</v>
      </c>
      <c r="H548" s="80" t="s">
        <v>15</v>
      </c>
      <c r="I548" s="6">
        <v>16630.68</v>
      </c>
      <c r="J548" s="6"/>
      <c r="K548" s="6">
        <f>ROUND(I548*0.1,2)</f>
        <v>1663.07</v>
      </c>
      <c r="L548" s="6">
        <f t="shared" si="129"/>
        <v>14967.61</v>
      </c>
      <c r="M548" s="6">
        <f t="shared" si="130"/>
        <v>2394.8200000000002</v>
      </c>
      <c r="N548" s="6">
        <f t="shared" si="131"/>
        <v>17362.43</v>
      </c>
      <c r="O548" s="6">
        <f>+ROUND(I548*0.002,2)+ROUND(I548*0.0003,2)+ROUND(I548*0.0003,2)+ROUND(I548*0.0003,2)</f>
        <v>48.23</v>
      </c>
      <c r="P548" s="6">
        <f t="shared" si="133"/>
        <v>17314.2</v>
      </c>
      <c r="Q548" s="4" t="str">
        <f>LOOKUP($E548,OBRAS!$D:$D,OBRAS!B:B)</f>
        <v>SEI TETRA, S. A. DE C. V.</v>
      </c>
      <c r="R548" s="4" t="str">
        <f>LOOKUP($E548,OBRAS!$D:$D,OBRAS!A:A)</f>
        <v>HERMOSILLO</v>
      </c>
      <c r="S548" s="4" t="str">
        <f>LOOKUP($E548,OBRAS!$D:$D,OBRAS!F:F)</f>
        <v>11000002002207E201K02104A622212161A013</v>
      </c>
      <c r="T548" s="4" t="str">
        <f>LOOKUP($E548,OBRAS!$D:$D,OBRAS!G:G)</f>
        <v>LICITACIÓN SIMPLIFICADA</v>
      </c>
      <c r="U548" s="4" t="s">
        <v>2238</v>
      </c>
      <c r="V548" s="89">
        <v>42713</v>
      </c>
      <c r="W548" s="6">
        <f>LOOKUP($E548,OBRAS!$D:$D,OBRAS!K:K)</f>
        <v>703223.55</v>
      </c>
      <c r="X548" s="109">
        <f t="shared" si="136"/>
        <v>2.7400000000000001E-2</v>
      </c>
      <c r="Y548" s="109">
        <f>ROUND(SUMIF(E:E,E548,X:X),2)</f>
        <v>1</v>
      </c>
      <c r="Z548" s="109">
        <f t="shared" si="137"/>
        <v>1</v>
      </c>
      <c r="AA548" s="4" t="str">
        <f>LOOKUP($E548,OBRAS!$D:$D,OBRAS!H:H)</f>
        <v>SH-ED-16-028</v>
      </c>
    </row>
    <row r="549" spans="1:27" ht="60" x14ac:dyDescent="0.25">
      <c r="A549" s="90">
        <v>42713</v>
      </c>
      <c r="B549" s="56">
        <v>5697</v>
      </c>
      <c r="C549" s="49">
        <v>547</v>
      </c>
      <c r="D549" s="4" t="str">
        <f>LOOKUP($E549,OBRAS!$D:$D,OBRAS!C:C)</f>
        <v>SUPERVISION EXTERNA Y CONTROL DE CALIDAD DE LA CONSTRUCCION DE LA CARRETERA E.C. CALLE 4 SUR- (ALFREDO V. BONFIL) TRAMO DEL KM 1+700 AL KM 5+000</v>
      </c>
      <c r="E549" s="4" t="s">
        <v>809</v>
      </c>
      <c r="F549" s="4" t="s">
        <v>306</v>
      </c>
      <c r="G549" s="4" t="str">
        <f>LOOKUP($E549,OBRAS!$D:$D,OBRAS!E:E)</f>
        <v>C-00098/0021</v>
      </c>
      <c r="H549" s="80" t="s">
        <v>215</v>
      </c>
      <c r="I549" s="6">
        <v>47730.85</v>
      </c>
      <c r="J549" s="6"/>
      <c r="K549" s="6">
        <f>ROUND(I549*0.1,2)</f>
        <v>4773.09</v>
      </c>
      <c r="L549" s="6">
        <f t="shared" si="129"/>
        <v>42957.760000000002</v>
      </c>
      <c r="M549" s="6">
        <f t="shared" si="130"/>
        <v>6873.24</v>
      </c>
      <c r="N549" s="6">
        <f t="shared" si="131"/>
        <v>49831</v>
      </c>
      <c r="O549" s="6">
        <f>+ROUND(I549*0.002,2)+ROUND(I549*0.0003,2)+ROUND(I549*0.0003,2)+ROUND(I549*0.0003,2)</f>
        <v>138.41999999999999</v>
      </c>
      <c r="P549" s="6">
        <f t="shared" si="133"/>
        <v>49692.58</v>
      </c>
      <c r="Q549" s="4" t="str">
        <f>LOOKUP($E549,OBRAS!$D:$D,OBRAS!B:B)</f>
        <v>SEI TETRA, S. A. DE C. V.</v>
      </c>
      <c r="R549" s="4" t="str">
        <f>LOOKUP($E549,OBRAS!$D:$D,OBRAS!A:A)</f>
        <v>VARIOS</v>
      </c>
      <c r="S549" s="4" t="str">
        <f>LOOKUP($E549,OBRAS!$D:$D,OBRAS!F:F)</f>
        <v>11000002003501E203K03203A625132161A013</v>
      </c>
      <c r="T549" s="4" t="str">
        <f>LOOKUP($E549,OBRAS!$D:$D,OBRAS!G:G)</f>
        <v>LICITACIÓN SIMPLIFICADA</v>
      </c>
      <c r="U549" s="4" t="s">
        <v>2238</v>
      </c>
      <c r="V549" s="89">
        <v>42713</v>
      </c>
      <c r="W549" s="6">
        <f>LOOKUP($E549,OBRAS!$D:$D,OBRAS!K:K)</f>
        <v>790968.61</v>
      </c>
      <c r="X549" s="109">
        <f t="shared" si="136"/>
        <v>7.0000000000000007E-2</v>
      </c>
      <c r="Y549" s="109">
        <f>ROUND(SUMIF(E:E,E549,X:X),2)</f>
        <v>1</v>
      </c>
      <c r="Z549" s="109">
        <f t="shared" si="137"/>
        <v>1</v>
      </c>
      <c r="AA549" s="4" t="str">
        <f>LOOKUP($E549,OBRAS!$D:$D,OBRAS!H:H)</f>
        <v>SH-ED-16-051</v>
      </c>
    </row>
    <row r="550" spans="1:27" ht="45" x14ac:dyDescent="0.25">
      <c r="A550" s="90">
        <v>42654</v>
      </c>
      <c r="B550" s="56">
        <v>4213</v>
      </c>
      <c r="C550" s="49">
        <v>548</v>
      </c>
      <c r="D550" s="4" t="str">
        <f>LOOKUP($E550,OBRAS!$D:$D,OBRAS!C:C)</f>
        <v>REMODELACION DEL PARQUE INFANTIL EN LA LOCALIDAD Y MUNICIPIO DE HERMOSILLO, SONORA</v>
      </c>
      <c r="E550" s="4" t="s">
        <v>45</v>
      </c>
      <c r="F550" s="4" t="s">
        <v>226</v>
      </c>
      <c r="G550" s="4" t="str">
        <f>LOOKUP($E550,OBRAS!$D:$D,OBRAS!E:E)</f>
        <v>C-00093/0004</v>
      </c>
      <c r="H550" s="80" t="s">
        <v>941</v>
      </c>
      <c r="I550" s="6">
        <v>2256465.7999999998</v>
      </c>
      <c r="J550" s="6"/>
      <c r="K550" s="6">
        <v>902586.33</v>
      </c>
      <c r="L550" s="6">
        <f t="shared" ref="L550:L568" si="138">I550-K550</f>
        <v>1353879.47</v>
      </c>
      <c r="M550" s="6">
        <f t="shared" ref="M550:M568" si="139">ROUND(L550*0.16,2)</f>
        <v>216620.72</v>
      </c>
      <c r="N550" s="6">
        <f t="shared" ref="N550:N568" si="140">M550+L550</f>
        <v>1570500.19</v>
      </c>
      <c r="O550" s="6">
        <f>+ROUND(I550*0.005,2)</f>
        <v>11282.33</v>
      </c>
      <c r="P550" s="6">
        <f t="shared" ref="P550:P568" si="141">N550-O550</f>
        <v>1559217.86</v>
      </c>
      <c r="Q550" s="4" t="str">
        <f>LOOKUP($E550,OBRAS!$D:$D,OBRAS!B:B)</f>
        <v>GYCR SOLUCIONES INTEGRALES PARA LA CONSTRUCCION, S.A. DE C.V.</v>
      </c>
      <c r="R550" s="4" t="str">
        <f>LOOKUP($E550,OBRAS!$D:$D,OBRAS!A:A)</f>
        <v>HERMOSILLO</v>
      </c>
      <c r="S550" s="4" t="str">
        <f>LOOKUP($E550,OBRAS!$D:$D,OBRAS!F:F)</f>
        <v>11000002002202E406K17104A622202155GL07</v>
      </c>
      <c r="T550" s="4" t="str">
        <f>LOOKUP($E550,OBRAS!$D:$D,OBRAS!G:G)</f>
        <v>LO-926006995-N12-2015</v>
      </c>
      <c r="U550" s="4" t="s">
        <v>863</v>
      </c>
      <c r="V550" s="89">
        <v>42668</v>
      </c>
      <c r="W550" s="6">
        <f>LOOKUP($E550,OBRAS!$D:$D,OBRAS!K:K)</f>
        <v>53569288.82</v>
      </c>
      <c r="X550" s="109">
        <f t="shared" si="136"/>
        <v>4.8899999999999999E-2</v>
      </c>
      <c r="Y550" s="109">
        <f t="shared" ref="Y550:Y568" si="142">SUMIF(E:E,E550,X:X)</f>
        <v>0.85470000000000002</v>
      </c>
      <c r="Z550" s="109">
        <f t="shared" si="137"/>
        <v>0.55269999999999997</v>
      </c>
      <c r="AA550" s="4" t="str">
        <f>LOOKUP($E550,OBRAS!$D:$D,OBRAS!H:H)</f>
        <v>SH-NC-16-R-003</v>
      </c>
    </row>
    <row r="551" spans="1:27" ht="60" x14ac:dyDescent="0.25">
      <c r="A551" s="90">
        <v>42669</v>
      </c>
      <c r="B551" s="56">
        <v>4601</v>
      </c>
      <c r="C551" s="49">
        <v>550</v>
      </c>
      <c r="D551" s="4" t="str">
        <f>LOOKUP($E551,OBRAS!$D:$D,OBRAS!C:C)</f>
        <v>CONSERVACIÓN DEL TRAMO NOVILLO - BACANORA - SAHUARIPA -  SAN NICOLÁS EN VARIAS LOCALIDADES DE VARIOS MUNICIPIOS DEL ESTADO DE SONORA.</v>
      </c>
      <c r="E551" s="4" t="s">
        <v>554</v>
      </c>
      <c r="F551" s="4" t="s">
        <v>401</v>
      </c>
      <c r="G551" s="4" t="str">
        <f>LOOKUP($E551,OBRAS!$D:$D,OBRAS!E:E)</f>
        <v>C-00054/0055</v>
      </c>
      <c r="H551" s="80" t="s">
        <v>103</v>
      </c>
      <c r="I551" s="6">
        <v>11235637.76</v>
      </c>
      <c r="J551" s="6"/>
      <c r="K551" s="6">
        <f>ROUND(I551*0.3,2)</f>
        <v>3370691.33</v>
      </c>
      <c r="L551" s="6">
        <f t="shared" si="138"/>
        <v>7864946.4299999997</v>
      </c>
      <c r="M551" s="6">
        <f t="shared" si="139"/>
        <v>1258391.43</v>
      </c>
      <c r="N551" s="6">
        <f t="shared" si="140"/>
        <v>9123337.8599999994</v>
      </c>
      <c r="O551" s="6">
        <f>+ROUND(I551*0.002,2)+ROUND(I551*0.0003,2)+ROUND(I551*0.0003,2)+ROUND(I551*0.0003,2)+ROUND(I551*0.002,2)</f>
        <v>55054.63</v>
      </c>
      <c r="P551" s="6">
        <f t="shared" si="141"/>
        <v>9068283.2300000004</v>
      </c>
      <c r="Q551" s="4" t="str">
        <f>LOOKUP($E551,OBRAS!$D:$D,OBRAS!B:B)</f>
        <v>CONSTRUCCIONES VILLA DE SERIS, S. A. DE C. V.</v>
      </c>
      <c r="R551" s="4" t="str">
        <f>LOOKUP($E551,OBRAS!$D:$D,OBRAS!A:A)</f>
        <v>VARIOS</v>
      </c>
      <c r="S551" s="4" t="str">
        <f>LOOKUP($E551,OBRAS!$D:$D,OBRAS!F:F)</f>
        <v>11000002003501E204K08063A625012162A213</v>
      </c>
      <c r="T551" s="4" t="str">
        <f>LOOKUP($E551,OBRAS!$D:$D,OBRAS!G:G)</f>
        <v>CE-926006995-E19-2016</v>
      </c>
      <c r="U551" s="4" t="s">
        <v>863</v>
      </c>
      <c r="V551" s="89">
        <v>42685</v>
      </c>
      <c r="W551" s="6">
        <f>LOOKUP($E551,OBRAS!$D:$D,OBRAS!K:K)</f>
        <v>112909841.56</v>
      </c>
      <c r="X551" s="109">
        <f t="shared" si="136"/>
        <v>0.1154</v>
      </c>
      <c r="Y551" s="109">
        <f t="shared" si="142"/>
        <v>0.93110000000000004</v>
      </c>
      <c r="Z551" s="109">
        <f t="shared" si="137"/>
        <v>0.95179999999999998</v>
      </c>
      <c r="AA551" s="4" t="str">
        <f>LOOKUP($E551,OBRAS!$D:$D,OBRAS!H:H)</f>
        <v>SH-ED-17-R-004</v>
      </c>
    </row>
    <row r="552" spans="1:27" ht="105" x14ac:dyDescent="0.25">
      <c r="A552" s="90">
        <v>42654</v>
      </c>
      <c r="B552" s="56">
        <v>4214</v>
      </c>
      <c r="C552" s="49">
        <v>551</v>
      </c>
      <c r="D552" s="4" t="str">
        <f>LOOKUP($E552,OBRAS!$D:$D,OBRAS!C:C)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552" s="4" t="s">
        <v>403</v>
      </c>
      <c r="F552" s="4"/>
      <c r="G552" s="4" t="str">
        <f>LOOKUP($E552,OBRAS!$D:$D,OBRAS!E:E)</f>
        <v>C-00098/0032</v>
      </c>
      <c r="H552" s="80" t="s">
        <v>215</v>
      </c>
      <c r="I552" s="6">
        <v>567225.07999999996</v>
      </c>
      <c r="J552" s="6"/>
      <c r="K552" s="6">
        <f>ROUND(I552*0.1,2)</f>
        <v>56722.51</v>
      </c>
      <c r="L552" s="6">
        <f t="shared" si="138"/>
        <v>510502.57</v>
      </c>
      <c r="M552" s="6">
        <f t="shared" si="139"/>
        <v>81680.41</v>
      </c>
      <c r="N552" s="6">
        <f t="shared" si="140"/>
        <v>592182.98</v>
      </c>
      <c r="O552" s="6">
        <f>+ROUND(I552*0.002,2)+ROUND(I552*0.0003,2)+ROUND(I552*0.0003,2)+ROUND(I552*0.0003,2)</f>
        <v>1644.96</v>
      </c>
      <c r="P552" s="6">
        <f t="shared" si="141"/>
        <v>590538.02</v>
      </c>
      <c r="Q552" s="4" t="str">
        <f>LOOKUP($E552,OBRAS!$D:$D,OBRAS!B:B)</f>
        <v>RL INFRAESTRUCTURA, S.A. DE C.V.</v>
      </c>
      <c r="R552" s="4" t="str">
        <f>LOOKUP($E552,OBRAS!$D:$D,OBRAS!A:A)</f>
        <v>VARIOS</v>
      </c>
      <c r="S552" s="4" t="str">
        <f>LOOKUP($E552,OBRAS!$D:$D,OBRAS!F:F)</f>
        <v>11000002003501E203K03203A625132161A013</v>
      </c>
      <c r="T552" s="4" t="str">
        <f>LOOKUP($E552,OBRAS!$D:$D,OBRAS!G:G)</f>
        <v>CE-926006995-E54-2016</v>
      </c>
      <c r="U552" s="4" t="s">
        <v>863</v>
      </c>
      <c r="V552" s="89">
        <v>42697</v>
      </c>
      <c r="W552" s="6">
        <f>LOOKUP($E552,OBRAS!$D:$D,OBRAS!K:K)</f>
        <v>4605867.6500000004</v>
      </c>
      <c r="X552" s="109">
        <f t="shared" si="136"/>
        <v>0.1429</v>
      </c>
      <c r="Y552" s="109">
        <f t="shared" si="142"/>
        <v>1.0003</v>
      </c>
      <c r="Z552" s="109">
        <f t="shared" si="137"/>
        <v>1</v>
      </c>
      <c r="AA552" s="4" t="str">
        <f>LOOKUP($E552,OBRAS!$D:$D,OBRAS!H:H)</f>
        <v>SH-ED-16-039</v>
      </c>
    </row>
    <row r="553" spans="1:27" ht="45" x14ac:dyDescent="0.25">
      <c r="A553" s="90">
        <v>42654</v>
      </c>
      <c r="B553" s="56">
        <v>4215</v>
      </c>
      <c r="C553" s="49">
        <v>552</v>
      </c>
      <c r="D553" s="4" t="str">
        <f>LOOKUP($E553,OBRAS!$D:$D,OBRAS!C:C)</f>
        <v>SUPERVISOR EXTERNA Y CONTROL CALIDAD DE RECARPETEO CON MICROCARPETA ASFALTICA DE 3.0 CM DE ESPESOR EN VARIAS CALLES Y AVENIDAS</v>
      </c>
      <c r="E553" s="4" t="s">
        <v>466</v>
      </c>
      <c r="F553" s="4"/>
      <c r="G553" s="4" t="str">
        <f>LOOKUP($E553,OBRAS!$D:$D,OBRAS!E:E)</f>
        <v>C-00098/0022</v>
      </c>
      <c r="H553" s="80" t="s">
        <v>55</v>
      </c>
      <c r="I553" s="6">
        <v>156048.17000000001</v>
      </c>
      <c r="J553" s="6"/>
      <c r="K553" s="6">
        <v>15604.83</v>
      </c>
      <c r="L553" s="6">
        <f t="shared" si="138"/>
        <v>140443.34</v>
      </c>
      <c r="M553" s="6">
        <f t="shared" si="139"/>
        <v>22470.93</v>
      </c>
      <c r="N553" s="6">
        <f t="shared" si="140"/>
        <v>162914.26999999999</v>
      </c>
      <c r="O553" s="6">
        <f>+ROUND(I553*0.002,2)+ROUND(I553*0.0003,2)+ROUND(I553*0.0003,2)+ROUND(I553*0.0003,2)</f>
        <v>452.53</v>
      </c>
      <c r="P553" s="6">
        <f t="shared" si="141"/>
        <v>162461.74</v>
      </c>
      <c r="Q553" s="4" t="str">
        <f>LOOKUP($E553,OBRAS!$D:$D,OBRAS!B:B)</f>
        <v>PROMOTORES ADMINISTRATIVOS ASOCIADOS, S.C.</v>
      </c>
      <c r="R553" s="4" t="str">
        <f>LOOKUP($E553,OBRAS!$D:$D,OBRAS!A:A)</f>
        <v>CABORCA</v>
      </c>
      <c r="S553" s="4" t="str">
        <f>LOOKUP($E553,OBRAS!$D:$D,OBRAS!F:F)</f>
        <v>11000002002207E201K02104A622212161A013</v>
      </c>
      <c r="T553" s="4" t="str">
        <f>LOOKUP($E553,OBRAS!$D:$D,OBRAS!G:G)</f>
        <v>LICITACIÓN SIMPLIFICADA</v>
      </c>
      <c r="U553" s="4" t="s">
        <v>863</v>
      </c>
      <c r="V553" s="89">
        <v>42697</v>
      </c>
      <c r="W553" s="6">
        <f>LOOKUP($E553,OBRAS!$D:$D,OBRAS!K:K)</f>
        <v>878717.92</v>
      </c>
      <c r="X553" s="109">
        <f t="shared" si="136"/>
        <v>0.20599999999999999</v>
      </c>
      <c r="Y553" s="109">
        <f t="shared" si="142"/>
        <v>0.998</v>
      </c>
      <c r="Z553" s="109">
        <f t="shared" si="137"/>
        <v>0.998</v>
      </c>
      <c r="AA553" s="4" t="str">
        <f>LOOKUP($E553,OBRAS!$D:$D,OBRAS!H:H)</f>
        <v>SH-ED-16-028</v>
      </c>
    </row>
    <row r="554" spans="1:27" ht="45" x14ac:dyDescent="0.25">
      <c r="A554" s="90">
        <v>42657</v>
      </c>
      <c r="B554" s="56">
        <v>4272</v>
      </c>
      <c r="C554" s="51">
        <v>553</v>
      </c>
      <c r="D554" s="4" t="str">
        <f>LOOKUP($E554,OBRAS!$D:$D,OBRAS!C:C)</f>
        <v>CONSERVACION Y RECONSTRUCCION DEL TRAMO EL CRUCERO-GRANADOS DEL KM 0+000 AL KM 7+250</v>
      </c>
      <c r="E554" s="4" t="s">
        <v>593</v>
      </c>
      <c r="F554" s="4" t="s">
        <v>927</v>
      </c>
      <c r="G554" s="4" t="str">
        <f>LOOKUP($E554,OBRAS!$D:$D,OBRAS!E:E)</f>
        <v>C-00054/0067</v>
      </c>
      <c r="H554" s="80" t="s">
        <v>215</v>
      </c>
      <c r="I554" s="6">
        <v>3501061.4</v>
      </c>
      <c r="J554" s="6"/>
      <c r="K554" s="6">
        <f>ROUND(I554*0.3,2)</f>
        <v>1050318.42</v>
      </c>
      <c r="L554" s="6">
        <f t="shared" si="138"/>
        <v>2450742.98</v>
      </c>
      <c r="M554" s="6">
        <f t="shared" si="139"/>
        <v>392118.88</v>
      </c>
      <c r="N554" s="6">
        <f t="shared" si="140"/>
        <v>2842861.86</v>
      </c>
      <c r="O554" s="6">
        <f>+ROUND(I554*0.002,2)+ROUND(I554*0.0003,2)+ROUND(I554*0.0003,2)+ROUND(I554*0.0003,2)+ROUND(I554*0.002,2)</f>
        <v>17155.2</v>
      </c>
      <c r="P554" s="6">
        <f t="shared" si="141"/>
        <v>2825706.66</v>
      </c>
      <c r="Q554" s="4" t="str">
        <f>LOOKUP($E554,OBRAS!$D:$D,OBRAS!B:B)</f>
        <v>CONOSON SA DE CV</v>
      </c>
      <c r="R554" s="4" t="str">
        <f>LOOKUP($E554,OBRAS!$D:$D,OBRAS!A:A)</f>
        <v>VARIOS</v>
      </c>
      <c r="S554" s="4" t="str">
        <f>LOOKUP($E554,OBRAS!$D:$D,OBRAS!F:F)</f>
        <v>11000002003501E204K08063A625012162A213</v>
      </c>
      <c r="T554" s="4" t="str">
        <f>LOOKUP($E554,OBRAS!$D:$D,OBRAS!G:G)</f>
        <v>CE-926006995-E36-2016</v>
      </c>
      <c r="U554" s="4" t="s">
        <v>863</v>
      </c>
      <c r="V554" s="89">
        <v>42671</v>
      </c>
      <c r="W554" s="6">
        <f>LOOKUP($E554,OBRAS!$D:$D,OBRAS!K:K)</f>
        <v>15890776.26</v>
      </c>
      <c r="X554" s="109">
        <f t="shared" si="136"/>
        <v>0.25559999999999999</v>
      </c>
      <c r="Y554" s="109">
        <f t="shared" si="142"/>
        <v>0.61470000000000002</v>
      </c>
      <c r="Z554" s="109">
        <f t="shared" si="137"/>
        <v>0.73019999999999996</v>
      </c>
      <c r="AA554" s="4" t="str">
        <f>LOOKUP($E554,OBRAS!$D:$D,OBRAS!H:H)</f>
        <v>SH-ED-17-R-013</v>
      </c>
    </row>
    <row r="555" spans="1:27" ht="60" x14ac:dyDescent="0.25">
      <c r="A555" s="90">
        <v>42657</v>
      </c>
      <c r="B555" s="56">
        <v>4273</v>
      </c>
      <c r="C555" s="51">
        <v>554</v>
      </c>
      <c r="D555" s="4" t="str">
        <f>LOOKUP($E555,OBRAS!$D:$D,OBRAS!C:C)</f>
        <v>SUPERVISION EXTERNA Y CONTROL DE CALIDAD CONCLUSION DE LA MODERNIZACION Y RECONSTRUCCION DEL TRAMO ESPERANZA - HORNOS (DEL KM 8 + 800 AL KM 17 + 400)</v>
      </c>
      <c r="E555" s="4" t="s">
        <v>291</v>
      </c>
      <c r="F555" s="4"/>
      <c r="G555" s="4" t="str">
        <f>LOOKUP($E555,OBRAS!$D:$D,OBRAS!E:E)</f>
        <v>C-00098/0021</v>
      </c>
      <c r="H555" s="80" t="s">
        <v>215</v>
      </c>
      <c r="I555" s="6">
        <v>351313.07</v>
      </c>
      <c r="J555" s="6"/>
      <c r="K555" s="6">
        <f>ROUND(I555*0.1,2)</f>
        <v>35131.31</v>
      </c>
      <c r="L555" s="6">
        <f t="shared" si="138"/>
        <v>316181.76000000001</v>
      </c>
      <c r="M555" s="6">
        <f t="shared" si="139"/>
        <v>50589.08</v>
      </c>
      <c r="N555" s="6">
        <f t="shared" si="140"/>
        <v>366770.84</v>
      </c>
      <c r="O555" s="6">
        <f>+ROUND(I555*0.002,2)+ROUND(I555*0.0003,2)+ROUND(I555*0.0003,2)+ROUND(I555*0.0003,2)</f>
        <v>1018.8</v>
      </c>
      <c r="P555" s="6">
        <f t="shared" si="141"/>
        <v>365752.04</v>
      </c>
      <c r="Q555" s="4" t="str">
        <f>LOOKUP($E555,OBRAS!$D:$D,OBRAS!B:B)</f>
        <v>OESTEC DE MEXICO SA DE CV</v>
      </c>
      <c r="R555" s="4" t="str">
        <f>LOOKUP($E555,OBRAS!$D:$D,OBRAS!A:A)</f>
        <v>VARIOS</v>
      </c>
      <c r="S555" s="4" t="str">
        <f>LOOKUP($E555,OBRAS!$D:$D,OBRAS!F:F)</f>
        <v>11000002003501E203K03203A625132161A013</v>
      </c>
      <c r="T555" s="4" t="str">
        <f>LOOKUP($E555,OBRAS!$D:$D,OBRAS!G:G)</f>
        <v>CE-926006995-E52-2016</v>
      </c>
      <c r="U555" s="4" t="s">
        <v>863</v>
      </c>
      <c r="V555" s="89">
        <v>42781</v>
      </c>
      <c r="W555" s="6">
        <f>LOOKUP($E555,OBRAS!$D:$D,OBRAS!K:K)</f>
        <v>2445138.9700000002</v>
      </c>
      <c r="X555" s="109">
        <f t="shared" si="136"/>
        <v>0.16669999999999999</v>
      </c>
      <c r="Y555" s="109">
        <f t="shared" si="142"/>
        <v>0.96409999999999996</v>
      </c>
      <c r="Z555" s="109">
        <f t="shared" si="137"/>
        <v>0.96760000000000002</v>
      </c>
      <c r="AA555" s="4" t="str">
        <f>LOOKUP($E555,OBRAS!$D:$D,OBRAS!H:H)</f>
        <v>SH-ED-16-040</v>
      </c>
    </row>
    <row r="556" spans="1:27" ht="60" x14ac:dyDescent="0.25">
      <c r="A556" s="90">
        <v>42657</v>
      </c>
      <c r="B556" s="56">
        <v>4274</v>
      </c>
      <c r="C556" s="51">
        <v>555</v>
      </c>
      <c r="D556" s="4" t="str">
        <f>LOOKUP($E556,OBRAS!$D:$D,OBRAS!C:C)</f>
        <v>SUPERVISION EXTERNA Y CONTROL DE CALIDAD PARA LA OBRA RECONSTRUCCION DE CAMINO HUATABAMPO - YAVAROS EN VARIAS LOCALIDADES DEL MUNICIPIO DE HUATABAMPO.</v>
      </c>
      <c r="E556" s="4" t="s">
        <v>426</v>
      </c>
      <c r="F556" s="4"/>
      <c r="G556" s="4" t="str">
        <f>LOOKUP($E556,OBRAS!$D:$D,OBRAS!E:E)</f>
        <v>C-00098/0021</v>
      </c>
      <c r="H556" s="80" t="s">
        <v>103</v>
      </c>
      <c r="I556" s="6">
        <v>113253.07</v>
      </c>
      <c r="J556" s="6"/>
      <c r="K556" s="6">
        <f>ROUND(I556*0.1,2)</f>
        <v>11325.31</v>
      </c>
      <c r="L556" s="6">
        <f t="shared" si="138"/>
        <v>101927.76</v>
      </c>
      <c r="M556" s="6">
        <f t="shared" si="139"/>
        <v>16308.44</v>
      </c>
      <c r="N556" s="6">
        <f t="shared" si="140"/>
        <v>118236.2</v>
      </c>
      <c r="O556" s="6">
        <f>+ROUND(I556*0.002,2)+ROUND(I556*0.0003,2)+ROUND(I556*0.0003,2)+ROUND(I556*0.0003,2)</f>
        <v>328.45</v>
      </c>
      <c r="P556" s="6">
        <f t="shared" si="141"/>
        <v>117907.75</v>
      </c>
      <c r="Q556" s="4" t="str">
        <f>LOOKUP($E556,OBRAS!$D:$D,OBRAS!B:B)</f>
        <v>GRUPO GUIMEL, S.A. DE C.V.</v>
      </c>
      <c r="R556" s="4" t="str">
        <f>LOOKUP($E556,OBRAS!$D:$D,OBRAS!A:A)</f>
        <v>HUATABAMPO</v>
      </c>
      <c r="S556" s="4" t="str">
        <f>LOOKUP($E556,OBRAS!$D:$D,OBRAS!F:F)</f>
        <v>11000002003501E203K03203A625132161A013</v>
      </c>
      <c r="T556" s="4" t="str">
        <f>LOOKUP($E556,OBRAS!$D:$D,OBRAS!G:G)</f>
        <v>LICITACIÓN SIMPLIFICADA</v>
      </c>
      <c r="U556" s="4" t="s">
        <v>863</v>
      </c>
      <c r="V556" s="89">
        <v>42697</v>
      </c>
      <c r="W556" s="6">
        <f>LOOKUP($E556,OBRAS!$D:$D,OBRAS!K:K)</f>
        <v>525494.24</v>
      </c>
      <c r="X556" s="109">
        <f t="shared" si="136"/>
        <v>0.25</v>
      </c>
      <c r="Y556" s="109">
        <f t="shared" si="142"/>
        <v>1</v>
      </c>
      <c r="Z556" s="109">
        <f t="shared" si="137"/>
        <v>1</v>
      </c>
      <c r="AA556" s="4" t="str">
        <f>LOOKUP($E556,OBRAS!$D:$D,OBRAS!H:H)</f>
        <v>SH-ED-16-020</v>
      </c>
    </row>
    <row r="557" spans="1:27" ht="45" x14ac:dyDescent="0.25">
      <c r="C557" s="84">
        <v>556</v>
      </c>
      <c r="D557" s="4" t="str">
        <f>LOOKUP($E557,OBRAS!$D:$D,OBRAS!C:C)</f>
        <v>CONSTRUCCION, REHABILITACION Y EQUIPAMIENTO DE UNIDAD DEPORTIVA FAUSTINO FELIX ETAPA 3</v>
      </c>
      <c r="E557" s="4" t="s">
        <v>389</v>
      </c>
      <c r="F557" s="4"/>
      <c r="G557" s="4" t="str">
        <f>LOOKUP($E557,OBRAS!$D:$D,OBRAS!E:E)</f>
        <v>C-00109/0003</v>
      </c>
      <c r="H557" s="80" t="s">
        <v>15</v>
      </c>
      <c r="I557" s="6">
        <v>893856.2</v>
      </c>
      <c r="J557" s="6"/>
      <c r="K557" s="6">
        <f>ROUND(I557*0.3,2)</f>
        <v>268156.86</v>
      </c>
      <c r="L557" s="6">
        <f t="shared" si="138"/>
        <v>625699.34</v>
      </c>
      <c r="M557" s="6">
        <f t="shared" si="139"/>
        <v>100111.89</v>
      </c>
      <c r="N557" s="6">
        <f t="shared" si="140"/>
        <v>725811.23</v>
      </c>
      <c r="O557" s="6">
        <f>+ROUND(I557*0.005,2)</f>
        <v>4469.28</v>
      </c>
      <c r="P557" s="6">
        <f t="shared" si="141"/>
        <v>721341.95</v>
      </c>
      <c r="Q557" s="4" t="str">
        <f>LOOKUP($E557,OBRAS!$D:$D,OBRAS!B:B)</f>
        <v>EDIFICACIONES BOZA S.A. DE C.V.</v>
      </c>
      <c r="R557" s="4" t="str">
        <f>LOOKUP($E557,OBRAS!$D:$D,OBRAS!A:A)</f>
        <v>NAVOJOA</v>
      </c>
      <c r="S557" s="4" t="str">
        <f>LOOKUP($E557,OBRAS!$D:$D,OBRAS!F:F)</f>
        <v>10800003002401E406K07203A411061155GZ12C-00109/0003</v>
      </c>
      <c r="T557" s="4">
        <f>LOOKUP($E557,OBRAS!$D:$D,OBRAS!G:G)</f>
        <v>0</v>
      </c>
      <c r="U557" s="4" t="s">
        <v>863</v>
      </c>
      <c r="V557" s="4"/>
      <c r="W557" s="6">
        <f>LOOKUP($E557,OBRAS!$D:$D,OBRAS!K:K)</f>
        <v>12932638.52</v>
      </c>
      <c r="X557" s="109">
        <f t="shared" si="136"/>
        <v>8.0199999999999994E-2</v>
      </c>
      <c r="Y557" s="109">
        <f t="shared" si="142"/>
        <v>1</v>
      </c>
      <c r="Z557" s="109">
        <f t="shared" si="137"/>
        <v>0.98929999999999996</v>
      </c>
      <c r="AA557" s="4">
        <f>LOOKUP($E557,OBRAS!$D:$D,OBRAS!H:H)</f>
        <v>0</v>
      </c>
    </row>
    <row r="558" spans="1:27" ht="45" x14ac:dyDescent="0.25">
      <c r="C558" s="84">
        <v>557</v>
      </c>
      <c r="D558" s="4" t="str">
        <f>LOOKUP($E558,OBRAS!$D:$D,OBRAS!C:C)</f>
        <v>CONSTRUCCION, REHABILITACION Y EQUIPAMIENTO DE UNIDAD DEPORTIVA FAUSTINO FELIX ETAPA 3</v>
      </c>
      <c r="E558" s="4" t="s">
        <v>389</v>
      </c>
      <c r="F558" s="4"/>
      <c r="G558" s="4" t="str">
        <f>LOOKUP($E558,OBRAS!$D:$D,OBRAS!E:E)</f>
        <v>C-00109/0003</v>
      </c>
      <c r="H558" s="80" t="s">
        <v>23</v>
      </c>
      <c r="I558" s="6">
        <v>3225573.31</v>
      </c>
      <c r="J558" s="6"/>
      <c r="K558" s="6"/>
      <c r="L558" s="6">
        <f t="shared" si="138"/>
        <v>3225573.31</v>
      </c>
      <c r="M558" s="6">
        <f t="shared" si="139"/>
        <v>516091.73</v>
      </c>
      <c r="N558" s="6">
        <f t="shared" si="140"/>
        <v>3741665.04</v>
      </c>
      <c r="O558" s="6"/>
      <c r="P558" s="6">
        <f t="shared" si="141"/>
        <v>3741665.04</v>
      </c>
      <c r="Q558" s="4" t="str">
        <f>LOOKUP($E558,OBRAS!$D:$D,OBRAS!B:B)</f>
        <v>EDIFICACIONES BOZA S.A. DE C.V.</v>
      </c>
      <c r="R558" s="4" t="str">
        <f>LOOKUP($E558,OBRAS!$D:$D,OBRAS!A:A)</f>
        <v>NAVOJOA</v>
      </c>
      <c r="S558" s="4" t="str">
        <f>LOOKUP($E558,OBRAS!$D:$D,OBRAS!F:F)</f>
        <v>10800003002401E406K07203A411061155GZ12C-00109/0003</v>
      </c>
      <c r="T558" s="4">
        <f>LOOKUP($E558,OBRAS!$D:$D,OBRAS!G:G)</f>
        <v>0</v>
      </c>
      <c r="U558" s="4" t="s">
        <v>863</v>
      </c>
      <c r="V558" s="4"/>
      <c r="W558" s="6">
        <f>LOOKUP($E558,OBRAS!$D:$D,OBRAS!K:K)</f>
        <v>12932638.52</v>
      </c>
      <c r="X558" s="109" t="str">
        <f t="shared" si="136"/>
        <v/>
      </c>
      <c r="Y558" s="109">
        <f t="shared" si="142"/>
        <v>1</v>
      </c>
      <c r="Z558" s="109">
        <f t="shared" si="137"/>
        <v>0.98929999999999996</v>
      </c>
      <c r="AA558" s="4">
        <f>LOOKUP($E558,OBRAS!$D:$D,OBRAS!H:H)</f>
        <v>0</v>
      </c>
    </row>
    <row r="559" spans="1:27" ht="60" x14ac:dyDescent="0.25">
      <c r="C559" s="84">
        <v>558</v>
      </c>
      <c r="D559" s="4" t="str">
        <f>LOOKUP($E559,OBRAS!$D:$D,OBRAS!C:C)</f>
        <v>RECONSTRUCCION DEL CAMINO BACABACHI HUATABAMPO VARIOS TRAMOS DEL KM 5+600 AL KM 25+500 EN LA LOCALIDAD Y MUNCIPIO DE NAVOJOA, SONORA.</v>
      </c>
      <c r="E559" s="4" t="s">
        <v>759</v>
      </c>
      <c r="F559" s="4"/>
      <c r="G559" s="4"/>
      <c r="H559" s="80" t="s">
        <v>23</v>
      </c>
      <c r="I559" s="6">
        <v>3808613.26</v>
      </c>
      <c r="J559" s="6"/>
      <c r="K559" s="6"/>
      <c r="L559" s="6">
        <f t="shared" si="138"/>
        <v>3808613.26</v>
      </c>
      <c r="M559" s="6">
        <f t="shared" si="139"/>
        <v>609378.12</v>
      </c>
      <c r="N559" s="6">
        <f t="shared" si="140"/>
        <v>4417991.38</v>
      </c>
      <c r="O559" s="6"/>
      <c r="P559" s="6">
        <f t="shared" si="141"/>
        <v>4417991.38</v>
      </c>
      <c r="Q559" s="4" t="str">
        <f>LOOKUP($E559,OBRAS!$D:$D,OBRAS!B:B)</f>
        <v>TESIA CONSTRUCCIONES, S.A. DE C.V.</v>
      </c>
      <c r="R559" s="4" t="str">
        <f>LOOKUP($E559,OBRAS!$D:$D,OBRAS!A:A)</f>
        <v>NAVOJOA</v>
      </c>
      <c r="S559" s="4">
        <f>LOOKUP($E559,OBRAS!$D:$D,OBRAS!F:F)</f>
        <v>0</v>
      </c>
      <c r="T559" s="4">
        <f>LOOKUP($E559,OBRAS!$D:$D,OBRAS!G:G)</f>
        <v>0</v>
      </c>
      <c r="U559" s="4" t="s">
        <v>863</v>
      </c>
      <c r="V559" s="4"/>
      <c r="W559" s="6">
        <f>LOOKUP($E559,OBRAS!$D:$D,OBRAS!K:K)</f>
        <v>15050219.25</v>
      </c>
      <c r="X559" s="109" t="str">
        <f t="shared" si="136"/>
        <v/>
      </c>
      <c r="Y559" s="109">
        <f t="shared" si="142"/>
        <v>0.97840000000000005</v>
      </c>
      <c r="Z559" s="109">
        <f t="shared" si="137"/>
        <v>0.97850000000000004</v>
      </c>
      <c r="AA559" s="4">
        <f>LOOKUP($E559,OBRAS!$D:$D,OBRAS!H:H)</f>
        <v>0</v>
      </c>
    </row>
    <row r="560" spans="1:27" ht="45" x14ac:dyDescent="0.25">
      <c r="C560" s="84">
        <v>559</v>
      </c>
      <c r="D560" s="4" t="str">
        <f>LOOKUP($E560,OBRAS!$D:$D,OBRAS!C:C)</f>
        <v>CONSTRUCCION Y EQUIPAMIENTO DE LA UNIDAD DEPORTIVA AURELIO RODRIGUEZ EN LA LOCALIDAD Y MUNICIPIO DE CANANEA, SONORA.</v>
      </c>
      <c r="E560" s="4" t="s">
        <v>896</v>
      </c>
      <c r="F560" s="4"/>
      <c r="G560" s="4" t="str">
        <f>LOOKUP($E560,OBRAS!$D:$D,OBRAS!E:E)</f>
        <v>C-00116/0002</v>
      </c>
      <c r="H560" s="80" t="s">
        <v>23</v>
      </c>
      <c r="I560" s="6">
        <v>2376865.73</v>
      </c>
      <c r="J560" s="6"/>
      <c r="K560" s="6"/>
      <c r="L560" s="6">
        <f t="shared" si="138"/>
        <v>2376865.73</v>
      </c>
      <c r="M560" s="6">
        <f t="shared" si="139"/>
        <v>380298.52</v>
      </c>
      <c r="N560" s="6">
        <f t="shared" si="140"/>
        <v>2757164.25</v>
      </c>
      <c r="O560" s="6"/>
      <c r="P560" s="6">
        <f t="shared" si="141"/>
        <v>2757164.25</v>
      </c>
      <c r="Q560" s="4" t="str">
        <f>LOOKUP($E560,OBRAS!$D:$D,OBRAS!B:B)</f>
        <v>CONSTRU ELECTRICA R Y R, S.A. DE C.V.</v>
      </c>
      <c r="R560" s="4" t="str">
        <f>LOOKUP($E560,OBRAS!$D:$D,OBRAS!A:A)</f>
        <v>CANANEA</v>
      </c>
      <c r="S560" s="4">
        <f>LOOKUP($E560,OBRAS!$D:$D,OBRAS!F:F)</f>
        <v>0</v>
      </c>
      <c r="T560" s="4">
        <f>LOOKUP($E560,OBRAS!$D:$D,OBRAS!G:G)</f>
        <v>0</v>
      </c>
      <c r="U560" s="4" t="s">
        <v>863</v>
      </c>
      <c r="V560" s="4"/>
      <c r="W560" s="6">
        <f>LOOKUP($E560,OBRAS!$D:$D,OBRAS!K:K)</f>
        <v>9190547.5</v>
      </c>
      <c r="X560" s="109" t="str">
        <f t="shared" si="136"/>
        <v/>
      </c>
      <c r="Y560" s="109">
        <f t="shared" si="142"/>
        <v>1</v>
      </c>
      <c r="Z560" s="109">
        <f t="shared" si="137"/>
        <v>1</v>
      </c>
      <c r="AA560" s="4" t="str">
        <f>LOOKUP($E560,OBRAS!$D:$D,OBRAS!H:H)</f>
        <v>OM-NC-15-203</v>
      </c>
    </row>
    <row r="561" spans="1:27" ht="60" x14ac:dyDescent="0.25">
      <c r="C561" s="84">
        <v>560</v>
      </c>
      <c r="D561" s="4" t="str">
        <f>LOOKUP($E561,OBRAS!$D:$D,OBRAS!C:C)</f>
        <v>CONSTRUCCION, REHABILITACION Y EQUIPAMIENTO DE UNIDAD DEPORTIVA BALDOMERO ALDAMA EN LA LOCALIDAD Y MUNICIPIO DE HUATABAMPO, SONORA</v>
      </c>
      <c r="E561" s="4" t="s">
        <v>755</v>
      </c>
      <c r="F561" s="4"/>
      <c r="G561" s="4">
        <f>LOOKUP($E561,OBRAS!$D:$D,OBRAS!E:E)</f>
        <v>0</v>
      </c>
      <c r="H561" s="80" t="s">
        <v>23</v>
      </c>
      <c r="I561" s="6">
        <v>2989355.87</v>
      </c>
      <c r="J561" s="6"/>
      <c r="K561" s="6"/>
      <c r="L561" s="6">
        <f t="shared" si="138"/>
        <v>2989355.87</v>
      </c>
      <c r="M561" s="6">
        <f t="shared" si="139"/>
        <v>478296.94</v>
      </c>
      <c r="N561" s="6">
        <f t="shared" si="140"/>
        <v>3467652.81</v>
      </c>
      <c r="O561" s="6"/>
      <c r="P561" s="6">
        <f t="shared" si="141"/>
        <v>3467652.81</v>
      </c>
      <c r="Q561" s="4" t="str">
        <f>LOOKUP($E561,OBRAS!$D:$D,OBRAS!B:B)</f>
        <v>SIGNS MANUFACTURAS Y CONSTRUCCIONES, S.A. DE C.V.</v>
      </c>
      <c r="R561" s="4" t="str">
        <f>LOOKUP($E561,OBRAS!$D:$D,OBRAS!A:A)</f>
        <v>HUATABAMPO</v>
      </c>
      <c r="S561" s="4">
        <f>LOOKUP($E561,OBRAS!$D:$D,OBRAS!F:F)</f>
        <v>0</v>
      </c>
      <c r="T561" s="4">
        <f>LOOKUP($E561,OBRAS!$D:$D,OBRAS!G:G)</f>
        <v>0</v>
      </c>
      <c r="U561" s="4" t="s">
        <v>863</v>
      </c>
      <c r="V561" s="4"/>
      <c r="W561" s="6">
        <f>LOOKUP($E561,OBRAS!$D:$D,OBRAS!K:K)</f>
        <v>12019389.67</v>
      </c>
      <c r="X561" s="109" t="str">
        <f t="shared" si="136"/>
        <v/>
      </c>
      <c r="Y561" s="109">
        <f t="shared" si="142"/>
        <v>1</v>
      </c>
      <c r="Z561" s="109">
        <f t="shared" si="137"/>
        <v>1</v>
      </c>
      <c r="AA561" s="4" t="str">
        <f>LOOKUP($E561,OBRAS!$D:$D,OBRAS!H:H)</f>
        <v>OM-NC-15-203</v>
      </c>
    </row>
    <row r="562" spans="1:27" ht="30" x14ac:dyDescent="0.25">
      <c r="C562" s="84">
        <v>561</v>
      </c>
      <c r="D562" s="4" t="str">
        <f>LOOKUP($E562,OBRAS!$D:$D,OBRAS!C:C)</f>
        <v>CANCHA DE FUTBOL DE PASTO SINTETICO PARA LA ESCUELA PRIMARIA ESTHER QUIJADA DOMINGUEZ</v>
      </c>
      <c r="E562" s="4" t="s">
        <v>843</v>
      </c>
      <c r="F562" s="4"/>
      <c r="G562" s="4"/>
      <c r="H562" s="80" t="s">
        <v>23</v>
      </c>
      <c r="I562" s="6">
        <v>506686.75</v>
      </c>
      <c r="J562" s="6"/>
      <c r="K562" s="6"/>
      <c r="L562" s="6">
        <f t="shared" si="138"/>
        <v>506686.75</v>
      </c>
      <c r="M562" s="6">
        <f t="shared" si="139"/>
        <v>81069.88</v>
      </c>
      <c r="N562" s="6">
        <f t="shared" si="140"/>
        <v>587756.63</v>
      </c>
      <c r="O562" s="6"/>
      <c r="P562" s="6">
        <f t="shared" si="141"/>
        <v>587756.63</v>
      </c>
      <c r="Q562" s="4" t="str">
        <f>LOOKUP($E562,OBRAS!$D:$D,OBRAS!B:B)</f>
        <v>GRUPO DESARROLLO CONGRUUS SA DE CV</v>
      </c>
      <c r="R562" s="4" t="str">
        <f>LOOKUP($E562,OBRAS!$D:$D,OBRAS!A:A)</f>
        <v>S.L.R.C.</v>
      </c>
      <c r="S562" s="4">
        <f>LOOKUP($E562,OBRAS!$D:$D,OBRAS!F:F)</f>
        <v>0</v>
      </c>
      <c r="T562" s="4">
        <f>LOOKUP($E562,OBRAS!$D:$D,OBRAS!G:G)</f>
        <v>0</v>
      </c>
      <c r="U562" s="4" t="s">
        <v>863</v>
      </c>
      <c r="V562" s="4"/>
      <c r="W562" s="6">
        <f>LOOKUP($E562,OBRAS!$D:$D,OBRAS!K:K)</f>
        <v>1959188.77</v>
      </c>
      <c r="X562" s="109" t="str">
        <f t="shared" si="136"/>
        <v/>
      </c>
      <c r="Y562" s="109">
        <f t="shared" si="142"/>
        <v>0.89500000000000002</v>
      </c>
      <c r="Z562" s="109">
        <f t="shared" si="137"/>
        <v>0.89510000000000001</v>
      </c>
      <c r="AA562" s="4" t="str">
        <f>LOOKUP($E562,OBRAS!$D:$D,OBRAS!H:H)</f>
        <v>SH-NC-16-R-002</v>
      </c>
    </row>
    <row r="563" spans="1:27" ht="30" x14ac:dyDescent="0.25">
      <c r="C563" s="84">
        <v>562</v>
      </c>
      <c r="D563" s="4" t="str">
        <f>LOOKUP($E563,OBRAS!$D:$D,OBRAS!C:C)</f>
        <v>RECONSTRUCCION DE CAMINO CALLE 900 VARIOS TRAMOS DEL KM 8+200 AL KM 36+139</v>
      </c>
      <c r="E563" s="4" t="s">
        <v>697</v>
      </c>
      <c r="F563" s="4"/>
      <c r="G563" s="4" t="str">
        <f>LOOKUP($E563,OBRAS!$D:$D,OBRAS!E:E)</f>
        <v>C-00110/0002</v>
      </c>
      <c r="H563" s="80" t="s">
        <v>23</v>
      </c>
      <c r="I563" s="6">
        <v>1904306.63</v>
      </c>
      <c r="J563" s="6"/>
      <c r="K563" s="6"/>
      <c r="L563" s="6">
        <f t="shared" si="138"/>
        <v>1904306.63</v>
      </c>
      <c r="M563" s="6">
        <f t="shared" si="139"/>
        <v>304689.06</v>
      </c>
      <c r="N563" s="6">
        <f t="shared" si="140"/>
        <v>2208995.69</v>
      </c>
      <c r="O563" s="6"/>
      <c r="P563" s="6">
        <f t="shared" si="141"/>
        <v>2208995.69</v>
      </c>
      <c r="Q563" s="4" t="str">
        <f>LOOKUP($E563,OBRAS!$D:$D,OBRAS!B:B)</f>
        <v>EXPLORACIONES MINERAS DEL DESIERTO, S.A. DE C.V.</v>
      </c>
      <c r="R563" s="4" t="str">
        <f>LOOKUP($E563,OBRAS!$D:$D,OBRAS!A:A)</f>
        <v>CAJEME</v>
      </c>
      <c r="S563" s="4" t="str">
        <f>LOOKUP($E563,OBRAS!$D:$D,OBRAS!F:F)</f>
        <v>11000016003501E203K03203A411061155GZ11</v>
      </c>
      <c r="T563" s="4" t="str">
        <f>LOOKUP($E563,OBRAS!$D:$D,OBRAS!G:G)</f>
        <v>LO-926006995-N40-2015</v>
      </c>
      <c r="U563" s="4" t="s">
        <v>863</v>
      </c>
      <c r="V563" s="4"/>
      <c r="W563" s="6">
        <f>LOOKUP($E563,OBRAS!$D:$D,OBRAS!K:K)</f>
        <v>7521996.9299999997</v>
      </c>
      <c r="X563" s="109" t="str">
        <f t="shared" si="136"/>
        <v/>
      </c>
      <c r="Y563" s="109">
        <f t="shared" si="142"/>
        <v>0.97889999999999999</v>
      </c>
      <c r="Z563" s="109">
        <f t="shared" si="137"/>
        <v>0.97889999999999999</v>
      </c>
      <c r="AA563" s="4" t="str">
        <f>LOOKUP($E563,OBRAS!$D:$D,OBRAS!H:H)</f>
        <v>SH-NC-16-R-004.</v>
      </c>
    </row>
    <row r="564" spans="1:27" ht="30" x14ac:dyDescent="0.25">
      <c r="C564" s="84">
        <v>563</v>
      </c>
      <c r="D564" s="4" t="str">
        <f>LOOKUP($E564,OBRAS!$D:$D,OBRAS!C:C)</f>
        <v>CONSTRUCCION DEL CENTRO CULTURAL AL NORTE DE HERMOSILLO</v>
      </c>
      <c r="E564" s="4" t="s">
        <v>790</v>
      </c>
      <c r="F564" s="4"/>
      <c r="G564" s="4" t="str">
        <f>LOOKUP($E564,OBRAS!$D:$D,OBRAS!E:E)</f>
        <v>C-00111/0001</v>
      </c>
      <c r="H564" s="80" t="s">
        <v>23</v>
      </c>
      <c r="I564" s="6">
        <v>1022928.81</v>
      </c>
      <c r="J564" s="6"/>
      <c r="K564" s="6"/>
      <c r="L564" s="6">
        <f t="shared" si="138"/>
        <v>1022928.81</v>
      </c>
      <c r="M564" s="6">
        <f t="shared" si="139"/>
        <v>163668.60999999999</v>
      </c>
      <c r="N564" s="6">
        <f t="shared" si="140"/>
        <v>1186597.42</v>
      </c>
      <c r="O564" s="6"/>
      <c r="P564" s="6">
        <f t="shared" si="141"/>
        <v>1186597.42</v>
      </c>
      <c r="Q564" s="4" t="str">
        <f>LOOKUP($E564,OBRAS!$D:$D,OBRAS!B:B)</f>
        <v>CONSTRUCTORA MIRAMAR, S.A. DE C.V.</v>
      </c>
      <c r="R564" s="4" t="str">
        <f>LOOKUP($E564,OBRAS!$D:$D,OBRAS!A:A)</f>
        <v>HERMOSILLO</v>
      </c>
      <c r="S564" s="4">
        <f>LOOKUP($E564,OBRAS!$D:$D,OBRAS!F:F)</f>
        <v>0</v>
      </c>
      <c r="T564" s="4">
        <f>LOOKUP($E564,OBRAS!$D:$D,OBRAS!G:G)</f>
        <v>0</v>
      </c>
      <c r="U564" s="4" t="s">
        <v>863</v>
      </c>
      <c r="V564" s="4"/>
      <c r="W564" s="6">
        <f>LOOKUP($E564,OBRAS!$D:$D,OBRAS!K:K)</f>
        <v>3955324.73</v>
      </c>
      <c r="X564" s="109" t="str">
        <f t="shared" si="136"/>
        <v/>
      </c>
      <c r="Y564" s="109">
        <f t="shared" si="142"/>
        <v>1.1862999999999999</v>
      </c>
      <c r="Z564" s="109">
        <f t="shared" si="137"/>
        <v>1.1862999999999999</v>
      </c>
      <c r="AA564" s="4">
        <f>LOOKUP($E564,OBRAS!$D:$D,OBRAS!H:H)</f>
        <v>4908879.3099999996</v>
      </c>
    </row>
    <row r="565" spans="1:27" ht="60" x14ac:dyDescent="0.25">
      <c r="C565" s="84">
        <v>564</v>
      </c>
      <c r="D565" s="4" t="str">
        <f>LOOKUP($E565,OBRAS!$D:$D,OBRAS!C:C)</f>
        <v>CONSTRUCCION DE EQUIPAMIENTO DE UNIDAD DEPORTIVA MUNICIPAL HONOFRE GRACIA SANCHEZ EN LA LOCALIDAD Y MUNICIPIO DE MAZATAN</v>
      </c>
      <c r="E565" s="4" t="s">
        <v>457</v>
      </c>
      <c r="F565" s="4"/>
      <c r="G565" s="4" t="str">
        <f>LOOKUP($E565,OBRAS!$D:$D,OBRAS!E:E)</f>
        <v>C-00109/0002</v>
      </c>
      <c r="H565" s="80" t="s">
        <v>23</v>
      </c>
      <c r="I565" s="6">
        <v>1728213.89</v>
      </c>
      <c r="J565" s="6"/>
      <c r="K565" s="6"/>
      <c r="L565" s="6">
        <f t="shared" si="138"/>
        <v>1728213.89</v>
      </c>
      <c r="M565" s="6">
        <f t="shared" si="139"/>
        <v>276514.21999999997</v>
      </c>
      <c r="N565" s="6">
        <f t="shared" si="140"/>
        <v>2004728.11</v>
      </c>
      <c r="O565" s="6"/>
      <c r="P565" s="6">
        <f t="shared" si="141"/>
        <v>2004728.11</v>
      </c>
      <c r="Q565" s="4" t="str">
        <f>LOOKUP($E565,OBRAS!$D:$D,OBRAS!B:B)</f>
        <v>OBRAS Y BASTIMENTOS DEL NOROESTE, S.A. DE C.V.</v>
      </c>
      <c r="R565" s="4" t="str">
        <f>LOOKUP($E565,OBRAS!$D:$D,OBRAS!A:A)</f>
        <v>MAZATAN</v>
      </c>
      <c r="S565" s="4">
        <f>LOOKUP($E565,OBRAS!$D:$D,OBRAS!F:F)</f>
        <v>0</v>
      </c>
      <c r="T565" s="4">
        <f>LOOKUP($E565,OBRAS!$D:$D,OBRAS!G:G)</f>
        <v>0</v>
      </c>
      <c r="U565" s="4" t="s">
        <v>863</v>
      </c>
      <c r="V565" s="4"/>
      <c r="W565" s="6">
        <f>LOOKUP($E565,OBRAS!$D:$D,OBRAS!K:K)</f>
        <v>6682427.0199999996</v>
      </c>
      <c r="X565" s="109" t="str">
        <f t="shared" si="136"/>
        <v/>
      </c>
      <c r="Y565" s="109">
        <f t="shared" si="142"/>
        <v>1</v>
      </c>
      <c r="Z565" s="109">
        <f t="shared" si="137"/>
        <v>1</v>
      </c>
      <c r="AA565" s="4" t="str">
        <f>LOOKUP($E565,OBRAS!$D:$D,OBRAS!H:H)</f>
        <v>OM-NC-15-196</v>
      </c>
    </row>
    <row r="566" spans="1:27" ht="60" x14ac:dyDescent="0.25">
      <c r="A566" s="90">
        <v>42690</v>
      </c>
      <c r="B566" s="56">
        <v>5104</v>
      </c>
      <c r="C566" s="49">
        <v>565</v>
      </c>
      <c r="D566" s="4" t="str">
        <f>LOOKUP($E566,OBRAS!$D:$D,OBRAS!C:C)</f>
        <v>REHABILITACION DE PAVIMENTOS A BASE DE RECARPETEO EN CALLE MONTEVERDE ENTRE BLVD. PROGRESO Y VERACRUZ EN LA LOCALIDAD Y MUNICIPIO DE HERMOSILLO, SONORA</v>
      </c>
      <c r="E566" s="4" t="s">
        <v>777</v>
      </c>
      <c r="F566" s="4"/>
      <c r="G566" s="4" t="str">
        <f>LOOKUP($E566,OBRAS!$D:$D,OBRAS!E:E)</f>
        <v>C-00052/0175</v>
      </c>
      <c r="H566" s="80" t="s">
        <v>103</v>
      </c>
      <c r="I566" s="6">
        <v>2054628.32</v>
      </c>
      <c r="J566" s="6"/>
      <c r="K566" s="6">
        <f>ROUND(I566*0.3,2)</f>
        <v>616388.5</v>
      </c>
      <c r="L566" s="6">
        <f t="shared" si="138"/>
        <v>1438239.82</v>
      </c>
      <c r="M566" s="6">
        <f t="shared" si="139"/>
        <v>230118.37</v>
      </c>
      <c r="N566" s="6">
        <f t="shared" si="140"/>
        <v>1668358.19</v>
      </c>
      <c r="O566" s="6">
        <f>+ROUND(I566*0.005,2)</f>
        <v>10273.14</v>
      </c>
      <c r="P566" s="6">
        <f t="shared" si="141"/>
        <v>1658085.05</v>
      </c>
      <c r="Q566" s="4" t="str">
        <f>LOOKUP($E566,OBRAS!$D:$D,OBRAS!B:B)</f>
        <v>PROYECTOS Y CONSTRUCCIONES VIRGO, S. A. DE C. V.</v>
      </c>
      <c r="R566" s="4" t="str">
        <f>LOOKUP($E566,OBRAS!$D:$D,OBRAS!A:A)</f>
        <v>HERMOSILLO</v>
      </c>
      <c r="S566" s="4" t="str">
        <f>LOOKUP($E566,OBRAS!$D:$D,OBRAS!F:F)</f>
        <v>11000002002201E202K05186A614202165CN07</v>
      </c>
      <c r="T566" s="4" t="str">
        <f>LOOKUP($E566,OBRAS!$D:$D,OBRAS!G:G)</f>
        <v>LO-926006995-E84-2016</v>
      </c>
      <c r="U566" s="4" t="s">
        <v>863</v>
      </c>
      <c r="V566" s="89">
        <v>42702</v>
      </c>
      <c r="W566" s="6">
        <f>LOOKUP($E566,OBRAS!$D:$D,OBRAS!K:K)</f>
        <v>19539418.57</v>
      </c>
      <c r="X566" s="109">
        <f t="shared" si="136"/>
        <v>0.122</v>
      </c>
      <c r="Y566" s="109">
        <f t="shared" si="142"/>
        <v>0.97240000000000004</v>
      </c>
      <c r="Z566" s="109">
        <f t="shared" si="137"/>
        <v>0.98070000000000002</v>
      </c>
      <c r="AA566" s="4" t="str">
        <f>LOOKUP($E566,OBRAS!$D:$D,OBRAS!H:H)</f>
        <v>SH-NC-17-R-004</v>
      </c>
    </row>
    <row r="567" spans="1:27" ht="75" x14ac:dyDescent="0.25">
      <c r="A567" s="90">
        <v>42660</v>
      </c>
      <c r="B567" s="56">
        <v>4295</v>
      </c>
      <c r="C567" s="49">
        <v>566</v>
      </c>
      <c r="D567" s="4" t="str">
        <f>LOOKUP($E567,OBRAS!$D:$D,OBRAS!C:C)</f>
        <v>CONSTRUCCION DE PASO A DESNIVEL DENOMINADO "PUENTE UNIVERSITARIO", UBICADO SOBRE LA INTERNACIONAL 15 (UNISON, UTN, ACCESO AL HOSPITAL NUEVO IMSS) EN LA LOCALIDAD Y MUNICIPIO DE NOGALES, SONORA.</v>
      </c>
      <c r="E567" s="4" t="s">
        <v>712</v>
      </c>
      <c r="F567" s="4"/>
      <c r="G567" s="4" t="str">
        <f>LOOKUP($E567,OBRAS!$D:$D,OBRAS!E:E)</f>
        <v>C-00052/0173</v>
      </c>
      <c r="H567" s="80" t="s">
        <v>103</v>
      </c>
      <c r="I567" s="6">
        <v>3441191.98</v>
      </c>
      <c r="J567" s="6"/>
      <c r="K567" s="6">
        <f>ROUND(I567*0.3,2)</f>
        <v>1032357.59</v>
      </c>
      <c r="L567" s="6">
        <f t="shared" si="138"/>
        <v>2408834.39</v>
      </c>
      <c r="M567" s="6">
        <f t="shared" si="139"/>
        <v>385413.5</v>
      </c>
      <c r="N567" s="6">
        <f t="shared" si="140"/>
        <v>2794247.89</v>
      </c>
      <c r="O567" s="6">
        <f>+ROUND(I567*0.002,2)+ROUND(I567*0.0003,2)+ROUND(I567*0.0003,2)+ROUND(I567*0.0003,2)+ROUND(I567*0.002,2)</f>
        <v>16861.84</v>
      </c>
      <c r="P567" s="6">
        <f t="shared" si="141"/>
        <v>2777386.05</v>
      </c>
      <c r="Q567" s="4" t="str">
        <f>LOOKUP($E567,OBRAS!$D:$D,OBRAS!B:B)</f>
        <v>CONSTRUCTORA MIRAMAR, S.A. DE C.V.</v>
      </c>
      <c r="R567" s="4" t="str">
        <f>LOOKUP($E567,OBRAS!$D:$D,OBRAS!A:A)</f>
        <v>NOGALES</v>
      </c>
      <c r="S567" s="4" t="str">
        <f>LOOKUP($E567,OBRAS!$D:$D,OBRAS!F:F)</f>
        <v>11000002002201E202K05250A614202162A203</v>
      </c>
      <c r="T567" s="4" t="str">
        <f>LOOKUP($E567,OBRAS!$D:$D,OBRAS!G:G)</f>
        <v>CE-926006995-E72-2016</v>
      </c>
      <c r="U567" s="4" t="s">
        <v>863</v>
      </c>
      <c r="V567" s="89">
        <v>42685</v>
      </c>
      <c r="W567" s="6">
        <f>LOOKUP($E567,OBRAS!$D:$D,OBRAS!K:K)</f>
        <v>87577216.609999999</v>
      </c>
      <c r="X567" s="109">
        <f t="shared" si="136"/>
        <v>4.5600000000000002E-2</v>
      </c>
      <c r="Y567" s="109">
        <f t="shared" si="142"/>
        <v>0.19359999999999999</v>
      </c>
      <c r="Z567" s="109">
        <f t="shared" si="137"/>
        <v>0.4355</v>
      </c>
      <c r="AA567" s="4" t="str">
        <f>LOOKUP($E567,OBRAS!$D:$D,OBRAS!H:H)</f>
        <v>SH-ED-17-R-004</v>
      </c>
    </row>
    <row r="568" spans="1:27" ht="45" x14ac:dyDescent="0.25">
      <c r="A568" s="90">
        <v>42664</v>
      </c>
      <c r="B568" s="56">
        <v>4454</v>
      </c>
      <c r="C568" s="49">
        <v>567</v>
      </c>
      <c r="D568" s="4" t="str">
        <f>LOOKUP($E568,OBRAS!$D:$D,OBRAS!C:C)</f>
        <v>CONSTRUCCION Y MODERNIZACION EN DISTRIBUIDOR VIAL EN LA LOCALIDAD Y MUNICIPIO DE NOGALES, SONORA</v>
      </c>
      <c r="E568" s="4" t="s">
        <v>233</v>
      </c>
      <c r="F568" s="4"/>
      <c r="G568" s="4" t="str">
        <f>LOOKUP($E568,OBRAS!$D:$D,OBRAS!E:E)</f>
        <v>C-00052/0136</v>
      </c>
      <c r="H568" s="80" t="s">
        <v>218</v>
      </c>
      <c r="I568" s="6">
        <v>778008.74</v>
      </c>
      <c r="J568" s="6"/>
      <c r="K568" s="6">
        <v>544606.12</v>
      </c>
      <c r="L568" s="6">
        <f t="shared" si="138"/>
        <v>233402.62</v>
      </c>
      <c r="M568" s="6">
        <f t="shared" si="139"/>
        <v>37344.42</v>
      </c>
      <c r="N568" s="6">
        <f t="shared" si="140"/>
        <v>270747.03999999998</v>
      </c>
      <c r="O568" s="6">
        <f>+ROUND(I568*0.002,2)+ROUND(I568*0.0003,2)+ROUND(I568*0.0003,2)+ROUND(I568*0.0003,2)+ROUND(I568*0.002,2)</f>
        <v>3812.24</v>
      </c>
      <c r="P568" s="6">
        <f t="shared" si="141"/>
        <v>266934.8</v>
      </c>
      <c r="Q568" s="4" t="str">
        <f>LOOKUP($E568,OBRAS!$D:$D,OBRAS!B:B)</f>
        <v>LA GRANDE CONSTRUCTORA S.A. DE C.V.</v>
      </c>
      <c r="R568" s="4" t="str">
        <f>LOOKUP($E568,OBRAS!$D:$D,OBRAS!A:A)</f>
        <v>NOGALES</v>
      </c>
      <c r="S568" s="4" t="str">
        <f>LOOKUP($E568,OBRAS!$D:$D,OBRAS!F:F)</f>
        <v>11000002002201E201K13303A614202155DM03</v>
      </c>
      <c r="T568" s="4">
        <f>LOOKUP($E568,OBRAS!$D:$D,OBRAS!G:G)</f>
        <v>0</v>
      </c>
      <c r="U568" s="4" t="s">
        <v>863</v>
      </c>
      <c r="V568" s="89">
        <v>42759</v>
      </c>
      <c r="W568" s="6">
        <f>LOOKUP($E568,OBRAS!$D:$D,OBRAS!K:K)</f>
        <v>25515708.309999999</v>
      </c>
      <c r="X568" s="109">
        <f t="shared" si="136"/>
        <v>3.5400000000000001E-2</v>
      </c>
      <c r="Y568" s="109">
        <f t="shared" si="142"/>
        <v>0.52910000000000001</v>
      </c>
      <c r="Z568" s="109">
        <f t="shared" si="137"/>
        <v>0.20300000000000001</v>
      </c>
      <c r="AA568" s="4" t="str">
        <f>LOOKUP($E568,OBRAS!$D:$D,OBRAS!H:H)</f>
        <v>SH-FAFEF-16-R-007</v>
      </c>
    </row>
    <row r="569" spans="1:27" x14ac:dyDescent="0.25">
      <c r="C569" s="116"/>
      <c r="D569" s="4"/>
      <c r="E569" s="4"/>
      <c r="F569" s="4"/>
      <c r="G569" s="4"/>
      <c r="H569" s="80"/>
      <c r="I569" s="6"/>
      <c r="J569" s="6"/>
      <c r="K569" s="6"/>
      <c r="L569" s="6"/>
      <c r="M569" s="6"/>
      <c r="N569" s="6"/>
      <c r="O569" s="6"/>
      <c r="P569" s="6"/>
      <c r="Q569" s="4"/>
      <c r="R569" s="4"/>
      <c r="S569" s="4" t="e">
        <f>LOOKUP($E569,OBRAS!$D:$D,OBRAS!F:F)</f>
        <v>#N/A</v>
      </c>
      <c r="T569" s="4" t="e">
        <f>LOOKUP($E569,OBRAS!$D:$D,OBRAS!G:G)</f>
        <v>#N/A</v>
      </c>
      <c r="U569" s="4"/>
      <c r="V569" s="89"/>
      <c r="W569" s="6"/>
      <c r="X569" s="109"/>
      <c r="Y569" s="109"/>
      <c r="Z569" s="109"/>
      <c r="AA569" s="4"/>
    </row>
    <row r="570" spans="1:27" ht="30" x14ac:dyDescent="0.25">
      <c r="A570" s="90">
        <v>42697</v>
      </c>
      <c r="B570" s="56">
        <v>5233</v>
      </c>
      <c r="C570" s="49">
        <v>569</v>
      </c>
      <c r="D570" s="4" t="str">
        <f>LOOKUP($E570,OBRAS!$D:$D,OBRAS!C:C)</f>
        <v>OBRAS DE REHABILITACION DEL DELFINARIO SONORA (PRIMERA ETAPA)</v>
      </c>
      <c r="E570" s="4" t="s">
        <v>603</v>
      </c>
      <c r="F570" s="4" t="s">
        <v>224</v>
      </c>
      <c r="G570" s="4" t="str">
        <f>LOOKUP($E570,OBRAS!$D:$D,OBRAS!E:E)</f>
        <v>C-00061/0013</v>
      </c>
      <c r="H570" s="80" t="s">
        <v>55</v>
      </c>
      <c r="I570" s="6">
        <v>8062791.2199999997</v>
      </c>
      <c r="J570" s="6"/>
      <c r="K570" s="6">
        <f>ROUND(I570*0.3,2)</f>
        <v>2418837.37</v>
      </c>
      <c r="L570" s="6">
        <f>I570-K570</f>
        <v>5643953.8499999996</v>
      </c>
      <c r="M570" s="6">
        <f>ROUND(L570*0.16,2)</f>
        <v>903032.62</v>
      </c>
      <c r="N570" s="6">
        <f>M570+L570</f>
        <v>6546986.4699999997</v>
      </c>
      <c r="O570" s="6">
        <f>+ROUND(I570*0.002,2)+ROUND(I570*0.0003,2)+ROUND(I570*0.0003,2)+ROUND(I570*0.0003,2)+ROUND(I570*0.002,2)</f>
        <v>39507.68</v>
      </c>
      <c r="P570" s="6">
        <f>N570-O570</f>
        <v>6507478.79</v>
      </c>
      <c r="Q570" s="4" t="str">
        <f>LOOKUP($E570,OBRAS!$D:$D,OBRAS!B:B)</f>
        <v>CONSTRUCTORA MIRAMAR, S.A. DE C.V.</v>
      </c>
      <c r="R570" s="4" t="str">
        <f>LOOKUP($E570,OBRAS!$D:$D,OBRAS!A:A)</f>
        <v>GUAYMAS</v>
      </c>
      <c r="S570" s="4" t="str">
        <f>LOOKUP($E570,OBRAS!$D:$D,OBRAS!F:F)</f>
        <v>11000002002202E401K04039A622032165DM10</v>
      </c>
      <c r="T570" s="4" t="str">
        <f>LOOKUP($E570,OBRAS!$D:$D,OBRAS!G:G)</f>
        <v>CE-926006995-E37-2016</v>
      </c>
      <c r="U570" s="4" t="s">
        <v>863</v>
      </c>
      <c r="V570" s="89">
        <v>42710</v>
      </c>
      <c r="W570" s="6">
        <f>LOOKUP($E570,OBRAS!$D:$D,OBRAS!K:K)</f>
        <v>34216706.5</v>
      </c>
      <c r="X570" s="109">
        <f>IF(H570&lt;&gt;"ANTICIPO",I570/(W570/1.16),"")</f>
        <v>0.27329999999999999</v>
      </c>
      <c r="Y570" s="109">
        <f>SUMIF(E:E,E570,X:X)</f>
        <v>0.9748</v>
      </c>
      <c r="Z570" s="109">
        <f>SUMIF(E:E,E570,N:N)/W570</f>
        <v>0.9819</v>
      </c>
      <c r="AA570" s="4" t="str">
        <f>LOOKUP($E570,OBRAS!$D:$D,OBRAS!H:H)</f>
        <v>SH-FAFEF-17-R-002</v>
      </c>
    </row>
    <row r="571" spans="1:27" x14ac:dyDescent="0.25">
      <c r="C571" s="116"/>
      <c r="D571" s="4"/>
      <c r="E571" s="4"/>
      <c r="F571" s="4"/>
      <c r="G571" s="4"/>
      <c r="H571" s="80"/>
      <c r="I571" s="6"/>
      <c r="J571" s="6"/>
      <c r="K571" s="6"/>
      <c r="L571" s="6"/>
      <c r="M571" s="6"/>
      <c r="N571" s="6"/>
      <c r="O571" s="6"/>
      <c r="P571" s="6"/>
      <c r="Q571" s="4"/>
      <c r="R571" s="4"/>
      <c r="S571" s="4" t="e">
        <f>LOOKUP($E571,OBRAS!$D:$D,OBRAS!F:F)</f>
        <v>#N/A</v>
      </c>
      <c r="T571" s="4" t="e">
        <f>LOOKUP($E571,OBRAS!$D:$D,OBRAS!G:G)</f>
        <v>#N/A</v>
      </c>
      <c r="U571" s="4"/>
      <c r="V571" s="89"/>
      <c r="W571" s="6"/>
      <c r="X571" s="109"/>
      <c r="Y571" s="109"/>
      <c r="Z571" s="109"/>
      <c r="AA571" s="4"/>
    </row>
    <row r="572" spans="1:27" ht="60" x14ac:dyDescent="0.25">
      <c r="A572" s="90">
        <v>42669</v>
      </c>
      <c r="B572" s="56">
        <v>4597</v>
      </c>
      <c r="C572" s="49">
        <v>571</v>
      </c>
      <c r="D572" s="4" t="str">
        <f>LOOKUP($E572,OBRAS!$D:$D,OBRAS!C:C)</f>
        <v>CONSERVACION Y RECONSTRUCCION DE CARRETERAS ALIMENTADORAS REGION GUAYMAS-EMPALME, TRAMO: E.C. (PROVIDENCIA-ORTIZ)-LA MISA</v>
      </c>
      <c r="E572" s="4" t="s">
        <v>582</v>
      </c>
      <c r="F572" s="4" t="s">
        <v>995</v>
      </c>
      <c r="G572" s="4" t="str">
        <f>LOOKUP($E572,OBRAS!$D:$D,OBRAS!E:E)</f>
        <v>C-00054/0065</v>
      </c>
      <c r="H572" s="80" t="s">
        <v>15</v>
      </c>
      <c r="I572" s="6">
        <v>2741251.76</v>
      </c>
      <c r="J572" s="6"/>
      <c r="K572" s="6">
        <v>822375.55</v>
      </c>
      <c r="L572" s="6">
        <f t="shared" ref="L572:L603" si="143">I572-K572</f>
        <v>1918876.21</v>
      </c>
      <c r="M572" s="6">
        <f t="shared" ref="M572:M603" si="144">ROUND(L572*0.16,2)</f>
        <v>307020.19</v>
      </c>
      <c r="N572" s="6">
        <f t="shared" ref="N572:N603" si="145">M572+L572</f>
        <v>2225896.4</v>
      </c>
      <c r="O572" s="6">
        <f>+ROUND(I572*0.002,2)+ROUND(I572*0.0003,2)+ROUND(I572*0.0003,2)+ROUND(I572*0.0003,2)+ROUND(I572*0.002,2)</f>
        <v>13432.14</v>
      </c>
      <c r="P572" s="6">
        <f t="shared" ref="P572:P603" si="146">N572-O572</f>
        <v>2212464.2599999998</v>
      </c>
      <c r="Q572" s="4" t="str">
        <f>LOOKUP($E572,OBRAS!$D:$D,OBRAS!B:B)</f>
        <v>GILA MINAS Y DESARROLLOS SA DE CV</v>
      </c>
      <c r="R572" s="4" t="str">
        <f>LOOKUP($E572,OBRAS!$D:$D,OBRAS!A:A)</f>
        <v>VARIOS</v>
      </c>
      <c r="S572" s="4" t="str">
        <f>LOOKUP($E572,OBRAS!$D:$D,OBRAS!F:F)</f>
        <v>11000002003501E204K08063A625012162213</v>
      </c>
      <c r="T572" s="4" t="str">
        <f>LOOKUP($E572,OBRAS!$D:$D,OBRAS!G:G)</f>
        <v>CE-926006995-E29-2016</v>
      </c>
      <c r="U572" s="4" t="s">
        <v>863</v>
      </c>
      <c r="V572" s="89">
        <v>42712</v>
      </c>
      <c r="W572" s="6">
        <f>LOOKUP($E572,OBRAS!$D:$D,OBRAS!K:K)</f>
        <v>31555491.960000001</v>
      </c>
      <c r="X572" s="109">
        <f t="shared" ref="X572:X603" si="147">IF(H572&lt;&gt;"ANTICIPO",I572/(W572/1.16),"")</f>
        <v>0.1008</v>
      </c>
      <c r="Y572" s="109">
        <f t="shared" ref="Y572:Y603" si="148">SUMIF(E:E,E572,X:X)</f>
        <v>0.9194</v>
      </c>
      <c r="Z572" s="109">
        <f t="shared" ref="Z572:Z603" si="149">SUMIF(E:E,E572,N:N)/W572</f>
        <v>0.9194</v>
      </c>
      <c r="AA572" s="4" t="str">
        <f>LOOKUP($E572,OBRAS!$D:$D,OBRAS!H:H)</f>
        <v>SH-ED-17-R-013</v>
      </c>
    </row>
    <row r="573" spans="1:27" ht="75" x14ac:dyDescent="0.25">
      <c r="A573" s="90">
        <v>42678</v>
      </c>
      <c r="B573" s="56">
        <v>4835</v>
      </c>
      <c r="C573" s="49">
        <v>572</v>
      </c>
      <c r="D573" s="4" t="str">
        <f>LOOKUP($E573,OBRAS!$D:$D,OBRAS!C:C)</f>
        <v>REHABILITACION DE EDIFICIO PARA ALBERGAR JUZGADO DE ORALIDAD PENAL DEL DISTRITO JUDICIAL CON SEDE EN HERMOSILLO 2DA ETAPA (SEGUNDO NIVEL) EN LA LOCALIDAD Y MUNICIPIO DE HERMOSILLO, SONORA.</v>
      </c>
      <c r="E573" s="4" t="s">
        <v>707</v>
      </c>
      <c r="F573" s="4"/>
      <c r="G573" s="4" t="str">
        <f>LOOKUP($E573,OBRAS!$D:$D,OBRAS!E:E)</f>
        <v>C-00058/0010</v>
      </c>
      <c r="H573" s="80" t="s">
        <v>103</v>
      </c>
      <c r="I573" s="6">
        <v>200061.11</v>
      </c>
      <c r="J573" s="6"/>
      <c r="K573" s="6">
        <f>ROUND(I573*0.3,2)</f>
        <v>60018.33</v>
      </c>
      <c r="L573" s="6">
        <f t="shared" si="143"/>
        <v>140042.78</v>
      </c>
      <c r="M573" s="6">
        <f t="shared" si="144"/>
        <v>22406.84</v>
      </c>
      <c r="N573" s="6">
        <f t="shared" si="145"/>
        <v>162449.62</v>
      </c>
      <c r="O573" s="6">
        <f>+ROUND(I573*0.002,2)+ROUND(I573*0.0003,2)+ROUND(I573*0.0003,2)+ROUND(I573*0.0003,2)+ROUND(I573*0.002,2)</f>
        <v>980.3</v>
      </c>
      <c r="P573" s="6">
        <f t="shared" si="146"/>
        <v>161469.32</v>
      </c>
      <c r="Q573" s="4" t="str">
        <f>LOOKUP($E573,OBRAS!$D:$D,OBRAS!B:B)</f>
        <v>INMOBILIARIA TIERRAS DEL DESIERTO, S.A. DE C.V.</v>
      </c>
      <c r="R573" s="4" t="str">
        <f>LOOKUP($E573,OBRAS!$D:$D,OBRAS!A:A)</f>
        <v>HERMOSILLO</v>
      </c>
      <c r="S573" s="4" t="str">
        <f>LOOKUP($E573,OBRAS!$D:$D,OBRAS!F:F)</f>
        <v>11000002001202E105K13041A622032165DM07</v>
      </c>
      <c r="T573" s="4" t="str">
        <f>LOOKUP($E573,OBRAS!$D:$D,OBRAS!G:G)</f>
        <v>LICITACIÓN SIMPLIFICADA</v>
      </c>
      <c r="U573" s="4" t="s">
        <v>863</v>
      </c>
      <c r="V573" s="89">
        <v>42710</v>
      </c>
      <c r="W573" s="6">
        <f>LOOKUP($E573,OBRAS!$D:$D,OBRAS!K:K)</f>
        <v>2145846.29</v>
      </c>
      <c r="X573" s="109">
        <f t="shared" si="147"/>
        <v>0.1081</v>
      </c>
      <c r="Y573" s="109">
        <f t="shared" si="148"/>
        <v>1.1404000000000001</v>
      </c>
      <c r="Z573" s="109">
        <f t="shared" si="149"/>
        <v>1.0005999999999999</v>
      </c>
      <c r="AA573" s="4" t="str">
        <f>LOOKUP($E573,OBRAS!$D:$D,OBRAS!H:H)</f>
        <v>SH-FAFEF-17-R-002</v>
      </c>
    </row>
    <row r="574" spans="1:27" ht="60" x14ac:dyDescent="0.25">
      <c r="A574" s="90">
        <v>42669</v>
      </c>
      <c r="B574" s="56">
        <v>4602</v>
      </c>
      <c r="C574" s="49">
        <v>573</v>
      </c>
      <c r="D574" s="4" t="str">
        <f>LOOKUP($E574,OBRAS!$D:$D,OBRAS!C:C)</f>
        <v>CONSERVACIÓN DEL TRAMO NOVILLO - BACANORA - SAHUARIPA -  SAN NICOLÁS EN VARIAS LOCALIDADES DE VARIOS MUNICIPIOS DEL ESTADO DE SONORA.</v>
      </c>
      <c r="E574" s="4" t="s">
        <v>554</v>
      </c>
      <c r="F574" s="4" t="s">
        <v>401</v>
      </c>
      <c r="G574" s="4" t="str">
        <f>LOOKUP($E574,OBRAS!$D:$D,OBRAS!E:E)</f>
        <v>C-00054/0055</v>
      </c>
      <c r="H574" s="80" t="s">
        <v>221</v>
      </c>
      <c r="I574" s="6">
        <v>11949221.210000001</v>
      </c>
      <c r="J574" s="6"/>
      <c r="K574" s="6">
        <f>ROUND(I574*0.3,2)</f>
        <v>3584766.36</v>
      </c>
      <c r="L574" s="6">
        <f t="shared" si="143"/>
        <v>8364454.8499999996</v>
      </c>
      <c r="M574" s="6">
        <f t="shared" si="144"/>
        <v>1338312.78</v>
      </c>
      <c r="N574" s="6">
        <f t="shared" si="145"/>
        <v>9702767.6300000008</v>
      </c>
      <c r="O574" s="6">
        <f>+ROUND(I574*0.002,2)+ROUND(I574*0.0003,2)+ROUND(I574*0.0003,2)+ROUND(I574*0.0003,2)+ROUND(I574*0.002,2)</f>
        <v>58551.19</v>
      </c>
      <c r="P574" s="6">
        <f t="shared" si="146"/>
        <v>9644216.4399999995</v>
      </c>
      <c r="Q574" s="4" t="str">
        <f>LOOKUP($E574,OBRAS!$D:$D,OBRAS!B:B)</f>
        <v>CONSTRUCCIONES VILLA DE SERIS, S. A. DE C. V.</v>
      </c>
      <c r="R574" s="4" t="str">
        <f>LOOKUP($E574,OBRAS!$D:$D,OBRAS!A:A)</f>
        <v>VARIOS</v>
      </c>
      <c r="S574" s="4" t="str">
        <f>LOOKUP($E574,OBRAS!$D:$D,OBRAS!F:F)</f>
        <v>11000002003501E204K08063A625012162A213</v>
      </c>
      <c r="T574" s="4" t="str">
        <f>LOOKUP($E574,OBRAS!$D:$D,OBRAS!G:G)</f>
        <v>CE-926006995-E19-2016</v>
      </c>
      <c r="U574" s="4" t="s">
        <v>863</v>
      </c>
      <c r="V574" s="89">
        <v>42720</v>
      </c>
      <c r="W574" s="6">
        <f>LOOKUP($E574,OBRAS!$D:$D,OBRAS!K:K)</f>
        <v>112909841.56</v>
      </c>
      <c r="X574" s="109">
        <f t="shared" si="147"/>
        <v>0.12280000000000001</v>
      </c>
      <c r="Y574" s="109">
        <f t="shared" si="148"/>
        <v>0.93110000000000004</v>
      </c>
      <c r="Z574" s="109">
        <f t="shared" si="149"/>
        <v>0.95179999999999998</v>
      </c>
      <c r="AA574" s="4" t="str">
        <f>LOOKUP($E574,OBRAS!$D:$D,OBRAS!H:H)</f>
        <v>SH-ED-17-R-004</v>
      </c>
    </row>
    <row r="575" spans="1:27" ht="30" x14ac:dyDescent="0.25">
      <c r="A575" s="90">
        <v>42664</v>
      </c>
      <c r="B575" s="56">
        <v>4457</v>
      </c>
      <c r="C575" s="49">
        <v>574</v>
      </c>
      <c r="D575" s="4" t="str">
        <f>LOOKUP($E575,OBRAS!$D:$D,OBRAS!C:C)</f>
        <v>CONSERVACION Y RECONSTRUCCION DEL TRAMO URES-PUEBLO DE ALAMOS</v>
      </c>
      <c r="E575" s="4" t="s">
        <v>562</v>
      </c>
      <c r="F575" s="4"/>
      <c r="G575" s="4" t="str">
        <f>LOOKUP($E575,OBRAS!$D:$D,OBRAS!E:E)</f>
        <v>C-00054/0061</v>
      </c>
      <c r="H575" s="80" t="s">
        <v>15</v>
      </c>
      <c r="I575" s="6">
        <v>8155362.4000000004</v>
      </c>
      <c r="J575" s="6"/>
      <c r="K575" s="6">
        <f>ROUND(I575*0.3,2)</f>
        <v>2446608.7200000002</v>
      </c>
      <c r="L575" s="6">
        <f t="shared" si="143"/>
        <v>5708753.6799999997</v>
      </c>
      <c r="M575" s="6">
        <f t="shared" si="144"/>
        <v>913400.59</v>
      </c>
      <c r="N575" s="6">
        <f t="shared" si="145"/>
        <v>6622154.2699999996</v>
      </c>
      <c r="O575" s="6">
        <f>+ROUND(I575*0.002,2)+ROUND(I575*0.0003,2)+ROUND(I575*0.0003,2)+ROUND(I575*0.0003,2)+ROUND(I575*0.002,2)</f>
        <v>39961.269999999997</v>
      </c>
      <c r="P575" s="6">
        <f t="shared" si="146"/>
        <v>6582193</v>
      </c>
      <c r="Q575" s="4" t="str">
        <f>LOOKUP($E575,OBRAS!$D:$D,OBRAS!B:B)</f>
        <v>GLUYAS CONSTRUCCIONES S.A. DE C.V.</v>
      </c>
      <c r="R575" s="4" t="str">
        <f>LOOKUP($E575,OBRAS!$D:$D,OBRAS!A:A)</f>
        <v>URES</v>
      </c>
      <c r="S575" s="4" t="str">
        <f>LOOKUP($E575,OBRAS!$D:$D,OBRAS!F:F)</f>
        <v>11000002003501E204K08063A625012162A205</v>
      </c>
      <c r="T575" s="4" t="str">
        <f>LOOKUP($E575,OBRAS!$D:$D,OBRAS!G:G)</f>
        <v>CE-926006995-E25-2016</v>
      </c>
      <c r="U575" s="4" t="s">
        <v>863</v>
      </c>
      <c r="V575" s="89">
        <v>42712</v>
      </c>
      <c r="W575" s="6">
        <f>LOOKUP($E575,OBRAS!$D:$D,OBRAS!K:K)</f>
        <v>40380067.490000002</v>
      </c>
      <c r="X575" s="109">
        <f t="shared" si="147"/>
        <v>0.23430000000000001</v>
      </c>
      <c r="Y575" s="109">
        <f t="shared" si="148"/>
        <v>0.94240000000000002</v>
      </c>
      <c r="Z575" s="109">
        <f t="shared" si="149"/>
        <v>0.9425</v>
      </c>
      <c r="AA575" s="4" t="str">
        <f>LOOKUP($E575,OBRAS!$D:$D,OBRAS!H:H)</f>
        <v>SH-ED-17-R-013</v>
      </c>
    </row>
    <row r="576" spans="1:27" ht="30" x14ac:dyDescent="0.25">
      <c r="A576" s="90">
        <v>42711</v>
      </c>
      <c r="B576" s="56">
        <v>5614</v>
      </c>
      <c r="C576" s="122">
        <v>575</v>
      </c>
      <c r="D576" s="4" t="str">
        <f>LOOKUP($E576,OBRAS!$D:$D,OBRAS!C:C)</f>
        <v>RECONSTRUCCIÓN DEL CAMINO BACAME NUEVO</v>
      </c>
      <c r="E576" s="4" t="s">
        <v>503</v>
      </c>
      <c r="F576" s="4" t="s">
        <v>217</v>
      </c>
      <c r="G576" s="4" t="str">
        <f>LOOKUP($E576,OBRAS!$D:$D,OBRAS!E:E)</f>
        <v>C-00054/0023</v>
      </c>
      <c r="H576" s="80" t="s">
        <v>15</v>
      </c>
      <c r="I576" s="6">
        <v>480458.78</v>
      </c>
      <c r="J576" s="6"/>
      <c r="K576" s="6">
        <v>0</v>
      </c>
      <c r="L576" s="6">
        <f t="shared" si="143"/>
        <v>480458.78</v>
      </c>
      <c r="M576" s="6">
        <f t="shared" si="144"/>
        <v>76873.399999999994</v>
      </c>
      <c r="N576" s="6">
        <f t="shared" si="145"/>
        <v>557332.18000000005</v>
      </c>
      <c r="O576" s="6">
        <f>+ROUND(I576*0.002,2)+ROUND(I576*0.0003,2)+ROUND(I576*0.0003,2)+ROUND(I576*0.0003,2)+ROUND(I576*0.002,2)</f>
        <v>2354.2600000000002</v>
      </c>
      <c r="P576" s="6">
        <f t="shared" si="146"/>
        <v>554977.92000000004</v>
      </c>
      <c r="Q576" s="4" t="str">
        <f>LOOKUP($E576,OBRAS!$D:$D,OBRAS!B:B)</f>
        <v>GIBHER CONSTRUCTORES, S.A. DE C.V.</v>
      </c>
      <c r="R576" s="4" t="str">
        <f>LOOKUP($E576,OBRAS!$D:$D,OBRAS!A:A)</f>
        <v>ETCHOJOA</v>
      </c>
      <c r="S576" s="4" t="str">
        <f>LOOKUP($E576,OBRAS!$D:$D,OBRAS!F:F)</f>
        <v>11000002003501E204K08063A625012162A212</v>
      </c>
      <c r="T576" s="4" t="str">
        <f>LOOKUP($E576,OBRAS!$D:$D,OBRAS!G:G)</f>
        <v>CE-926006995-E5-2016</v>
      </c>
      <c r="U576" s="4" t="s">
        <v>863</v>
      </c>
      <c r="V576" s="89">
        <v>42762</v>
      </c>
      <c r="W576" s="6">
        <f>LOOKUP($E576,OBRAS!$D:$D,OBRAS!K:K)</f>
        <v>6757250.3700000001</v>
      </c>
      <c r="X576" s="109">
        <f t="shared" si="147"/>
        <v>8.2500000000000004E-2</v>
      </c>
      <c r="Y576" s="109">
        <f t="shared" si="148"/>
        <v>1</v>
      </c>
      <c r="Z576" s="109">
        <f t="shared" si="149"/>
        <v>1</v>
      </c>
      <c r="AA576" s="4" t="str">
        <f>LOOKUP($E576,OBRAS!$D:$D,OBRAS!H:H)</f>
        <v>SH-ED-17-R-013</v>
      </c>
    </row>
    <row r="577" spans="1:27" ht="45" x14ac:dyDescent="0.25">
      <c r="A577" s="90">
        <v>42660</v>
      </c>
      <c r="B577" s="56">
        <v>4296</v>
      </c>
      <c r="C577" s="51">
        <v>576</v>
      </c>
      <c r="D577" s="4" t="str">
        <f>LOOKUP($E577,OBRAS!$D:$D,OBRAS!C:C)</f>
        <v>SUPERVISION EXTERNA Y CONTROL DE CALIDAD DE LA RECONSTRUCCION DE CALLE 26, DEL KM 70+000 AL KM 101+300, HERMOSILLO</v>
      </c>
      <c r="E577" s="4" t="s">
        <v>678</v>
      </c>
      <c r="F577" s="4"/>
      <c r="G577" s="4" t="str">
        <f>LOOKUP($E577,OBRAS!$D:$D,OBRAS!E:E)</f>
        <v>C-00098/0022</v>
      </c>
      <c r="H577" s="80" t="s">
        <v>55</v>
      </c>
      <c r="I577" s="6">
        <v>209318.83</v>
      </c>
      <c r="J577" s="6"/>
      <c r="K577" s="6">
        <f>ROUND(I577*0.1,2)</f>
        <v>20931.88</v>
      </c>
      <c r="L577" s="6">
        <f t="shared" si="143"/>
        <v>188386.95</v>
      </c>
      <c r="M577" s="6">
        <f t="shared" si="144"/>
        <v>30141.91</v>
      </c>
      <c r="N577" s="6">
        <f t="shared" si="145"/>
        <v>218528.86</v>
      </c>
      <c r="O577" s="6">
        <f>+ROUND(I577*0.0003,2)+ROUND(I577*0.0003,2)+ROUND(I577*0.0003,2)+ROUND(I577*0.002,2)</f>
        <v>607.04</v>
      </c>
      <c r="P577" s="6">
        <f t="shared" si="146"/>
        <v>217921.82</v>
      </c>
      <c r="Q577" s="4" t="str">
        <f>LOOKUP($E577,OBRAS!$D:$D,OBRAS!B:B)</f>
        <v>GM3 INGENIERIA Y SERVICIOS, S. DE R.L. DE C.V.</v>
      </c>
      <c r="R577" s="4" t="str">
        <f>LOOKUP($E577,OBRAS!$D:$D,OBRAS!A:A)</f>
        <v>HERMOSILLO</v>
      </c>
      <c r="S577" s="4" t="str">
        <f>LOOKUP($E577,OBRAS!$D:$D,OBRAS!F:F)</f>
        <v>11000002002207E201K02104A622212161A013</v>
      </c>
      <c r="T577" s="4" t="str">
        <f>LOOKUP($E577,OBRAS!$D:$D,OBRAS!G:G)</f>
        <v>CE-926006995-E69-2016</v>
      </c>
      <c r="U577" s="4" t="s">
        <v>863</v>
      </c>
      <c r="V577" s="89">
        <v>42697</v>
      </c>
      <c r="W577" s="6">
        <f>LOOKUP($E577,OBRAS!$D:$D,OBRAS!K:K)</f>
        <v>1369447.44</v>
      </c>
      <c r="X577" s="109">
        <f t="shared" si="147"/>
        <v>0.17730000000000001</v>
      </c>
      <c r="Y577" s="109">
        <f t="shared" si="148"/>
        <v>1.0639000000000001</v>
      </c>
      <c r="Z577" s="109">
        <f t="shared" si="149"/>
        <v>1.0638000000000001</v>
      </c>
      <c r="AA577" s="4" t="str">
        <f>LOOKUP($E577,OBRAS!$D:$D,OBRAS!H:H)</f>
        <v>SH-ED-16-066</v>
      </c>
    </row>
    <row r="578" spans="1:27" ht="60" x14ac:dyDescent="0.25">
      <c r="A578" s="90">
        <v>42660</v>
      </c>
      <c r="B578" s="56">
        <v>4297</v>
      </c>
      <c r="C578" s="51">
        <v>577</v>
      </c>
      <c r="D578" s="4" t="str">
        <f>LOOKUP($E578,OBRAS!$D:$D,OBRAS!C:C)</f>
        <v>SUPERVISION EXTERNA Y CONTROL DE CALIDAD DE LA REHABILITACION DE EDIFICIO PARA ALBERGAR JUZGADO DE ORALIDAD PENAL DEL DISTRITO JUDICIAL CON SEDE EN HERMOSILLO, 2DA ETAPA</v>
      </c>
      <c r="E578" s="4" t="s">
        <v>471</v>
      </c>
      <c r="F578" s="4"/>
      <c r="G578" s="4" t="str">
        <f>LOOKUP($E578,OBRAS!$D:$D,OBRAS!E:E)</f>
        <v>C-00098/0016-5</v>
      </c>
      <c r="H578" s="80" t="s">
        <v>55</v>
      </c>
      <c r="I578" s="6">
        <v>18761.54</v>
      </c>
      <c r="J578" s="6"/>
      <c r="K578" s="6">
        <v>0</v>
      </c>
      <c r="L578" s="6">
        <f t="shared" si="143"/>
        <v>18761.54</v>
      </c>
      <c r="M578" s="6">
        <f t="shared" si="144"/>
        <v>3001.85</v>
      </c>
      <c r="N578" s="6">
        <f t="shared" si="145"/>
        <v>21763.39</v>
      </c>
      <c r="O578" s="6">
        <f>ROUND(I578*0.0003,2)+ROUND(I578*0.0003,2)+ROUND(I578*0.0003,2)+ROUND(I578*0.002,2)</f>
        <v>54.41</v>
      </c>
      <c r="P578" s="6">
        <f t="shared" si="146"/>
        <v>21708.98</v>
      </c>
      <c r="Q578" s="4" t="str">
        <f>LOOKUP($E578,OBRAS!$D:$D,OBRAS!B:B)</f>
        <v>GYS CONSTRUCTORES S.A. DE C.V.</v>
      </c>
      <c r="R578" s="4" t="str">
        <f>LOOKUP($E578,OBRAS!$D:$D,OBRAS!A:A)</f>
        <v>HERMOSILLO</v>
      </c>
      <c r="S578" s="4" t="str">
        <f>LOOKUP($E578,OBRAS!$D:$D,OBRAS!F:F)</f>
        <v>11000002002207E201K02104A622212161A013</v>
      </c>
      <c r="T578" s="4" t="str">
        <f>LOOKUP($E578,OBRAS!$D:$D,OBRAS!G:G)</f>
        <v>ADJUDICACIÓN DIRECTA</v>
      </c>
      <c r="U578" s="4" t="s">
        <v>863</v>
      </c>
      <c r="V578" s="89">
        <v>42678</v>
      </c>
      <c r="W578" s="6">
        <f>LOOKUP($E578,OBRAS!$D:$D,OBRAS!K:K)</f>
        <v>70967.48</v>
      </c>
      <c r="X578" s="109">
        <f t="shared" si="147"/>
        <v>0.30669999999999997</v>
      </c>
      <c r="Y578" s="109">
        <f t="shared" si="148"/>
        <v>1</v>
      </c>
      <c r="Z578" s="109">
        <f t="shared" si="149"/>
        <v>1</v>
      </c>
      <c r="AA578" s="4" t="str">
        <f>LOOKUP($E578,OBRAS!$D:$D,OBRAS!H:H)</f>
        <v>SH-ED-16-011</v>
      </c>
    </row>
    <row r="579" spans="1:27" ht="60" x14ac:dyDescent="0.25">
      <c r="A579" s="90">
        <v>42660</v>
      </c>
      <c r="B579" s="56">
        <v>4298</v>
      </c>
      <c r="C579" s="51">
        <v>578</v>
      </c>
      <c r="D579" s="4" t="str">
        <f>LOOKUP($E579,OBRAS!$D:$D,OBRAS!C:C)</f>
        <v>SUPERVISION EXTERNA Y CONTROL DE CALIDAD DE LA RECONSTRUCCION DE CALLE 28 NORTE, DEL KM 0 + 000 AL KM 10+160, Y DEL KM 17+210 AL 17+982, HERMOSILLO</v>
      </c>
      <c r="E579" s="4" t="s">
        <v>675</v>
      </c>
      <c r="F579" s="4"/>
      <c r="G579" s="4" t="str">
        <f>LOOKUP($E579,OBRAS!$D:$D,OBRAS!E:E)</f>
        <v>C-00098/0022</v>
      </c>
      <c r="H579" s="80" t="s">
        <v>55</v>
      </c>
      <c r="I579" s="6">
        <v>90338.33</v>
      </c>
      <c r="J579" s="6"/>
      <c r="K579" s="6">
        <f>ROUND(I579*0.1,2)</f>
        <v>9033.83</v>
      </c>
      <c r="L579" s="6">
        <f t="shared" si="143"/>
        <v>81304.5</v>
      </c>
      <c r="M579" s="6">
        <f t="shared" si="144"/>
        <v>13008.72</v>
      </c>
      <c r="N579" s="6">
        <f t="shared" si="145"/>
        <v>94313.22</v>
      </c>
      <c r="O579" s="6">
        <f>ROUND(I579*0.0003,2)+ROUND(I579*0.0003,2)+ROUND(I579*0.0003,2)+ROUND(I579*0.002,2)</f>
        <v>261.98</v>
      </c>
      <c r="P579" s="6">
        <f t="shared" si="146"/>
        <v>94051.24</v>
      </c>
      <c r="Q579" s="4" t="str">
        <f>LOOKUP($E579,OBRAS!$D:$D,OBRAS!B:B)</f>
        <v>SATI CONSTRUCCIONES Y POYECTOS S.A. DE C.V.</v>
      </c>
      <c r="R579" s="4" t="str">
        <f>LOOKUP($E579,OBRAS!$D:$D,OBRAS!A:A)</f>
        <v>HERMOSILLO</v>
      </c>
      <c r="S579" s="4" t="str">
        <f>LOOKUP($E579,OBRAS!$D:$D,OBRAS!F:F)</f>
        <v>11000002002207E201K02104A622212161A013</v>
      </c>
      <c r="T579" s="4" t="str">
        <f>LOOKUP($E579,OBRAS!$D:$D,OBRAS!G:G)</f>
        <v>LICITACIÓN SIMPLIFICADA</v>
      </c>
      <c r="U579" s="4" t="s">
        <v>863</v>
      </c>
      <c r="V579" s="89">
        <v>42781</v>
      </c>
      <c r="W579" s="6">
        <f>LOOKUP($E579,OBRAS!$D:$D,OBRAS!K:K)</f>
        <v>608472.5</v>
      </c>
      <c r="X579" s="109">
        <f t="shared" si="147"/>
        <v>0.17219999999999999</v>
      </c>
      <c r="Y579" s="109">
        <f t="shared" si="148"/>
        <v>0.77780000000000005</v>
      </c>
      <c r="Z579" s="109">
        <f t="shared" si="149"/>
        <v>0.8</v>
      </c>
      <c r="AA579" s="4" t="str">
        <f>LOOKUP($E579,OBRAS!$D:$D,OBRAS!H:H)</f>
        <v>SH-ED-16-066</v>
      </c>
    </row>
    <row r="580" spans="1:27" ht="60" x14ac:dyDescent="0.25">
      <c r="A580" s="90">
        <v>42660</v>
      </c>
      <c r="B580" s="56">
        <v>4300</v>
      </c>
      <c r="C580" s="51">
        <v>579</v>
      </c>
      <c r="D580" s="4" t="str">
        <f>LOOKUP($E580,OBRAS!$D:$D,OBRAS!C:C)</f>
        <v>SUPERVISION EXTERNA Y CONTROL DE CALIDAD DE LA REHABILITACION DE RED DE CARRETERAS ALIMENTADORAS EN LA REGION DEL RIO SONORA; SUBTRAMO KM 0+000 AL KM 75+000</v>
      </c>
      <c r="E580" s="4" t="s">
        <v>732</v>
      </c>
      <c r="F580" s="4"/>
      <c r="G580" s="4" t="str">
        <f>LOOKUP($E580,OBRAS!$D:$D,OBRAS!E:E)</f>
        <v>C-00098/0021</v>
      </c>
      <c r="H580" s="80" t="s">
        <v>214</v>
      </c>
      <c r="I580" s="6">
        <v>170702.02</v>
      </c>
      <c r="J580" s="6"/>
      <c r="K580" s="6">
        <v>0</v>
      </c>
      <c r="L580" s="6">
        <f t="shared" si="143"/>
        <v>170702.02</v>
      </c>
      <c r="M580" s="6">
        <f t="shared" si="144"/>
        <v>27312.32</v>
      </c>
      <c r="N580" s="6">
        <f t="shared" si="145"/>
        <v>198014.34</v>
      </c>
      <c r="O580" s="6">
        <f>ROUND(I580*0.0003,2)+ROUND(I580*0.0003,2)+ROUND(I580*0.0003,2)+ROUND(I580*0.002,2)</f>
        <v>495.03</v>
      </c>
      <c r="P580" s="6">
        <f t="shared" si="146"/>
        <v>197519.31</v>
      </c>
      <c r="Q580" s="4" t="str">
        <f>LOOKUP($E580,OBRAS!$D:$D,OBRAS!B:B)</f>
        <v>ESCOBO S.A. DE C.V.</v>
      </c>
      <c r="R580" s="4" t="str">
        <f>LOOKUP($E580,OBRAS!$D:$D,OBRAS!A:A)</f>
        <v>VARIOS</v>
      </c>
      <c r="S580" s="4" t="str">
        <f>LOOKUP($E580,OBRAS!$D:$D,OBRAS!F:F)</f>
        <v>11000002003501E203K03203A625132161A013</v>
      </c>
      <c r="T580" s="4" t="str">
        <f>LOOKUP($E580,OBRAS!$D:$D,OBRAS!G:G)</f>
        <v>CE-966006995-E67-2016</v>
      </c>
      <c r="U580" s="4" t="s">
        <v>863</v>
      </c>
      <c r="V580" s="89">
        <v>42781</v>
      </c>
      <c r="W580" s="6">
        <f>LOOKUP($E580,OBRAS!$D:$D,OBRAS!K:K)</f>
        <v>2329580.42</v>
      </c>
      <c r="X580" s="109">
        <f t="shared" si="147"/>
        <v>8.5000000000000006E-2</v>
      </c>
      <c r="Y580" s="109">
        <f t="shared" si="148"/>
        <v>0.92679999999999996</v>
      </c>
      <c r="Z580" s="109">
        <f t="shared" si="149"/>
        <v>0.92669999999999997</v>
      </c>
      <c r="AA580" s="4" t="str">
        <f>LOOKUP($E580,OBRAS!$D:$D,OBRAS!H:H)</f>
        <v>SH-ED-16-060</v>
      </c>
    </row>
    <row r="581" spans="1:27" ht="45" x14ac:dyDescent="0.25">
      <c r="A581" s="90">
        <v>42660</v>
      </c>
      <c r="B581" s="56">
        <v>4301</v>
      </c>
      <c r="C581" s="51">
        <v>580</v>
      </c>
      <c r="D581" s="4" t="str">
        <f>LOOKUP($E581,OBRAS!$D:$D,OBRAS!C:C)</f>
        <v>CONSERVACION Y RECONSTRUCCION DEL TRAMO MOCTEZUMA- EL CRUCERO (TRAMO KM 164+500 AL KM 210+750) EN LA REGION DE LA SIERRA.</v>
      </c>
      <c r="E581" s="4" t="s">
        <v>343</v>
      </c>
      <c r="F581" s="4"/>
      <c r="G581" s="4" t="str">
        <f>LOOKUP($E581,OBRAS!$D:$D,OBRAS!E:E)</f>
        <v>C-00054/0052</v>
      </c>
      <c r="H581" s="80" t="s">
        <v>15</v>
      </c>
      <c r="I581" s="6">
        <v>9274119.1400000006</v>
      </c>
      <c r="J581" s="6"/>
      <c r="K581" s="6">
        <f>ROUND(I581*0.3,2)</f>
        <v>2782235.74</v>
      </c>
      <c r="L581" s="6">
        <f t="shared" si="143"/>
        <v>6491883.4000000004</v>
      </c>
      <c r="M581" s="6">
        <f t="shared" si="144"/>
        <v>1038701.34</v>
      </c>
      <c r="N581" s="6">
        <f t="shared" si="145"/>
        <v>7530584.7400000002</v>
      </c>
      <c r="O581" s="6">
        <f>+ROUND(I581*0.002,2)+ROUND(I581*0.0003,2)+ROUND(I581*0.0003,2)+ROUND(I581*0.0003,2)+ROUND(I581*0.002,2)</f>
        <v>45443.199999999997</v>
      </c>
      <c r="P581" s="6">
        <f t="shared" si="146"/>
        <v>7485141.54</v>
      </c>
      <c r="Q581" s="4" t="str">
        <f>LOOKUP($E581,OBRAS!$D:$D,OBRAS!B:B)</f>
        <v>LA AZTECA CONSTRUCCIONES Y URBANIZACIONES, S.A. DE C.V.</v>
      </c>
      <c r="R581" s="4" t="str">
        <f>LOOKUP($E581,OBRAS!$D:$D,OBRAS!A:A)</f>
        <v>VARIOS</v>
      </c>
      <c r="S581" s="4" t="str">
        <f>LOOKUP($E581,OBRAS!$D:$D,OBRAS!F:F)</f>
        <v>11000002003501E204K08063A625012162A213</v>
      </c>
      <c r="T581" s="4" t="str">
        <f>LOOKUP($E581,OBRAS!$D:$D,OBRAS!G:G)</f>
        <v>CE-926006995-E16-2016</v>
      </c>
      <c r="U581" s="4" t="s">
        <v>863</v>
      </c>
      <c r="V581" s="89">
        <v>42685</v>
      </c>
      <c r="W581" s="6">
        <f>LOOKUP($E581,OBRAS!$D:$D,OBRAS!K:K)</f>
        <v>60543852.310000002</v>
      </c>
      <c r="X581" s="109">
        <f t="shared" si="147"/>
        <v>0.1777</v>
      </c>
      <c r="Y581" s="109">
        <f t="shared" si="148"/>
        <v>1</v>
      </c>
      <c r="Z581" s="109">
        <f t="shared" si="149"/>
        <v>1</v>
      </c>
      <c r="AA581" s="4" t="str">
        <f>LOOKUP($E581,OBRAS!$D:$D,OBRAS!H:H)</f>
        <v>SH-ED-17-R-013</v>
      </c>
    </row>
    <row r="582" spans="1:27" ht="60" x14ac:dyDescent="0.25">
      <c r="A582" s="90">
        <v>42660</v>
      </c>
      <c r="B582" s="56">
        <v>4302</v>
      </c>
      <c r="C582" s="51">
        <v>581</v>
      </c>
      <c r="D582" s="4" t="str">
        <f>LOOKUP($E582,OBRAS!$D:$D,OBRAS!C:C)</f>
        <v>REHABILITACION DE RED DE CARRETERAS ALIMENTADORAS EN LA REGION DEL RIO SONORA EN EL ESTADO DE SONORA; SUBTRAMO KM 75+000 AL KM 149+000.</v>
      </c>
      <c r="E582" s="4" t="s">
        <v>381</v>
      </c>
      <c r="F582" s="4" t="s">
        <v>306</v>
      </c>
      <c r="G582" s="4" t="str">
        <f>LOOKUP($E582,OBRAS!$D:$D,OBRAS!E:E)</f>
        <v>C-00054/0070</v>
      </c>
      <c r="H582" s="80" t="s">
        <v>55</v>
      </c>
      <c r="I582" s="6">
        <v>9248271.6999999993</v>
      </c>
      <c r="J582" s="6"/>
      <c r="K582" s="6">
        <f>ROUND(I582*0.3,2)</f>
        <v>2774481.51</v>
      </c>
      <c r="L582" s="6">
        <f t="shared" si="143"/>
        <v>6473790.1900000004</v>
      </c>
      <c r="M582" s="6">
        <f t="shared" si="144"/>
        <v>1035806.43</v>
      </c>
      <c r="N582" s="6">
        <f t="shared" si="145"/>
        <v>7509596.6200000001</v>
      </c>
      <c r="O582" s="6">
        <f>+ROUND(I582*0.002,2)+ROUND(I582*0.0003,2)+ROUND(I582*0.0003,2)+ROUND(I582*0.0003,2)+ROUND(I582*0.002,2)</f>
        <v>45316.52</v>
      </c>
      <c r="P582" s="6">
        <f t="shared" si="146"/>
        <v>7464280.0999999996</v>
      </c>
      <c r="Q582" s="4" t="str">
        <f>LOOKUP($E582,OBRAS!$D:$D,OBRAS!B:B)</f>
        <v>RENTA, MOVIMIENTO DE CONSTRUCCION EQUIPEN, S.A. DE C.V.</v>
      </c>
      <c r="R582" s="4" t="str">
        <f>LOOKUP($E582,OBRAS!$D:$D,OBRAS!A:A)</f>
        <v>VARIOS</v>
      </c>
      <c r="S582" s="4" t="str">
        <f>LOOKUP($E582,OBRAS!$D:$D,OBRAS!F:F)</f>
        <v>110000002003501E204K08063A625012162A213</v>
      </c>
      <c r="T582" s="4" t="str">
        <f>LOOKUP($E582,OBRAS!$D:$D,OBRAS!G:G)</f>
        <v>CE-926006995-E39-2016</v>
      </c>
      <c r="U582" s="4" t="s">
        <v>863</v>
      </c>
      <c r="V582" s="89">
        <v>42671</v>
      </c>
      <c r="W582" s="6">
        <f>LOOKUP($E582,OBRAS!$D:$D,OBRAS!K:K)</f>
        <v>79270178.980000004</v>
      </c>
      <c r="X582" s="109">
        <f t="shared" si="147"/>
        <v>0.1353</v>
      </c>
      <c r="Y582" s="109">
        <f t="shared" si="148"/>
        <v>0.63300000000000001</v>
      </c>
      <c r="Z582" s="109">
        <f t="shared" si="149"/>
        <v>0.74309999999999998</v>
      </c>
      <c r="AA582" s="4" t="str">
        <f>LOOKUP($E582,OBRAS!$D:$D,OBRAS!H:H)</f>
        <v>SH-ED-17-R-013</v>
      </c>
    </row>
    <row r="583" spans="1:27" ht="60" x14ac:dyDescent="0.25">
      <c r="A583" s="90">
        <v>42660</v>
      </c>
      <c r="B583" s="56">
        <v>4303</v>
      </c>
      <c r="C583" s="51">
        <v>582</v>
      </c>
      <c r="D583" s="4" t="str">
        <f>LOOKUP($E583,OBRAS!$D:$D,OBRAS!C:C)</f>
        <v>REHABILITACION DE RED DE CARRETERAS ALIMENTADORAS EN LA REGION DEL RIO DE SONORA EN EL ESTADO DE SONORA; SUBTRAMO KM 0+000 AL KM 75+000</v>
      </c>
      <c r="E583" s="4" t="s">
        <v>370</v>
      </c>
      <c r="F583" s="4" t="s">
        <v>306</v>
      </c>
      <c r="G583" s="4" t="str">
        <f>LOOKUP($E583,OBRAS!$D:$D,OBRAS!E:E)</f>
        <v>C-00054/0069</v>
      </c>
      <c r="H583" s="80" t="s">
        <v>215</v>
      </c>
      <c r="I583" s="6">
        <v>7320489.8300000001</v>
      </c>
      <c r="J583" s="6"/>
      <c r="K583" s="6">
        <f>ROUND(I583*0.3,2)</f>
        <v>2196146.9500000002</v>
      </c>
      <c r="L583" s="6">
        <f t="shared" si="143"/>
        <v>5124342.88</v>
      </c>
      <c r="M583" s="6">
        <f t="shared" si="144"/>
        <v>819894.86</v>
      </c>
      <c r="N583" s="6">
        <f t="shared" si="145"/>
        <v>5944237.7400000002</v>
      </c>
      <c r="O583" s="6">
        <f>+ROUND(I583*0.002,2)+ROUND(I583*0.0003,2)+ROUND(I583*0.0003,2)+ROUND(I583*0.0003,2)+ROUND(I583*0.002,2)</f>
        <v>35870.410000000003</v>
      </c>
      <c r="P583" s="6">
        <f t="shared" si="146"/>
        <v>5908367.3300000001</v>
      </c>
      <c r="Q583" s="4" t="str">
        <f>LOOKUP($E583,OBRAS!$D:$D,OBRAS!B:B)</f>
        <v>IKARO INGENIERIA Y ARQUITECTURA, S.A. DE C.V</v>
      </c>
      <c r="R583" s="4" t="str">
        <f>LOOKUP($E583,OBRAS!$D:$D,OBRAS!A:A)</f>
        <v>VARIOS</v>
      </c>
      <c r="S583" s="4" t="str">
        <f>LOOKUP($E583,OBRAS!$D:$D,OBRAS!F:F)</f>
        <v>11000002003501E204K08063A625012162A213</v>
      </c>
      <c r="T583" s="4" t="str">
        <f>LOOKUP($E583,OBRAS!$D:$D,OBRAS!G:G)</f>
        <v>CE-9260006995-E38-2016</v>
      </c>
      <c r="U583" s="4" t="s">
        <v>863</v>
      </c>
      <c r="V583" s="89">
        <v>42671</v>
      </c>
      <c r="W583" s="6">
        <f>LOOKUP($E583,OBRAS!$D:$D,OBRAS!K:K)</f>
        <v>76463113.200000003</v>
      </c>
      <c r="X583" s="109">
        <f t="shared" si="147"/>
        <v>0.1111</v>
      </c>
      <c r="Y583" s="109">
        <f t="shared" si="148"/>
        <v>0.98340000000000005</v>
      </c>
      <c r="Z583" s="109">
        <f t="shared" si="149"/>
        <v>0.98829999999999996</v>
      </c>
      <c r="AA583" s="4" t="str">
        <f>LOOKUP($E583,OBRAS!$D:$D,OBRAS!H:H)</f>
        <v>SH-ED-17-R-013</v>
      </c>
    </row>
    <row r="584" spans="1:27" ht="60" x14ac:dyDescent="0.25">
      <c r="A584" s="90">
        <v>42660</v>
      </c>
      <c r="B584" s="56">
        <v>4304</v>
      </c>
      <c r="C584" s="51">
        <v>583</v>
      </c>
      <c r="D584" s="4" t="str">
        <f>LOOKUP($E584,OBRAS!$D:$D,OBRAS!C:C)</f>
        <v>SUPERVISION EXTERNA Y CONTROL DE CALIDAD PARA LA OBRA RECONSTRUCCION DE CAMINO HUATABAMPO - YAVAROS EN VARIAS LOCALIDADES DEL MUNICIPIO DE HUATABAMPO.</v>
      </c>
      <c r="E584" s="4" t="s">
        <v>426</v>
      </c>
      <c r="F584" s="4"/>
      <c r="G584" s="4" t="str">
        <f>LOOKUP($E584,OBRAS!$D:$D,OBRAS!E:E)</f>
        <v>C-00098/0021</v>
      </c>
      <c r="H584" s="80" t="s">
        <v>221</v>
      </c>
      <c r="I584" s="6">
        <v>113253.07</v>
      </c>
      <c r="J584" s="6"/>
      <c r="K584" s="6">
        <f>ROUND(I584*0.1,2)</f>
        <v>11325.31</v>
      </c>
      <c r="L584" s="6">
        <f t="shared" si="143"/>
        <v>101927.76</v>
      </c>
      <c r="M584" s="6">
        <f t="shared" si="144"/>
        <v>16308.44</v>
      </c>
      <c r="N584" s="6">
        <f t="shared" si="145"/>
        <v>118236.2</v>
      </c>
      <c r="O584" s="6">
        <f>ROUND(I584*0.0003,2)+ROUND(I584*0.0003,2)+ROUND(I584*0.0003,2)+ROUND(I584*0.002,2)</f>
        <v>328.45</v>
      </c>
      <c r="P584" s="6">
        <f t="shared" si="146"/>
        <v>117907.75</v>
      </c>
      <c r="Q584" s="4" t="str">
        <f>LOOKUP($E584,OBRAS!$D:$D,OBRAS!B:B)</f>
        <v>GRUPO GUIMEL, S.A. DE C.V.</v>
      </c>
      <c r="R584" s="4" t="str">
        <f>LOOKUP($E584,OBRAS!$D:$D,OBRAS!A:A)</f>
        <v>HUATABAMPO</v>
      </c>
      <c r="S584" s="4" t="str">
        <f>LOOKUP($E584,OBRAS!$D:$D,OBRAS!F:F)</f>
        <v>11000002003501E203K03203A625132161A013</v>
      </c>
      <c r="T584" s="4" t="str">
        <f>LOOKUP($E584,OBRAS!$D:$D,OBRAS!G:G)</f>
        <v>LICITACIÓN SIMPLIFICADA</v>
      </c>
      <c r="U584" s="4" t="s">
        <v>863</v>
      </c>
      <c r="V584" s="89">
        <v>42781</v>
      </c>
      <c r="W584" s="6">
        <f>LOOKUP($E584,OBRAS!$D:$D,OBRAS!K:K)</f>
        <v>525494.24</v>
      </c>
      <c r="X584" s="109">
        <f t="shared" si="147"/>
        <v>0.25</v>
      </c>
      <c r="Y584" s="109">
        <f t="shared" si="148"/>
        <v>1</v>
      </c>
      <c r="Z584" s="109">
        <f t="shared" si="149"/>
        <v>1</v>
      </c>
      <c r="AA584" s="4" t="str">
        <f>LOOKUP($E584,OBRAS!$D:$D,OBRAS!H:H)</f>
        <v>SH-ED-16-020</v>
      </c>
    </row>
    <row r="585" spans="1:27" ht="45" x14ac:dyDescent="0.25">
      <c r="A585" s="90">
        <v>42667</v>
      </c>
      <c r="B585" s="56">
        <v>4524</v>
      </c>
      <c r="C585" s="49">
        <v>584</v>
      </c>
      <c r="D585" s="4" t="str">
        <f>LOOKUP($E585,OBRAS!$D:$D,OBRAS!C:C)</f>
        <v>RECONSTRUCCIÓN DEL CAMINO CALLE 16 EN VARIAS LOCALIDADES DEL MUNICIPIO DE CAJEME, SONORA.</v>
      </c>
      <c r="E585" s="4" t="s">
        <v>394</v>
      </c>
      <c r="F585" s="4" t="s">
        <v>401</v>
      </c>
      <c r="G585" s="4" t="str">
        <f>LOOKUP($E585,OBRAS!$D:$D,OBRAS!E:E)</f>
        <v>C-00054/0021</v>
      </c>
      <c r="H585" s="80" t="s">
        <v>220</v>
      </c>
      <c r="I585" s="6">
        <v>1267151.3999999999</v>
      </c>
      <c r="J585" s="6"/>
      <c r="K585" s="6">
        <f>ROUND(I585*0.3,2)</f>
        <v>380145.42</v>
      </c>
      <c r="L585" s="6">
        <f t="shared" si="143"/>
        <v>887005.98</v>
      </c>
      <c r="M585" s="6">
        <f t="shared" si="144"/>
        <v>141920.95999999999</v>
      </c>
      <c r="N585" s="6">
        <f t="shared" si="145"/>
        <v>1028926.94</v>
      </c>
      <c r="O585" s="6">
        <f>+ROUND(I585*0.002,2)+ROUND(I585*0.0003,2)+ROUND(I585*0.0003,2)+ROUND(I585*0.0003,2)+ROUND(I585*0.002,2)</f>
        <v>6209.05</v>
      </c>
      <c r="P585" s="6">
        <f t="shared" si="146"/>
        <v>1022717.89</v>
      </c>
      <c r="Q585" s="4" t="str">
        <f>LOOKUP($E585,OBRAS!$D:$D,OBRAS!B:B)</f>
        <v>TEKTON INGENIERIA, S.A. DE C.V.</v>
      </c>
      <c r="R585" s="4" t="str">
        <f>LOOKUP($E585,OBRAS!$D:$D,OBRAS!A:A)</f>
        <v>CAJEME</v>
      </c>
      <c r="S585" s="4" t="str">
        <f>LOOKUP($E585,OBRAS!$D:$D,OBRAS!F:F)</f>
        <v>11000002003501E203K03203A625012162A211</v>
      </c>
      <c r="T585" s="4" t="str">
        <f>LOOKUP($E585,OBRAS!$D:$D,OBRAS!G:G)</f>
        <v>CE-926006995-E3-2016</v>
      </c>
      <c r="U585" s="4" t="s">
        <v>863</v>
      </c>
      <c r="V585" s="89">
        <v>42712</v>
      </c>
      <c r="W585" s="6">
        <f>LOOKUP($E585,OBRAS!$D:$D,OBRAS!K:K)</f>
        <v>26465400</v>
      </c>
      <c r="X585" s="109">
        <f t="shared" si="147"/>
        <v>5.5500000000000001E-2</v>
      </c>
      <c r="Y585" s="109">
        <f t="shared" si="148"/>
        <v>1</v>
      </c>
      <c r="Z585" s="109">
        <f t="shared" si="149"/>
        <v>1</v>
      </c>
      <c r="AA585" s="4" t="str">
        <f>LOOKUP($E585,OBRAS!$D:$D,OBRAS!H:H)</f>
        <v>SH-ED-17-R-013</v>
      </c>
    </row>
    <row r="586" spans="1:27" ht="45" x14ac:dyDescent="0.25">
      <c r="A586" s="90">
        <v>42720</v>
      </c>
      <c r="B586" s="56">
        <v>6001</v>
      </c>
      <c r="C586" s="49">
        <v>585</v>
      </c>
      <c r="D586" s="4" t="str">
        <f>LOOKUP($E586,OBRAS!$D:$D,OBRAS!C:C)</f>
        <v>RECONSTRUCCIÓN DEL CAMINO CALLE 16 EN VARIAS LOCALIDADES DEL MUNICIPIO DE CAJEME, SONORA.</v>
      </c>
      <c r="E586" s="4" t="s">
        <v>394</v>
      </c>
      <c r="F586" s="4" t="s">
        <v>306</v>
      </c>
      <c r="G586" s="4" t="str">
        <f>LOOKUP($E586,OBRAS!$D:$D,OBRAS!E:E)</f>
        <v>C-00054/0021</v>
      </c>
      <c r="H586" s="80" t="s">
        <v>748</v>
      </c>
      <c r="I586" s="6">
        <v>281972.92</v>
      </c>
      <c r="J586" s="6"/>
      <c r="K586" s="6">
        <f>ROUND(I586*0.3,2)</f>
        <v>84591.88</v>
      </c>
      <c r="L586" s="6">
        <f t="shared" si="143"/>
        <v>197381.04</v>
      </c>
      <c r="M586" s="6">
        <f t="shared" si="144"/>
        <v>31580.97</v>
      </c>
      <c r="N586" s="6">
        <f t="shared" si="145"/>
        <v>228962.01</v>
      </c>
      <c r="O586" s="6">
        <f>+ROUND(I586*0.002,2)+ROUND(I586*0.0003,2)+ROUND(I586*0.0003,2)+ROUND(I586*0.0003,2)+ROUND(I586*0.002,2)</f>
        <v>1381.67</v>
      </c>
      <c r="P586" s="6">
        <f t="shared" si="146"/>
        <v>227580.34</v>
      </c>
      <c r="Q586" s="4" t="str">
        <f>LOOKUP($E586,OBRAS!$D:$D,OBRAS!B:B)</f>
        <v>TEKTON INGENIERIA, S.A. DE C.V.</v>
      </c>
      <c r="R586" s="4" t="str">
        <f>LOOKUP($E586,OBRAS!$D:$D,OBRAS!A:A)</f>
        <v>CAJEME</v>
      </c>
      <c r="S586" s="4" t="str">
        <f>LOOKUP($E586,OBRAS!$D:$D,OBRAS!F:F)</f>
        <v>11000002003501E203K03203A625012162A211</v>
      </c>
      <c r="T586" s="4" t="str">
        <f>LOOKUP($E586,OBRAS!$D:$D,OBRAS!G:G)</f>
        <v>CE-926006995-E3-2016</v>
      </c>
      <c r="U586" s="4" t="s">
        <v>869</v>
      </c>
      <c r="V586" s="89">
        <v>42739</v>
      </c>
      <c r="W586" s="6">
        <f>LOOKUP($E586,OBRAS!$D:$D,OBRAS!K:K)</f>
        <v>26465400</v>
      </c>
      <c r="X586" s="109">
        <f t="shared" si="147"/>
        <v>1.24E-2</v>
      </c>
      <c r="Y586" s="109">
        <f t="shared" si="148"/>
        <v>1</v>
      </c>
      <c r="Z586" s="109">
        <f t="shared" si="149"/>
        <v>1</v>
      </c>
      <c r="AA586" s="4" t="str">
        <f>LOOKUP($E586,OBRAS!$D:$D,OBRAS!H:H)</f>
        <v>SH-ED-17-R-013</v>
      </c>
    </row>
    <row r="587" spans="1:27" ht="60" x14ac:dyDescent="0.25">
      <c r="A587" s="90">
        <v>42662</v>
      </c>
      <c r="B587" s="56">
        <v>4369</v>
      </c>
      <c r="C587" s="51">
        <v>586</v>
      </c>
      <c r="D587" s="4" t="str">
        <f>LOOKUP($E587,OBRAS!$D:$D,OBRAS!C:C)</f>
        <v>SUPERVISION EXTERNA Y CONSTROL DE CALIDAD DE LA OBRA: CONSERVACION Y RECONSTRUCCION DEL TRAMO URES - PUEBLO DE ALAMOS EN VARIAS LOCALIDADES DEL MUNICIPIO DE URES.</v>
      </c>
      <c r="E587" s="4" t="s">
        <v>695</v>
      </c>
      <c r="F587" s="4"/>
      <c r="G587" s="4" t="str">
        <f>LOOKUP($E587,OBRAS!$D:$D,OBRAS!E:E)</f>
        <v>C-00098/0021</v>
      </c>
      <c r="H587" s="80" t="s">
        <v>55</v>
      </c>
      <c r="I587" s="6">
        <v>209797.28</v>
      </c>
      <c r="J587" s="6"/>
      <c r="K587" s="6">
        <f>ROUND(I587*0.1,2)</f>
        <v>20979.73</v>
      </c>
      <c r="L587" s="6">
        <f t="shared" si="143"/>
        <v>188817.55</v>
      </c>
      <c r="M587" s="6">
        <f t="shared" si="144"/>
        <v>30210.81</v>
      </c>
      <c r="N587" s="6">
        <f t="shared" si="145"/>
        <v>219028.36</v>
      </c>
      <c r="O587" s="6">
        <f>+ROUND(I587*0.0003,2)+ROUND(I587*0.0003,2)+ROUND(I587*0.0003,2)+ROUND(I587*0.002,2)</f>
        <v>608.41</v>
      </c>
      <c r="P587" s="6">
        <f t="shared" si="146"/>
        <v>218419.95</v>
      </c>
      <c r="Q587" s="4" t="str">
        <f>LOOKUP($E587,OBRAS!$D:$D,OBRAS!B:B)</f>
        <v>GO SUPERVISION, PROYECTOS, ESTUDIOS Y CONSTROL DE CALIDAD DE OBRAS CIVILES, S.A. DE C.V.</v>
      </c>
      <c r="R587" s="4" t="str">
        <f>LOOKUP($E587,OBRAS!$D:$D,OBRAS!A:A)</f>
        <v>URES</v>
      </c>
      <c r="S587" s="4" t="str">
        <f>LOOKUP($E587,OBRAS!$D:$D,OBRAS!F:F)</f>
        <v>11000002003501E203K03203A625132161A013</v>
      </c>
      <c r="T587" s="4" t="str">
        <f>LOOKUP($E587,OBRAS!$D:$D,OBRAS!G:G)</f>
        <v>CE-926006995-E59-2016</v>
      </c>
      <c r="U587" s="4" t="s">
        <v>863</v>
      </c>
      <c r="V587" s="89">
        <v>42697</v>
      </c>
      <c r="W587" s="6">
        <f>LOOKUP($E587,OBRAS!$D:$D,OBRAS!K:K)</f>
        <v>1216824.22</v>
      </c>
      <c r="X587" s="109">
        <f t="shared" si="147"/>
        <v>0.2</v>
      </c>
      <c r="Y587" s="109">
        <f t="shared" si="148"/>
        <v>0.81</v>
      </c>
      <c r="Z587" s="109">
        <f t="shared" si="149"/>
        <v>0.82899999999999996</v>
      </c>
      <c r="AA587" s="4" t="str">
        <f>LOOKUP($E587,OBRAS!$D:$D,OBRAS!H:H)</f>
        <v>SH-ED-16-051</v>
      </c>
    </row>
    <row r="588" spans="1:27" ht="60" x14ac:dyDescent="0.25">
      <c r="A588" s="90">
        <v>42661</v>
      </c>
      <c r="B588" s="56">
        <v>4333</v>
      </c>
      <c r="C588" s="51">
        <v>587</v>
      </c>
      <c r="D588" s="4" t="str">
        <f>LOOKUP($E588,OBRAS!$D:$D,OBRAS!C:C)</f>
        <v>SUPERVISION EXTERNA Y CONTROL DE CALIDAD DE LA REHABILITACION DE RED DE CARRETERAS ALIMENTADORAS EN LA REGION DEL RIO SONORA; SUBTRAMO KM 75+000 AL KM 149+000</v>
      </c>
      <c r="E588" s="4" t="s">
        <v>749</v>
      </c>
      <c r="F588" s="4"/>
      <c r="G588" s="4" t="str">
        <f>LOOKUP($E588,OBRAS!$D:$D,OBRAS!E:E)</f>
        <v>C-00098/0021</v>
      </c>
      <c r="H588" s="80" t="s">
        <v>215</v>
      </c>
      <c r="I588" s="6">
        <v>336927.79</v>
      </c>
      <c r="J588" s="6"/>
      <c r="K588" s="6">
        <v>0</v>
      </c>
      <c r="L588" s="6">
        <f t="shared" si="143"/>
        <v>336927.79</v>
      </c>
      <c r="M588" s="6">
        <f t="shared" si="144"/>
        <v>53908.45</v>
      </c>
      <c r="N588" s="6">
        <f t="shared" si="145"/>
        <v>390836.24</v>
      </c>
      <c r="O588" s="6">
        <f>ROUND(I588*0.0003,2)+ROUND(I588*0.0003,2)+ROUND(I588*0.0003,2)+ROUND(I588*0.002,2)</f>
        <v>977.1</v>
      </c>
      <c r="P588" s="6">
        <f t="shared" si="146"/>
        <v>389859.14</v>
      </c>
      <c r="Q588" s="4" t="str">
        <f>LOOKUP($E588,OBRAS!$D:$D,OBRAS!B:B)</f>
        <v>ESCOBO S.A. DE C.V.</v>
      </c>
      <c r="R588" s="4" t="str">
        <f>LOOKUP($E588,OBRAS!$D:$D,OBRAS!A:A)</f>
        <v>VARIOS</v>
      </c>
      <c r="S588" s="4" t="str">
        <f>LOOKUP($E588,OBRAS!$D:$D,OBRAS!F:F)</f>
        <v>11000002003501E203K03203A625132161A013</v>
      </c>
      <c r="T588" s="4" t="str">
        <f>LOOKUP($E588,OBRAS!$D:$D,OBRAS!G:G)</f>
        <v>CE-966006995-E68-2016</v>
      </c>
      <c r="U588" s="4" t="s">
        <v>863</v>
      </c>
      <c r="V588" s="89">
        <v>42781</v>
      </c>
      <c r="W588" s="6">
        <f>LOOKUP($E588,OBRAS!$D:$D,OBRAS!K:K)</f>
        <v>2346107.56</v>
      </c>
      <c r="X588" s="109">
        <f t="shared" si="147"/>
        <v>0.1666</v>
      </c>
      <c r="Y588" s="109">
        <f t="shared" si="148"/>
        <v>0.78280000000000005</v>
      </c>
      <c r="Z588" s="109">
        <f t="shared" si="149"/>
        <v>0.78280000000000005</v>
      </c>
      <c r="AA588" s="4" t="str">
        <f>LOOKUP($E588,OBRAS!$D:$D,OBRAS!H:H)</f>
        <v>SH-ED-16-060</v>
      </c>
    </row>
    <row r="589" spans="1:27" ht="45" x14ac:dyDescent="0.25">
      <c r="C589" s="51">
        <v>588</v>
      </c>
      <c r="D589" s="4" t="str">
        <f>LOOKUP($E589,OBRAS!$D:$D,OBRAS!C:C)</f>
        <v>PAVIMENTACION CON CONCRETO HIDRAULICO DE CALLE SIN NOMBRE EN LA LOCALIDAD DE MAZATAN</v>
      </c>
      <c r="E589" s="4" t="s">
        <v>959</v>
      </c>
      <c r="F589" s="4"/>
      <c r="G589" s="4" t="str">
        <f>LOOKUP($E589,OBRAS!$D:$D,OBRAS!E:E)</f>
        <v>C-00052/0205</v>
      </c>
      <c r="H589" s="80" t="s">
        <v>23</v>
      </c>
      <c r="I589" s="6">
        <v>222703.16</v>
      </c>
      <c r="J589" s="6"/>
      <c r="K589" s="6"/>
      <c r="L589" s="6">
        <f t="shared" si="143"/>
        <v>222703.16</v>
      </c>
      <c r="M589" s="6">
        <f t="shared" si="144"/>
        <v>35632.51</v>
      </c>
      <c r="N589" s="6">
        <f t="shared" si="145"/>
        <v>258335.67</v>
      </c>
      <c r="O589" s="6"/>
      <c r="P589" s="6">
        <f t="shared" si="146"/>
        <v>258335.67</v>
      </c>
      <c r="Q589" s="4" t="str">
        <f>LOOKUP($E589,OBRAS!$D:$D,OBRAS!B:B)</f>
        <v>CONSTRUCTORES LISTA BLANCA, S.A.DE C.V.</v>
      </c>
      <c r="R589" s="4" t="str">
        <f>LOOKUP($E589,OBRAS!$D:$D,OBRAS!A:A)</f>
        <v>MAZATAN</v>
      </c>
      <c r="S589" s="4" t="str">
        <f>LOOKUP($E589,OBRAS!$D:$D,OBRAS!F:F)</f>
        <v>11000002002201E202K05186A614202165FN08</v>
      </c>
      <c r="T589" s="4" t="str">
        <f>LOOKUP($E589,OBRAS!$D:$D,OBRAS!G:G)</f>
        <v>AO-926006995-E122-2016</v>
      </c>
      <c r="U589" s="4" t="s">
        <v>863</v>
      </c>
      <c r="V589" s="89">
        <v>42678</v>
      </c>
      <c r="W589" s="6">
        <f>LOOKUP($E589,OBRAS!$D:$D,OBRAS!K:K)</f>
        <v>861118.9</v>
      </c>
      <c r="X589" s="109" t="str">
        <f t="shared" si="147"/>
        <v/>
      </c>
      <c r="Y589" s="109">
        <f t="shared" si="148"/>
        <v>1</v>
      </c>
      <c r="Z589" s="109">
        <f t="shared" si="149"/>
        <v>1</v>
      </c>
      <c r="AA589" s="4" t="str">
        <f>LOOKUP($E589,OBRAS!$D:$D,OBRAS!H:H)</f>
        <v>SH-NC-17-R-005</v>
      </c>
    </row>
    <row r="590" spans="1:27" ht="45" x14ac:dyDescent="0.25">
      <c r="A590" s="90">
        <v>42718</v>
      </c>
      <c r="B590" s="56">
        <v>5832</v>
      </c>
      <c r="C590" s="49">
        <v>589</v>
      </c>
      <c r="D590" s="4" t="str">
        <f>LOOKUP($E590,OBRAS!$D:$D,OBRAS!C:C)</f>
        <v>SUPERVISION EXTERNA Y CONTROL DE CALIDAD DE LA RECONSTRUCCIÓN DEL CAMINO BACAME NUEVO</v>
      </c>
      <c r="E590" s="4" t="s">
        <v>287</v>
      </c>
      <c r="F590" s="4"/>
      <c r="G590" s="4" t="str">
        <f>LOOKUP($E590,OBRAS!$D:$D,OBRAS!E:E)</f>
        <v>C-00098/0021</v>
      </c>
      <c r="H590" s="80" t="s">
        <v>221</v>
      </c>
      <c r="I590" s="6">
        <v>32641.38</v>
      </c>
      <c r="J590" s="6"/>
      <c r="K590" s="6">
        <f>ROUND(I590*0.1,2)</f>
        <v>3264.14</v>
      </c>
      <c r="L590" s="6">
        <f t="shared" si="143"/>
        <v>29377.24</v>
      </c>
      <c r="M590" s="6">
        <f t="shared" si="144"/>
        <v>4700.3599999999997</v>
      </c>
      <c r="N590" s="6">
        <f t="shared" si="145"/>
        <v>34077.599999999999</v>
      </c>
      <c r="O590" s="6">
        <f>ROUND(I590*0.0003,2)+ROUND(I590*0.0003,2)+ROUND(I590*0.0003,2)+ROUND(I590*0.002,2)</f>
        <v>94.65</v>
      </c>
      <c r="P590" s="6">
        <f t="shared" si="146"/>
        <v>33982.949999999997</v>
      </c>
      <c r="Q590" s="4" t="str">
        <f>LOOKUP($E590,OBRAS!$D:$D,OBRAS!B:B)</f>
        <v>ING. FEDERICO SOLORIO VALENZUELA</v>
      </c>
      <c r="R590" s="4" t="str">
        <f>LOOKUP($E590,OBRAS!$D:$D,OBRAS!A:A)</f>
        <v>ETCHOJOA</v>
      </c>
      <c r="S590" s="4" t="str">
        <f>LOOKUP($E590,OBRAS!$D:$D,OBRAS!F:F)</f>
        <v>11000002003501E203K03203A625132161A013</v>
      </c>
      <c r="T590" s="4" t="str">
        <f>LOOKUP($E590,OBRAS!$D:$D,OBRAS!G:G)</f>
        <v>ADJUDICACIÓN DIRECTA</v>
      </c>
      <c r="U590" s="4" t="s">
        <v>2238</v>
      </c>
      <c r="V590" s="89">
        <v>42741</v>
      </c>
      <c r="W590" s="6">
        <f>LOOKUP($E590,OBRAS!$D:$D,OBRAS!K:K)</f>
        <v>189320</v>
      </c>
      <c r="X590" s="109">
        <f t="shared" si="147"/>
        <v>0.2</v>
      </c>
      <c r="Y590" s="109">
        <f t="shared" si="148"/>
        <v>1</v>
      </c>
      <c r="Z590" s="109">
        <f t="shared" si="149"/>
        <v>1</v>
      </c>
      <c r="AA590" s="4" t="str">
        <f>LOOKUP($E590,OBRAS!$D:$D,OBRAS!H:H)</f>
        <v>SH-ED-16-020</v>
      </c>
    </row>
    <row r="591" spans="1:27" ht="45" x14ac:dyDescent="0.25">
      <c r="C591" s="51">
        <v>590</v>
      </c>
      <c r="D591" s="4" t="str">
        <f>LOOKUP($E591,OBRAS!$D:$D,OBRAS!C:C)</f>
        <v>PAVIMENTACION A BASE DE CONCRETO HIDRAULICO DE LA CALLE TEPACHE ENTRE VERACRUZ Y CALLE MUNICIPIO DE BACANORA</v>
      </c>
      <c r="E591" s="4" t="s">
        <v>963</v>
      </c>
      <c r="F591" s="4"/>
      <c r="G591" s="4" t="str">
        <f>LOOKUP($E591,OBRAS!$D:$D,OBRAS!E:E)</f>
        <v>C-00052/0236</v>
      </c>
      <c r="H591" s="80" t="s">
        <v>23</v>
      </c>
      <c r="I591" s="6">
        <v>2092656.32</v>
      </c>
      <c r="J591" s="6"/>
      <c r="K591" s="6">
        <v>0</v>
      </c>
      <c r="L591" s="6">
        <f t="shared" si="143"/>
        <v>2092656.32</v>
      </c>
      <c r="M591" s="6">
        <f t="shared" si="144"/>
        <v>334825.01</v>
      </c>
      <c r="N591" s="6">
        <f t="shared" si="145"/>
        <v>2427481.33</v>
      </c>
      <c r="O591" s="6">
        <v>0</v>
      </c>
      <c r="P591" s="6">
        <f t="shared" si="146"/>
        <v>2427481.33</v>
      </c>
      <c r="Q591" s="4" t="str">
        <f>LOOKUP($E591,OBRAS!$D:$D,OBRAS!B:B)</f>
        <v>PROMOCIONES TESIA, S.A. DE C.V.</v>
      </c>
      <c r="R591" s="4" t="str">
        <f>LOOKUP($E591,OBRAS!$D:$D,OBRAS!A:A)</f>
        <v>NOGALES</v>
      </c>
      <c r="S591" s="4" t="str">
        <f>LOOKUP($E591,OBRAS!$D:$D,OBRAS!F:F)</f>
        <v>11000002002201E202K05185A614202165FM03</v>
      </c>
      <c r="T591" s="4" t="str">
        <f>LOOKUP($E591,OBRAS!$D:$D,OBRAS!G:G)</f>
        <v>IO-926006995-E101-2016</v>
      </c>
      <c r="U591" s="4" t="s">
        <v>863</v>
      </c>
      <c r="V591" s="89">
        <v>42677</v>
      </c>
      <c r="W591" s="6">
        <f>LOOKUP($E591,OBRAS!$D:$D,OBRAS!K:K)</f>
        <v>8091604.4400000004</v>
      </c>
      <c r="X591" s="109" t="str">
        <f t="shared" si="147"/>
        <v/>
      </c>
      <c r="Y591" s="109">
        <f t="shared" si="148"/>
        <v>0.25180000000000002</v>
      </c>
      <c r="Z591" s="109">
        <f t="shared" si="149"/>
        <v>0.47620000000000001</v>
      </c>
      <c r="AA591" s="4" t="str">
        <f>LOOKUP($E591,OBRAS!$D:$D,OBRAS!H:H)</f>
        <v>SH-NC-17-R-008</v>
      </c>
    </row>
    <row r="592" spans="1:27" ht="45" x14ac:dyDescent="0.25">
      <c r="C592" s="51">
        <v>591</v>
      </c>
      <c r="D592" s="4" t="str">
        <f>LOOKUP($E592,OBRAS!$D:$D,OBRAS!C:C)</f>
        <v>PAVIMENTACION CON CONCRETO HIDRAULICO DE 15CMS DE ESPESOR EN BLVD. MIGUEL ALEMAN EN LA LOCALIDAD DE BENJAMIN HILL</v>
      </c>
      <c r="E592" s="4" t="s">
        <v>972</v>
      </c>
      <c r="F592" s="4"/>
      <c r="G592" s="4" t="str">
        <f>LOOKUP($E592,OBRAS!$D:$D,OBRAS!E:E)</f>
        <v>C-00052/0189</v>
      </c>
      <c r="H592" s="80" t="s">
        <v>23</v>
      </c>
      <c r="I592" s="6">
        <v>814601.52</v>
      </c>
      <c r="J592" s="6"/>
      <c r="K592" s="6">
        <v>0</v>
      </c>
      <c r="L592" s="6">
        <f t="shared" si="143"/>
        <v>814601.52</v>
      </c>
      <c r="M592" s="6">
        <f t="shared" si="144"/>
        <v>130336.24</v>
      </c>
      <c r="N592" s="6">
        <f t="shared" si="145"/>
        <v>944937.76</v>
      </c>
      <c r="O592" s="6">
        <v>0</v>
      </c>
      <c r="P592" s="6">
        <f t="shared" si="146"/>
        <v>944937.76</v>
      </c>
      <c r="Q592" s="4" t="str">
        <f>LOOKUP($E592,OBRAS!$D:$D,OBRAS!B:B)</f>
        <v>VICOMMING, S.A. DE C.V.</v>
      </c>
      <c r="R592" s="4" t="str">
        <f>LOOKUP($E592,OBRAS!$D:$D,OBRAS!A:A)</f>
        <v>BENJAMIN HILL</v>
      </c>
      <c r="S592" s="4" t="str">
        <f>LOOKUP($E592,OBRAS!$D:$D,OBRAS!F:F)</f>
        <v>11000002002201E202K05186A614202165FC03C</v>
      </c>
      <c r="T592" s="4" t="str">
        <f>LOOKUP($E592,OBRAS!$D:$D,OBRAS!G:G)</f>
        <v>IO-926006995-E108-2016</v>
      </c>
      <c r="U592" s="4" t="s">
        <v>863</v>
      </c>
      <c r="V592" s="89">
        <v>42689</v>
      </c>
      <c r="W592" s="6">
        <f>LOOKUP($E592,OBRAS!$D:$D,OBRAS!K:K)</f>
        <v>3149792.52</v>
      </c>
      <c r="X592" s="109" t="str">
        <f t="shared" si="147"/>
        <v/>
      </c>
      <c r="Y592" s="109">
        <f t="shared" si="148"/>
        <v>8.3799999999999999E-2</v>
      </c>
      <c r="Z592" s="109">
        <f t="shared" si="149"/>
        <v>0.35859999999999997</v>
      </c>
      <c r="AA592" s="4" t="str">
        <f>LOOKUP($E592,OBRAS!$D:$D,OBRAS!H:H)</f>
        <v>SH-NC-17-R-009</v>
      </c>
    </row>
    <row r="593" spans="1:27" ht="60" x14ac:dyDescent="0.25">
      <c r="A593" s="90">
        <v>42662</v>
      </c>
      <c r="B593" s="56">
        <v>4387</v>
      </c>
      <c r="C593" s="51">
        <v>592</v>
      </c>
      <c r="D593" s="4" t="str">
        <f>LOOKUP($E593,OBRAS!$D:$D,OBRAS!C:C)</f>
        <v>SUPERVISION EXTERNA Y CONSTROL DE CALIDAD DE LA OBRA: CONSERVACION Y RECONSTRUCCION DEL TRAMO URES - PUEBLO DE ALAMOS EN VARIAS LOCALIDADES DEL MUNICIPIO DE URES.</v>
      </c>
      <c r="E593" s="4" t="s">
        <v>695</v>
      </c>
      <c r="F593" s="4"/>
      <c r="G593" s="4" t="str">
        <f>LOOKUP($E593,OBRAS!$D:$D,OBRAS!E:E)</f>
        <v>C-00098/0021</v>
      </c>
      <c r="H593" s="80" t="s">
        <v>215</v>
      </c>
      <c r="I593" s="6">
        <v>209797.28</v>
      </c>
      <c r="J593" s="6"/>
      <c r="K593" s="6">
        <f>ROUND(I593*0.1,2)</f>
        <v>20979.73</v>
      </c>
      <c r="L593" s="6">
        <f t="shared" si="143"/>
        <v>188817.55</v>
      </c>
      <c r="M593" s="6">
        <f t="shared" si="144"/>
        <v>30210.81</v>
      </c>
      <c r="N593" s="6">
        <f t="shared" si="145"/>
        <v>219028.36</v>
      </c>
      <c r="O593" s="6">
        <f>ROUND(I593*0.0003,2)+ROUND(I593*0.0003,2)+ROUND(I593*0.0003,2)+ROUND(I593*0.002,2)</f>
        <v>608.41</v>
      </c>
      <c r="P593" s="6">
        <f t="shared" si="146"/>
        <v>218419.95</v>
      </c>
      <c r="Q593" s="4" t="str">
        <f>LOOKUP($E593,OBRAS!$D:$D,OBRAS!B:B)</f>
        <v>GO SUPERVISION, PROYECTOS, ESTUDIOS Y CONSTROL DE CALIDAD DE OBRAS CIVILES, S.A. DE C.V.</v>
      </c>
      <c r="R593" s="4" t="str">
        <f>LOOKUP($E593,OBRAS!$D:$D,OBRAS!A:A)</f>
        <v>URES</v>
      </c>
      <c r="S593" s="4" t="str">
        <f>LOOKUP($E593,OBRAS!$D:$D,OBRAS!F:F)</f>
        <v>11000002003501E203K03203A625132161A013</v>
      </c>
      <c r="T593" s="4" t="str">
        <f>LOOKUP($E593,OBRAS!$D:$D,OBRAS!G:G)</f>
        <v>CE-926006995-E59-2016</v>
      </c>
      <c r="U593" s="4" t="s">
        <v>2238</v>
      </c>
      <c r="V593" s="89">
        <v>42664</v>
      </c>
      <c r="W593" s="6">
        <f>LOOKUP($E593,OBRAS!$D:$D,OBRAS!K:K)</f>
        <v>1216824.22</v>
      </c>
      <c r="X593" s="109">
        <f t="shared" si="147"/>
        <v>0.2</v>
      </c>
      <c r="Y593" s="109">
        <f t="shared" si="148"/>
        <v>0.81</v>
      </c>
      <c r="Z593" s="109">
        <f t="shared" si="149"/>
        <v>0.82899999999999996</v>
      </c>
      <c r="AA593" s="4" t="str">
        <f>LOOKUP($E593,OBRAS!$D:$D,OBRAS!H:H)</f>
        <v>SH-ED-16-051</v>
      </c>
    </row>
    <row r="594" spans="1:27" ht="30" x14ac:dyDescent="0.25">
      <c r="A594" s="90">
        <v>42669</v>
      </c>
      <c r="B594" s="56">
        <v>4585</v>
      </c>
      <c r="C594" s="51">
        <v>593</v>
      </c>
      <c r="D594" s="4" t="str">
        <f>LOOKUP($E594,OBRAS!$D:$D,OBRAS!C:C)</f>
        <v>RECARPETEO CON MICROCARPETA ASFALTICA DE 3.0 CM DE ESPESOR EN VARIAS CALLES Y AVENIDAS</v>
      </c>
      <c r="E594" s="4" t="s">
        <v>528</v>
      </c>
      <c r="F594" s="4" t="s">
        <v>927</v>
      </c>
      <c r="G594" s="4" t="str">
        <f>LOOKUP($E594,OBRAS!$D:$D,OBRAS!E:E)</f>
        <v>C-00052/0170</v>
      </c>
      <c r="H594" s="80" t="s">
        <v>15</v>
      </c>
      <c r="I594" s="6">
        <v>10299750.119999999</v>
      </c>
      <c r="J594" s="6"/>
      <c r="K594" s="6">
        <v>4620903.1900000004</v>
      </c>
      <c r="L594" s="6">
        <f t="shared" si="143"/>
        <v>5678846.9299999997</v>
      </c>
      <c r="M594" s="6">
        <f t="shared" si="144"/>
        <v>908615.51</v>
      </c>
      <c r="N594" s="6">
        <f t="shared" si="145"/>
        <v>6587462.4400000004</v>
      </c>
      <c r="O594" s="6">
        <f>+ROUND(I594*0.002,2)+ROUND(I594*0.0003,2)+ROUND(I594*0.0003,2)+ROUND(I594*0.0003,2)+ROUND(I594*0.002,2)</f>
        <v>50468.79</v>
      </c>
      <c r="P594" s="6">
        <f t="shared" si="146"/>
        <v>6536993.6500000004</v>
      </c>
      <c r="Q594" s="4" t="str">
        <f>LOOKUP($E594,OBRAS!$D:$D,OBRAS!B:B)</f>
        <v>D'MARSELLA TERRACERIAS, S.A. DE C.V.</v>
      </c>
      <c r="R594" s="4" t="str">
        <f>LOOKUP($E594,OBRAS!$D:$D,OBRAS!A:A)</f>
        <v>CABORCA</v>
      </c>
      <c r="S594" s="4" t="str">
        <f>LOOKUP($E594,OBRAS!$D:$D,OBRAS!F:F)</f>
        <v>11000002002201E202K05186A614202162A203</v>
      </c>
      <c r="T594" s="4" t="str">
        <f>LOOKUP($E594,OBRAS!$D:$D,OBRAS!G:G)</f>
        <v>CE-926006995-E8-2016</v>
      </c>
      <c r="U594" s="4" t="s">
        <v>863</v>
      </c>
      <c r="V594" s="89">
        <v>42685</v>
      </c>
      <c r="W594" s="6">
        <f>LOOKUP($E594,OBRAS!$D:$D,OBRAS!K:K)</f>
        <v>28542774.780000001</v>
      </c>
      <c r="X594" s="109">
        <f t="shared" si="147"/>
        <v>0.41860000000000003</v>
      </c>
      <c r="Y594" s="109">
        <f t="shared" si="148"/>
        <v>0.84140000000000004</v>
      </c>
      <c r="Z594" s="109">
        <f t="shared" si="149"/>
        <v>0.84140000000000004</v>
      </c>
      <c r="AA594" s="4" t="str">
        <f>LOOKUP($E594,OBRAS!$D:$D,OBRAS!H:H)</f>
        <v>SH-ED-17-R-013</v>
      </c>
    </row>
    <row r="595" spans="1:27" ht="45" x14ac:dyDescent="0.25">
      <c r="A595" s="90">
        <v>42663</v>
      </c>
      <c r="B595" s="56">
        <v>4410</v>
      </c>
      <c r="C595" s="51">
        <v>594</v>
      </c>
      <c r="D595" s="4" t="str">
        <f>LOOKUP($E595,OBRAS!$D:$D,OBRAS!C:C)</f>
        <v>PAVIMENTACION CON CONCRETO HIDRAULICO EN LA CALLE 2 DE ABRIL EN LA LOCALIDAD DE VILLA JUAREZ</v>
      </c>
      <c r="E595" s="4" t="s">
        <v>975</v>
      </c>
      <c r="F595" s="4"/>
      <c r="G595" s="4" t="str">
        <f>LOOKUP($E595,OBRAS!$D:$D,OBRAS!E:E)</f>
        <v>C-00052/0206</v>
      </c>
      <c r="H595" s="80" t="s">
        <v>23</v>
      </c>
      <c r="I595" s="6">
        <v>3746668.28</v>
      </c>
      <c r="J595" s="6"/>
      <c r="K595" s="6">
        <v>0</v>
      </c>
      <c r="L595" s="6">
        <f t="shared" si="143"/>
        <v>3746668.28</v>
      </c>
      <c r="M595" s="6">
        <f t="shared" si="144"/>
        <v>599466.92000000004</v>
      </c>
      <c r="N595" s="6">
        <f t="shared" si="145"/>
        <v>4346135.2</v>
      </c>
      <c r="O595" s="6"/>
      <c r="P595" s="6">
        <f t="shared" si="146"/>
        <v>4346135.2</v>
      </c>
      <c r="Q595" s="4" t="str">
        <f>LOOKUP($E595,OBRAS!$D:$D,OBRAS!B:B)</f>
        <v>ING. LUIS ENRIQUE PEÑA RODRIGO</v>
      </c>
      <c r="R595" s="4" t="str">
        <f>LOOKUP($E595,OBRAS!$D:$D,OBRAS!A:A)</f>
        <v>BENITO JUAREZ</v>
      </c>
      <c r="S595" s="4" t="str">
        <f>LOOKUP($E595,OBRAS!$D:$D,OBRAS!F:F)</f>
        <v>11000002002201E202K05186A614202165FN12</v>
      </c>
      <c r="T595" s="4" t="str">
        <f>LOOKUP($E595,OBRAS!$D:$D,OBRAS!G:G)</f>
        <v>LO-926006995-E96-2016</v>
      </c>
      <c r="U595" s="4" t="s">
        <v>863</v>
      </c>
      <c r="V595" s="89">
        <v>42677</v>
      </c>
      <c r="W595" s="6">
        <f>LOOKUP($E595,OBRAS!$D:$D,OBRAS!K:K)</f>
        <v>14487117.35</v>
      </c>
      <c r="X595" s="109" t="str">
        <f t="shared" si="147"/>
        <v/>
      </c>
      <c r="Y595" s="109">
        <f t="shared" si="148"/>
        <v>0.62050000000000005</v>
      </c>
      <c r="Z595" s="109">
        <f t="shared" si="149"/>
        <v>0.73429999999999995</v>
      </c>
      <c r="AA595" s="4" t="str">
        <f>LOOKUP($E595,OBRAS!$D:$D,OBRAS!H:H)</f>
        <v>SH-NC-17-R-005</v>
      </c>
    </row>
    <row r="596" spans="1:27" ht="45" x14ac:dyDescent="0.25">
      <c r="C596" s="51">
        <v>595</v>
      </c>
      <c r="D596" s="4" t="str">
        <f>LOOKUP($E596,OBRAS!$D:$D,OBRAS!C:C)</f>
        <v>PAVIMENTACION CON CONCRETO HIDRAULICO DE VARIAS CALLES Y AVENIDAS EN LA LOCALIDAD DE ARIZPE</v>
      </c>
      <c r="E596" s="4" t="s">
        <v>981</v>
      </c>
      <c r="F596" s="4"/>
      <c r="G596" s="4" t="str">
        <f>LOOKUP($E596,OBRAS!$D:$D,OBRAS!E:E)</f>
        <v>C-00052/0193</v>
      </c>
      <c r="H596" s="80" t="s">
        <v>23</v>
      </c>
      <c r="I596" s="6">
        <v>509974</v>
      </c>
      <c r="J596" s="6"/>
      <c r="K596" s="6">
        <v>0</v>
      </c>
      <c r="L596" s="6">
        <f t="shared" si="143"/>
        <v>509974</v>
      </c>
      <c r="M596" s="6">
        <f t="shared" si="144"/>
        <v>81595.839999999997</v>
      </c>
      <c r="N596" s="6">
        <f t="shared" si="145"/>
        <v>591569.84</v>
      </c>
      <c r="O596" s="6">
        <v>0</v>
      </c>
      <c r="P596" s="6">
        <f t="shared" si="146"/>
        <v>591569.84</v>
      </c>
      <c r="Q596" s="4" t="str">
        <f>LOOKUP($E596,OBRAS!$D:$D,OBRAS!B:B)</f>
        <v>GRUPO MERCLA S.A DE C. V.</v>
      </c>
      <c r="R596" s="4" t="str">
        <f>LOOKUP($E596,OBRAS!$D:$D,OBRAS!A:A)</f>
        <v>ARIZPE</v>
      </c>
      <c r="S596" s="4" t="str">
        <f>LOOKUP($E596,OBRAS!$D:$D,OBRAS!F:F)</f>
        <v>11000002002201E202K05186A614202165FC05</v>
      </c>
      <c r="T596" s="4" t="str">
        <f>LOOKUP($E596,OBRAS!$D:$D,OBRAS!G:G)</f>
        <v>IO-926006995-E121-2016</v>
      </c>
      <c r="U596" s="4" t="s">
        <v>863</v>
      </c>
      <c r="V596" s="89">
        <v>42678</v>
      </c>
      <c r="W596" s="6">
        <f>LOOKUP($E596,OBRAS!$D:$D,OBRAS!K:K)</f>
        <v>1971899.46</v>
      </c>
      <c r="X596" s="109" t="str">
        <f t="shared" si="147"/>
        <v/>
      </c>
      <c r="Y596" s="109">
        <f t="shared" si="148"/>
        <v>0.60099999999999998</v>
      </c>
      <c r="Z596" s="109">
        <f t="shared" si="149"/>
        <v>0.72070000000000001</v>
      </c>
      <c r="AA596" s="4" t="str">
        <f>LOOKUP($E596,OBRAS!$D:$D,OBRAS!H:H)</f>
        <v>SH-NC-17-R-009</v>
      </c>
    </row>
    <row r="597" spans="1:27" ht="45" x14ac:dyDescent="0.25">
      <c r="C597" s="51">
        <v>596</v>
      </c>
      <c r="D597" s="4" t="s">
        <v>990</v>
      </c>
      <c r="E597" s="4" t="s">
        <v>986</v>
      </c>
      <c r="F597" s="4"/>
      <c r="G597" s="4" t="s">
        <v>987</v>
      </c>
      <c r="H597" s="80" t="s">
        <v>23</v>
      </c>
      <c r="I597" s="6">
        <v>2457201.4500000002</v>
      </c>
      <c r="J597" s="6"/>
      <c r="K597" s="6"/>
      <c r="L597" s="6">
        <f t="shared" si="143"/>
        <v>2457201.4500000002</v>
      </c>
      <c r="M597" s="6">
        <f t="shared" si="144"/>
        <v>393152.23</v>
      </c>
      <c r="N597" s="6">
        <f t="shared" si="145"/>
        <v>2850353.68</v>
      </c>
      <c r="O597" s="6"/>
      <c r="P597" s="6">
        <f t="shared" si="146"/>
        <v>2850353.68</v>
      </c>
      <c r="Q597" s="4" t="s">
        <v>984</v>
      </c>
      <c r="R597" s="4" t="s">
        <v>258</v>
      </c>
      <c r="S597" s="28" t="s">
        <v>988</v>
      </c>
      <c r="T597" s="28" t="s">
        <v>989</v>
      </c>
      <c r="U597" s="4" t="s">
        <v>863</v>
      </c>
      <c r="V597" s="89">
        <v>42690</v>
      </c>
      <c r="W597" s="29">
        <v>9501178.9600000009</v>
      </c>
      <c r="X597" s="109" t="str">
        <f t="shared" si="147"/>
        <v/>
      </c>
      <c r="Y597" s="109">
        <f t="shared" si="148"/>
        <v>0.43230000000000002</v>
      </c>
      <c r="Z597" s="109">
        <f t="shared" si="149"/>
        <v>0.60260000000000002</v>
      </c>
      <c r="AA597" s="4" t="s">
        <v>902</v>
      </c>
    </row>
    <row r="598" spans="1:27" ht="30" x14ac:dyDescent="0.25">
      <c r="A598" s="90">
        <v>42664</v>
      </c>
      <c r="B598" s="56">
        <v>4448</v>
      </c>
      <c r="C598" s="121">
        <v>597</v>
      </c>
      <c r="D598" s="4" t="str">
        <f>LOOKUP($E598,OBRAS!$D:$D,OBRAS!C:C)</f>
        <v>RECONSTRUCCION DEL CAMINO CALLE 1900</v>
      </c>
      <c r="E598" s="4" t="s">
        <v>546</v>
      </c>
      <c r="F598" s="4"/>
      <c r="G598" s="4" t="str">
        <f>LOOKUP($E598,OBRAS!$D:$D,OBRAS!E:E)</f>
        <v>C-00054/0027</v>
      </c>
      <c r="H598" s="80" t="s">
        <v>55</v>
      </c>
      <c r="I598" s="6">
        <v>3543964.54</v>
      </c>
      <c r="J598" s="6"/>
      <c r="K598" s="6">
        <f>ROUND(I598*0.3,2)</f>
        <v>1063189.3600000001</v>
      </c>
      <c r="L598" s="6">
        <f t="shared" si="143"/>
        <v>2480775.1800000002</v>
      </c>
      <c r="M598" s="6">
        <f t="shared" si="144"/>
        <v>396924.03</v>
      </c>
      <c r="N598" s="6">
        <f t="shared" si="145"/>
        <v>2877699.21</v>
      </c>
      <c r="O598" s="6">
        <f>+ROUND(I598*0.002,2)+ROUND(I598*0.0003,2)+ROUND(I598*0.0003,2)+ROUND(I598*0.0003,2)+ROUND(I598*0.002,2)</f>
        <v>17365.43</v>
      </c>
      <c r="P598" s="6">
        <f t="shared" si="146"/>
        <v>2860333.78</v>
      </c>
      <c r="Q598" s="4" t="str">
        <f>LOOKUP($E598,OBRAS!$D:$D,OBRAS!B:B)</f>
        <v>NA CONSTRUCCIONES DEL PACIFICO, S.A. DE C.V.</v>
      </c>
      <c r="R598" s="4" t="str">
        <f>LOOKUP($E598,OBRAS!$D:$D,OBRAS!A:A)</f>
        <v>CAJEME</v>
      </c>
      <c r="S598" s="4" t="str">
        <f>LOOKUP($E598,OBRAS!$D:$D,OBRAS!F:F)</f>
        <v>11000002003501E204K08063A625012162A211</v>
      </c>
      <c r="T598" s="4" t="str">
        <f>LOOKUP($E598,OBRAS!$D:$D,OBRAS!G:G)</f>
        <v>CE-926006995-E14-2016</v>
      </c>
      <c r="U598" s="4" t="s">
        <v>863</v>
      </c>
      <c r="V598" s="89">
        <v>42685</v>
      </c>
      <c r="W598" s="6">
        <f>LOOKUP($E598,OBRAS!$D:$D,OBRAS!K:K)</f>
        <v>24701108.239999998</v>
      </c>
      <c r="X598" s="109">
        <f t="shared" si="147"/>
        <v>0.16639999999999999</v>
      </c>
      <c r="Y598" s="109">
        <f t="shared" si="148"/>
        <v>1</v>
      </c>
      <c r="Z598" s="109">
        <f t="shared" si="149"/>
        <v>1</v>
      </c>
      <c r="AA598" s="4" t="str">
        <f>LOOKUP($E598,OBRAS!$D:$D,OBRAS!H:H)</f>
        <v>SH-ED-17-R-013</v>
      </c>
    </row>
    <row r="599" spans="1:27" ht="60" x14ac:dyDescent="0.25">
      <c r="A599" s="90">
        <v>42664</v>
      </c>
      <c r="B599" s="56">
        <v>4460</v>
      </c>
      <c r="C599" s="49">
        <v>598</v>
      </c>
      <c r="D599" s="4" t="str">
        <f>LOOKUP($E599,OBRAS!$D:$D,OBRAS!C:C)</f>
        <v>SUPERVISION EXTERNA Y CONTROL DE CALIDAD PARA LA OBRA RECONSTRUCCION DEL CAMINO NAVOJOA-ETCHOJOA-HUATABAMPO DE VARIAS LOCALIDADES Y MUNICIPIOS DE SONORA.</v>
      </c>
      <c r="E599" s="4" t="s">
        <v>359</v>
      </c>
      <c r="F599" s="4"/>
      <c r="G599" s="4" t="str">
        <f>LOOKUP($E599,OBRAS!$D:$D,OBRAS!E:E)</f>
        <v>C-00098/0021</v>
      </c>
      <c r="H599" s="80" t="s">
        <v>215</v>
      </c>
      <c r="I599" s="6">
        <v>113687.7</v>
      </c>
      <c r="J599" s="6"/>
      <c r="K599" s="6">
        <f>ROUND(I599*0.1,2)</f>
        <v>11368.77</v>
      </c>
      <c r="L599" s="6">
        <f t="shared" si="143"/>
        <v>102318.93</v>
      </c>
      <c r="M599" s="6">
        <f t="shared" si="144"/>
        <v>16371.03</v>
      </c>
      <c r="N599" s="6">
        <f t="shared" si="145"/>
        <v>118689.96</v>
      </c>
      <c r="O599" s="6">
        <f>ROUND(I599*0.0003,2)+ROUND(I599*0.0003,2)+ROUND(I599*0.0003,2)+ROUND(I599*0.002,2)</f>
        <v>329.71</v>
      </c>
      <c r="P599" s="6">
        <f t="shared" si="146"/>
        <v>118360.25</v>
      </c>
      <c r="Q599" s="4" t="str">
        <f>LOOKUP($E599,OBRAS!$D:$D,OBRAS!B:B)</f>
        <v>ADRIANA BELTRAN LAGARDA</v>
      </c>
      <c r="R599" s="4" t="str">
        <f>LOOKUP($E599,OBRAS!$D:$D,OBRAS!A:A)</f>
        <v>VARIOS</v>
      </c>
      <c r="S599" s="4" t="str">
        <f>LOOKUP($E599,OBRAS!$D:$D,OBRAS!F:F)</f>
        <v>11000002003501E203K03203A625132161A013</v>
      </c>
      <c r="T599" s="4" t="str">
        <f>LOOKUP($E599,OBRAS!$D:$D,OBRAS!G:G)</f>
        <v>CE-926006995-E45-2016</v>
      </c>
      <c r="U599" s="4" t="s">
        <v>863</v>
      </c>
      <c r="V599" s="89">
        <v>43062</v>
      </c>
      <c r="W599" s="6">
        <f>LOOKUP($E599,OBRAS!$D:$D,OBRAS!K:K)</f>
        <v>1055021.97</v>
      </c>
      <c r="X599" s="109">
        <f t="shared" si="147"/>
        <v>0.125</v>
      </c>
      <c r="Y599" s="109">
        <f t="shared" si="148"/>
        <v>1</v>
      </c>
      <c r="Z599" s="109">
        <f t="shared" si="149"/>
        <v>1</v>
      </c>
      <c r="AA599" s="4" t="str">
        <f>LOOKUP($E599,OBRAS!$D:$D,OBRAS!H:H)</f>
        <v>SH-ED-16-020</v>
      </c>
    </row>
    <row r="600" spans="1:27" ht="30" x14ac:dyDescent="0.25">
      <c r="C600" s="51">
        <v>599</v>
      </c>
      <c r="D600" s="4" t="str">
        <f>LOOKUP($E600,OBRAS!$D:$D,OBRAS!C:C)</f>
        <v>CANCHA DE FUTBOL DE PASTO SINTETICO PARA LA ESCUELA PRIMARIA ESTHER QUIJADA DOMINGUEZ</v>
      </c>
      <c r="E600" s="4" t="s">
        <v>843</v>
      </c>
      <c r="F600" s="4"/>
      <c r="G600" s="4"/>
      <c r="H600" s="80" t="s">
        <v>15</v>
      </c>
      <c r="I600" s="6">
        <v>251446.08</v>
      </c>
      <c r="J600" s="6"/>
      <c r="K600" s="6">
        <f>ROUND(I600*0.3,2)</f>
        <v>75433.820000000007</v>
      </c>
      <c r="L600" s="6">
        <f t="shared" si="143"/>
        <v>176012.26</v>
      </c>
      <c r="M600" s="6">
        <f t="shared" si="144"/>
        <v>28161.96</v>
      </c>
      <c r="N600" s="6">
        <f t="shared" si="145"/>
        <v>204174.22</v>
      </c>
      <c r="O600" s="6">
        <f>+ROUND(I600*0.005,2)</f>
        <v>1257.23</v>
      </c>
      <c r="P600" s="6">
        <f t="shared" si="146"/>
        <v>202916.99</v>
      </c>
      <c r="Q600" s="4" t="str">
        <f>LOOKUP($E600,OBRAS!$D:$D,OBRAS!B:B)</f>
        <v>GRUPO DESARROLLO CONGRUUS SA DE CV</v>
      </c>
      <c r="R600" s="4" t="str">
        <f>LOOKUP($E600,OBRAS!$D:$D,OBRAS!A:A)</f>
        <v>S.L.R.C.</v>
      </c>
      <c r="S600" s="4">
        <f>LOOKUP($E600,OBRAS!$D:$D,OBRAS!F:F)</f>
        <v>0</v>
      </c>
      <c r="T600" s="4">
        <f>LOOKUP($E600,OBRAS!$D:$D,OBRAS!G:G)</f>
        <v>0</v>
      </c>
      <c r="U600" s="4" t="s">
        <v>863</v>
      </c>
      <c r="V600" s="89">
        <v>42668</v>
      </c>
      <c r="W600" s="6">
        <f>LOOKUP($E600,OBRAS!$D:$D,OBRAS!K:K)</f>
        <v>1959188.77</v>
      </c>
      <c r="X600" s="109">
        <f t="shared" si="147"/>
        <v>0.1489</v>
      </c>
      <c r="Y600" s="109">
        <f t="shared" si="148"/>
        <v>0.89500000000000002</v>
      </c>
      <c r="Z600" s="109">
        <f t="shared" si="149"/>
        <v>0.89510000000000001</v>
      </c>
      <c r="AA600" s="4" t="str">
        <f>LOOKUP($E600,OBRAS!$D:$D,OBRAS!H:H)</f>
        <v>SH-NC-16-R-002</v>
      </c>
    </row>
    <row r="601" spans="1:27" ht="30" x14ac:dyDescent="0.25">
      <c r="C601" s="51">
        <v>600</v>
      </c>
      <c r="D601" s="4" t="str">
        <f>LOOKUP($E601,OBRAS!$D:$D,OBRAS!C:C)</f>
        <v>CANCHA DE FUTBOL DE PASTO SINTETICO PARA LA ESCUELA PRIMARIA ESTHER QUIJADA DOMINGUEZ</v>
      </c>
      <c r="E601" s="4" t="s">
        <v>843</v>
      </c>
      <c r="F601" s="4"/>
      <c r="G601" s="4"/>
      <c r="H601" s="80" t="s">
        <v>214</v>
      </c>
      <c r="I601" s="6">
        <v>902151.09</v>
      </c>
      <c r="J601" s="6"/>
      <c r="K601" s="6">
        <v>339022.32</v>
      </c>
      <c r="L601" s="6">
        <f t="shared" si="143"/>
        <v>563128.77</v>
      </c>
      <c r="M601" s="6">
        <f t="shared" si="144"/>
        <v>90100.6</v>
      </c>
      <c r="N601" s="6">
        <f t="shared" si="145"/>
        <v>653229.37</v>
      </c>
      <c r="O601" s="6">
        <f>+ROUND(I601*0.005,2)</f>
        <v>4510.76</v>
      </c>
      <c r="P601" s="6">
        <f t="shared" si="146"/>
        <v>648718.61</v>
      </c>
      <c r="Q601" s="4" t="str">
        <f>LOOKUP($E601,OBRAS!$D:$D,OBRAS!B:B)</f>
        <v>GRUPO DESARROLLO CONGRUUS SA DE CV</v>
      </c>
      <c r="R601" s="4" t="str">
        <f>LOOKUP($E601,OBRAS!$D:$D,OBRAS!A:A)</f>
        <v>S.L.R.C.</v>
      </c>
      <c r="S601" s="4">
        <f>LOOKUP($E601,OBRAS!$D:$D,OBRAS!F:F)</f>
        <v>0</v>
      </c>
      <c r="T601" s="4">
        <f>LOOKUP($E601,OBRAS!$D:$D,OBRAS!G:G)</f>
        <v>0</v>
      </c>
      <c r="U601" s="4" t="s">
        <v>863</v>
      </c>
      <c r="V601" s="89">
        <v>42668</v>
      </c>
      <c r="W601" s="6">
        <f>LOOKUP($E601,OBRAS!$D:$D,OBRAS!K:K)</f>
        <v>1959188.77</v>
      </c>
      <c r="X601" s="109">
        <f t="shared" si="147"/>
        <v>0.53410000000000002</v>
      </c>
      <c r="Y601" s="109">
        <f t="shared" si="148"/>
        <v>0.89500000000000002</v>
      </c>
      <c r="Z601" s="109">
        <f t="shared" si="149"/>
        <v>0.89510000000000001</v>
      </c>
      <c r="AA601" s="4" t="str">
        <f>LOOKUP($E601,OBRAS!$D:$D,OBRAS!H:H)</f>
        <v>SH-NC-16-R-002</v>
      </c>
    </row>
    <row r="602" spans="1:27" ht="60" x14ac:dyDescent="0.25">
      <c r="A602" s="90">
        <v>42664</v>
      </c>
      <c r="B602" s="56">
        <v>4452</v>
      </c>
      <c r="C602" s="51">
        <v>601</v>
      </c>
      <c r="D602" s="4" t="str">
        <f>LOOKUP($E602,OBRAS!$D:$D,OBRAS!C:C)</f>
        <v>CONSTRUCCION DE ANDADOR PEATONAL EN LA CALLE INTERNACIONAL ENTRE AVENIDAS 4 Y 33 EN LA LOCALIDAD Y MUNICIPIO DE AGUA PRIETA, SONORA</v>
      </c>
      <c r="E602" s="4" t="s">
        <v>150</v>
      </c>
      <c r="F602" s="4" t="s">
        <v>217</v>
      </c>
      <c r="G602" s="4" t="str">
        <f>LOOKUP($E602,OBRAS!$D:$D,OBRAS!E:E)</f>
        <v>C-00093/0006</v>
      </c>
      <c r="H602" s="80" t="s">
        <v>15</v>
      </c>
      <c r="I602" s="6">
        <v>895683.61</v>
      </c>
      <c r="J602" s="6"/>
      <c r="K602" s="6">
        <v>653974.11</v>
      </c>
      <c r="L602" s="6">
        <f t="shared" si="143"/>
        <v>241709.5</v>
      </c>
      <c r="M602" s="6">
        <f t="shared" si="144"/>
        <v>38673.519999999997</v>
      </c>
      <c r="N602" s="6">
        <f t="shared" si="145"/>
        <v>280383.02</v>
      </c>
      <c r="O602" s="6">
        <f>+ROUND(I602*0.005,2)</f>
        <v>4478.42</v>
      </c>
      <c r="P602" s="6">
        <f t="shared" si="146"/>
        <v>275904.59999999998</v>
      </c>
      <c r="Q602" s="4" t="str">
        <f>LOOKUP($E602,OBRAS!$D:$D,OBRAS!B:B)</f>
        <v>PROYECTOS Y CONSTRUCCIONES DEL DESIERTO PYCDE, A.S. DE C.V.</v>
      </c>
      <c r="R602" s="4" t="str">
        <f>LOOKUP($E602,OBRAS!$D:$D,OBRAS!A:A)</f>
        <v>AGUA PRIETA</v>
      </c>
      <c r="S602" s="4" t="str">
        <f>LOOKUP($E602,OBRAS!$D:$D,OBRAS!F:F)</f>
        <v>11000002002201E201K02203A612012155GL04</v>
      </c>
      <c r="T602" s="4" t="str">
        <f>LOOKUP($E602,OBRAS!$D:$D,OBRAS!G:G)</f>
        <v>IO-926006995-N15-2015</v>
      </c>
      <c r="U602" s="4" t="s">
        <v>863</v>
      </c>
      <c r="V602" s="89">
        <v>42696</v>
      </c>
      <c r="W602" s="6">
        <f>LOOKUP($E602,OBRAS!$D:$D,OBRAS!K:K)</f>
        <v>7864941.8700000001</v>
      </c>
      <c r="X602" s="109">
        <f t="shared" si="147"/>
        <v>0.1321</v>
      </c>
      <c r="Y602" s="109">
        <f t="shared" si="148"/>
        <v>0.51800000000000002</v>
      </c>
      <c r="Z602" s="109">
        <f t="shared" si="149"/>
        <v>0.28139999999999998</v>
      </c>
      <c r="AA602" s="4" t="str">
        <f>LOOKUP($E602,OBRAS!$D:$D,OBRAS!H:H)</f>
        <v>OM-NC-16-R-007</v>
      </c>
    </row>
    <row r="603" spans="1:27" ht="45" x14ac:dyDescent="0.25">
      <c r="A603" s="90">
        <v>42664</v>
      </c>
      <c r="B603" s="56">
        <v>4453</v>
      </c>
      <c r="C603" s="51">
        <v>602</v>
      </c>
      <c r="D603" s="4" t="str">
        <f>LOOKUP($E603,OBRAS!$D:$D,OBRAS!C:C)</f>
        <v>CONSTRUCCION Y MODERNIZACION EN DISTRIBUIDOR VIAL EN LA LOCALIDAD Y MUNICIPIO DE NOGALES, SONORA</v>
      </c>
      <c r="E603" s="4" t="s">
        <v>233</v>
      </c>
      <c r="F603" s="4" t="s">
        <v>991</v>
      </c>
      <c r="G603" s="4" t="str">
        <f>LOOKUP($E603,OBRAS!$D:$D,OBRAS!E:E)</f>
        <v>C-00052/0136</v>
      </c>
      <c r="H603" s="80" t="s">
        <v>220</v>
      </c>
      <c r="I603" s="6">
        <v>2219532.29</v>
      </c>
      <c r="J603" s="6"/>
      <c r="K603" s="6">
        <v>1842211.8</v>
      </c>
      <c r="L603" s="6">
        <f t="shared" si="143"/>
        <v>377320.49</v>
      </c>
      <c r="M603" s="6">
        <f t="shared" si="144"/>
        <v>60371.28</v>
      </c>
      <c r="N603" s="6">
        <f t="shared" si="145"/>
        <v>437691.77</v>
      </c>
      <c r="O603" s="6">
        <f>+ROUND(I603*0.002,2)+ROUND(I603*0.0003,2)+ROUND(I603*0.0003,2)+ROUND(I603*0.0003,2)+ROUND(I603*0.002,2)</f>
        <v>10875.7</v>
      </c>
      <c r="P603" s="6">
        <f t="shared" si="146"/>
        <v>426816.07</v>
      </c>
      <c r="Q603" s="4" t="str">
        <f>LOOKUP($E603,OBRAS!$D:$D,OBRAS!B:B)</f>
        <v>LA GRANDE CONSTRUCTORA S.A. DE C.V.</v>
      </c>
      <c r="R603" s="4" t="str">
        <f>LOOKUP($E603,OBRAS!$D:$D,OBRAS!A:A)</f>
        <v>NOGALES</v>
      </c>
      <c r="S603" s="4" t="str">
        <f>LOOKUP($E603,OBRAS!$D:$D,OBRAS!F:F)</f>
        <v>11000002002201E201K13303A614202155DM03</v>
      </c>
      <c r="T603" s="4">
        <f>LOOKUP($E603,OBRAS!$D:$D,OBRAS!G:G)</f>
        <v>0</v>
      </c>
      <c r="U603" s="4" t="s">
        <v>863</v>
      </c>
      <c r="V603" s="89">
        <v>42759</v>
      </c>
      <c r="W603" s="6">
        <f>LOOKUP($E603,OBRAS!$D:$D,OBRAS!K:K)</f>
        <v>25515708.309999999</v>
      </c>
      <c r="X603" s="109">
        <f t="shared" si="147"/>
        <v>0.1009</v>
      </c>
      <c r="Y603" s="109">
        <f t="shared" si="148"/>
        <v>0.52910000000000001</v>
      </c>
      <c r="Z603" s="109">
        <f t="shared" si="149"/>
        <v>0.20300000000000001</v>
      </c>
      <c r="AA603" s="4" t="str">
        <f>LOOKUP($E603,OBRAS!$D:$D,OBRAS!H:H)</f>
        <v>SH-FAFEF-16-R-007</v>
      </c>
    </row>
    <row r="604" spans="1:27" ht="75" x14ac:dyDescent="0.25">
      <c r="A604" s="90">
        <v>42664</v>
      </c>
      <c r="B604" s="56">
        <v>4455</v>
      </c>
      <c r="C604" s="51">
        <v>603</v>
      </c>
      <c r="D604" s="4" t="str">
        <f>LOOKUP($E604,OBRAS!$D:$D,OBRAS!C:C)</f>
        <v>SUPERVISION EXTERNA Y CONTROL DE CALIDAD PARA LA OBRA: CONSTRUCCION, REHABILITACION Y EQUIPAMIENTO DE UNIDAD DEPORTIVA FAUSTINO FELIX ETAPA 3, EN LA LOCALIDAD Y MUNICIPIO DE NAVOJOA, SONORA.</v>
      </c>
      <c r="E604" s="4" t="s">
        <v>296</v>
      </c>
      <c r="F604" s="4"/>
      <c r="G604" s="4" t="str">
        <f>LOOKUP($E604,OBRAS!$D:$D,OBRAS!E:E)</f>
        <v>C-00098/0034</v>
      </c>
      <c r="H604" s="80" t="s">
        <v>55</v>
      </c>
      <c r="I604" s="6">
        <v>72950.2</v>
      </c>
      <c r="J604" s="6"/>
      <c r="K604" s="6">
        <v>0</v>
      </c>
      <c r="L604" s="6">
        <f t="shared" ref="L604:L635" si="150">I604-K604</f>
        <v>72950.2</v>
      </c>
      <c r="M604" s="6">
        <f t="shared" ref="M604:M635" si="151">ROUND(L604*0.16,2)</f>
        <v>11672.03</v>
      </c>
      <c r="N604" s="6">
        <f t="shared" ref="N604:N635" si="152">M604+L604</f>
        <v>84622.23</v>
      </c>
      <c r="O604" s="6">
        <f>ROUND(I604*0.0003,2)+ROUND(I604*0.0003,2)+ROUND(I604*0.0003,2)+ROUND(I604*0.002,2)</f>
        <v>211.57</v>
      </c>
      <c r="P604" s="6">
        <f t="shared" ref="P604:P635" si="153">N604-O604</f>
        <v>84410.66</v>
      </c>
      <c r="Q604" s="4" t="str">
        <f>LOOKUP($E604,OBRAS!$D:$D,OBRAS!B:B)</f>
        <v>ARQ. JORGE LUIS CARDENAS LOPEZ</v>
      </c>
      <c r="R604" s="4" t="str">
        <f>LOOKUP($E604,OBRAS!$D:$D,OBRAS!A:A)</f>
        <v>NAVOJOA</v>
      </c>
      <c r="S604" s="4" t="str">
        <f>LOOKUP($E604,OBRAS!$D:$D,OBRAS!F:F)</f>
        <v>11000002002401E406K07202A625132161A013</v>
      </c>
      <c r="T604" s="4" t="str">
        <f>LOOKUP($E604,OBRAS!$D:$D,OBRAS!G:G)</f>
        <v>ADJUDICACIÓN DIRECTA</v>
      </c>
      <c r="U604" s="4" t="s">
        <v>863</v>
      </c>
      <c r="V604" s="89">
        <v>42781</v>
      </c>
      <c r="W604" s="6">
        <f>LOOKUP($E604,OBRAS!$D:$D,OBRAS!K:K)</f>
        <v>338488.93</v>
      </c>
      <c r="X604" s="109">
        <f t="shared" ref="X604:X635" si="154">IF(H604&lt;&gt;"ANTICIPO",I604/(W604/1.16),"")</f>
        <v>0.25</v>
      </c>
      <c r="Y604" s="109">
        <f t="shared" ref="Y604:Y635" si="155">SUMIF(E:E,E604,X:X)</f>
        <v>1</v>
      </c>
      <c r="Z604" s="109">
        <f t="shared" ref="Z604:Z635" si="156">SUMIF(E:E,E604,N:N)/W604</f>
        <v>1</v>
      </c>
      <c r="AA604" s="4" t="str">
        <f>LOOKUP($E604,OBRAS!$D:$D,OBRAS!H:H)</f>
        <v>SH-ED-16-045</v>
      </c>
    </row>
    <row r="605" spans="1:27" ht="30" x14ac:dyDescent="0.25">
      <c r="A605" s="90">
        <v>42664</v>
      </c>
      <c r="B605" s="56">
        <v>4456</v>
      </c>
      <c r="C605" s="51">
        <v>604</v>
      </c>
      <c r="D605" s="4" t="str">
        <f>LOOKUP($E605,OBRAS!$D:$D,OBRAS!C:C)</f>
        <v>CONSERVACION Y RECONSTRUCCION DEL TRAMO URES-PUEBLO DE ALAMOS</v>
      </c>
      <c r="E605" s="4" t="s">
        <v>562</v>
      </c>
      <c r="F605" s="4"/>
      <c r="G605" s="4" t="str">
        <f>LOOKUP($E605,OBRAS!$D:$D,OBRAS!E:E)</f>
        <v>C-00054/0061</v>
      </c>
      <c r="H605" s="80" t="s">
        <v>215</v>
      </c>
      <c r="I605" s="6">
        <v>1355762.97</v>
      </c>
      <c r="J605" s="6"/>
      <c r="K605" s="6">
        <f>ROUND(I605*0.3,2)</f>
        <v>406728.89</v>
      </c>
      <c r="L605" s="6">
        <f t="shared" si="150"/>
        <v>949034.08</v>
      </c>
      <c r="M605" s="6">
        <f t="shared" si="151"/>
        <v>151845.45000000001</v>
      </c>
      <c r="N605" s="6">
        <f t="shared" si="152"/>
        <v>1100879.53</v>
      </c>
      <c r="O605" s="6">
        <f>+ROUND(I605*0.002,2)+ROUND(I605*0.0003,2)+ROUND(I605*0.0003,2)+ROUND(I605*0.0003,2)+ROUND(I605*0.002,2)</f>
        <v>6643.25</v>
      </c>
      <c r="P605" s="6">
        <f t="shared" si="153"/>
        <v>1094236.28</v>
      </c>
      <c r="Q605" s="4" t="str">
        <f>LOOKUP($E605,OBRAS!$D:$D,OBRAS!B:B)</f>
        <v>GLUYAS CONSTRUCCIONES S.A. DE C.V.</v>
      </c>
      <c r="R605" s="4" t="str">
        <f>LOOKUP($E605,OBRAS!$D:$D,OBRAS!A:A)</f>
        <v>URES</v>
      </c>
      <c r="S605" s="4" t="str">
        <f>LOOKUP($E605,OBRAS!$D:$D,OBRAS!F:F)</f>
        <v>11000002003501E204K08063A625012162A205</v>
      </c>
      <c r="T605" s="4" t="str">
        <f>LOOKUP($E605,OBRAS!$D:$D,OBRAS!G:G)</f>
        <v>CE-926006995-E25-2016</v>
      </c>
      <c r="U605" s="4" t="s">
        <v>863</v>
      </c>
      <c r="V605" s="89">
        <v>42712</v>
      </c>
      <c r="W605" s="6">
        <f>LOOKUP($E605,OBRAS!$D:$D,OBRAS!K:K)</f>
        <v>40380067.490000002</v>
      </c>
      <c r="X605" s="109">
        <f t="shared" si="154"/>
        <v>3.8899999999999997E-2</v>
      </c>
      <c r="Y605" s="109">
        <f t="shared" si="155"/>
        <v>0.94240000000000002</v>
      </c>
      <c r="Z605" s="109">
        <f t="shared" si="156"/>
        <v>0.9425</v>
      </c>
      <c r="AA605" s="4" t="str">
        <f>LOOKUP($E605,OBRAS!$D:$D,OBRAS!H:H)</f>
        <v>SH-ED-17-R-013</v>
      </c>
    </row>
    <row r="606" spans="1:27" ht="60" x14ac:dyDescent="0.25">
      <c r="A606" s="90">
        <v>42664</v>
      </c>
      <c r="B606" s="56">
        <v>4458</v>
      </c>
      <c r="C606" s="51">
        <v>605</v>
      </c>
      <c r="D606" s="4" t="str">
        <f>LOOKUP($E606,OBRAS!$D:$D,OBRAS!C:C)</f>
        <v>REHABILITACION DE RED DE CARRETERAS ALIMENTADORAS EN LA REGION DEL RIO SONORA EN EL ESTADO DE SONORA; SUBTRAMO KM 75+000 AL KM 149+000.</v>
      </c>
      <c r="E606" s="4" t="s">
        <v>381</v>
      </c>
      <c r="F606" s="4" t="s">
        <v>285</v>
      </c>
      <c r="G606" s="4" t="str">
        <f>LOOKUP($E606,OBRAS!$D:$D,OBRAS!E:E)</f>
        <v>C-00054/0070</v>
      </c>
      <c r="H606" s="80" t="s">
        <v>215</v>
      </c>
      <c r="I606" s="6">
        <v>4307513.79</v>
      </c>
      <c r="J606" s="6"/>
      <c r="K606" s="6">
        <f>ROUND(I606*0.3,2)</f>
        <v>1292254.1399999999</v>
      </c>
      <c r="L606" s="6">
        <f t="shared" si="150"/>
        <v>3015259.65</v>
      </c>
      <c r="M606" s="6">
        <f t="shared" si="151"/>
        <v>482441.54</v>
      </c>
      <c r="N606" s="6">
        <f t="shared" si="152"/>
        <v>3497701.19</v>
      </c>
      <c r="O606" s="6">
        <f>+ROUND(I606*0.002,2)+ROUND(I606*0.0003,2)+ROUND(I606*0.0003,2)+ROUND(I606*0.0003,2)+ROUND(I606*0.002,2)</f>
        <v>21106.81</v>
      </c>
      <c r="P606" s="6">
        <f t="shared" si="153"/>
        <v>3476594.38</v>
      </c>
      <c r="Q606" s="4" t="str">
        <f>LOOKUP($E606,OBRAS!$D:$D,OBRAS!B:B)</f>
        <v>RENTA, MOVIMIENTO DE CONSTRUCCION EQUIPEN, S.A. DE C.V.</v>
      </c>
      <c r="R606" s="4" t="str">
        <f>LOOKUP($E606,OBRAS!$D:$D,OBRAS!A:A)</f>
        <v>VARIOS</v>
      </c>
      <c r="S606" s="4" t="str">
        <f>LOOKUP($E606,OBRAS!$D:$D,OBRAS!F:F)</f>
        <v>110000002003501E204K08063A625012162A213</v>
      </c>
      <c r="T606" s="4" t="str">
        <f>LOOKUP($E606,OBRAS!$D:$D,OBRAS!G:G)</f>
        <v>CE-926006995-E39-2016</v>
      </c>
      <c r="U606" s="4" t="s">
        <v>863</v>
      </c>
      <c r="V606" s="89">
        <v>42671</v>
      </c>
      <c r="W606" s="6">
        <f>LOOKUP($E606,OBRAS!$D:$D,OBRAS!K:K)</f>
        <v>79270178.980000004</v>
      </c>
      <c r="X606" s="109">
        <f t="shared" si="154"/>
        <v>6.3E-2</v>
      </c>
      <c r="Y606" s="109">
        <f t="shared" si="155"/>
        <v>0.63300000000000001</v>
      </c>
      <c r="Z606" s="109">
        <f t="shared" si="156"/>
        <v>0.74309999999999998</v>
      </c>
      <c r="AA606" s="4" t="str">
        <f>LOOKUP($E606,OBRAS!$D:$D,OBRAS!H:H)</f>
        <v>SH-ED-17-R-013</v>
      </c>
    </row>
    <row r="607" spans="1:27" ht="60" x14ac:dyDescent="0.25">
      <c r="A607" s="90">
        <v>42664</v>
      </c>
      <c r="B607" s="56">
        <v>4459</v>
      </c>
      <c r="C607" s="51">
        <v>606</v>
      </c>
      <c r="D607" s="4" t="str">
        <f>LOOKUP($E607,OBRAS!$D:$D,OBRAS!C:C)</f>
        <v>SUPERVISION EXTERNA Y CONTROL DE CALIDAD DE LA MODERNIZACION Y RECONSTRUCCION DEL PERIFERICO EN NAVOJOA (E.C. MEXICO 15-TETANCHOPO DEL KM 7+031 AL KM 13+326</v>
      </c>
      <c r="E607" s="4" t="s">
        <v>499</v>
      </c>
      <c r="F607" s="4"/>
      <c r="G607" s="4" t="str">
        <f>LOOKUP($E607,OBRAS!$D:$D,OBRAS!E:E)</f>
        <v>C-00098/0022</v>
      </c>
      <c r="H607" s="80" t="s">
        <v>103</v>
      </c>
      <c r="I607" s="6">
        <v>237294.68</v>
      </c>
      <c r="J607" s="6"/>
      <c r="K607" s="6">
        <f t="shared" ref="K607:K622" si="157">ROUND(I607*0.1,2)</f>
        <v>23729.47</v>
      </c>
      <c r="L607" s="6">
        <f t="shared" si="150"/>
        <v>213565.21</v>
      </c>
      <c r="M607" s="6">
        <f t="shared" si="151"/>
        <v>34170.43</v>
      </c>
      <c r="N607" s="6">
        <f t="shared" si="152"/>
        <v>247735.64</v>
      </c>
      <c r="O607" s="6">
        <f t="shared" ref="O607:O622" si="158">ROUND(I607*0.0003,2)+ROUND(I607*0.0003,2)+ROUND(I607*0.0003,2)+ROUND(I607*0.002,2)</f>
        <v>688.16</v>
      </c>
      <c r="P607" s="6">
        <f t="shared" si="153"/>
        <v>247047.48</v>
      </c>
      <c r="Q607" s="4" t="str">
        <f>LOOKUP($E607,OBRAS!$D:$D,OBRAS!B:B)</f>
        <v>UNIVERSO ROJO, S.A. DE C.V.</v>
      </c>
      <c r="R607" s="4" t="str">
        <f>LOOKUP($E607,OBRAS!$D:$D,OBRAS!A:A)</f>
        <v>NAVOJOA</v>
      </c>
      <c r="S607" s="4" t="str">
        <f>LOOKUP($E607,OBRAS!$D:$D,OBRAS!F:F)</f>
        <v>11000002002207E201K02104A622212161A013</v>
      </c>
      <c r="T607" s="4" t="str">
        <f>LOOKUP($E607,OBRAS!$D:$D,OBRAS!G:G)</f>
        <v>CE-926006995-E66-2016</v>
      </c>
      <c r="U607" s="4" t="s">
        <v>863</v>
      </c>
      <c r="V607" s="89">
        <v>42705</v>
      </c>
      <c r="W607" s="6">
        <f>LOOKUP($E607,OBRAS!$D:$D,OBRAS!K:K)</f>
        <v>2706741.39</v>
      </c>
      <c r="X607" s="109">
        <f t="shared" si="154"/>
        <v>0.1017</v>
      </c>
      <c r="Y607" s="109">
        <f t="shared" si="155"/>
        <v>0.91539999999999999</v>
      </c>
      <c r="Z607" s="109">
        <f t="shared" si="156"/>
        <v>0.92369999999999997</v>
      </c>
      <c r="AA607" s="4" t="str">
        <f>LOOKUP($E607,OBRAS!$D:$D,OBRAS!H:H)</f>
        <v>SH-ED-16-061</v>
      </c>
    </row>
    <row r="608" spans="1:27" ht="45" x14ac:dyDescent="0.25">
      <c r="A608" s="90">
        <v>42664</v>
      </c>
      <c r="B608" s="56">
        <v>4461</v>
      </c>
      <c r="C608" s="51">
        <v>607</v>
      </c>
      <c r="D608" s="4" t="str">
        <f>LOOKUP($E608,OBRAS!$D:$D,OBRAS!C:C)</f>
        <v>SUPERVISION EXTERNA Y CONTROL DE CALIDAD DE LA MODERNIZACION DEL PERIFERICO PONIENTE (1 ETAPA), NAVOJOA</v>
      </c>
      <c r="E608" s="4" t="s">
        <v>495</v>
      </c>
      <c r="F608" s="4"/>
      <c r="G608" s="4" t="str">
        <f>LOOKUP($E608,OBRAS!$D:$D,OBRAS!E:E)</f>
        <v>C-00098/0022</v>
      </c>
      <c r="H608" s="80" t="s">
        <v>103</v>
      </c>
      <c r="I608" s="6">
        <v>310049.86</v>
      </c>
      <c r="J608" s="6"/>
      <c r="K608" s="6">
        <f t="shared" si="157"/>
        <v>31004.99</v>
      </c>
      <c r="L608" s="6">
        <f t="shared" si="150"/>
        <v>279044.87</v>
      </c>
      <c r="M608" s="6">
        <f t="shared" si="151"/>
        <v>44647.18</v>
      </c>
      <c r="N608" s="6">
        <f t="shared" si="152"/>
        <v>323692.05</v>
      </c>
      <c r="O608" s="6">
        <f t="shared" si="158"/>
        <v>899.13</v>
      </c>
      <c r="P608" s="6">
        <f t="shared" si="153"/>
        <v>322792.92</v>
      </c>
      <c r="Q608" s="4" t="str">
        <f>LOOKUP($E608,OBRAS!$D:$D,OBRAS!B:B)</f>
        <v>UNIVERSO ROJO, S.A. DE C.V.</v>
      </c>
      <c r="R608" s="4" t="str">
        <f>LOOKUP($E608,OBRAS!$D:$D,OBRAS!A:A)</f>
        <v>NAVOJOA</v>
      </c>
      <c r="S608" s="4" t="str">
        <f>LOOKUP($E608,OBRAS!$D:$D,OBRAS!F:F)</f>
        <v>11000002002207E201K02104A622212161A013</v>
      </c>
      <c r="T608" s="4" t="str">
        <f>LOOKUP($E608,OBRAS!$D:$D,OBRAS!G:G)</f>
        <v>CE-926006995-E65-2016</v>
      </c>
      <c r="U608" s="4" t="s">
        <v>863</v>
      </c>
      <c r="V608" s="89">
        <v>42781</v>
      </c>
      <c r="W608" s="6">
        <f>LOOKUP($E608,OBRAS!$D:$D,OBRAS!K:K)</f>
        <v>4585637.5999999996</v>
      </c>
      <c r="X608" s="109">
        <f t="shared" si="154"/>
        <v>7.8399999999999997E-2</v>
      </c>
      <c r="Y608" s="109">
        <f t="shared" si="155"/>
        <v>0.70589999999999997</v>
      </c>
      <c r="Z608" s="109">
        <f t="shared" si="156"/>
        <v>0.73529999999999995</v>
      </c>
      <c r="AA608" s="4" t="str">
        <f>LOOKUP($E608,OBRAS!$D:$D,OBRAS!H:H)</f>
        <v>SH-ED-16-061</v>
      </c>
    </row>
    <row r="609" spans="1:27" ht="60" x14ac:dyDescent="0.25">
      <c r="A609" s="90">
        <v>42664</v>
      </c>
      <c r="B609" s="56">
        <v>4462</v>
      </c>
      <c r="C609" s="51">
        <v>608</v>
      </c>
      <c r="D609" s="4" t="str">
        <f>LOOKUP($E609,OBRAS!$D:$D,OBRAS!C:C)</f>
        <v>SUPERVISION EXTERNA Y CONTROL DE CALIDAD DE LA MODERNIZACION Y RECONSTRUCCION DEL PERIFERICO EN NAVOJOA (E.C. MEXICO 15-TETANCHOPO DEL KM 7+031 AL KM 13+326</v>
      </c>
      <c r="E609" s="4" t="s">
        <v>499</v>
      </c>
      <c r="F609" s="4"/>
      <c r="G609" s="4" t="str">
        <f>LOOKUP($E609,OBRAS!$D:$D,OBRAS!E:E)</f>
        <v>C-00098/0022</v>
      </c>
      <c r="H609" s="80" t="s">
        <v>221</v>
      </c>
      <c r="I609" s="6">
        <v>464702.09</v>
      </c>
      <c r="J609" s="6"/>
      <c r="K609" s="6">
        <f t="shared" si="157"/>
        <v>46470.21</v>
      </c>
      <c r="L609" s="6">
        <f t="shared" si="150"/>
        <v>418231.88</v>
      </c>
      <c r="M609" s="6">
        <f t="shared" si="151"/>
        <v>66917.100000000006</v>
      </c>
      <c r="N609" s="6">
        <f t="shared" si="152"/>
        <v>485148.98</v>
      </c>
      <c r="O609" s="6">
        <f t="shared" si="158"/>
        <v>1347.63</v>
      </c>
      <c r="P609" s="6">
        <f t="shared" si="153"/>
        <v>483801.35</v>
      </c>
      <c r="Q609" s="4" t="str">
        <f>LOOKUP($E609,OBRAS!$D:$D,OBRAS!B:B)</f>
        <v>UNIVERSO ROJO, S.A. DE C.V.</v>
      </c>
      <c r="R609" s="4" t="str">
        <f>LOOKUP($E609,OBRAS!$D:$D,OBRAS!A:A)</f>
        <v>NAVOJOA</v>
      </c>
      <c r="S609" s="4" t="str">
        <f>LOOKUP($E609,OBRAS!$D:$D,OBRAS!F:F)</f>
        <v>11000002002207E201K02104A622212161A013</v>
      </c>
      <c r="T609" s="4" t="str">
        <f>LOOKUP($E609,OBRAS!$D:$D,OBRAS!G:G)</f>
        <v>CE-926006995-E66-2016</v>
      </c>
      <c r="U609" s="4" t="s">
        <v>863</v>
      </c>
      <c r="V609" s="89">
        <v>42705</v>
      </c>
      <c r="W609" s="6">
        <f>LOOKUP($E609,OBRAS!$D:$D,OBRAS!K:K)</f>
        <v>2706741.39</v>
      </c>
      <c r="X609" s="109">
        <f t="shared" si="154"/>
        <v>0.19919999999999999</v>
      </c>
      <c r="Y609" s="109">
        <f t="shared" si="155"/>
        <v>0.91539999999999999</v>
      </c>
      <c r="Z609" s="109">
        <f t="shared" si="156"/>
        <v>0.92369999999999997</v>
      </c>
      <c r="AA609" s="4" t="str">
        <f>LOOKUP($E609,OBRAS!$D:$D,OBRAS!H:H)</f>
        <v>SH-ED-16-061</v>
      </c>
    </row>
    <row r="610" spans="1:27" ht="60" x14ac:dyDescent="0.25">
      <c r="A610" s="90">
        <v>42664</v>
      </c>
      <c r="B610" s="56">
        <v>4463</v>
      </c>
      <c r="C610" s="51">
        <v>609</v>
      </c>
      <c r="D610" s="4" t="str">
        <f>LOOKUP($E610,OBRAS!$D:$D,OBRAS!C:C)</f>
        <v>SUPERVISION EXTERNA Y CONTROL DE CALIDAD DE LA MODERNIZACION Y RECONSTRUCCION DEL PERIFERICO EN NAVOJOA (E.C. MEXICO 15-TETANCHOPO DEL KM 7+031 AL KM 13+326</v>
      </c>
      <c r="E610" s="4" t="s">
        <v>499</v>
      </c>
      <c r="F610" s="4"/>
      <c r="G610" s="4" t="str">
        <f>LOOKUP($E610,OBRAS!$D:$D,OBRAS!E:E)</f>
        <v>C-00098/0022</v>
      </c>
      <c r="H610" s="80" t="s">
        <v>55</v>
      </c>
      <c r="I610" s="6">
        <v>494363.92</v>
      </c>
      <c r="J610" s="6"/>
      <c r="K610" s="6">
        <f t="shared" si="157"/>
        <v>49436.39</v>
      </c>
      <c r="L610" s="6">
        <f t="shared" si="150"/>
        <v>444927.53</v>
      </c>
      <c r="M610" s="6">
        <f t="shared" si="151"/>
        <v>71188.399999999994</v>
      </c>
      <c r="N610" s="6">
        <f t="shared" si="152"/>
        <v>516115.93</v>
      </c>
      <c r="O610" s="6">
        <f t="shared" si="158"/>
        <v>1433.66</v>
      </c>
      <c r="P610" s="6">
        <f t="shared" si="153"/>
        <v>514682.27</v>
      </c>
      <c r="Q610" s="4" t="str">
        <f>LOOKUP($E610,OBRAS!$D:$D,OBRAS!B:B)</f>
        <v>UNIVERSO ROJO, S.A. DE C.V.</v>
      </c>
      <c r="R610" s="4" t="str">
        <f>LOOKUP($E610,OBRAS!$D:$D,OBRAS!A:A)</f>
        <v>NAVOJOA</v>
      </c>
      <c r="S610" s="4" t="str">
        <f>LOOKUP($E610,OBRAS!$D:$D,OBRAS!F:F)</f>
        <v>11000002002207E201K02104A622212161A013</v>
      </c>
      <c r="T610" s="4" t="str">
        <f>LOOKUP($E610,OBRAS!$D:$D,OBRAS!G:G)</f>
        <v>CE-926006995-E66-2016</v>
      </c>
      <c r="U610" s="4" t="s">
        <v>863</v>
      </c>
      <c r="V610" s="89">
        <v>42705</v>
      </c>
      <c r="W610" s="6">
        <f>LOOKUP($E610,OBRAS!$D:$D,OBRAS!K:K)</f>
        <v>2706741.39</v>
      </c>
      <c r="X610" s="109">
        <f t="shared" si="154"/>
        <v>0.21190000000000001</v>
      </c>
      <c r="Y610" s="109">
        <f t="shared" si="155"/>
        <v>0.91539999999999999</v>
      </c>
      <c r="Z610" s="109">
        <f t="shared" si="156"/>
        <v>0.92369999999999997</v>
      </c>
      <c r="AA610" s="4" t="str">
        <f>LOOKUP($E610,OBRAS!$D:$D,OBRAS!H:H)</f>
        <v>SH-ED-16-061</v>
      </c>
    </row>
    <row r="611" spans="1:27" ht="60" x14ac:dyDescent="0.25">
      <c r="A611" s="90">
        <v>42664</v>
      </c>
      <c r="B611" s="56">
        <v>4464</v>
      </c>
      <c r="C611" s="51">
        <v>610</v>
      </c>
      <c r="D611" s="4" t="str">
        <f>LOOKUP($E611,OBRAS!$D:$D,OBRAS!C:C)</f>
        <v>SUPERVISION EXTERNA Y CONTROL DE CALIDAD DE LA MODERNIZACION Y RECONSTRUCCION DEL PERIFERICO EN NAVOJOA (E.C. MEXICO 15-TETANCHOPO DEL KM 7+031 AL KM 13+326</v>
      </c>
      <c r="E611" s="4" t="s">
        <v>499</v>
      </c>
      <c r="F611" s="4"/>
      <c r="G611" s="4" t="str">
        <f>LOOKUP($E611,OBRAS!$D:$D,OBRAS!E:E)</f>
        <v>C-00098/0022</v>
      </c>
      <c r="H611" s="80" t="s">
        <v>215</v>
      </c>
      <c r="I611" s="6">
        <v>474589.38</v>
      </c>
      <c r="J611" s="6"/>
      <c r="K611" s="6">
        <f t="shared" si="157"/>
        <v>47458.94</v>
      </c>
      <c r="L611" s="6">
        <f t="shared" si="150"/>
        <v>427130.44</v>
      </c>
      <c r="M611" s="6">
        <f t="shared" si="151"/>
        <v>68340.87</v>
      </c>
      <c r="N611" s="6">
        <f t="shared" si="152"/>
        <v>495471.31</v>
      </c>
      <c r="O611" s="6">
        <f t="shared" si="158"/>
        <v>1376.32</v>
      </c>
      <c r="P611" s="6">
        <f t="shared" si="153"/>
        <v>494094.99</v>
      </c>
      <c r="Q611" s="4" t="str">
        <f>LOOKUP($E611,OBRAS!$D:$D,OBRAS!B:B)</f>
        <v>UNIVERSO ROJO, S.A. DE C.V.</v>
      </c>
      <c r="R611" s="4" t="str">
        <f>LOOKUP($E611,OBRAS!$D:$D,OBRAS!A:A)</f>
        <v>NAVOJOA</v>
      </c>
      <c r="S611" s="4" t="str">
        <f>LOOKUP($E611,OBRAS!$D:$D,OBRAS!F:F)</f>
        <v>11000002002207E201K02104A622212161A013</v>
      </c>
      <c r="T611" s="4" t="str">
        <f>LOOKUP($E611,OBRAS!$D:$D,OBRAS!G:G)</f>
        <v>CE-926006995-E66-2016</v>
      </c>
      <c r="U611" s="4" t="s">
        <v>863</v>
      </c>
      <c r="V611" s="89">
        <v>42781</v>
      </c>
      <c r="W611" s="6">
        <f>LOOKUP($E611,OBRAS!$D:$D,OBRAS!K:K)</f>
        <v>2706741.39</v>
      </c>
      <c r="X611" s="109">
        <f t="shared" si="154"/>
        <v>0.2034</v>
      </c>
      <c r="Y611" s="109">
        <f t="shared" si="155"/>
        <v>0.91539999999999999</v>
      </c>
      <c r="Z611" s="109">
        <f t="shared" si="156"/>
        <v>0.92369999999999997</v>
      </c>
      <c r="AA611" s="4" t="str">
        <f>LOOKUP($E611,OBRAS!$D:$D,OBRAS!H:H)</f>
        <v>SH-ED-16-061</v>
      </c>
    </row>
    <row r="612" spans="1:27" ht="45" x14ac:dyDescent="0.25">
      <c r="A612" s="90">
        <v>42664</v>
      </c>
      <c r="B612" s="56">
        <v>4465</v>
      </c>
      <c r="C612" s="51">
        <v>611</v>
      </c>
      <c r="D612" s="4" t="str">
        <f>LOOKUP($E612,OBRAS!$D:$D,OBRAS!C:C)</f>
        <v>SUPERVISION EXTERNA Y CONTROL DE CALIDAD DE LA CONSERVACION Y RECONSTRUCCION DE LA VIALIDAD YAQUI-MAYO</v>
      </c>
      <c r="E612" s="4" t="s">
        <v>487</v>
      </c>
      <c r="F612" s="4"/>
      <c r="G612" s="4" t="str">
        <f>LOOKUP($E612,OBRAS!$D:$D,OBRAS!E:E)</f>
        <v>C-00098/0021</v>
      </c>
      <c r="H612" s="80" t="s">
        <v>103</v>
      </c>
      <c r="I612" s="6">
        <v>160163.6</v>
      </c>
      <c r="J612" s="6"/>
      <c r="K612" s="6">
        <f t="shared" si="157"/>
        <v>16016.36</v>
      </c>
      <c r="L612" s="6">
        <f t="shared" si="150"/>
        <v>144147.24</v>
      </c>
      <c r="M612" s="6">
        <f t="shared" si="151"/>
        <v>23063.56</v>
      </c>
      <c r="N612" s="6">
        <f t="shared" si="152"/>
        <v>167210.79999999999</v>
      </c>
      <c r="O612" s="6">
        <f t="shared" si="158"/>
        <v>464.48</v>
      </c>
      <c r="P612" s="6">
        <f t="shared" si="153"/>
        <v>166746.32</v>
      </c>
      <c r="Q612" s="4" t="str">
        <f>LOOKUP($E612,OBRAS!$D:$D,OBRAS!B:B)</f>
        <v>PROYECTOS Y CONSTRUCCIONES MAGUS, S.A. DE C.V.</v>
      </c>
      <c r="R612" s="4" t="str">
        <f>LOOKUP($E612,OBRAS!$D:$D,OBRAS!A:A)</f>
        <v>VARIOS</v>
      </c>
      <c r="S612" s="4" t="str">
        <f>LOOKUP($E612,OBRAS!$D:$D,OBRAS!F:F)</f>
        <v>11000002003501E203K03203A625132161A013</v>
      </c>
      <c r="T612" s="4" t="str">
        <f>LOOKUP($E612,OBRAS!$D:$D,OBRAS!G:G)</f>
        <v>LICITACIÓN SIMPLIFICADA</v>
      </c>
      <c r="U612" s="4" t="s">
        <v>863</v>
      </c>
      <c r="V612" s="89">
        <v>42705</v>
      </c>
      <c r="W612" s="6">
        <f>LOOKUP($E612,OBRAS!$D:$D,OBRAS!K:K)</f>
        <v>798051.37</v>
      </c>
      <c r="X612" s="109">
        <f t="shared" si="154"/>
        <v>0.23280000000000001</v>
      </c>
      <c r="Y612" s="109">
        <f t="shared" si="155"/>
        <v>1.0001</v>
      </c>
      <c r="Z612" s="109">
        <f t="shared" si="156"/>
        <v>1</v>
      </c>
      <c r="AA612" s="4" t="str">
        <f>LOOKUP($E612,OBRAS!$D:$D,OBRAS!H:H)</f>
        <v>SH-ED-16-051</v>
      </c>
    </row>
    <row r="613" spans="1:27" ht="45" x14ac:dyDescent="0.25">
      <c r="A613" s="90">
        <v>42664</v>
      </c>
      <c r="B613" s="56">
        <v>4466</v>
      </c>
      <c r="C613" s="51">
        <v>612</v>
      </c>
      <c r="D613" s="4" t="str">
        <f>LOOKUP($E613,OBRAS!$D:$D,OBRAS!C:C)</f>
        <v>SUPERVISION EXTERNA Y CONTROL DE CALIDAD DE LA CONSERVACION Y RECONSTRUCCION DE LA VIALIDAD YAQUI-MAYO</v>
      </c>
      <c r="E613" s="4" t="s">
        <v>487</v>
      </c>
      <c r="F613" s="4"/>
      <c r="G613" s="4" t="str">
        <f>LOOKUP($E613,OBRAS!$D:$D,OBRAS!E:E)</f>
        <v>C-00098/0021</v>
      </c>
      <c r="H613" s="80" t="s">
        <v>221</v>
      </c>
      <c r="I613" s="6">
        <v>171083.8</v>
      </c>
      <c r="J613" s="6"/>
      <c r="K613" s="6">
        <f t="shared" si="157"/>
        <v>17108.38</v>
      </c>
      <c r="L613" s="6">
        <f t="shared" si="150"/>
        <v>153975.42000000001</v>
      </c>
      <c r="M613" s="6">
        <f t="shared" si="151"/>
        <v>24636.07</v>
      </c>
      <c r="N613" s="6">
        <f t="shared" si="152"/>
        <v>178611.49</v>
      </c>
      <c r="O613" s="6">
        <f t="shared" si="158"/>
        <v>496.16</v>
      </c>
      <c r="P613" s="6">
        <f t="shared" si="153"/>
        <v>178115.33</v>
      </c>
      <c r="Q613" s="4" t="str">
        <f>LOOKUP($E613,OBRAS!$D:$D,OBRAS!B:B)</f>
        <v>PROYECTOS Y CONSTRUCCIONES MAGUS, S.A. DE C.V.</v>
      </c>
      <c r="R613" s="4" t="str">
        <f>LOOKUP($E613,OBRAS!$D:$D,OBRAS!A:A)</f>
        <v>VARIOS</v>
      </c>
      <c r="S613" s="4" t="str">
        <f>LOOKUP($E613,OBRAS!$D:$D,OBRAS!F:F)</f>
        <v>11000002003501E203K03203A625132161A013</v>
      </c>
      <c r="T613" s="4" t="str">
        <f>LOOKUP($E613,OBRAS!$D:$D,OBRAS!G:G)</f>
        <v>LICITACIÓN SIMPLIFICADA</v>
      </c>
      <c r="U613" s="4" t="s">
        <v>863</v>
      </c>
      <c r="V613" s="89">
        <v>42705</v>
      </c>
      <c r="W613" s="6">
        <f>LOOKUP($E613,OBRAS!$D:$D,OBRAS!K:K)</f>
        <v>798051.37</v>
      </c>
      <c r="X613" s="109">
        <f t="shared" si="154"/>
        <v>0.2487</v>
      </c>
      <c r="Y613" s="109">
        <f t="shared" si="155"/>
        <v>1.0001</v>
      </c>
      <c r="Z613" s="109">
        <f t="shared" si="156"/>
        <v>1</v>
      </c>
      <c r="AA613" s="4" t="str">
        <f>LOOKUP($E613,OBRAS!$D:$D,OBRAS!H:H)</f>
        <v>SH-ED-16-051</v>
      </c>
    </row>
    <row r="614" spans="1:27" ht="45" x14ac:dyDescent="0.25">
      <c r="A614" s="90">
        <v>42664</v>
      </c>
      <c r="B614" s="56">
        <v>4467</v>
      </c>
      <c r="C614" s="51">
        <v>613</v>
      </c>
      <c r="D614" s="4" t="str">
        <f>LOOKUP($E614,OBRAS!$D:$D,OBRAS!C:C)</f>
        <v>SUPERVISION EXTERNA Y CONTROL DE CALIDAD DE LA CONSERVACION Y RECONSTRUCCION DE LA VIALIDAD YAQUI-MAYO</v>
      </c>
      <c r="E614" s="4" t="s">
        <v>487</v>
      </c>
      <c r="F614" s="4"/>
      <c r="G614" s="4" t="str">
        <f>LOOKUP($E614,OBRAS!$D:$D,OBRAS!E:E)</f>
        <v>C-00098/0021</v>
      </c>
      <c r="H614" s="80" t="s">
        <v>55</v>
      </c>
      <c r="I614" s="6">
        <v>182004.04</v>
      </c>
      <c r="J614" s="6"/>
      <c r="K614" s="6">
        <f t="shared" si="157"/>
        <v>18200.400000000001</v>
      </c>
      <c r="L614" s="6">
        <f t="shared" si="150"/>
        <v>163803.64000000001</v>
      </c>
      <c r="M614" s="6">
        <f t="shared" si="151"/>
        <v>26208.58</v>
      </c>
      <c r="N614" s="6">
        <f t="shared" si="152"/>
        <v>190012.22</v>
      </c>
      <c r="O614" s="6">
        <f t="shared" si="158"/>
        <v>527.80999999999995</v>
      </c>
      <c r="P614" s="6">
        <f t="shared" si="153"/>
        <v>189484.41</v>
      </c>
      <c r="Q614" s="4" t="str">
        <f>LOOKUP($E614,OBRAS!$D:$D,OBRAS!B:B)</f>
        <v>PROYECTOS Y CONSTRUCCIONES MAGUS, S.A. DE C.V.</v>
      </c>
      <c r="R614" s="4" t="str">
        <f>LOOKUP($E614,OBRAS!$D:$D,OBRAS!A:A)</f>
        <v>VARIOS</v>
      </c>
      <c r="S614" s="4" t="str">
        <f>LOOKUP($E614,OBRAS!$D:$D,OBRAS!F:F)</f>
        <v>11000002003501E203K03203A625132161A013</v>
      </c>
      <c r="T614" s="4" t="str">
        <f>LOOKUP($E614,OBRAS!$D:$D,OBRAS!G:G)</f>
        <v>LICITACIÓN SIMPLIFICADA</v>
      </c>
      <c r="U614" s="4" t="s">
        <v>863</v>
      </c>
      <c r="V614" s="89">
        <v>42705</v>
      </c>
      <c r="W614" s="6">
        <f>LOOKUP($E614,OBRAS!$D:$D,OBRAS!K:K)</f>
        <v>798051.37</v>
      </c>
      <c r="X614" s="109">
        <f t="shared" si="154"/>
        <v>0.2646</v>
      </c>
      <c r="Y614" s="109">
        <f t="shared" si="155"/>
        <v>1.0001</v>
      </c>
      <c r="Z614" s="109">
        <f t="shared" si="156"/>
        <v>1</v>
      </c>
      <c r="AA614" s="4" t="str">
        <f>LOOKUP($E614,OBRAS!$D:$D,OBRAS!H:H)</f>
        <v>SH-ED-16-051</v>
      </c>
    </row>
    <row r="615" spans="1:27" ht="45" x14ac:dyDescent="0.25">
      <c r="A615" s="90">
        <v>42664</v>
      </c>
      <c r="B615" s="56">
        <v>4468</v>
      </c>
      <c r="C615" s="51">
        <v>614</v>
      </c>
      <c r="D615" s="4" t="str">
        <f>LOOKUP($E615,OBRAS!$D:$D,OBRAS!C:C)</f>
        <v>SUPERVISION EXTERNA Y CONTROL DE CALIDAD DE LA CONSERVACION Y RECONSTRUCCION DE LA VIALIDAD YAQUI-MAYO</v>
      </c>
      <c r="E615" s="4" t="s">
        <v>487</v>
      </c>
      <c r="F615" s="4"/>
      <c r="G615" s="4" t="str">
        <f>LOOKUP($E615,OBRAS!$D:$D,OBRAS!E:E)</f>
        <v>C-00098/0021</v>
      </c>
      <c r="H615" s="80" t="s">
        <v>215</v>
      </c>
      <c r="I615" s="6">
        <v>174723.88</v>
      </c>
      <c r="J615" s="6"/>
      <c r="K615" s="6">
        <f t="shared" si="157"/>
        <v>17472.39</v>
      </c>
      <c r="L615" s="6">
        <f t="shared" si="150"/>
        <v>157251.49</v>
      </c>
      <c r="M615" s="6">
        <f t="shared" si="151"/>
        <v>25160.240000000002</v>
      </c>
      <c r="N615" s="6">
        <f t="shared" si="152"/>
        <v>182411.73</v>
      </c>
      <c r="O615" s="6">
        <f t="shared" si="158"/>
        <v>506.71</v>
      </c>
      <c r="P615" s="6">
        <f t="shared" si="153"/>
        <v>181905.02</v>
      </c>
      <c r="Q615" s="4" t="str">
        <f>LOOKUP($E615,OBRAS!$D:$D,OBRAS!B:B)</f>
        <v>PROYECTOS Y CONSTRUCCIONES MAGUS, S.A. DE C.V.</v>
      </c>
      <c r="R615" s="4" t="str">
        <f>LOOKUP($E615,OBRAS!$D:$D,OBRAS!A:A)</f>
        <v>VARIOS</v>
      </c>
      <c r="S615" s="4" t="str">
        <f>LOOKUP($E615,OBRAS!$D:$D,OBRAS!F:F)</f>
        <v>11000002003501E203K03203A625132161A013</v>
      </c>
      <c r="T615" s="4" t="str">
        <f>LOOKUP($E615,OBRAS!$D:$D,OBRAS!G:G)</f>
        <v>LICITACIÓN SIMPLIFICADA</v>
      </c>
      <c r="U615" s="4" t="s">
        <v>863</v>
      </c>
      <c r="V615" s="89">
        <v>42705</v>
      </c>
      <c r="W615" s="6">
        <f>LOOKUP($E615,OBRAS!$D:$D,OBRAS!K:K)</f>
        <v>798051.37</v>
      </c>
      <c r="X615" s="109">
        <f t="shared" si="154"/>
        <v>0.254</v>
      </c>
      <c r="Y615" s="109">
        <f t="shared" si="155"/>
        <v>1.0001</v>
      </c>
      <c r="Z615" s="109">
        <f t="shared" si="156"/>
        <v>1</v>
      </c>
      <c r="AA615" s="4" t="str">
        <f>LOOKUP($E615,OBRAS!$D:$D,OBRAS!H:H)</f>
        <v>SH-ED-16-051</v>
      </c>
    </row>
    <row r="616" spans="1:27" ht="75" x14ac:dyDescent="0.25">
      <c r="A616" s="90">
        <v>42664</v>
      </c>
      <c r="B616" s="56">
        <v>4469</v>
      </c>
      <c r="C616" s="51">
        <v>615</v>
      </c>
      <c r="D616" s="4" t="str">
        <f>LOOKUP($E616,OBRAS!$D:$D,OBRAS!C:C)</f>
        <v>SUPERVISION EXTERNA Y CONTROL DE CALIDAD DE MODERIZACION Y RECONSTRUCCION DEL TRAMO ETCHOJOA - BACOBAMPO EN VARIAS LOCALIDADES DEL MUNICIPIO DE ETCHOJOA, SONORA.</v>
      </c>
      <c r="E616" s="4" t="s">
        <v>428</v>
      </c>
      <c r="F616" s="4"/>
      <c r="G616" s="4" t="str">
        <f>LOOKUP($E616,OBRAS!$D:$D,OBRAS!E:E)</f>
        <v>C-00098/0021</v>
      </c>
      <c r="H616" s="80" t="s">
        <v>103</v>
      </c>
      <c r="I616" s="6">
        <v>279955</v>
      </c>
      <c r="J616" s="6"/>
      <c r="K616" s="6">
        <f t="shared" si="157"/>
        <v>27995.5</v>
      </c>
      <c r="L616" s="6">
        <f t="shared" si="150"/>
        <v>251959.5</v>
      </c>
      <c r="M616" s="6">
        <f t="shared" si="151"/>
        <v>40313.519999999997</v>
      </c>
      <c r="N616" s="6">
        <f t="shared" si="152"/>
        <v>292273.02</v>
      </c>
      <c r="O616" s="6">
        <f t="shared" si="158"/>
        <v>811.88</v>
      </c>
      <c r="P616" s="6">
        <f t="shared" si="153"/>
        <v>291461.14</v>
      </c>
      <c r="Q616" s="4" t="str">
        <f>LOOKUP($E616,OBRAS!$D:$D,OBRAS!B:B)</f>
        <v>CONSTRUCCIONES MAGUS, S.A. DE C.V.</v>
      </c>
      <c r="R616" s="4" t="str">
        <f>LOOKUP($E616,OBRAS!$D:$D,OBRAS!A:A)</f>
        <v>ETCHOJOA</v>
      </c>
      <c r="S616" s="4" t="str">
        <f>LOOKUP($E616,OBRAS!$D:$D,OBRAS!F:F)</f>
        <v>11000002003501E203K03203A625132161A013</v>
      </c>
      <c r="T616" s="4" t="str">
        <f>LOOKUP($E616,OBRAS!$D:$D,OBRAS!G:G)</f>
        <v>CE-926006995-E53-2016</v>
      </c>
      <c r="U616" s="4" t="s">
        <v>863</v>
      </c>
      <c r="V616" s="89">
        <v>42781</v>
      </c>
      <c r="W616" s="6">
        <f>LOOKUP($E616,OBRAS!$D:$D,OBRAS!K:K)</f>
        <v>1948486.8</v>
      </c>
      <c r="X616" s="109">
        <f t="shared" si="154"/>
        <v>0.16669999999999999</v>
      </c>
      <c r="Y616" s="109">
        <f t="shared" si="155"/>
        <v>1.0002</v>
      </c>
      <c r="Z616" s="109">
        <f t="shared" si="156"/>
        <v>1</v>
      </c>
      <c r="AA616" s="4" t="str">
        <f>LOOKUP($E616,OBRAS!$D:$D,OBRAS!H:H)</f>
        <v>SH-ED-16-040</v>
      </c>
    </row>
    <row r="617" spans="1:27" ht="75" x14ac:dyDescent="0.25">
      <c r="A617" s="90">
        <v>42664</v>
      </c>
      <c r="B617" s="56">
        <v>4470</v>
      </c>
      <c r="C617" s="51">
        <v>616</v>
      </c>
      <c r="D617" s="4" t="str">
        <f>LOOKUP($E617,OBRAS!$D:$D,OBRAS!C:C)</f>
        <v>SUPERVISION EXTERNA Y CONTROL DE CALIDAD DE MODERIZACION Y RECONSTRUCCION DEL TRAMO ETCHOJOA - BACOBAMPO EN VARIAS LOCALIDADES DEL MUNICIPIO DE ETCHOJOA, SONORA.</v>
      </c>
      <c r="E617" s="4" t="s">
        <v>428</v>
      </c>
      <c r="F617" s="4"/>
      <c r="G617" s="4" t="str">
        <f>LOOKUP($E617,OBRAS!$D:$D,OBRAS!E:E)</f>
        <v>C-00098/0021</v>
      </c>
      <c r="H617" s="80" t="s">
        <v>221</v>
      </c>
      <c r="I617" s="6">
        <v>279955</v>
      </c>
      <c r="J617" s="6"/>
      <c r="K617" s="6">
        <f t="shared" si="157"/>
        <v>27995.5</v>
      </c>
      <c r="L617" s="6">
        <f t="shared" si="150"/>
        <v>251959.5</v>
      </c>
      <c r="M617" s="6">
        <f t="shared" si="151"/>
        <v>40313.519999999997</v>
      </c>
      <c r="N617" s="6">
        <f t="shared" si="152"/>
        <v>292273.02</v>
      </c>
      <c r="O617" s="6">
        <f t="shared" si="158"/>
        <v>811.88</v>
      </c>
      <c r="P617" s="6">
        <f t="shared" si="153"/>
        <v>291461.14</v>
      </c>
      <c r="Q617" s="4" t="str">
        <f>LOOKUP($E617,OBRAS!$D:$D,OBRAS!B:B)</f>
        <v>CONSTRUCCIONES MAGUS, S.A. DE C.V.</v>
      </c>
      <c r="R617" s="4" t="str">
        <f>LOOKUP($E617,OBRAS!$D:$D,OBRAS!A:A)</f>
        <v>ETCHOJOA</v>
      </c>
      <c r="S617" s="4" t="str">
        <f>LOOKUP($E617,OBRAS!$D:$D,OBRAS!F:F)</f>
        <v>11000002003501E203K03203A625132161A013</v>
      </c>
      <c r="T617" s="4" t="str">
        <f>LOOKUP($E617,OBRAS!$D:$D,OBRAS!G:G)</f>
        <v>CE-926006995-E53-2016</v>
      </c>
      <c r="U617" s="4" t="s">
        <v>863</v>
      </c>
      <c r="V617" s="89">
        <v>42781</v>
      </c>
      <c r="W617" s="6">
        <f>LOOKUP($E617,OBRAS!$D:$D,OBRAS!K:K)</f>
        <v>1948486.8</v>
      </c>
      <c r="X617" s="109">
        <f t="shared" si="154"/>
        <v>0.16669999999999999</v>
      </c>
      <c r="Y617" s="109">
        <f t="shared" si="155"/>
        <v>1.0002</v>
      </c>
      <c r="Z617" s="109">
        <f t="shared" si="156"/>
        <v>1</v>
      </c>
      <c r="AA617" s="4" t="str">
        <f>LOOKUP($E617,OBRAS!$D:$D,OBRAS!H:H)</f>
        <v>SH-ED-16-040</v>
      </c>
    </row>
    <row r="618" spans="1:27" ht="75" x14ac:dyDescent="0.25">
      <c r="A618" s="90">
        <v>42664</v>
      </c>
      <c r="B618" s="56">
        <v>4471</v>
      </c>
      <c r="C618" s="51">
        <v>617</v>
      </c>
      <c r="D618" s="4" t="str">
        <f>LOOKUP($E618,OBRAS!$D:$D,OBRAS!C:C)</f>
        <v>SUPERVISION EXTERNA Y CONTROL DE CALIDAD DE MODERIZACION Y RECONSTRUCCION DEL TRAMO ETCHOJOA - BACOBAMPO EN VARIAS LOCALIDADES DEL MUNICIPIO DE ETCHOJOA, SONORA.</v>
      </c>
      <c r="E618" s="4" t="s">
        <v>428</v>
      </c>
      <c r="F618" s="4"/>
      <c r="G618" s="4" t="str">
        <f>LOOKUP($E618,OBRAS!$D:$D,OBRAS!E:E)</f>
        <v>C-00098/0021</v>
      </c>
      <c r="H618" s="80" t="s">
        <v>55</v>
      </c>
      <c r="I618" s="6">
        <v>279955</v>
      </c>
      <c r="J618" s="6"/>
      <c r="K618" s="6">
        <f t="shared" si="157"/>
        <v>27995.5</v>
      </c>
      <c r="L618" s="6">
        <f t="shared" si="150"/>
        <v>251959.5</v>
      </c>
      <c r="M618" s="6">
        <f t="shared" si="151"/>
        <v>40313.519999999997</v>
      </c>
      <c r="N618" s="6">
        <f t="shared" si="152"/>
        <v>292273.02</v>
      </c>
      <c r="O618" s="6">
        <f t="shared" si="158"/>
        <v>811.88</v>
      </c>
      <c r="P618" s="6">
        <f t="shared" si="153"/>
        <v>291461.14</v>
      </c>
      <c r="Q618" s="4" t="str">
        <f>LOOKUP($E618,OBRAS!$D:$D,OBRAS!B:B)</f>
        <v>CONSTRUCCIONES MAGUS, S.A. DE C.V.</v>
      </c>
      <c r="R618" s="4" t="str">
        <f>LOOKUP($E618,OBRAS!$D:$D,OBRAS!A:A)</f>
        <v>ETCHOJOA</v>
      </c>
      <c r="S618" s="4" t="str">
        <f>LOOKUP($E618,OBRAS!$D:$D,OBRAS!F:F)</f>
        <v>11000002003501E203K03203A625132161A013</v>
      </c>
      <c r="T618" s="4" t="str">
        <f>LOOKUP($E618,OBRAS!$D:$D,OBRAS!G:G)</f>
        <v>CE-926006995-E53-2016</v>
      </c>
      <c r="U618" s="4" t="s">
        <v>863</v>
      </c>
      <c r="V618" s="89">
        <v>42781</v>
      </c>
      <c r="W618" s="6">
        <f>LOOKUP($E618,OBRAS!$D:$D,OBRAS!K:K)</f>
        <v>1948486.8</v>
      </c>
      <c r="X618" s="109">
        <f t="shared" si="154"/>
        <v>0.16669999999999999</v>
      </c>
      <c r="Y618" s="109">
        <f t="shared" si="155"/>
        <v>1.0002</v>
      </c>
      <c r="Z618" s="109">
        <f t="shared" si="156"/>
        <v>1</v>
      </c>
      <c r="AA618" s="4" t="str">
        <f>LOOKUP($E618,OBRAS!$D:$D,OBRAS!H:H)</f>
        <v>SH-ED-16-040</v>
      </c>
    </row>
    <row r="619" spans="1:27" ht="75" x14ac:dyDescent="0.25">
      <c r="A619" s="90">
        <v>42664</v>
      </c>
      <c r="B619" s="56">
        <v>4472</v>
      </c>
      <c r="C619" s="51">
        <v>618</v>
      </c>
      <c r="D619" s="4" t="str">
        <f>LOOKUP($E619,OBRAS!$D:$D,OBRAS!C:C)</f>
        <v>SUPERVISION EXTERNA Y CONTROL DE CALIDAD DE MODERIZACION Y RECONSTRUCCION DEL TRAMO ETCHOJOA - BACOBAMPO EN VARIAS LOCALIDADES DEL MUNICIPIO DE ETCHOJOA, SONORA.</v>
      </c>
      <c r="E619" s="4" t="s">
        <v>428</v>
      </c>
      <c r="F619" s="4"/>
      <c r="G619" s="4" t="str">
        <f>LOOKUP($E619,OBRAS!$D:$D,OBRAS!E:E)</f>
        <v>C-00098/0021</v>
      </c>
      <c r="H619" s="80" t="s">
        <v>215</v>
      </c>
      <c r="I619" s="6">
        <v>279955</v>
      </c>
      <c r="J619" s="6"/>
      <c r="K619" s="6">
        <f t="shared" si="157"/>
        <v>27995.5</v>
      </c>
      <c r="L619" s="6">
        <f t="shared" si="150"/>
        <v>251959.5</v>
      </c>
      <c r="M619" s="6">
        <f t="shared" si="151"/>
        <v>40313.519999999997</v>
      </c>
      <c r="N619" s="6">
        <f t="shared" si="152"/>
        <v>292273.02</v>
      </c>
      <c r="O619" s="6">
        <f t="shared" si="158"/>
        <v>811.88</v>
      </c>
      <c r="P619" s="6">
        <f t="shared" si="153"/>
        <v>291461.14</v>
      </c>
      <c r="Q619" s="4" t="str">
        <f>LOOKUP($E619,OBRAS!$D:$D,OBRAS!B:B)</f>
        <v>CONSTRUCCIONES MAGUS, S.A. DE C.V.</v>
      </c>
      <c r="R619" s="4" t="str">
        <f>LOOKUP($E619,OBRAS!$D:$D,OBRAS!A:A)</f>
        <v>ETCHOJOA</v>
      </c>
      <c r="S619" s="4" t="str">
        <f>LOOKUP($E619,OBRAS!$D:$D,OBRAS!F:F)</f>
        <v>11000002003501E203K03203A625132161A013</v>
      </c>
      <c r="T619" s="4" t="str">
        <f>LOOKUP($E619,OBRAS!$D:$D,OBRAS!G:G)</f>
        <v>CE-926006995-E53-2016</v>
      </c>
      <c r="U619" s="4" t="s">
        <v>863</v>
      </c>
      <c r="V619" s="89">
        <v>42781</v>
      </c>
      <c r="W619" s="6">
        <f>LOOKUP($E619,OBRAS!$D:$D,OBRAS!K:K)</f>
        <v>1948486.8</v>
      </c>
      <c r="X619" s="109">
        <f t="shared" si="154"/>
        <v>0.16669999999999999</v>
      </c>
      <c r="Y619" s="109">
        <f t="shared" si="155"/>
        <v>1.0002</v>
      </c>
      <c r="Z619" s="109">
        <f t="shared" si="156"/>
        <v>1</v>
      </c>
      <c r="AA619" s="4" t="str">
        <f>LOOKUP($E619,OBRAS!$D:$D,OBRAS!H:H)</f>
        <v>SH-ED-16-040</v>
      </c>
    </row>
    <row r="620" spans="1:27" ht="45" x14ac:dyDescent="0.25">
      <c r="A620" s="90">
        <v>42664</v>
      </c>
      <c r="B620" s="56">
        <v>4473</v>
      </c>
      <c r="C620" s="51">
        <v>619</v>
      </c>
      <c r="D620" s="4" t="str">
        <f>LOOKUP($E620,OBRAS!$D:$D,OBRAS!C:C)</f>
        <v>SUPERVISION EXTERNA Y CONTROL DE CALIDAD DE LA MODERNIZACION DEL PERIFERICO PONIENTE (1 ETAPA), NAVOJOA</v>
      </c>
      <c r="E620" s="4" t="s">
        <v>495</v>
      </c>
      <c r="F620" s="4"/>
      <c r="G620" s="4" t="str">
        <f>LOOKUP($E620,OBRAS!$D:$D,OBRAS!E:E)</f>
        <v>C-00098/0022</v>
      </c>
      <c r="H620" s="80" t="s">
        <v>221</v>
      </c>
      <c r="I620" s="6">
        <v>607181</v>
      </c>
      <c r="J620" s="6"/>
      <c r="K620" s="6">
        <f t="shared" si="157"/>
        <v>60718.1</v>
      </c>
      <c r="L620" s="6">
        <f t="shared" si="150"/>
        <v>546462.9</v>
      </c>
      <c r="M620" s="6">
        <f t="shared" si="151"/>
        <v>87434.06</v>
      </c>
      <c r="N620" s="6">
        <f t="shared" si="152"/>
        <v>633896.95999999996</v>
      </c>
      <c r="O620" s="6">
        <f t="shared" si="158"/>
        <v>1760.81</v>
      </c>
      <c r="P620" s="6">
        <f t="shared" si="153"/>
        <v>632136.15</v>
      </c>
      <c r="Q620" s="4" t="str">
        <f>LOOKUP($E620,OBRAS!$D:$D,OBRAS!B:B)</f>
        <v>UNIVERSO ROJO, S.A. DE C.V.</v>
      </c>
      <c r="R620" s="4" t="str">
        <f>LOOKUP($E620,OBRAS!$D:$D,OBRAS!A:A)</f>
        <v>NAVOJOA</v>
      </c>
      <c r="S620" s="4" t="str">
        <f>LOOKUP($E620,OBRAS!$D:$D,OBRAS!F:F)</f>
        <v>11000002002207E201K02104A622212161A013</v>
      </c>
      <c r="T620" s="4" t="str">
        <f>LOOKUP($E620,OBRAS!$D:$D,OBRAS!G:G)</f>
        <v>CE-926006995-E65-2016</v>
      </c>
      <c r="U620" s="4" t="s">
        <v>863</v>
      </c>
      <c r="V620" s="89">
        <v>42781</v>
      </c>
      <c r="W620" s="6">
        <f>LOOKUP($E620,OBRAS!$D:$D,OBRAS!K:K)</f>
        <v>4585637.5999999996</v>
      </c>
      <c r="X620" s="109">
        <f t="shared" si="154"/>
        <v>0.15359999999999999</v>
      </c>
      <c r="Y620" s="109">
        <f t="shared" si="155"/>
        <v>0.70589999999999997</v>
      </c>
      <c r="Z620" s="109">
        <f t="shared" si="156"/>
        <v>0.73529999999999995</v>
      </c>
      <c r="AA620" s="4" t="str">
        <f>LOOKUP($E620,OBRAS!$D:$D,OBRAS!H:H)</f>
        <v>SH-ED-16-061</v>
      </c>
    </row>
    <row r="621" spans="1:27" ht="45" x14ac:dyDescent="0.25">
      <c r="A621" s="90">
        <v>42664</v>
      </c>
      <c r="B621" s="56">
        <v>4474</v>
      </c>
      <c r="C621" s="51">
        <v>620</v>
      </c>
      <c r="D621" s="4" t="str">
        <f>LOOKUP($E621,OBRAS!$D:$D,OBRAS!C:C)</f>
        <v>SUPERVISION EXTERNA Y CONTROL DE CALIDAD DE LA MODERNIZACION DEL PERIFERICO PONIENTE (1 ETAPA), NAVOJOA</v>
      </c>
      <c r="E621" s="4" t="s">
        <v>495</v>
      </c>
      <c r="F621" s="4"/>
      <c r="G621" s="4" t="str">
        <f>LOOKUP($E621,OBRAS!$D:$D,OBRAS!E:E)</f>
        <v>C-00098/0022</v>
      </c>
      <c r="H621" s="80" t="s">
        <v>55</v>
      </c>
      <c r="I621" s="6">
        <v>645937.21</v>
      </c>
      <c r="J621" s="6"/>
      <c r="K621" s="6">
        <f t="shared" si="157"/>
        <v>64593.72</v>
      </c>
      <c r="L621" s="6">
        <f t="shared" si="150"/>
        <v>581343.49</v>
      </c>
      <c r="M621" s="6">
        <f t="shared" si="151"/>
        <v>93014.96</v>
      </c>
      <c r="N621" s="6">
        <f t="shared" si="152"/>
        <v>674358.45</v>
      </c>
      <c r="O621" s="6">
        <f t="shared" si="158"/>
        <v>1873.21</v>
      </c>
      <c r="P621" s="6">
        <f t="shared" si="153"/>
        <v>672485.24</v>
      </c>
      <c r="Q621" s="4" t="str">
        <f>LOOKUP($E621,OBRAS!$D:$D,OBRAS!B:B)</f>
        <v>UNIVERSO ROJO, S.A. DE C.V.</v>
      </c>
      <c r="R621" s="4" t="str">
        <f>LOOKUP($E621,OBRAS!$D:$D,OBRAS!A:A)</f>
        <v>NAVOJOA</v>
      </c>
      <c r="S621" s="4" t="str">
        <f>LOOKUP($E621,OBRAS!$D:$D,OBRAS!F:F)</f>
        <v>11000002002207E201K02104A622212161A013</v>
      </c>
      <c r="T621" s="4" t="str">
        <f>LOOKUP($E621,OBRAS!$D:$D,OBRAS!G:G)</f>
        <v>CE-926006995-E65-2016</v>
      </c>
      <c r="U621" s="4" t="s">
        <v>863</v>
      </c>
      <c r="V621" s="89">
        <v>42781</v>
      </c>
      <c r="W621" s="6">
        <f>LOOKUP($E621,OBRAS!$D:$D,OBRAS!K:K)</f>
        <v>4585637.5999999996</v>
      </c>
      <c r="X621" s="109">
        <f t="shared" si="154"/>
        <v>0.16339999999999999</v>
      </c>
      <c r="Y621" s="109">
        <f t="shared" si="155"/>
        <v>0.70589999999999997</v>
      </c>
      <c r="Z621" s="109">
        <f t="shared" si="156"/>
        <v>0.73529999999999995</v>
      </c>
      <c r="AA621" s="4" t="str">
        <f>LOOKUP($E621,OBRAS!$D:$D,OBRAS!H:H)</f>
        <v>SH-ED-16-061</v>
      </c>
    </row>
    <row r="622" spans="1:27" ht="45" x14ac:dyDescent="0.25">
      <c r="A622" s="90">
        <v>42664</v>
      </c>
      <c r="B622" s="56">
        <v>4475</v>
      </c>
      <c r="C622" s="51">
        <v>621</v>
      </c>
      <c r="D622" s="4" t="str">
        <f>LOOKUP($E622,OBRAS!$D:$D,OBRAS!C:C)</f>
        <v>SUPERVISION EXTERNA Y CONTROL DE CALIDAD DE LA MODERNIZACION DEL PERIFERICO PONIENTE (1 ETAPA), NAVOJOA</v>
      </c>
      <c r="E622" s="4" t="s">
        <v>495</v>
      </c>
      <c r="F622" s="4"/>
      <c r="G622" s="4" t="str">
        <f>LOOKUP($E622,OBRAS!$D:$D,OBRAS!E:E)</f>
        <v>C-00098/0022</v>
      </c>
      <c r="H622" s="80" t="s">
        <v>215</v>
      </c>
      <c r="I622" s="6">
        <v>620099.74</v>
      </c>
      <c r="J622" s="6"/>
      <c r="K622" s="6">
        <f t="shared" si="157"/>
        <v>62009.97</v>
      </c>
      <c r="L622" s="6">
        <f t="shared" si="150"/>
        <v>558089.77</v>
      </c>
      <c r="M622" s="6">
        <f t="shared" si="151"/>
        <v>89294.36</v>
      </c>
      <c r="N622" s="6">
        <f t="shared" si="152"/>
        <v>647384.13</v>
      </c>
      <c r="O622" s="6">
        <f t="shared" si="158"/>
        <v>1798.29</v>
      </c>
      <c r="P622" s="6">
        <f t="shared" si="153"/>
        <v>645585.84</v>
      </c>
      <c r="Q622" s="4" t="str">
        <f>LOOKUP($E622,OBRAS!$D:$D,OBRAS!B:B)</f>
        <v>UNIVERSO ROJO, S.A. DE C.V.</v>
      </c>
      <c r="R622" s="4" t="str">
        <f>LOOKUP($E622,OBRAS!$D:$D,OBRAS!A:A)</f>
        <v>NAVOJOA</v>
      </c>
      <c r="S622" s="4" t="str">
        <f>LOOKUP($E622,OBRAS!$D:$D,OBRAS!F:F)</f>
        <v>11000002002207E201K02104A622212161A013</v>
      </c>
      <c r="T622" s="4" t="str">
        <f>LOOKUP($E622,OBRAS!$D:$D,OBRAS!G:G)</f>
        <v>CE-926006995-E65-2016</v>
      </c>
      <c r="U622" s="4" t="s">
        <v>863</v>
      </c>
      <c r="V622" s="89">
        <v>42781</v>
      </c>
      <c r="W622" s="6">
        <f>LOOKUP($E622,OBRAS!$D:$D,OBRAS!K:K)</f>
        <v>4585637.5999999996</v>
      </c>
      <c r="X622" s="109">
        <f t="shared" si="154"/>
        <v>0.15690000000000001</v>
      </c>
      <c r="Y622" s="109">
        <f t="shared" si="155"/>
        <v>0.70589999999999997</v>
      </c>
      <c r="Z622" s="109">
        <f t="shared" si="156"/>
        <v>0.73529999999999995</v>
      </c>
      <c r="AA622" s="4" t="str">
        <f>LOOKUP($E622,OBRAS!$D:$D,OBRAS!H:H)</f>
        <v>SH-ED-16-061</v>
      </c>
    </row>
    <row r="623" spans="1:27" ht="90" x14ac:dyDescent="0.25">
      <c r="A623" s="90">
        <v>42664</v>
      </c>
      <c r="B623" s="56">
        <v>4476</v>
      </c>
      <c r="C623" s="51">
        <v>622</v>
      </c>
      <c r="D623" s="4" t="str">
        <f>LOOKUP($E623,OBRAS!$D:$D,OBRAS!C:C)</f>
        <v>PAVIMENTACION A BASE DE CONCRETO HIDRAULICO DE LAS CALLES MPIO. DE BACANORA ENTRE ORIZABA Y MPIO. BACERAC Y MPIO. BACERAC ENTRE MPIO. DE BACANORA Y MPIO. DE BENJAMIN HILL, 15CMS DE ESPESOR EN CALLE MORELIA EN LA LOCALIDAD DE NOGALES</v>
      </c>
      <c r="E623" s="4" t="s">
        <v>1244</v>
      </c>
      <c r="F623" s="4"/>
      <c r="G623" s="4" t="str">
        <f>LOOKUP($E623,OBRAS!$D:$D,OBRAS!E:E)</f>
        <v>C-00052/0197</v>
      </c>
      <c r="H623" s="80" t="s">
        <v>23</v>
      </c>
      <c r="I623" s="6">
        <v>1739383.26</v>
      </c>
      <c r="J623" s="6"/>
      <c r="K623" s="6">
        <v>0</v>
      </c>
      <c r="L623" s="6">
        <f t="shared" si="150"/>
        <v>1739383.26</v>
      </c>
      <c r="M623" s="6">
        <f t="shared" si="151"/>
        <v>278301.32</v>
      </c>
      <c r="N623" s="6">
        <f t="shared" si="152"/>
        <v>2017684.58</v>
      </c>
      <c r="O623" s="6">
        <v>0</v>
      </c>
      <c r="P623" s="6">
        <f t="shared" si="153"/>
        <v>2017684.58</v>
      </c>
      <c r="Q623" s="4" t="str">
        <f>LOOKUP($E623,OBRAS!$D:$D,OBRAS!B:B)</f>
        <v>PREMEZCLADOS NOGALES S.A. DE C.V.</v>
      </c>
      <c r="R623" s="4" t="str">
        <f>LOOKUP($E623,OBRAS!$D:$D,OBRAS!A:A)</f>
        <v>NOGALES</v>
      </c>
      <c r="S623" s="4" t="str">
        <f>LOOKUP($E623,OBRAS!$D:$D,OBRAS!F:F)</f>
        <v>11000002002201E202K05186A614202165FC03</v>
      </c>
      <c r="T623" s="4" t="str">
        <f>LOOKUP($E623,OBRAS!$D:$D,OBRAS!G:G)</f>
        <v>IO-926006995-E99-2016</v>
      </c>
      <c r="U623" s="4" t="s">
        <v>863</v>
      </c>
      <c r="V623" s="89">
        <v>42682</v>
      </c>
      <c r="W623" s="6">
        <f>LOOKUP($E623,OBRAS!$D:$D,OBRAS!K:K)</f>
        <v>6725615.25</v>
      </c>
      <c r="X623" s="109" t="str">
        <f t="shared" si="154"/>
        <v/>
      </c>
      <c r="Y623" s="109">
        <f t="shared" si="155"/>
        <v>0.1825</v>
      </c>
      <c r="Z623" s="109">
        <f t="shared" si="156"/>
        <v>0.42780000000000001</v>
      </c>
      <c r="AA623" s="4" t="str">
        <f>LOOKUP($E623,OBRAS!$D:$D,OBRAS!H:H)</f>
        <v>SH-NC-17-R-009</v>
      </c>
    </row>
    <row r="624" spans="1:27" ht="60" x14ac:dyDescent="0.25">
      <c r="A624" s="90">
        <v>42664</v>
      </c>
      <c r="B624" s="56">
        <v>4477</v>
      </c>
      <c r="C624" s="51">
        <v>623</v>
      </c>
      <c r="D624" s="4" t="str">
        <f>LOOKUP($E624,OBRAS!$D:$D,OBRAS!C:C)</f>
        <v>SUPERVISION EXTERNA Y CONTROL DE CALIDAD DE LA OBRA: CONSTRUCCION DE PUENTE VEHICULAR SOBRE RIO MAYO, EN EL PERIFERICO PONIENTE EN NAVOJOA</v>
      </c>
      <c r="E624" s="4" t="s">
        <v>822</v>
      </c>
      <c r="F624" s="4"/>
      <c r="G624" s="4" t="str">
        <f>LOOKUP($E624,OBRAS!$D:$D,OBRAS!E:E)</f>
        <v>C-00098/0021</v>
      </c>
      <c r="H624" s="80" t="s">
        <v>103</v>
      </c>
      <c r="I624" s="6">
        <v>473387.84</v>
      </c>
      <c r="J624" s="6"/>
      <c r="K624" s="6">
        <f>ROUND(I624*0.1,2)</f>
        <v>47338.78</v>
      </c>
      <c r="L624" s="6">
        <f t="shared" si="150"/>
        <v>426049.06</v>
      </c>
      <c r="M624" s="6">
        <f t="shared" si="151"/>
        <v>68167.850000000006</v>
      </c>
      <c r="N624" s="6">
        <f t="shared" si="152"/>
        <v>494216.91</v>
      </c>
      <c r="O624" s="6">
        <f>ROUND(I624*0.0003,2)+ROUND(I624*0.0003,2)+ROUND(I624*0.0003,2)+ROUND(I624*0.002,2)</f>
        <v>1372.84</v>
      </c>
      <c r="P624" s="6">
        <f t="shared" si="153"/>
        <v>492844.07</v>
      </c>
      <c r="Q624" s="4" t="str">
        <f>LOOKUP($E624,OBRAS!$D:$D,OBRAS!B:B)</f>
        <v>CONSTRUCCIONES ALVERLI DEL NOROESTE, S. A. DE C. V.</v>
      </c>
      <c r="R624" s="4" t="str">
        <f>LOOKUP($E624,OBRAS!$D:$D,OBRAS!A:A)</f>
        <v>NAVOJOA</v>
      </c>
      <c r="S624" s="4" t="str">
        <f>LOOKUP($E624,OBRAS!$D:$D,OBRAS!F:F)</f>
        <v>11000002003501E203K03203A625132161A013</v>
      </c>
      <c r="T624" s="4" t="str">
        <f>LOOKUP($E624,OBRAS!$D:$D,OBRAS!G:G)</f>
        <v>CE-926006995-E88-2016</v>
      </c>
      <c r="U624" s="4" t="s">
        <v>863</v>
      </c>
      <c r="V624" s="89">
        <v>42781</v>
      </c>
      <c r="W624" s="6">
        <f>LOOKUP($E624,OBRAS!$D:$D,OBRAS!K:K)</f>
        <v>3398669.09</v>
      </c>
      <c r="X624" s="109">
        <f t="shared" si="154"/>
        <v>0.16159999999999999</v>
      </c>
      <c r="Y624" s="109">
        <f t="shared" si="155"/>
        <v>0.57640000000000002</v>
      </c>
      <c r="Z624" s="109">
        <f t="shared" si="156"/>
        <v>0.61880000000000002</v>
      </c>
      <c r="AA624" s="4" t="str">
        <f>LOOKUP($E624,OBRAS!$D:$D,OBRAS!H:H)</f>
        <v>SH-ED-16-093</v>
      </c>
    </row>
    <row r="625" spans="1:28" ht="60" x14ac:dyDescent="0.25">
      <c r="A625" s="90">
        <v>42664</v>
      </c>
      <c r="B625" s="56">
        <v>4491</v>
      </c>
      <c r="C625" s="51">
        <v>624</v>
      </c>
      <c r="D625" s="4" t="str">
        <f>LOOKUP($E625,OBRAS!$D:$D,OBRAS!C:C)</f>
        <v>SUPERVISION EXTERNA Y CONTROL DE CALIDAD DE LA OBRA: CONSTRUCCION DE PUENTE VEHICULAR SOBRE RIO MAYO, EN EL PERIFERICO PONIENTE EN NAVOJOA</v>
      </c>
      <c r="E625" s="4" t="s">
        <v>822</v>
      </c>
      <c r="F625" s="4"/>
      <c r="G625" s="4" t="str">
        <f>LOOKUP($E625,OBRAS!$D:$D,OBRAS!E:E)</f>
        <v>C-00098/0021</v>
      </c>
      <c r="H625" s="80" t="s">
        <v>221</v>
      </c>
      <c r="I625" s="6">
        <v>614124.81999999995</v>
      </c>
      <c r="J625" s="6"/>
      <c r="K625" s="6">
        <f>ROUND(I625*0.1,2)</f>
        <v>61412.480000000003</v>
      </c>
      <c r="L625" s="6">
        <f t="shared" si="150"/>
        <v>552712.34</v>
      </c>
      <c r="M625" s="6">
        <f t="shared" si="151"/>
        <v>88433.97</v>
      </c>
      <c r="N625" s="6">
        <f t="shared" si="152"/>
        <v>641146.31000000006</v>
      </c>
      <c r="O625" s="6">
        <f>ROUND(I625*0.0003,2)+ROUND(I625*0.0003,2)+ROUND(I625*0.0003,2)+ROUND(I625*0.002,2)</f>
        <v>1780.97</v>
      </c>
      <c r="P625" s="6">
        <f t="shared" si="153"/>
        <v>639365.34</v>
      </c>
      <c r="Q625" s="4" t="str">
        <f>LOOKUP($E625,OBRAS!$D:$D,OBRAS!B:B)</f>
        <v>CONSTRUCCIONES ALVERLI DEL NOROESTE, S. A. DE C. V.</v>
      </c>
      <c r="R625" s="4" t="str">
        <f>LOOKUP($E625,OBRAS!$D:$D,OBRAS!A:A)</f>
        <v>NAVOJOA</v>
      </c>
      <c r="S625" s="4" t="str">
        <f>LOOKUP($E625,OBRAS!$D:$D,OBRAS!F:F)</f>
        <v>11000002003501E203K03203A625132161A013</v>
      </c>
      <c r="T625" s="4" t="str">
        <f>LOOKUP($E625,OBRAS!$D:$D,OBRAS!G:G)</f>
        <v>CE-926006995-E88-2016</v>
      </c>
      <c r="U625" s="4" t="s">
        <v>863</v>
      </c>
      <c r="V625" s="89">
        <v>42781</v>
      </c>
      <c r="W625" s="6">
        <f>LOOKUP($E625,OBRAS!$D:$D,OBRAS!K:K)</f>
        <v>3398669.09</v>
      </c>
      <c r="X625" s="109">
        <f t="shared" si="154"/>
        <v>0.20960000000000001</v>
      </c>
      <c r="Y625" s="109">
        <f t="shared" si="155"/>
        <v>0.57640000000000002</v>
      </c>
      <c r="Z625" s="109">
        <f t="shared" si="156"/>
        <v>0.61880000000000002</v>
      </c>
      <c r="AA625" s="4" t="str">
        <f>LOOKUP($E625,OBRAS!$D:$D,OBRAS!H:H)</f>
        <v>SH-ED-16-093</v>
      </c>
    </row>
    <row r="626" spans="1:28" ht="60" x14ac:dyDescent="0.25">
      <c r="A626" s="90">
        <v>42667</v>
      </c>
      <c r="B626" s="56">
        <v>4511</v>
      </c>
      <c r="C626" s="51">
        <v>625</v>
      </c>
      <c r="D626" s="4" t="str">
        <f>LOOKUP($E626,OBRAS!$D:$D,OBRAS!C:C)</f>
        <v>SUPERVISION EXTERNA Y CONTROL DE CALIDAD CONSTRUCCION Y RECONSTRUCCION DEL TRAMO CABORCA-Y GRIEGA EN LA LOCALIDAD DE CABORCA, SONORA</v>
      </c>
      <c r="E626" s="4" t="s">
        <v>451</v>
      </c>
      <c r="F626" s="4"/>
      <c r="G626" s="4" t="str">
        <f>LOOKUP($E626,OBRAS!$D:$D,OBRAS!E:E)</f>
        <v>C-00098/0021</v>
      </c>
      <c r="H626" s="80" t="s">
        <v>15</v>
      </c>
      <c r="I626" s="6">
        <v>350215.56</v>
      </c>
      <c r="J626" s="6"/>
      <c r="K626" s="6">
        <f>ROUND(I626*0.1,2)</f>
        <v>35021.56</v>
      </c>
      <c r="L626" s="6">
        <f t="shared" si="150"/>
        <v>315194</v>
      </c>
      <c r="M626" s="6">
        <f t="shared" si="151"/>
        <v>50431.040000000001</v>
      </c>
      <c r="N626" s="6">
        <f t="shared" si="152"/>
        <v>365625.04</v>
      </c>
      <c r="O626" s="6">
        <f>ROUND(I626*0.0003,2)+ROUND(I626*0.0003,2)+ROUND(I626*0.0003,2)+ROUND(I626*0.002,2)</f>
        <v>1015.61</v>
      </c>
      <c r="P626" s="6">
        <f t="shared" si="153"/>
        <v>364609.43</v>
      </c>
      <c r="Q626" s="4" t="str">
        <f>LOOKUP($E626,OBRAS!$D:$D,OBRAS!B:B)</f>
        <v>JRM CONSULTORES, S.A. DE C.V</v>
      </c>
      <c r="R626" s="4" t="str">
        <f>LOOKUP($E626,OBRAS!$D:$D,OBRAS!A:A)</f>
        <v>CABORCA</v>
      </c>
      <c r="S626" s="4" t="str">
        <f>LOOKUP($E626,OBRAS!$D:$D,OBRAS!F:F)</f>
        <v>11000002003501E203K03203A625132161A013C-00098/0021</v>
      </c>
      <c r="T626" s="4" t="str">
        <f>LOOKUP($E626,OBRAS!$D:$D,OBRAS!G:G)</f>
        <v>CE-926006995-E48-2016</v>
      </c>
      <c r="U626" s="4" t="s">
        <v>863</v>
      </c>
      <c r="V626" s="89">
        <v>42697</v>
      </c>
      <c r="W626" s="6">
        <f>LOOKUP($E626,OBRAS!$D:$D,OBRAS!K:K)</f>
        <v>2299094.85</v>
      </c>
      <c r="X626" s="109">
        <f t="shared" si="154"/>
        <v>0.1767</v>
      </c>
      <c r="Y626" s="109">
        <f t="shared" si="155"/>
        <v>1</v>
      </c>
      <c r="Z626" s="109">
        <f t="shared" si="156"/>
        <v>1</v>
      </c>
      <c r="AA626" s="4" t="str">
        <f>LOOKUP($E626,OBRAS!$D:$D,OBRAS!H:H)</f>
        <v>SH-ED-16-040</v>
      </c>
    </row>
    <row r="627" spans="1:28" ht="45" x14ac:dyDescent="0.25">
      <c r="A627" s="90">
        <v>42667</v>
      </c>
      <c r="B627" s="56">
        <v>4510</v>
      </c>
      <c r="C627" s="51">
        <v>626</v>
      </c>
      <c r="D627" s="4" t="str">
        <f>LOOKUP($E627,OBRAS!$D:$D,OBRAS!C:C)</f>
        <v>RECONSTRUCCION DE CALLE 28 NORTE, DEL KM 0 + 000 AL KM 10+160, Y DEL KM 17+210 AL 17+982, HERMOSILLO</v>
      </c>
      <c r="E627" s="4" t="s">
        <v>349</v>
      </c>
      <c r="F627" s="4" t="s">
        <v>285</v>
      </c>
      <c r="G627" s="4" t="str">
        <f>LOOKUP($E627,OBRAS!$D:$D,OBRAS!E:E)</f>
        <v>C-00054/0072</v>
      </c>
      <c r="H627" s="80" t="s">
        <v>103</v>
      </c>
      <c r="I627" s="6">
        <v>2437767.27</v>
      </c>
      <c r="J627" s="6"/>
      <c r="K627" s="6">
        <f>ROUND(I627*0.3,2)</f>
        <v>731330.18</v>
      </c>
      <c r="L627" s="6">
        <f t="shared" si="150"/>
        <v>1706437.09</v>
      </c>
      <c r="M627" s="6">
        <f t="shared" si="151"/>
        <v>273029.93</v>
      </c>
      <c r="N627" s="6">
        <f t="shared" si="152"/>
        <v>1979467.02</v>
      </c>
      <c r="O627" s="6">
        <f>+ROUND(I627*0.002,2)+ROUND(I627*0.0003,2)+ROUND(I627*0.0003,2)+ROUND(I627*0.0003,2)+ROUND(I627*0.002,2)</f>
        <v>11945.05</v>
      </c>
      <c r="P627" s="6">
        <f t="shared" si="153"/>
        <v>1967521.97</v>
      </c>
      <c r="Q627" s="4" t="str">
        <f>LOOKUP($E627,OBRAS!$D:$D,OBRAS!B:B)</f>
        <v>GRUPO EMPRESARIAL BABASAC, S. A. DE C. V.</v>
      </c>
      <c r="R627" s="4" t="str">
        <f>LOOKUP($E627,OBRAS!$D:$D,OBRAS!A:A)</f>
        <v>HERMOSILLO</v>
      </c>
      <c r="S627" s="4" t="str">
        <f>LOOKUP($E627,OBRAS!$D:$D,OBRAS!F:F)</f>
        <v>11000002003501E204K08063A625012162A207</v>
      </c>
      <c r="T627" s="4" t="str">
        <f>LOOKUP($E627,OBRAS!$D:$D,OBRAS!G:G)</f>
        <v>CE-926006995-E40-2016</v>
      </c>
      <c r="U627" s="4" t="s">
        <v>863</v>
      </c>
      <c r="V627" s="89">
        <v>42712</v>
      </c>
      <c r="W627" s="6">
        <f>LOOKUP($E627,OBRAS!$D:$D,OBRAS!K:K)</f>
        <v>20694418.350000001</v>
      </c>
      <c r="X627" s="109">
        <f t="shared" si="154"/>
        <v>0.1366</v>
      </c>
      <c r="Y627" s="109">
        <f t="shared" si="155"/>
        <v>1</v>
      </c>
      <c r="Z627" s="109">
        <f t="shared" si="156"/>
        <v>1</v>
      </c>
      <c r="AA627" s="4" t="str">
        <f>LOOKUP($E627,OBRAS!$D:$D,OBRAS!H:H)</f>
        <v>SH-ED-17-R-004</v>
      </c>
    </row>
    <row r="628" spans="1:28" ht="75" x14ac:dyDescent="0.25">
      <c r="A628" s="90">
        <v>42667</v>
      </c>
      <c r="B628" s="56">
        <v>4509</v>
      </c>
      <c r="C628" s="51">
        <v>627</v>
      </c>
      <c r="D628" s="4" t="str">
        <f>LOOKUP($E628,OBRAS!$D:$D,OBRAS!C:C)</f>
        <v>CONSERVACIÓN Y RECONSTRUCCION DEL TRAMO MAZATÁN-VILLA PESQUEIRA-SAN PEDRO DE LA CUEVA EN LA REGION DE LA SIERRA EN VARIAS LOCALIDADES DE VARIOS MUNICIPIOS EN SONORA.</v>
      </c>
      <c r="E628" s="4" t="s">
        <v>590</v>
      </c>
      <c r="F628" s="4" t="s">
        <v>285</v>
      </c>
      <c r="G628" s="4" t="str">
        <f>LOOKUP($E628,OBRAS!$D:$D,OBRAS!E:E)</f>
        <v>C-00054/0057</v>
      </c>
      <c r="H628" s="80" t="s">
        <v>221</v>
      </c>
      <c r="I628" s="6">
        <v>8661142.6199999992</v>
      </c>
      <c r="J628" s="6"/>
      <c r="K628" s="6">
        <f>ROUND(I628*0.3,2)</f>
        <v>2598342.79</v>
      </c>
      <c r="L628" s="6">
        <f t="shared" si="150"/>
        <v>6062799.8300000001</v>
      </c>
      <c r="M628" s="6">
        <f t="shared" si="151"/>
        <v>970047.97</v>
      </c>
      <c r="N628" s="6">
        <f t="shared" si="152"/>
        <v>7032847.7999999998</v>
      </c>
      <c r="O628" s="6">
        <f>+ROUND(I628*0.002,2)+ROUND(I628*0.0003,2)+ROUND(I628*0.0003,2)+ROUND(I628*0.0003,2)+ROUND(I628*0.002,2)</f>
        <v>42439.6</v>
      </c>
      <c r="P628" s="6">
        <f t="shared" si="153"/>
        <v>6990408.2000000002</v>
      </c>
      <c r="Q628" s="4" t="str">
        <f>LOOKUP($E628,OBRAS!$D:$D,OBRAS!B:B)</f>
        <v>GRUPO EMPRESARIAL BABASAC, S. A. DE C. V.</v>
      </c>
      <c r="R628" s="4" t="str">
        <f>LOOKUP($E628,OBRAS!$D:$D,OBRAS!A:A)</f>
        <v>VARIOS</v>
      </c>
      <c r="S628" s="4" t="str">
        <f>LOOKUP($E628,OBRAS!$D:$D,OBRAS!F:F)</f>
        <v>1100002003501E204K08063A625012162A213</v>
      </c>
      <c r="T628" s="4" t="str">
        <f>LOOKUP($E628,OBRAS!$D:$D,OBRAS!G:G)</f>
        <v>CE-926006995-E21-2016</v>
      </c>
      <c r="U628" s="4" t="s">
        <v>863</v>
      </c>
      <c r="V628" s="89">
        <v>42720</v>
      </c>
      <c r="W628" s="6">
        <f>LOOKUP($E628,OBRAS!$D:$D,OBRAS!K:K)</f>
        <v>33809827.159999996</v>
      </c>
      <c r="X628" s="109">
        <f t="shared" si="154"/>
        <v>0.29720000000000002</v>
      </c>
      <c r="Y628" s="109">
        <f t="shared" si="155"/>
        <v>0.89859999999999995</v>
      </c>
      <c r="Z628" s="109">
        <f t="shared" si="156"/>
        <v>0.92900000000000005</v>
      </c>
      <c r="AA628" s="4" t="str">
        <f>LOOKUP($E628,OBRAS!$D:$D,OBRAS!H:H)</f>
        <v>SH-ED-17-R-013</v>
      </c>
    </row>
    <row r="629" spans="1:28" ht="45" x14ac:dyDescent="0.25">
      <c r="A629" s="90">
        <v>42682</v>
      </c>
      <c r="B629" s="56">
        <v>4923</v>
      </c>
      <c r="C629" s="49">
        <v>628</v>
      </c>
      <c r="D629" s="4" t="str">
        <f>LOOKUP($E629,OBRAS!$D:$D,OBRAS!C:C)</f>
        <v>SUPERVISION Y CONTROL DE CALIDAD DE LA CONSERVACION Y RECONSTRUCCION DE LA CARRETERA SAN IGNACIO-JUPATAHUECA</v>
      </c>
      <c r="E629" s="4" t="s">
        <v>683</v>
      </c>
      <c r="F629" s="4"/>
      <c r="G629" s="4" t="str">
        <f>LOOKUP($E629,OBRAS!$D:$D,OBRAS!E:E)</f>
        <v>C-00098/0021</v>
      </c>
      <c r="H629" s="80" t="s">
        <v>221</v>
      </c>
      <c r="I629" s="6">
        <v>191745.56</v>
      </c>
      <c r="J629" s="6"/>
      <c r="K629" s="6">
        <f>ROUND(I629*0.1,2)</f>
        <v>19174.560000000001</v>
      </c>
      <c r="L629" s="6">
        <f t="shared" si="150"/>
        <v>172571</v>
      </c>
      <c r="M629" s="6">
        <f t="shared" si="151"/>
        <v>27611.360000000001</v>
      </c>
      <c r="N629" s="6">
        <f t="shared" si="152"/>
        <v>200182.36</v>
      </c>
      <c r="O629" s="6">
        <f>ROUND(I629*0.0003,2)+ROUND(I629*0.0003,2)+ROUND(I629*0.0003,2)+ROUND(I629*0.002,2)</f>
        <v>556.04999999999995</v>
      </c>
      <c r="P629" s="6">
        <f t="shared" si="153"/>
        <v>199626.31</v>
      </c>
      <c r="Q629" s="4" t="str">
        <f>LOOKUP($E629,OBRAS!$D:$D,OBRAS!B:B)</f>
        <v>ACSA CONSTRUCTORES S.A. DE C.V.</v>
      </c>
      <c r="R629" s="4" t="str">
        <f>LOOKUP($E629,OBRAS!$D:$D,OBRAS!A:A)</f>
        <v>VARIOS</v>
      </c>
      <c r="S629" s="4" t="str">
        <f>LOOKUP($E629,OBRAS!$D:$D,OBRAS!F:F)</f>
        <v>11000002003501E203K03203A625132161A013</v>
      </c>
      <c r="T629" s="4" t="str">
        <f>LOOKUP($E629,OBRAS!$D:$D,OBRAS!G:G)</f>
        <v>LICITACIÓN SIMPLIFICADA</v>
      </c>
      <c r="U629" s="4" t="s">
        <v>863</v>
      </c>
      <c r="V629" s="89">
        <v>42781</v>
      </c>
      <c r="W629" s="6">
        <f>LOOKUP($E629,OBRAS!$D:$D,OBRAS!K:K)</f>
        <v>674014.68</v>
      </c>
      <c r="X629" s="109">
        <f t="shared" si="154"/>
        <v>0.33</v>
      </c>
      <c r="Y629" s="109">
        <f t="shared" si="155"/>
        <v>1</v>
      </c>
      <c r="Z629" s="109">
        <f t="shared" si="156"/>
        <v>1</v>
      </c>
      <c r="AA629" s="4" t="str">
        <f>LOOKUP($E629,OBRAS!$D:$D,OBRAS!H:H)</f>
        <v>SH-ED-16-051</v>
      </c>
    </row>
    <row r="630" spans="1:28" ht="60" x14ac:dyDescent="0.25">
      <c r="A630" s="90">
        <v>42667</v>
      </c>
      <c r="B630" s="56">
        <v>4508</v>
      </c>
      <c r="C630" s="51">
        <v>629</v>
      </c>
      <c r="D630" s="4" t="str">
        <f>LOOKUP($E630,OBRAS!$D:$D,OBRAS!C:C)</f>
        <v>REMODELACION DE EDIFICIO PARA ADECUACION DE SALA DE JUICIOS ORALES EN HERMOSILLO, EN LA LOCALIDAD Y MUNICIPIO DE HERMOSILLO SONORA.</v>
      </c>
      <c r="E630" s="4" t="s">
        <v>60</v>
      </c>
      <c r="F630" s="4"/>
      <c r="G630" s="4" t="str">
        <f>LOOKUP($E630,OBRAS!$D:$D,OBRAS!E:E)</f>
        <v>C-00058/0006</v>
      </c>
      <c r="H630" s="80" t="s">
        <v>55</v>
      </c>
      <c r="I630" s="6">
        <v>383691.24</v>
      </c>
      <c r="J630" s="6"/>
      <c r="K630" s="6">
        <v>0</v>
      </c>
      <c r="L630" s="6">
        <f t="shared" si="150"/>
        <v>383691.24</v>
      </c>
      <c r="M630" s="6">
        <f t="shared" si="151"/>
        <v>61390.6</v>
      </c>
      <c r="N630" s="6">
        <f t="shared" si="152"/>
        <v>445081.84</v>
      </c>
      <c r="O630" s="6">
        <f>+ROUND(I630*0.002,2)+ROUND(I630*0.0003,2)+ROUND(I630*0.0003,2)+ROUND(I630*0.0003,2)+ROUND(I630*0.002,2)</f>
        <v>1880.09</v>
      </c>
      <c r="P630" s="6">
        <f t="shared" si="153"/>
        <v>443201.75</v>
      </c>
      <c r="Q630" s="4" t="str">
        <f>LOOKUP($E630,OBRAS!$D:$D,OBRAS!B:B)</f>
        <v>CONSTRUMIL, S.A. DE C.V.</v>
      </c>
      <c r="R630" s="4" t="str">
        <f>LOOKUP($E630,OBRAS!$D:$D,OBRAS!A:A)</f>
        <v>HERMOSILLO</v>
      </c>
      <c r="S630" s="4" t="str">
        <f>LOOKUP($E630,OBRAS!$D:$D,OBRAS!F:F)</f>
        <v>11000002001202E104K06104A622032135DM07</v>
      </c>
      <c r="T630" s="4" t="str">
        <f>LOOKUP($E630,OBRAS!$D:$D,OBRAS!G:G)</f>
        <v>ADJUDICACIÓN DIRECTA</v>
      </c>
      <c r="U630" s="4" t="s">
        <v>863</v>
      </c>
      <c r="V630" s="89">
        <v>42711</v>
      </c>
      <c r="W630" s="6">
        <f>LOOKUP($E630,OBRAS!$D:$D,OBRAS!K:K)</f>
        <v>7123210.2300000004</v>
      </c>
      <c r="X630" s="109">
        <f t="shared" si="154"/>
        <v>6.25E-2</v>
      </c>
      <c r="Y630" s="109">
        <f t="shared" si="155"/>
        <v>0.61019999999999996</v>
      </c>
      <c r="Z630" s="109">
        <f t="shared" si="156"/>
        <v>0.61019999999999996</v>
      </c>
      <c r="AA630" s="4" t="str">
        <f>LOOKUP($E630,OBRAS!$D:$D,OBRAS!H:H)</f>
        <v>SH-FAFEF-16-R-006</v>
      </c>
    </row>
    <row r="631" spans="1:28" ht="30" x14ac:dyDescent="0.25">
      <c r="A631" s="90">
        <v>42667</v>
      </c>
      <c r="B631" s="56">
        <v>4525</v>
      </c>
      <c r="C631" s="51">
        <v>630</v>
      </c>
      <c r="D631" s="4" t="str">
        <f>LOOKUP($E631,OBRAS!$D:$D,OBRAS!C:C)</f>
        <v>MODERNIZACION DEL PERIFERICO PONIENTE (1 ETAPA), NAVOJOA</v>
      </c>
      <c r="E631" s="4" t="s">
        <v>536</v>
      </c>
      <c r="F631" s="4" t="s">
        <v>224</v>
      </c>
      <c r="G631" s="4" t="str">
        <f>LOOKUP($E631,OBRAS!$D:$D,OBRAS!E:E)</f>
        <v>C-00052/0171</v>
      </c>
      <c r="H631" s="80" t="s">
        <v>221</v>
      </c>
      <c r="I631" s="6">
        <v>20307208.52</v>
      </c>
      <c r="J631" s="6"/>
      <c r="K631" s="6">
        <f>ROUND(I631*0.3,2)</f>
        <v>6092162.5599999996</v>
      </c>
      <c r="L631" s="6">
        <f t="shared" si="150"/>
        <v>14215045.960000001</v>
      </c>
      <c r="M631" s="6">
        <f t="shared" si="151"/>
        <v>2274407.35</v>
      </c>
      <c r="N631" s="6">
        <f t="shared" si="152"/>
        <v>16489453.310000001</v>
      </c>
      <c r="O631" s="6">
        <f>+ROUND(I631*0.002,2)+ROUND(I631*0.0003,2)+ROUND(I631*0.0003,2)+ROUND(I631*0.0003,2)+ROUND(I631*0.002,2)</f>
        <v>99505.32</v>
      </c>
      <c r="P631" s="6">
        <f t="shared" si="153"/>
        <v>16389947.99</v>
      </c>
      <c r="Q631" s="4" t="str">
        <f>LOOKUP($E631,OBRAS!$D:$D,OBRAS!B:B)</f>
        <v>LC PROYECTOS Y CONSTRUCCIONES S.A. DE C.V.</v>
      </c>
      <c r="R631" s="4" t="str">
        <f>LOOKUP($E631,OBRAS!$D:$D,OBRAS!A:A)</f>
        <v>NAVOJOA</v>
      </c>
      <c r="S631" s="4" t="str">
        <f>LOOKUP($E631,OBRAS!$D:$D,OBRAS!F:F)</f>
        <v>11000002002201E202K05186A614202162A212</v>
      </c>
      <c r="T631" s="4" t="str">
        <f>LOOKUP($E631,OBRAS!$D:$D,OBRAS!G:G)</f>
        <v>CE-926006995-E15-2016</v>
      </c>
      <c r="U631" s="4" t="s">
        <v>863</v>
      </c>
      <c r="V631" s="89">
        <v>42671</v>
      </c>
      <c r="W631" s="6">
        <f>LOOKUP($E631,OBRAS!$D:$D,OBRAS!K:K)</f>
        <v>154846331.36000001</v>
      </c>
      <c r="X631" s="109">
        <f t="shared" si="154"/>
        <v>0.15210000000000001</v>
      </c>
      <c r="Y631" s="109">
        <f t="shared" si="155"/>
        <v>0.83420000000000005</v>
      </c>
      <c r="Z631" s="109">
        <f t="shared" si="156"/>
        <v>0.88400000000000001</v>
      </c>
      <c r="AA631" s="4" t="str">
        <f>LOOKUP($E631,OBRAS!$D:$D,OBRAS!H:H)</f>
        <v>SH-ED-17-R-004</v>
      </c>
    </row>
    <row r="632" spans="1:28" ht="30" x14ac:dyDescent="0.25">
      <c r="A632" s="90">
        <v>42667</v>
      </c>
      <c r="B632" s="56">
        <v>2526</v>
      </c>
      <c r="C632" s="51">
        <v>631</v>
      </c>
      <c r="D632" s="4" t="str">
        <f>LOOKUP($E632,OBRAS!$D:$D,OBRAS!C:C)</f>
        <v>MODERNIZACION DEL PERIFERICO PONIENTE (1 ETAPA), NAVOJOA</v>
      </c>
      <c r="E632" s="4" t="s">
        <v>536</v>
      </c>
      <c r="F632" s="4" t="s">
        <v>224</v>
      </c>
      <c r="G632" s="4" t="str">
        <f>LOOKUP($E632,OBRAS!$D:$D,OBRAS!E:E)</f>
        <v>C-00052/0171</v>
      </c>
      <c r="H632" s="80" t="s">
        <v>55</v>
      </c>
      <c r="I632" s="6">
        <v>9625828.9299999997</v>
      </c>
      <c r="J632" s="6"/>
      <c r="K632" s="6">
        <f>ROUND(I632*0.3,2)</f>
        <v>2887748.68</v>
      </c>
      <c r="L632" s="6">
        <f t="shared" si="150"/>
        <v>6738080.25</v>
      </c>
      <c r="M632" s="6">
        <f t="shared" si="151"/>
        <v>1078092.8400000001</v>
      </c>
      <c r="N632" s="6">
        <f t="shared" si="152"/>
        <v>7816173.0899999999</v>
      </c>
      <c r="O632" s="6">
        <f>+ROUND(I632*0.002,2)+ROUND(I632*0.0003,2)+ROUND(I632*0.0003,2)+ROUND(I632*0.0003,2)+ROUND(I632*0.002,2)</f>
        <v>47166.57</v>
      </c>
      <c r="P632" s="6">
        <f t="shared" si="153"/>
        <v>7769006.5199999996</v>
      </c>
      <c r="Q632" s="4" t="str">
        <f>LOOKUP($E632,OBRAS!$D:$D,OBRAS!B:B)</f>
        <v>LC PROYECTOS Y CONSTRUCCIONES S.A. DE C.V.</v>
      </c>
      <c r="R632" s="4" t="str">
        <f>LOOKUP($E632,OBRAS!$D:$D,OBRAS!A:A)</f>
        <v>NAVOJOA</v>
      </c>
      <c r="S632" s="4" t="str">
        <f>LOOKUP($E632,OBRAS!$D:$D,OBRAS!F:F)</f>
        <v>11000002002201E202K05186A614202162A212</v>
      </c>
      <c r="T632" s="4" t="str">
        <f>LOOKUP($E632,OBRAS!$D:$D,OBRAS!G:G)</f>
        <v>CE-926006995-E15-2016</v>
      </c>
      <c r="U632" s="4" t="s">
        <v>863</v>
      </c>
      <c r="V632" s="89">
        <v>42671</v>
      </c>
      <c r="W632" s="6">
        <f>LOOKUP($E632,OBRAS!$D:$D,OBRAS!K:K)</f>
        <v>154846331.36000001</v>
      </c>
      <c r="X632" s="109">
        <f t="shared" si="154"/>
        <v>7.2099999999999997E-2</v>
      </c>
      <c r="Y632" s="109">
        <f t="shared" si="155"/>
        <v>0.83420000000000005</v>
      </c>
      <c r="Z632" s="109">
        <f t="shared" si="156"/>
        <v>0.88400000000000001</v>
      </c>
      <c r="AA632" s="4" t="str">
        <f>LOOKUP($E632,OBRAS!$D:$D,OBRAS!H:H)</f>
        <v>SH-ED-17-R-004</v>
      </c>
    </row>
    <row r="633" spans="1:28" ht="30" x14ac:dyDescent="0.25">
      <c r="A633" s="90">
        <v>42667</v>
      </c>
      <c r="B633" s="56">
        <v>4527</v>
      </c>
      <c r="C633" s="51">
        <v>632</v>
      </c>
      <c r="D633" s="4" t="str">
        <f>LOOKUP($E633,OBRAS!$D:$D,OBRAS!C:C)</f>
        <v>MODERNIZACION DEL PERIFERICO PONIENTE (1 ETAPA), NAVOJOA</v>
      </c>
      <c r="E633" s="4" t="s">
        <v>536</v>
      </c>
      <c r="F633" s="4" t="s">
        <v>224</v>
      </c>
      <c r="G633" s="4" t="str">
        <f>LOOKUP($E633,OBRAS!$D:$D,OBRAS!E:E)</f>
        <v>C-00052/0171</v>
      </c>
      <c r="H633" s="80" t="s">
        <v>215</v>
      </c>
      <c r="I633" s="6">
        <v>39582937.289999999</v>
      </c>
      <c r="J633" s="6"/>
      <c r="K633" s="6">
        <f>ROUND(I633*0.3,2)</f>
        <v>11874881.189999999</v>
      </c>
      <c r="L633" s="6">
        <f t="shared" si="150"/>
        <v>27708056.100000001</v>
      </c>
      <c r="M633" s="6">
        <f t="shared" si="151"/>
        <v>4433288.9800000004</v>
      </c>
      <c r="N633" s="6">
        <f t="shared" si="152"/>
        <v>32141345.079999998</v>
      </c>
      <c r="O633" s="6">
        <f>+ROUND(I633*0.002,2)+ROUND(I633*0.0003,2)+ROUND(I633*0.0003,2)+ROUND(I633*0.0003,2)+ROUND(I633*0.002,2)</f>
        <v>193956.38</v>
      </c>
      <c r="P633" s="6">
        <f t="shared" si="153"/>
        <v>31947388.699999999</v>
      </c>
      <c r="Q633" s="4" t="str">
        <f>LOOKUP($E633,OBRAS!$D:$D,OBRAS!B:B)</f>
        <v>LC PROYECTOS Y CONSTRUCCIONES S.A. DE C.V.</v>
      </c>
      <c r="R633" s="4" t="str">
        <f>LOOKUP($E633,OBRAS!$D:$D,OBRAS!A:A)</f>
        <v>NAVOJOA</v>
      </c>
      <c r="S633" s="4" t="str">
        <f>LOOKUP($E633,OBRAS!$D:$D,OBRAS!F:F)</f>
        <v>11000002002201E202K05186A614202162A212</v>
      </c>
      <c r="T633" s="4" t="str">
        <f>LOOKUP($E633,OBRAS!$D:$D,OBRAS!G:G)</f>
        <v>CE-926006995-E15-2016</v>
      </c>
      <c r="U633" s="4" t="s">
        <v>863</v>
      </c>
      <c r="V633" s="89">
        <v>42671</v>
      </c>
      <c r="W633" s="6">
        <f>LOOKUP($E633,OBRAS!$D:$D,OBRAS!K:K)</f>
        <v>154846331.36000001</v>
      </c>
      <c r="X633" s="109">
        <f t="shared" si="154"/>
        <v>0.29649999999999999</v>
      </c>
      <c r="Y633" s="109">
        <f t="shared" si="155"/>
        <v>0.83420000000000005</v>
      </c>
      <c r="Z633" s="109">
        <f t="shared" si="156"/>
        <v>0.88400000000000001</v>
      </c>
      <c r="AA633" s="4" t="str">
        <f>LOOKUP($E633,OBRAS!$D:$D,OBRAS!H:H)</f>
        <v>SH-ED-17-R-004</v>
      </c>
    </row>
    <row r="634" spans="1:28" ht="30" x14ac:dyDescent="0.25">
      <c r="C634" s="49">
        <v>633</v>
      </c>
      <c r="D634" s="4" t="str">
        <f>LOOKUP($E634,OBRAS!$D:$D,OBRAS!C:C)</f>
        <v>BOULEVARD DE ACCESO A LA LOCALIDAD Y MUNICIPIO DE BENJAMIN HILL, SONORA</v>
      </c>
      <c r="E634" s="4" t="s">
        <v>992</v>
      </c>
      <c r="F634" s="4"/>
      <c r="G634" s="4" t="str">
        <f>LOOKUP($E634,OBRAS!$D:$D,OBRAS!E:E)</f>
        <v>C-00052/0202</v>
      </c>
      <c r="H634" s="80" t="s">
        <v>23</v>
      </c>
      <c r="I634" s="6">
        <v>1830736.05</v>
      </c>
      <c r="J634" s="6"/>
      <c r="K634" s="6"/>
      <c r="L634" s="6">
        <f t="shared" si="150"/>
        <v>1830736.05</v>
      </c>
      <c r="M634" s="6">
        <f t="shared" si="151"/>
        <v>292917.77</v>
      </c>
      <c r="N634" s="6">
        <f t="shared" si="152"/>
        <v>2123653.8199999998</v>
      </c>
      <c r="O634" s="6"/>
      <c r="P634" s="6">
        <f t="shared" si="153"/>
        <v>2123653.8199999998</v>
      </c>
      <c r="Q634" s="4" t="str">
        <f>LOOKUP($E634,OBRAS!$D:$D,OBRAS!B:B)</f>
        <v>MEZQUITE CONSTRUCCIONES,S.A.DE C.V.</v>
      </c>
      <c r="R634" s="4" t="str">
        <f>LOOKUP($E634,OBRAS!$D:$D,OBRAS!A:A)</f>
        <v>BENJAMIN HILL</v>
      </c>
      <c r="S634" s="4" t="str">
        <f>LOOKUP($E634,OBRAS!$D:$D,OBRAS!F:F)</f>
        <v>1000002002201E202K05186A614222165DM03</v>
      </c>
      <c r="T634" s="4" t="str">
        <f>LOOKUP($E634,OBRAS!$D:$D,OBRAS!G:G)</f>
        <v>MCO-850128-MP3</v>
      </c>
      <c r="U634" s="4" t="s">
        <v>863</v>
      </c>
      <c r="V634" s="89">
        <v>42690</v>
      </c>
      <c r="W634" s="6">
        <f>LOOKUP($E634,OBRAS!$D:$D,OBRAS!K:K)</f>
        <v>7078846.0700000003</v>
      </c>
      <c r="X634" s="109" t="str">
        <f t="shared" si="154"/>
        <v/>
      </c>
      <c r="Y634" s="109">
        <f t="shared" si="155"/>
        <v>0.57779999999999998</v>
      </c>
      <c r="Z634" s="109">
        <f t="shared" si="156"/>
        <v>0.70440000000000003</v>
      </c>
      <c r="AA634" s="4" t="str">
        <f>LOOKUP($E634,OBRAS!$D:$D,OBRAS!H:H)</f>
        <v>SH-FAFEF-17-R-001</v>
      </c>
      <c r="AB634" s="135"/>
    </row>
    <row r="635" spans="1:28" ht="45" x14ac:dyDescent="0.25">
      <c r="A635" s="90">
        <v>42669</v>
      </c>
      <c r="B635" s="56">
        <v>4594</v>
      </c>
      <c r="C635" s="51">
        <v>634</v>
      </c>
      <c r="D635" s="4" t="str">
        <f>LOOKUP($E635,OBRAS!$D:$D,OBRAS!C:C)</f>
        <v>SUPERVISION EXTERNA Y CONTROL DE CALIDAD DE LA RECONSTRUCCION DE CALLE 26, DEL KM 70+000 AL KM 101+300, HERMOSILLO</v>
      </c>
      <c r="E635" s="4" t="s">
        <v>678</v>
      </c>
      <c r="F635" s="4"/>
      <c r="G635" s="4" t="str">
        <f>LOOKUP($E635,OBRAS!$D:$D,OBRAS!E:E)</f>
        <v>C-00098/0022</v>
      </c>
      <c r="H635" s="80" t="s">
        <v>215</v>
      </c>
      <c r="I635" s="6">
        <v>200946.07</v>
      </c>
      <c r="J635" s="6"/>
      <c r="K635" s="6">
        <f>ROUND(I635*0.1,2)</f>
        <v>20094.61</v>
      </c>
      <c r="L635" s="6">
        <f t="shared" si="150"/>
        <v>180851.46</v>
      </c>
      <c r="M635" s="6">
        <f t="shared" si="151"/>
        <v>28936.23</v>
      </c>
      <c r="N635" s="6">
        <f t="shared" si="152"/>
        <v>209787.69</v>
      </c>
      <c r="O635" s="6">
        <f>ROUND(I635*0.0003,2)+ROUND(I635*0.0003,2)+ROUND(I635*0.0003,2)+ROUND(I635*0.002,2)</f>
        <v>582.73</v>
      </c>
      <c r="P635" s="6">
        <f t="shared" si="153"/>
        <v>209204.96</v>
      </c>
      <c r="Q635" s="4" t="str">
        <f>LOOKUP($E635,OBRAS!$D:$D,OBRAS!B:B)</f>
        <v>GM3 INGENIERIA Y SERVICIOS, S. DE R.L. DE C.V.</v>
      </c>
      <c r="R635" s="4" t="str">
        <f>LOOKUP($E635,OBRAS!$D:$D,OBRAS!A:A)</f>
        <v>HERMOSILLO</v>
      </c>
      <c r="S635" s="4" t="str">
        <f>LOOKUP($E635,OBRAS!$D:$D,OBRAS!F:F)</f>
        <v>11000002002207E201K02104A622212161A013</v>
      </c>
      <c r="T635" s="4" t="str">
        <f>LOOKUP($E635,OBRAS!$D:$D,OBRAS!G:G)</f>
        <v>CE-926006995-E69-2016</v>
      </c>
      <c r="U635" s="4" t="s">
        <v>863</v>
      </c>
      <c r="V635" s="89">
        <v>42781</v>
      </c>
      <c r="W635" s="6">
        <f>LOOKUP($E635,OBRAS!$D:$D,OBRAS!K:K)</f>
        <v>1369447.44</v>
      </c>
      <c r="X635" s="109">
        <f t="shared" si="154"/>
        <v>0.17019999999999999</v>
      </c>
      <c r="Y635" s="109">
        <f t="shared" si="155"/>
        <v>1.0639000000000001</v>
      </c>
      <c r="Z635" s="109">
        <f t="shared" si="156"/>
        <v>1.0638000000000001</v>
      </c>
      <c r="AA635" s="4" t="str">
        <f>LOOKUP($E635,OBRAS!$D:$D,OBRAS!H:H)</f>
        <v>SH-ED-16-066</v>
      </c>
    </row>
    <row r="636" spans="1:28" ht="60" x14ac:dyDescent="0.25">
      <c r="A636" s="90">
        <v>42719</v>
      </c>
      <c r="B636" s="56">
        <v>5918</v>
      </c>
      <c r="C636" s="51">
        <v>635</v>
      </c>
      <c r="D636" s="4" t="str">
        <f>LOOKUP($E636,OBRAS!$D:$D,OBRAS!C:C)</f>
        <v>CONSTRUCCION DE ANDADOR PEATONAL EN LA CALLE INTERNACIONAL ENTRE AVENIDAS 4 Y 33 EN LA LOCALIDAD Y MUNICIPIO DE AGUA PRIETA, SONORA</v>
      </c>
      <c r="E636" s="4" t="s">
        <v>150</v>
      </c>
      <c r="F636" s="4"/>
      <c r="G636" s="4" t="str">
        <f>LOOKUP($E636,OBRAS!$D:$D,OBRAS!E:E)</f>
        <v>C-00093/0006</v>
      </c>
      <c r="H636" s="80" t="s">
        <v>214</v>
      </c>
      <c r="I636" s="6">
        <v>240042.56</v>
      </c>
      <c r="J636" s="6"/>
      <c r="K636" s="6">
        <v>0</v>
      </c>
      <c r="L636" s="6">
        <f t="shared" ref="L636:L639" si="159">I636-K636</f>
        <v>240042.56</v>
      </c>
      <c r="M636" s="6">
        <f t="shared" ref="M636:M641" si="160">ROUND(L636*0.16,2)</f>
        <v>38406.81</v>
      </c>
      <c r="N636" s="6">
        <f t="shared" ref="N636:N639" si="161">M636+L636</f>
        <v>278449.37</v>
      </c>
      <c r="O636" s="6">
        <v>67565.3</v>
      </c>
      <c r="P636" s="6">
        <f t="shared" ref="P636:P641" si="162">N636-O636</f>
        <v>210884.07</v>
      </c>
      <c r="Q636" s="4" t="str">
        <f>LOOKUP($E636,OBRAS!$D:$D,OBRAS!B:B)</f>
        <v>PROYECTOS Y CONSTRUCCIONES DEL DESIERTO PYCDE, A.S. DE C.V.</v>
      </c>
      <c r="R636" s="4" t="str">
        <f>LOOKUP($E636,OBRAS!$D:$D,OBRAS!A:A)</f>
        <v>AGUA PRIETA</v>
      </c>
      <c r="S636" s="4" t="str">
        <f>LOOKUP($E636,OBRAS!$D:$D,OBRAS!F:F)</f>
        <v>11000002002201E201K02203A612012155GL04</v>
      </c>
      <c r="T636" s="4" t="str">
        <f>LOOKUP($E636,OBRAS!$D:$D,OBRAS!G:G)</f>
        <v>IO-926006995-N15-2015</v>
      </c>
      <c r="U636" s="4" t="s">
        <v>863</v>
      </c>
      <c r="V636" s="89">
        <v>42734</v>
      </c>
      <c r="W636" s="6">
        <f>LOOKUP($E636,OBRAS!$D:$D,OBRAS!K:K)</f>
        <v>7864941.8700000001</v>
      </c>
      <c r="X636" s="109">
        <f t="shared" ref="X636:X641" si="163">IF(H636&lt;&gt;"ANTICIPO",I636/(W636/1.16),"")</f>
        <v>3.5400000000000001E-2</v>
      </c>
      <c r="Y636" s="109">
        <f t="shared" ref="Y636:Y641" si="164">SUMIF(E:E,E636,X:X)</f>
        <v>0.51800000000000002</v>
      </c>
      <c r="Z636" s="109">
        <f t="shared" ref="Z636:Z641" si="165">SUMIF(E:E,E636,N:N)/W636</f>
        <v>0.28139999999999998</v>
      </c>
      <c r="AA636" s="4" t="str">
        <f>LOOKUP($E636,OBRAS!$D:$D,OBRAS!H:H)</f>
        <v>OM-NC-16-R-007</v>
      </c>
    </row>
    <row r="637" spans="1:28" ht="60" x14ac:dyDescent="0.25">
      <c r="A637" s="90">
        <v>42669</v>
      </c>
      <c r="B637" s="56">
        <v>4596</v>
      </c>
      <c r="C637" s="51">
        <v>636</v>
      </c>
      <c r="D637" s="4" t="str">
        <f>LOOKUP($E637,OBRAS!$D:$D,OBRAS!C:C)</f>
        <v>SUPERVISION EXTERNA Y CONTROL DE CALIDAD DE LA RECONSTRUCCION DE CALLE 28 NORTE, DEL KM 0 + 000 AL KM 10+160, Y DEL KM 17+210 AL 17+982, HERMOSILLO</v>
      </c>
      <c r="E637" s="4" t="s">
        <v>675</v>
      </c>
      <c r="F637" s="4"/>
      <c r="G637" s="4" t="str">
        <f>LOOKUP($E637,OBRAS!$D:$D,OBRAS!E:E)</f>
        <v>C-00098/0022</v>
      </c>
      <c r="H637" s="80" t="s">
        <v>215</v>
      </c>
      <c r="I637" s="6">
        <v>87424.21</v>
      </c>
      <c r="J637" s="6"/>
      <c r="K637" s="6">
        <f>ROUND(I637*0.1,2)</f>
        <v>8742.42</v>
      </c>
      <c r="L637" s="6">
        <f t="shared" si="159"/>
        <v>78681.789999999994</v>
      </c>
      <c r="M637" s="6">
        <f t="shared" si="160"/>
        <v>12589.09</v>
      </c>
      <c r="N637" s="6">
        <f t="shared" si="161"/>
        <v>91270.88</v>
      </c>
      <c r="O637" s="6">
        <f>ROUND(I637*0.0003,2)+ROUND(I637*0.0003,2)+ROUND(I637*0.0003,2)+ROUND(I637*0.002,2)</f>
        <v>253.54</v>
      </c>
      <c r="P637" s="6">
        <f t="shared" si="162"/>
        <v>91017.34</v>
      </c>
      <c r="Q637" s="4" t="str">
        <f>LOOKUP($E637,OBRAS!$D:$D,OBRAS!B:B)</f>
        <v>SATI CONSTRUCCIONES Y POYECTOS S.A. DE C.V.</v>
      </c>
      <c r="R637" s="4" t="str">
        <f>LOOKUP($E637,OBRAS!$D:$D,OBRAS!A:A)</f>
        <v>HERMOSILLO</v>
      </c>
      <c r="S637" s="4" t="str">
        <f>LOOKUP($E637,OBRAS!$D:$D,OBRAS!F:F)</f>
        <v>11000002002207E201K02104A622212161A013</v>
      </c>
      <c r="T637" s="4" t="str">
        <f>LOOKUP($E637,OBRAS!$D:$D,OBRAS!G:G)</f>
        <v>LICITACIÓN SIMPLIFICADA</v>
      </c>
      <c r="U637" s="4" t="s">
        <v>863</v>
      </c>
      <c r="V637" s="89">
        <v>42699</v>
      </c>
      <c r="W637" s="6">
        <f>LOOKUP($E637,OBRAS!$D:$D,OBRAS!K:K)</f>
        <v>608472.5</v>
      </c>
      <c r="X637" s="109">
        <f t="shared" si="163"/>
        <v>0.16669999999999999</v>
      </c>
      <c r="Y637" s="109">
        <f t="shared" si="164"/>
        <v>0.77780000000000005</v>
      </c>
      <c r="Z637" s="109">
        <f t="shared" si="165"/>
        <v>0.8</v>
      </c>
      <c r="AA637" s="4" t="str">
        <f>LOOKUP($E637,OBRAS!$D:$D,OBRAS!H:H)</f>
        <v>SH-ED-16-066</v>
      </c>
    </row>
    <row r="638" spans="1:28" ht="60" x14ac:dyDescent="0.25">
      <c r="A638" s="90">
        <v>42669</v>
      </c>
      <c r="B638" s="56">
        <v>4598</v>
      </c>
      <c r="C638" s="51">
        <v>637</v>
      </c>
      <c r="D638" s="4" t="str">
        <f>LOOKUP($E638,OBRAS!$D:$D,OBRAS!C:C)</f>
        <v>SUPERVISION EXTERNA Y CONTROL DE CALIDAD PARA LA OBRA RECONSTRUCCION DEL CAMINO NAVOJOA-ETCHOJOA-HUATABAMPO DE VARIAS LOCALIDADES Y MUNICIPIOS DE SONORA.</v>
      </c>
      <c r="E638" s="4" t="s">
        <v>359</v>
      </c>
      <c r="F638" s="4"/>
      <c r="G638" s="4" t="str">
        <f>LOOKUP($E638,OBRAS!$D:$D,OBRAS!E:E)</f>
        <v>C-00098/0021</v>
      </c>
      <c r="H638" s="80" t="s">
        <v>15</v>
      </c>
      <c r="I638" s="6">
        <v>113687.71</v>
      </c>
      <c r="J638" s="6"/>
      <c r="K638" s="6">
        <v>11368.78</v>
      </c>
      <c r="L638" s="6">
        <f t="shared" si="159"/>
        <v>102318.93</v>
      </c>
      <c r="M638" s="6">
        <f t="shared" si="160"/>
        <v>16371.03</v>
      </c>
      <c r="N638" s="6">
        <f t="shared" si="161"/>
        <v>118689.96</v>
      </c>
      <c r="O638" s="6">
        <f>ROUND(I638*0.0003,2)+ROUND(I638*0.0003,2)+ROUND(I638*0.0003,2)+ROUND(I638*0.002,2)</f>
        <v>329.71</v>
      </c>
      <c r="P638" s="6">
        <f t="shared" si="162"/>
        <v>118360.25</v>
      </c>
      <c r="Q638" s="4" t="str">
        <f>LOOKUP($E638,OBRAS!$D:$D,OBRAS!B:B)</f>
        <v>ADRIANA BELTRAN LAGARDA</v>
      </c>
      <c r="R638" s="4" t="str">
        <f>LOOKUP($E638,OBRAS!$D:$D,OBRAS!A:A)</f>
        <v>VARIOS</v>
      </c>
      <c r="S638" s="4" t="str">
        <f>LOOKUP($E638,OBRAS!$D:$D,OBRAS!F:F)</f>
        <v>11000002003501E203K03203A625132161A013</v>
      </c>
      <c r="T638" s="4" t="str">
        <f>LOOKUP($E638,OBRAS!$D:$D,OBRAS!G:G)</f>
        <v>CE-926006995-E45-2016</v>
      </c>
      <c r="U638" s="4" t="s">
        <v>863</v>
      </c>
      <c r="V638" s="89">
        <v>42781</v>
      </c>
      <c r="W638" s="6">
        <f>LOOKUP($E638,OBRAS!$D:$D,OBRAS!K:K)</f>
        <v>1055021.97</v>
      </c>
      <c r="X638" s="109">
        <f t="shared" si="163"/>
        <v>0.125</v>
      </c>
      <c r="Y638" s="109">
        <f t="shared" si="164"/>
        <v>1</v>
      </c>
      <c r="Z638" s="109">
        <f t="shared" si="165"/>
        <v>1</v>
      </c>
      <c r="AA638" s="4" t="str">
        <f>LOOKUP($E638,OBRAS!$D:$D,OBRAS!H:H)</f>
        <v>SH-ED-16-020</v>
      </c>
    </row>
    <row r="639" spans="1:28" ht="60" x14ac:dyDescent="0.25">
      <c r="A639" s="90">
        <v>42669</v>
      </c>
      <c r="B639" s="56">
        <v>4599</v>
      </c>
      <c r="C639" s="51">
        <v>638</v>
      </c>
      <c r="D639" s="4" t="str">
        <f>LOOKUP($E639,OBRAS!$D:$D,OBRAS!C:C)</f>
        <v>SUPERVISION EXTERNA Y CONTROL DE CALIDAD PARA LA OBRA RECONSTRUCCION DE CAMINO HORNOS - ROSARIO EN VARIAS LOCALIDADES DE VARIOS MUNICIPIOS DEL ESTADO DE SONORA.</v>
      </c>
      <c r="E639" s="4" t="s">
        <v>315</v>
      </c>
      <c r="F639" s="4"/>
      <c r="G639" s="4" t="str">
        <f>LOOKUP($E639,OBRAS!$D:$D,OBRAS!E:E)</f>
        <v>C-00098/0022</v>
      </c>
      <c r="H639" s="80" t="s">
        <v>15</v>
      </c>
      <c r="I639" s="6">
        <v>307572.47999999998</v>
      </c>
      <c r="J639" s="6"/>
      <c r="K639" s="6">
        <f>ROUND(I639*0.1,2)</f>
        <v>30757.25</v>
      </c>
      <c r="L639" s="6">
        <f t="shared" si="159"/>
        <v>276815.23</v>
      </c>
      <c r="M639" s="6">
        <f t="shared" si="160"/>
        <v>44290.44</v>
      </c>
      <c r="N639" s="6">
        <f t="shared" si="161"/>
        <v>321105.67</v>
      </c>
      <c r="O639" s="6">
        <f>ROUND(I639*0.0003,2)+ROUND(I639*0.0003,2)+ROUND(I639*0.0003,2)+ROUND(I639*0.002,2)</f>
        <v>891.95</v>
      </c>
      <c r="P639" s="6">
        <f t="shared" si="162"/>
        <v>320213.71999999997</v>
      </c>
      <c r="Q639" s="4" t="str">
        <f>LOOKUP($E639,OBRAS!$D:$D,OBRAS!B:B)</f>
        <v>OESTEC DE MEXICO SA DE CV</v>
      </c>
      <c r="R639" s="4" t="str">
        <f>LOOKUP($E639,OBRAS!$D:$D,OBRAS!A:A)</f>
        <v>VARIOS</v>
      </c>
      <c r="S639" s="4" t="str">
        <f>LOOKUP($E639,OBRAS!$D:$D,OBRAS!F:F)</f>
        <v>11000002002207E201K02104A622212161A013</v>
      </c>
      <c r="T639" s="4" t="str">
        <f>LOOKUP($E639,OBRAS!$D:$D,OBRAS!G:G)</f>
        <v>CE-9260066995-E46-2016</v>
      </c>
      <c r="U639" s="4" t="s">
        <v>863</v>
      </c>
      <c r="V639" s="89">
        <v>42781</v>
      </c>
      <c r="W639" s="6">
        <f>LOOKUP($E639,OBRAS!$D:$D,OBRAS!K:K)</f>
        <v>2497488.54</v>
      </c>
      <c r="X639" s="109">
        <f t="shared" si="163"/>
        <v>0.1429</v>
      </c>
      <c r="Y639" s="109">
        <f t="shared" si="164"/>
        <v>1.0003</v>
      </c>
      <c r="Z639" s="109">
        <f t="shared" si="165"/>
        <v>1</v>
      </c>
      <c r="AA639" s="4" t="str">
        <f>LOOKUP($E639,OBRAS!$D:$D,OBRAS!H:H)</f>
        <v>SH-ED-16-028</v>
      </c>
    </row>
    <row r="640" spans="1:28" ht="30" x14ac:dyDescent="0.25">
      <c r="C640" s="51">
        <v>639</v>
      </c>
      <c r="D640" s="4" t="str">
        <f>LOOKUP($E640,OBRAS!$D:$D,OBRAS!C:C)</f>
        <v>REHABILITACION DE PAVIMENTOS DE VARIAS CALLES Y AVENIDAD EN LA LOCALIDAD DE MATAPE</v>
      </c>
      <c r="E640" s="4" t="s">
        <v>997</v>
      </c>
      <c r="F640" s="4"/>
      <c r="G640" s="4" t="str">
        <f>LOOKUP($E640,OBRAS!$D:$D,OBRAS!E:E)</f>
        <v>C-00052/0198</v>
      </c>
      <c r="H640" s="80" t="s">
        <v>23</v>
      </c>
      <c r="I640" s="6">
        <v>310329.28000000003</v>
      </c>
      <c r="J640" s="6"/>
      <c r="K640" s="6">
        <v>0</v>
      </c>
      <c r="L640" s="6">
        <v>310329.28000000003</v>
      </c>
      <c r="M640" s="6">
        <f t="shared" si="160"/>
        <v>49652.68</v>
      </c>
      <c r="N640" s="6">
        <f>L640+M640</f>
        <v>359981.96</v>
      </c>
      <c r="O640" s="6">
        <v>0</v>
      </c>
      <c r="P640" s="6">
        <f t="shared" si="162"/>
        <v>359981.96</v>
      </c>
      <c r="Q640" s="4" t="str">
        <f>LOOKUP($E640,OBRAS!$D:$D,OBRAS!B:B)</f>
        <v>MOCUZARI CONSTRUCTORA, S.A. DE C.V.</v>
      </c>
      <c r="R640" s="4" t="str">
        <f>LOOKUP($E640,OBRAS!$D:$D,OBRAS!A:A)</f>
        <v>VILLA PESQUEIRA</v>
      </c>
      <c r="S640" s="4" t="str">
        <f>LOOKUP($E640,OBRAS!$D:$D,OBRAS!F:F)</f>
        <v>11000002002201E202K05186A614202165FC08</v>
      </c>
      <c r="T640" s="4" t="str">
        <f>LOOKUP($E640,OBRAS!$D:$D,OBRAS!G:G)</f>
        <v>IO-926006995-E126-2016</v>
      </c>
      <c r="U640" s="4" t="s">
        <v>863</v>
      </c>
      <c r="V640" s="89">
        <v>42682</v>
      </c>
      <c r="W640" s="6">
        <f>LOOKUP($E640,OBRAS!$D:$D,OBRAS!K:K)</f>
        <v>1199939.8899999999</v>
      </c>
      <c r="X640" s="109" t="str">
        <f t="shared" si="163"/>
        <v/>
      </c>
      <c r="Y640" s="109">
        <f t="shared" si="164"/>
        <v>1</v>
      </c>
      <c r="Z640" s="109">
        <f t="shared" si="165"/>
        <v>1</v>
      </c>
      <c r="AA640" s="4" t="str">
        <f>LOOKUP($E640,OBRAS!$D:$D,OBRAS!H:H)</f>
        <v>SH-NC-17-R-009</v>
      </c>
    </row>
    <row r="641" spans="1:27" ht="60" x14ac:dyDescent="0.25">
      <c r="A641" s="90">
        <v>42689</v>
      </c>
      <c r="B641" s="56">
        <v>5070</v>
      </c>
      <c r="C641" s="51">
        <v>640</v>
      </c>
      <c r="D641" s="4" t="str">
        <f>LOOKUP($E641,OBRAS!$D:$D,OBRAS!C:C)</f>
        <v>CONSTRUCCION DE LINEA DE CONDUCCION DE POZO EXISTENTE A TANQUE DE ALMACENAMIENTO EN LA LOCALIDAD Y MUNICIPIO DE ALTAR.</v>
      </c>
      <c r="E641" s="4" t="s">
        <v>633</v>
      </c>
      <c r="F641" s="4"/>
      <c r="G641" s="4" t="str">
        <f>LOOKUP($E641,OBRAS!$D:$D,OBRAS!E:E)</f>
        <v>C-00050/0004</v>
      </c>
      <c r="H641" s="80" t="s">
        <v>103</v>
      </c>
      <c r="I641" s="6">
        <v>2356234.63</v>
      </c>
      <c r="J641" s="6"/>
      <c r="K641" s="6">
        <f>ROUND(I641*0.3,2)</f>
        <v>706870.39</v>
      </c>
      <c r="L641" s="6">
        <f>I641-K641</f>
        <v>1649364.24</v>
      </c>
      <c r="M641" s="6">
        <f t="shared" si="160"/>
        <v>263898.28000000003</v>
      </c>
      <c r="N641" s="6">
        <f>M641+L641</f>
        <v>1913262.52</v>
      </c>
      <c r="O641" s="6">
        <f>+ROUND(I641*0.002,2)+ROUND(I641*0.0003,2)+ROUND(I641*0.0003,2)+ROUND(I641*0.0003,2)+ROUND(I641*0.002,2)</f>
        <v>11545.55</v>
      </c>
      <c r="P641" s="6">
        <f t="shared" si="162"/>
        <v>1901716.97</v>
      </c>
      <c r="Q641" s="4" t="str">
        <f>LOOKUP($E641,OBRAS!$D:$D,OBRAS!B:B)</f>
        <v>BARREDA PROYECTO Y CONSTRUCCIONES, S.A. DE C.V.</v>
      </c>
      <c r="R641" s="4" t="str">
        <f>LOOKUP($E641,OBRAS!$D:$D,OBRAS!A:A)</f>
        <v>ALTAR</v>
      </c>
      <c r="S641" s="4" t="str">
        <f>LOOKUP($E641,OBRAS!$D:$D,OBRAS!F:F)</f>
        <v>11000002002203E208K13021A614082162A202</v>
      </c>
      <c r="T641" s="4" t="str">
        <f>LOOKUP($E641,OBRAS!$D:$D,OBRAS!G:G)</f>
        <v>CE-926006995-E70-2016</v>
      </c>
      <c r="U641" s="4" t="s">
        <v>863</v>
      </c>
      <c r="V641" s="89">
        <v>42712</v>
      </c>
      <c r="W641" s="6">
        <f>LOOKUP($E641,OBRAS!$D:$D,OBRAS!K:K)</f>
        <v>11695805.57</v>
      </c>
      <c r="X641" s="109">
        <f t="shared" si="163"/>
        <v>0.23369999999999999</v>
      </c>
      <c r="Y641" s="109">
        <f t="shared" si="164"/>
        <v>0.65290000000000004</v>
      </c>
      <c r="Z641" s="109">
        <f t="shared" si="165"/>
        <v>0.75700000000000001</v>
      </c>
      <c r="AA641" s="4" t="str">
        <f>LOOKUP($E641,OBRAS!$D:$D,OBRAS!H:H)</f>
        <v>SH-ED-17-R-004</v>
      </c>
    </row>
    <row r="642" spans="1:27" x14ac:dyDescent="0.25">
      <c r="A642" s="90"/>
      <c r="C642" s="49">
        <v>641</v>
      </c>
      <c r="D642" s="4"/>
      <c r="E642" s="4"/>
      <c r="F642" s="4"/>
      <c r="G642" s="4"/>
      <c r="H642" s="80"/>
      <c r="I642" s="6"/>
      <c r="J642" s="6"/>
      <c r="K642" s="6"/>
      <c r="L642" s="6"/>
      <c r="M642" s="6"/>
      <c r="N642" s="6"/>
      <c r="O642" s="6"/>
      <c r="P642" s="6"/>
      <c r="Q642" s="4"/>
      <c r="R642" s="4"/>
      <c r="S642" s="4" t="e">
        <f>LOOKUP($E642,OBRAS!$D:$D,OBRAS!F:F)</f>
        <v>#N/A</v>
      </c>
      <c r="T642" s="4" t="e">
        <f>LOOKUP($E642,OBRAS!$D:$D,OBRAS!G:G)</f>
        <v>#N/A</v>
      </c>
      <c r="U642" s="4"/>
      <c r="V642" s="89"/>
      <c r="W642" s="6"/>
      <c r="X642" s="109"/>
      <c r="Y642" s="109"/>
      <c r="Z642" s="109"/>
      <c r="AA642" s="4"/>
    </row>
    <row r="643" spans="1:27" ht="45" x14ac:dyDescent="0.25">
      <c r="C643" s="51">
        <v>642</v>
      </c>
      <c r="D643" s="4" t="str">
        <f>LOOKUP($E643,OBRAS!$D:$D,OBRAS!C:C)</f>
        <v>PAVIMENTACION CON CONCRETO HIDRAULICO EN LA CALLE CANANEA EN LA LOCALIDAD Y MUNICIPIO DE BACOACHI, SONORA</v>
      </c>
      <c r="E643" s="4" t="s">
        <v>1004</v>
      </c>
      <c r="F643" s="4"/>
      <c r="G643" s="4" t="str">
        <f>LOOKUP($E643,OBRAS!$D:$D,OBRAS!E:E)</f>
        <v>C-00052/0234</v>
      </c>
      <c r="H643" s="80" t="s">
        <v>23</v>
      </c>
      <c r="I643" s="6">
        <v>491259.52</v>
      </c>
      <c r="J643" s="6"/>
      <c r="K643" s="6">
        <v>0</v>
      </c>
      <c r="L643" s="6">
        <f t="shared" ref="L643:L655" si="166">I643-K643</f>
        <v>491259.52</v>
      </c>
      <c r="M643" s="6">
        <f t="shared" ref="M643:M655" si="167">ROUND(L643*0.16,2)</f>
        <v>78601.52</v>
      </c>
      <c r="N643" s="6">
        <f t="shared" ref="N643:N655" si="168">M643+L643</f>
        <v>569861.04</v>
      </c>
      <c r="O643" s="6">
        <v>0</v>
      </c>
      <c r="P643" s="6">
        <f t="shared" ref="P643:P655" si="169">N643-O643</f>
        <v>569861.04</v>
      </c>
      <c r="Q643" s="4" t="str">
        <f>LOOKUP($E643,OBRAS!$D:$D,OBRAS!B:B)</f>
        <v>DCR CONSULTORIA Y CONSTRUCCION, S.A. DE C.V.</v>
      </c>
      <c r="R643" s="4" t="str">
        <f>LOOKUP($E643,OBRAS!$D:$D,OBRAS!A:A)</f>
        <v>BACOACHI</v>
      </c>
      <c r="S643" s="4" t="str">
        <f>LOOKUP($E643,OBRAS!$D:$D,OBRAS!F:F)</f>
        <v>11000002002201E202K05186A614202165FM04</v>
      </c>
      <c r="T643" s="4" t="str">
        <f>LOOKUP($E643,OBRAS!$D:$D,OBRAS!G:G)</f>
        <v>IO-926006995-E131-2016</v>
      </c>
      <c r="U643" s="4" t="s">
        <v>863</v>
      </c>
      <c r="V643" s="89">
        <v>42683</v>
      </c>
      <c r="W643" s="6">
        <f>LOOKUP($E643,OBRAS!$D:$D,OBRAS!K:K)</f>
        <v>1899536.81</v>
      </c>
      <c r="X643" s="109" t="str">
        <f t="shared" ref="X643:X655" si="170">IF(H643&lt;&gt;"ANTICIPO",I643/(W643/1.16),"")</f>
        <v/>
      </c>
      <c r="Y643" s="109">
        <f t="shared" ref="Y643:Y655" si="171">SUMIF(E:E,E643,X:X)</f>
        <v>0.6532</v>
      </c>
      <c r="Z643" s="109">
        <f t="shared" ref="Z643:Z655" si="172">SUMIF(E:E,E643,N:N)/W643</f>
        <v>0.75729999999999997</v>
      </c>
      <c r="AA643" s="4" t="str">
        <f>LOOKUP($E643,OBRAS!$D:$D,OBRAS!H:H)</f>
        <v>SH-NC-17-R-008</v>
      </c>
    </row>
    <row r="644" spans="1:27" ht="30" x14ac:dyDescent="0.25">
      <c r="A644" s="90">
        <v>42670</v>
      </c>
      <c r="B644" s="56">
        <v>4629</v>
      </c>
      <c r="C644" s="51">
        <v>643</v>
      </c>
      <c r="D644" s="4" t="str">
        <f>LOOKUP($E644,OBRAS!$D:$D,OBRAS!C:C)</f>
        <v>RECONSTRUCCION DE LA CALLE GUERRERO DEL KM 0+000 AL KM 6+020</v>
      </c>
      <c r="E644" s="4" t="s">
        <v>300</v>
      </c>
      <c r="F644" s="4"/>
      <c r="G644" s="4" t="str">
        <f>LOOKUP($E644,OBRAS!$D:$D,OBRAS!E:E)</f>
        <v>C-00054/0074</v>
      </c>
      <c r="H644" s="80" t="s">
        <v>55</v>
      </c>
      <c r="I644" s="6">
        <v>3962602.26</v>
      </c>
      <c r="J644" s="6"/>
      <c r="K644" s="6">
        <f>ROUND(I644*0.3,2)</f>
        <v>1188780.68</v>
      </c>
      <c r="L644" s="6">
        <f t="shared" si="166"/>
        <v>2773821.58</v>
      </c>
      <c r="M644" s="6">
        <f t="shared" si="167"/>
        <v>443811.45</v>
      </c>
      <c r="N644" s="6">
        <f t="shared" si="168"/>
        <v>3217633.03</v>
      </c>
      <c r="O644" s="6">
        <f>+ROUND(I644*0.002,2)+ROUND(I644*0.0003,2)+ROUND(I644*0.0003,2)+ROUND(I644*0.0003,2)+ROUND(I644*0.002,2)</f>
        <v>19416.740000000002</v>
      </c>
      <c r="P644" s="6">
        <f t="shared" si="169"/>
        <v>3198216.29</v>
      </c>
      <c r="Q644" s="4" t="str">
        <f>LOOKUP($E644,OBRAS!$D:$D,OBRAS!B:B)</f>
        <v>ZERO EDIFICACIONES,S.A. DE C.V.</v>
      </c>
      <c r="R644" s="4" t="str">
        <f>LOOKUP($E644,OBRAS!$D:$D,OBRAS!A:A)</f>
        <v>HERMOSILLO</v>
      </c>
      <c r="S644" s="4" t="str">
        <f>LOOKUP($E644,OBRAS!$D:$D,OBRAS!F:F)</f>
        <v>11000002003501E204K08063A625012162A207</v>
      </c>
      <c r="T644" s="4" t="str">
        <f>LOOKUP($E644,OBRAS!$D:$D,OBRAS!G:G)</f>
        <v>CE-926006995-E41-2016</v>
      </c>
      <c r="U644" s="4" t="s">
        <v>863</v>
      </c>
      <c r="V644" s="89">
        <v>42703</v>
      </c>
      <c r="W644" s="6">
        <f>LOOKUP($E644,OBRAS!$D:$D,OBRAS!K:K)</f>
        <v>18289741.390000001</v>
      </c>
      <c r="X644" s="109">
        <f t="shared" si="170"/>
        <v>0.25130000000000002</v>
      </c>
      <c r="Y644" s="109">
        <f t="shared" si="171"/>
        <v>1</v>
      </c>
      <c r="Z644" s="109">
        <f t="shared" si="172"/>
        <v>1</v>
      </c>
      <c r="AA644" s="4" t="str">
        <f>LOOKUP($E644,OBRAS!$D:$D,OBRAS!H:H)</f>
        <v>SH-ED-17-R-013</v>
      </c>
    </row>
    <row r="645" spans="1:27" ht="30" x14ac:dyDescent="0.25">
      <c r="A645" s="90">
        <v>42670</v>
      </c>
      <c r="B645" s="56">
        <v>4630</v>
      </c>
      <c r="C645" s="51">
        <v>644</v>
      </c>
      <c r="D645" s="4" t="str">
        <f>LOOKUP($E645,OBRAS!$D:$D,OBRAS!C:C)</f>
        <v>RECONSTRUCCION DE LA CALLE GUERRERO DEL KM 0+000 AL KM 6+020</v>
      </c>
      <c r="E645" s="4" t="s">
        <v>300</v>
      </c>
      <c r="F645" s="4"/>
      <c r="G645" s="4" t="str">
        <f>LOOKUP($E645,OBRAS!$D:$D,OBRAS!E:E)</f>
        <v>C-00054/0074</v>
      </c>
      <c r="H645" s="80" t="s">
        <v>215</v>
      </c>
      <c r="I645" s="6">
        <v>4411467.5</v>
      </c>
      <c r="J645" s="6"/>
      <c r="K645" s="6">
        <f>ROUND(I645*0.3,2)</f>
        <v>1323440.25</v>
      </c>
      <c r="L645" s="6">
        <f t="shared" si="166"/>
        <v>3088027.25</v>
      </c>
      <c r="M645" s="6">
        <f t="shared" si="167"/>
        <v>494084.36</v>
      </c>
      <c r="N645" s="6">
        <f t="shared" si="168"/>
        <v>3582111.61</v>
      </c>
      <c r="O645" s="6">
        <f>+ROUND(I645*0.002,2)+ROUND(I645*0.0003,2)+ROUND(I645*0.0003,2)+ROUND(I645*0.0003,2)+ROUND(I645*0.002,2)</f>
        <v>21616.2</v>
      </c>
      <c r="P645" s="6">
        <f t="shared" si="169"/>
        <v>3560495.41</v>
      </c>
      <c r="Q645" s="4" t="str">
        <f>LOOKUP($E645,OBRAS!$D:$D,OBRAS!B:B)</f>
        <v>ZERO EDIFICACIONES,S.A. DE C.V.</v>
      </c>
      <c r="R645" s="4" t="str">
        <f>LOOKUP($E645,OBRAS!$D:$D,OBRAS!A:A)</f>
        <v>HERMOSILLO</v>
      </c>
      <c r="S645" s="4" t="str">
        <f>LOOKUP($E645,OBRAS!$D:$D,OBRAS!F:F)</f>
        <v>11000002003501E204K08063A625012162A207</v>
      </c>
      <c r="T645" s="4" t="str">
        <f>LOOKUP($E645,OBRAS!$D:$D,OBRAS!G:G)</f>
        <v>CE-926006995-E41-2016</v>
      </c>
      <c r="U645" s="4" t="s">
        <v>863</v>
      </c>
      <c r="V645" s="89">
        <v>42703</v>
      </c>
      <c r="W645" s="6">
        <f>LOOKUP($E645,OBRAS!$D:$D,OBRAS!K:K)</f>
        <v>18289741.390000001</v>
      </c>
      <c r="X645" s="109">
        <f t="shared" si="170"/>
        <v>0.27979999999999999</v>
      </c>
      <c r="Y645" s="109">
        <f t="shared" si="171"/>
        <v>1</v>
      </c>
      <c r="Z645" s="109">
        <f t="shared" si="172"/>
        <v>1</v>
      </c>
      <c r="AA645" s="4" t="str">
        <f>LOOKUP($E645,OBRAS!$D:$D,OBRAS!H:H)</f>
        <v>SH-ED-17-R-013</v>
      </c>
    </row>
    <row r="646" spans="1:27" ht="30" x14ac:dyDescent="0.25">
      <c r="A646" s="90">
        <v>42670</v>
      </c>
      <c r="B646" s="56">
        <v>4631</v>
      </c>
      <c r="C646" s="51">
        <v>645</v>
      </c>
      <c r="D646" s="4" t="str">
        <f>LOOKUP($E646,OBRAS!$D:$D,OBRAS!C:C)</f>
        <v>REMODELACION DE PLAZA PUBLICA MUNICIPAL</v>
      </c>
      <c r="E646" s="4" t="s">
        <v>1008</v>
      </c>
      <c r="F646" s="4"/>
      <c r="G646" s="4" t="str">
        <f>LOOKUP($E646,OBRAS!$D:$D,OBRAS!E:E)</f>
        <v>C-00093/0016</v>
      </c>
      <c r="H646" s="80" t="s">
        <v>55</v>
      </c>
      <c r="I646" s="6">
        <v>277987.56</v>
      </c>
      <c r="J646" s="6"/>
      <c r="K646" s="6">
        <f>ROUND(I646*0.4,2)</f>
        <v>111195.02</v>
      </c>
      <c r="L646" s="6">
        <f t="shared" si="166"/>
        <v>166792.54</v>
      </c>
      <c r="M646" s="6">
        <f t="shared" si="167"/>
        <v>26686.81</v>
      </c>
      <c r="N646" s="6">
        <f t="shared" si="168"/>
        <v>193479.35</v>
      </c>
      <c r="O646" s="6">
        <f>+ROUND(I646*0.005,2)</f>
        <v>1389.94</v>
      </c>
      <c r="P646" s="6">
        <f t="shared" si="169"/>
        <v>192089.41</v>
      </c>
      <c r="Q646" s="4" t="str">
        <f>LOOKUP($E646,OBRAS!$D:$D,OBRAS!B:B)</f>
        <v>MURRIETA SOLUCIONES, S.A. DE C.V.</v>
      </c>
      <c r="R646" s="4" t="str">
        <f>LOOKUP($E646,OBRAS!$D:$D,OBRAS!A:A)</f>
        <v>CARBO</v>
      </c>
      <c r="S646" s="4" t="str">
        <f>LOOKUP($E646,OBRAS!$D:$D,OBRAS!F:F)</f>
        <v>11000002002202E406K17104A614192155GL05</v>
      </c>
      <c r="T646" s="4" t="str">
        <f>LOOKUP($E646,OBRAS!$D:$D,OBRAS!G:G)</f>
        <v>IO-926006995-N16-2015</v>
      </c>
      <c r="U646" s="4" t="s">
        <v>863</v>
      </c>
      <c r="V646" s="89">
        <v>42691</v>
      </c>
      <c r="W646" s="6">
        <f>LOOKUP($E646,OBRAS!$D:$D,OBRAS!K:K)</f>
        <v>4022583.21</v>
      </c>
      <c r="X646" s="109">
        <f t="shared" si="170"/>
        <v>8.0199999999999994E-2</v>
      </c>
      <c r="Y646" s="109">
        <f t="shared" si="171"/>
        <v>0.20230000000000001</v>
      </c>
      <c r="Z646" s="109">
        <f t="shared" si="172"/>
        <v>6.9699999999999998E-2</v>
      </c>
      <c r="AA646" s="4" t="str">
        <f>LOOKUP($E646,OBRAS!$D:$D,OBRAS!H:H)</f>
        <v>SH-NC-16-R-007.</v>
      </c>
    </row>
    <row r="647" spans="1:27" ht="30" x14ac:dyDescent="0.25">
      <c r="A647" s="90">
        <v>42670</v>
      </c>
      <c r="B647" s="56">
        <v>4632</v>
      </c>
      <c r="C647" s="51">
        <v>646</v>
      </c>
      <c r="D647" s="4" t="str">
        <f>LOOKUP($E647,OBRAS!$D:$D,OBRAS!C:C)</f>
        <v>REMODELACION DE PLAZA PUBLICA MUNICIPAL</v>
      </c>
      <c r="E647" s="4" t="s">
        <v>1008</v>
      </c>
      <c r="F647" s="4"/>
      <c r="G647" s="4" t="str">
        <f>LOOKUP($E647,OBRAS!$D:$D,OBRAS!E:E)</f>
        <v>C-00093/0016</v>
      </c>
      <c r="H647" s="80" t="s">
        <v>215</v>
      </c>
      <c r="I647" s="6">
        <v>423292.81</v>
      </c>
      <c r="J647" s="6"/>
      <c r="K647" s="6">
        <v>348415.42</v>
      </c>
      <c r="L647" s="6">
        <f t="shared" si="166"/>
        <v>74877.39</v>
      </c>
      <c r="M647" s="6">
        <f t="shared" si="167"/>
        <v>11980.38</v>
      </c>
      <c r="N647" s="6">
        <f t="shared" si="168"/>
        <v>86857.77</v>
      </c>
      <c r="O647" s="6">
        <f>+ROUND(I647*0.005,2)</f>
        <v>2116.46</v>
      </c>
      <c r="P647" s="6">
        <f t="shared" si="169"/>
        <v>84741.31</v>
      </c>
      <c r="Q647" s="4" t="str">
        <f>LOOKUP($E647,OBRAS!$D:$D,OBRAS!B:B)</f>
        <v>MURRIETA SOLUCIONES, S.A. DE C.V.</v>
      </c>
      <c r="R647" s="4" t="str">
        <f>LOOKUP($E647,OBRAS!$D:$D,OBRAS!A:A)</f>
        <v>CARBO</v>
      </c>
      <c r="S647" s="4" t="str">
        <f>LOOKUP($E647,OBRAS!$D:$D,OBRAS!F:F)</f>
        <v>11000002002202E406K17104A614192155GL05</v>
      </c>
      <c r="T647" s="4" t="str">
        <f>LOOKUP($E647,OBRAS!$D:$D,OBRAS!G:G)</f>
        <v>IO-926006995-N16-2015</v>
      </c>
      <c r="U647" s="4" t="s">
        <v>863</v>
      </c>
      <c r="V647" s="89">
        <v>42691</v>
      </c>
      <c r="W647" s="6">
        <f>LOOKUP($E647,OBRAS!$D:$D,OBRAS!K:K)</f>
        <v>4022583.21</v>
      </c>
      <c r="X647" s="109">
        <f t="shared" si="170"/>
        <v>0.1221</v>
      </c>
      <c r="Y647" s="109">
        <f t="shared" si="171"/>
        <v>0.20230000000000001</v>
      </c>
      <c r="Z647" s="109">
        <f t="shared" si="172"/>
        <v>6.9699999999999998E-2</v>
      </c>
      <c r="AA647" s="4" t="str">
        <f>LOOKUP($E647,OBRAS!$D:$D,OBRAS!H:H)</f>
        <v>SH-NC-16-R-007.</v>
      </c>
    </row>
    <row r="648" spans="1:27" ht="60" x14ac:dyDescent="0.25">
      <c r="A648" s="90">
        <v>42670</v>
      </c>
      <c r="B648" s="56">
        <v>4633</v>
      </c>
      <c r="C648" s="51">
        <v>647</v>
      </c>
      <c r="D648" s="4" t="str">
        <f>LOOKUP($E648,OBRAS!$D:$D,OBRAS!C:C)</f>
        <v>RECONSTRUCCION DE E.C. (CALLE 36 SUR) GRANJAS ACUICOLAS DEL KM 0+000 AL KM 12+660, EN VARIAS LOCALIDADES DEL MUNICIPIO DE HERMOSILLO.</v>
      </c>
      <c r="E648" s="4" t="s">
        <v>375</v>
      </c>
      <c r="F648" s="4"/>
      <c r="G648" s="4" t="str">
        <f>LOOKUP($E648,OBRAS!$D:$D,OBRAS!E:E)</f>
        <v>C-00054/0071</v>
      </c>
      <c r="H648" s="80" t="s">
        <v>221</v>
      </c>
      <c r="I648" s="6">
        <v>873367.92</v>
      </c>
      <c r="J648" s="6"/>
      <c r="K648" s="6">
        <f>ROUND(I648*0.3,2)</f>
        <v>262010.38</v>
      </c>
      <c r="L648" s="6">
        <f t="shared" si="166"/>
        <v>611357.54</v>
      </c>
      <c r="M648" s="6">
        <f t="shared" si="167"/>
        <v>97817.21</v>
      </c>
      <c r="N648" s="6">
        <f t="shared" si="168"/>
        <v>709174.75</v>
      </c>
      <c r="O648" s="6">
        <f>+ROUND(I648*0.002,2)+ROUND(I648*0.0003,2)+ROUND(I648*0.0003,2)+ROUND(I648*0.0003,2)+ROUND(I648*0.002,2)</f>
        <v>4279.51</v>
      </c>
      <c r="P648" s="6">
        <f t="shared" si="169"/>
        <v>704895.24</v>
      </c>
      <c r="Q648" s="4" t="str">
        <f>LOOKUP($E648,OBRAS!$D:$D,OBRAS!B:B)</f>
        <v>RENTA, MOVIMIENTO DE CONSTRUCCION EQUIPEN, S.A. DE C.V.</v>
      </c>
      <c r="R648" s="4" t="str">
        <f>LOOKUP($E648,OBRAS!$D:$D,OBRAS!A:A)</f>
        <v>HERMOSILLO</v>
      </c>
      <c r="S648" s="4" t="str">
        <f>LOOKUP($E648,OBRAS!$D:$D,OBRAS!F:F)</f>
        <v>11000002003501E204K08063A625012162A207</v>
      </c>
      <c r="T648" s="4" t="str">
        <f>LOOKUP($E648,OBRAS!$D:$D,OBRAS!G:G)</f>
        <v>CE-926006995-E44-2016</v>
      </c>
      <c r="U648" s="4" t="s">
        <v>863</v>
      </c>
      <c r="V648" s="89">
        <v>42712</v>
      </c>
      <c r="W648" s="6">
        <f>LOOKUP($E648,OBRAS!$D:$D,OBRAS!K:K)</f>
        <v>22599852.190000001</v>
      </c>
      <c r="X648" s="109">
        <f t="shared" si="170"/>
        <v>4.48E-2</v>
      </c>
      <c r="Y648" s="109">
        <f t="shared" si="171"/>
        <v>0.66990000000000005</v>
      </c>
      <c r="Z648" s="109">
        <f t="shared" si="172"/>
        <v>0.76890000000000003</v>
      </c>
      <c r="AA648" s="4" t="str">
        <f>LOOKUP($E648,OBRAS!$D:$D,OBRAS!H:H)</f>
        <v>SH-ED-17-R-004</v>
      </c>
    </row>
    <row r="649" spans="1:27" ht="30" x14ac:dyDescent="0.25">
      <c r="A649" s="90">
        <v>42669</v>
      </c>
      <c r="B649" s="56">
        <v>4621</v>
      </c>
      <c r="C649" s="51">
        <v>648</v>
      </c>
      <c r="D649" s="4" t="str">
        <f>LOOKUP($E649,OBRAS!$D:$D,OBRAS!C:C)</f>
        <v>REHABILITACION DE PAVIMENTOS DE VARIAS CALLES Y AVENIDAS EN LA LOCALIDAD DE ADIVINO</v>
      </c>
      <c r="E649" s="4" t="s">
        <v>1016</v>
      </c>
      <c r="F649" s="4"/>
      <c r="G649" s="4" t="s">
        <v>1017</v>
      </c>
      <c r="H649" s="80" t="s">
        <v>23</v>
      </c>
      <c r="I649" s="6">
        <v>138117.64000000001</v>
      </c>
      <c r="J649" s="6"/>
      <c r="K649" s="6">
        <v>0</v>
      </c>
      <c r="L649" s="6">
        <f t="shared" si="166"/>
        <v>138117.64000000001</v>
      </c>
      <c r="M649" s="6">
        <f t="shared" si="167"/>
        <v>22098.82</v>
      </c>
      <c r="N649" s="6">
        <f t="shared" si="168"/>
        <v>160216.46</v>
      </c>
      <c r="O649" s="6">
        <v>0</v>
      </c>
      <c r="P649" s="6">
        <f t="shared" si="169"/>
        <v>160216.46</v>
      </c>
      <c r="Q649" s="4" t="str">
        <f>LOOKUP($E649,OBRAS!$D:$D,OBRAS!B:B)</f>
        <v>MOCUZARI CONSTRUCTORA, S.A. DE C.V.</v>
      </c>
      <c r="R649" s="4" t="str">
        <f>LOOKUP($E649,OBRAS!$D:$D,OBRAS!A:A)</f>
        <v>VILLA PESQUEIRA</v>
      </c>
      <c r="S649" s="4" t="str">
        <f>LOOKUP($E649,OBRAS!$D:$D,OBRAS!F:F)</f>
        <v>11000002002201E202K05186A614222165FM08</v>
      </c>
      <c r="T649" s="4" t="str">
        <f>LOOKUP($E649,OBRAS!$D:$D,OBRAS!G:G)</f>
        <v>AO-926006995-E136-2016</v>
      </c>
      <c r="U649" s="4" t="s">
        <v>863</v>
      </c>
      <c r="V649" s="89">
        <v>42677</v>
      </c>
      <c r="W649" s="6">
        <f>LOOKUP($E649,OBRAS!$D:$D,OBRAS!K:K)</f>
        <v>534054.88</v>
      </c>
      <c r="X649" s="109" t="str">
        <f t="shared" si="170"/>
        <v/>
      </c>
      <c r="Y649" s="109">
        <f t="shared" si="171"/>
        <v>0.80259999999999998</v>
      </c>
      <c r="Z649" s="109">
        <f t="shared" si="172"/>
        <v>0.86180000000000001</v>
      </c>
      <c r="AA649" s="4" t="str">
        <f>LOOKUP($E649,OBRAS!$D:$D,OBRAS!H:H)</f>
        <v>SH-NC-17-R-008</v>
      </c>
    </row>
    <row r="650" spans="1:27" ht="90" x14ac:dyDescent="0.25">
      <c r="A650" s="90">
        <v>42674</v>
      </c>
      <c r="B650" s="56">
        <v>4719</v>
      </c>
      <c r="C650" s="51">
        <v>649</v>
      </c>
      <c r="D650" s="4" t="str">
        <f>LOOKUP($E650,OBRAS!$D:$D,OBRAS!C:C)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650" s="4" t="s">
        <v>320</v>
      </c>
      <c r="F650" s="4"/>
      <c r="G650" s="4" t="str">
        <f>LOOKUP($E650,OBRAS!$D:$D,OBRAS!E:E)</f>
        <v>C-00098/0021</v>
      </c>
      <c r="H650" s="80" t="s">
        <v>215</v>
      </c>
      <c r="I650" s="6">
        <v>236819.84</v>
      </c>
      <c r="J650" s="6"/>
      <c r="K650" s="6">
        <f>ROUND(I650*0.1,2)</f>
        <v>23681.98</v>
      </c>
      <c r="L650" s="6">
        <f t="shared" si="166"/>
        <v>213137.86</v>
      </c>
      <c r="M650" s="6">
        <f t="shared" si="167"/>
        <v>34102.06</v>
      </c>
      <c r="N650" s="6">
        <f t="shared" si="168"/>
        <v>247239.92</v>
      </c>
      <c r="O650" s="6">
        <f>+ROUND(I650*0.002,2)+ROUND(I650*0.0003,2)+ROUND(I650*0.0003,2)+ROUND(I650*0.0003,2)</f>
        <v>686.79</v>
      </c>
      <c r="P650" s="6">
        <f t="shared" si="169"/>
        <v>246553.13</v>
      </c>
      <c r="Q650" s="4" t="str">
        <f>LOOKUP($E650,OBRAS!$D:$D,OBRAS!B:B)</f>
        <v>PROYECTOS Y SUPERVISION, J.H. ROMERO, S.A. DE C.V.</v>
      </c>
      <c r="R650" s="4" t="str">
        <f>LOOKUP($E650,OBRAS!$D:$D,OBRAS!A:A)</f>
        <v>VARIOS</v>
      </c>
      <c r="S650" s="4" t="str">
        <f>LOOKUP($E650,OBRAS!$D:$D,OBRAS!F:F)</f>
        <v>11000002003501E203K03203A625132161A013</v>
      </c>
      <c r="T650" s="4" t="str">
        <f>LOOKUP($E650,OBRAS!$D:$D,OBRAS!G:G)</f>
        <v>CE-926006995-E50-2016</v>
      </c>
      <c r="U650" s="4" t="s">
        <v>863</v>
      </c>
      <c r="V650" s="89">
        <v>42781</v>
      </c>
      <c r="W650" s="6">
        <f>LOOKUP($E650,OBRAS!$D:$D,OBRAS!K:K)</f>
        <v>1648266.09</v>
      </c>
      <c r="X650" s="109">
        <f t="shared" si="170"/>
        <v>0.16669999999999999</v>
      </c>
      <c r="Y650" s="109">
        <f t="shared" si="171"/>
        <v>1.0002</v>
      </c>
      <c r="Z650" s="109">
        <f t="shared" si="172"/>
        <v>1</v>
      </c>
      <c r="AA650" s="4" t="str">
        <f>LOOKUP($E650,OBRAS!$D:$D,OBRAS!H:H)</f>
        <v>SH-ED-16-040</v>
      </c>
    </row>
    <row r="651" spans="1:27" ht="60" x14ac:dyDescent="0.25">
      <c r="A651" s="90">
        <v>42671</v>
      </c>
      <c r="B651" s="56">
        <v>4692</v>
      </c>
      <c r="C651" s="51">
        <v>650</v>
      </c>
      <c r="D651" s="4" t="str">
        <f>LOOKUP($E651,OBRAS!$D:$D,OBRAS!C:C)</f>
        <v>CONSERVACION Y RECONSTRUCCION DE CARRETERAS ALIMENTADORAS REGION GUAYMAS--EMPALME, TRAMO: AGUILITAS-BRINGAS DEL KM 0+000 AL KM 10+500</v>
      </c>
      <c r="E651" s="4" t="s">
        <v>566</v>
      </c>
      <c r="F651" s="4"/>
      <c r="G651" s="4" t="str">
        <f>LOOKUP($E651,OBRAS!$D:$D,OBRAS!E:E)</f>
        <v>C-00054/0058</v>
      </c>
      <c r="H651" s="80" t="s">
        <v>215</v>
      </c>
      <c r="I651" s="6">
        <v>8996656.6400000006</v>
      </c>
      <c r="J651" s="6"/>
      <c r="K651" s="6">
        <f>ROUND(I651*0.3,2)</f>
        <v>2698996.99</v>
      </c>
      <c r="L651" s="6">
        <f t="shared" si="166"/>
        <v>6297659.6500000004</v>
      </c>
      <c r="M651" s="6">
        <f t="shared" si="167"/>
        <v>1007625.54</v>
      </c>
      <c r="N651" s="6">
        <f t="shared" si="168"/>
        <v>7305285.1900000004</v>
      </c>
      <c r="O651" s="6">
        <f>+ROUND(I651*0.002,2)+ROUND(I651*0.0003,2)+ROUND(I651*0.0003,2)+ROUND(I651*0.0003,2)+ROUND(I651*0.002,2)</f>
        <v>44083.62</v>
      </c>
      <c r="P651" s="6">
        <f t="shared" si="169"/>
        <v>7261201.5700000003</v>
      </c>
      <c r="Q651" s="4" t="str">
        <f>LOOKUP($E651,OBRAS!$D:$D,OBRAS!B:B)</f>
        <v>MAQUINARIA Y AGREGADOS GALA S.A. DE C.V.</v>
      </c>
      <c r="R651" s="4" t="str">
        <f>LOOKUP($E651,OBRAS!$D:$D,OBRAS!A:A)</f>
        <v>VARIOS</v>
      </c>
      <c r="S651" s="4" t="str">
        <f>LOOKUP($E651,OBRAS!$D:$D,OBRAS!F:F)</f>
        <v>11000002003501E204K08063A625012162A213</v>
      </c>
      <c r="T651" s="4" t="str">
        <f>LOOKUP($E651,OBRAS!$D:$D,OBRAS!G:G)</f>
        <v>CE-926006995-E22-2016</v>
      </c>
      <c r="U651" s="4" t="s">
        <v>863</v>
      </c>
      <c r="V651" s="89">
        <v>42712</v>
      </c>
      <c r="W651" s="6">
        <f>LOOKUP($E651,OBRAS!$D:$D,OBRAS!K:K)</f>
        <v>21349397.859999999</v>
      </c>
      <c r="X651" s="109">
        <f t="shared" si="170"/>
        <v>0.48880000000000001</v>
      </c>
      <c r="Y651" s="109">
        <f t="shared" si="171"/>
        <v>0.96679999999999999</v>
      </c>
      <c r="Z651" s="109">
        <f t="shared" si="172"/>
        <v>0.96679999999999999</v>
      </c>
      <c r="AA651" s="4" t="str">
        <f>LOOKUP($E651,OBRAS!$D:$D,OBRAS!H:H)</f>
        <v>SH-ED-17-R-013</v>
      </c>
    </row>
    <row r="652" spans="1:27" ht="60" x14ac:dyDescent="0.25">
      <c r="C652" s="51">
        <v>651</v>
      </c>
      <c r="D652" s="4" t="str">
        <f>LOOKUP($E652,OBRAS!$D:$D,OBRAS!C:C)</f>
        <v>PAVIMENTACION CON CONCRETO HIDRAULICO DE 15 CMS DE ESPESOR EN LA CALLE LOMAS DE FATIMA EN LA LOCALIDAD Y MUNICIPIO DE TUBUTAMA, SONORA</v>
      </c>
      <c r="E652" s="4" t="s">
        <v>1240</v>
      </c>
      <c r="F652" s="4"/>
      <c r="G652" s="4" t="str">
        <f>LOOKUP($E652,OBRAS!$D:$D,OBRAS!E:E)</f>
        <v>C-00052/0215</v>
      </c>
      <c r="H652" s="80" t="s">
        <v>23</v>
      </c>
      <c r="I652" s="6">
        <v>516723.71</v>
      </c>
      <c r="J652" s="6"/>
      <c r="K652" s="6">
        <v>0</v>
      </c>
      <c r="L652" s="6">
        <f t="shared" si="166"/>
        <v>516723.71</v>
      </c>
      <c r="M652" s="6">
        <f t="shared" si="167"/>
        <v>82675.789999999994</v>
      </c>
      <c r="N652" s="6">
        <f t="shared" si="168"/>
        <v>599399.5</v>
      </c>
      <c r="O652" s="6">
        <v>0</v>
      </c>
      <c r="P652" s="6">
        <f t="shared" si="169"/>
        <v>599399.5</v>
      </c>
      <c r="Q652" s="4" t="str">
        <f>LOOKUP($E652,OBRAS!$D:$D,OBRAS!B:B)</f>
        <v>LUIS ALFONSO CORDOVA CONTRERAS</v>
      </c>
      <c r="R652" s="4" t="str">
        <f>LOOKUP($E652,OBRAS!$D:$D,OBRAS!A:A)</f>
        <v>TUBUTAMA</v>
      </c>
      <c r="S652" s="4" t="str">
        <f>LOOKUP($E652,OBRAS!$D:$D,OBRAS!F:F)</f>
        <v>11000002002201E202K05186A614202165FN02</v>
      </c>
      <c r="T652" s="4" t="str">
        <f>LOOKUP($E652,OBRAS!$D:$D,OBRAS!G:G)</f>
        <v>IO-926006995-E141-2016</v>
      </c>
      <c r="U652" s="4" t="s">
        <v>863</v>
      </c>
      <c r="V652" s="89">
        <v>42682</v>
      </c>
      <c r="W652" s="6">
        <f>LOOKUP($E652,OBRAS!$D:$D,OBRAS!K:K)</f>
        <v>1997998.34</v>
      </c>
      <c r="X652" s="109" t="str">
        <f t="shared" si="170"/>
        <v/>
      </c>
      <c r="Y652" s="109">
        <f t="shared" si="171"/>
        <v>0.8508</v>
      </c>
      <c r="Z652" s="109">
        <f t="shared" si="172"/>
        <v>0.85329999999999995</v>
      </c>
      <c r="AA652" s="4" t="str">
        <f>LOOKUP($E652,OBRAS!$D:$D,OBRAS!H:H)</f>
        <v>SH-NC-17-R-005</v>
      </c>
    </row>
    <row r="653" spans="1:27" ht="45" x14ac:dyDescent="0.25">
      <c r="C653" s="51">
        <v>652</v>
      </c>
      <c r="D653" s="4" t="str">
        <f>LOOKUP($E653,OBRAS!$D:$D,OBRAS!C:C)</f>
        <v>PAVIMENTACION CON CONCRETO HIDRAULICO DE LA CALLE SALIDA A HUEPARI EN LA LOCALIDAD Y MUNICIPIO DE SAN PEDRO DE LA CUEVA</v>
      </c>
      <c r="E653" s="4" t="s">
        <v>1209</v>
      </c>
      <c r="F653" s="4"/>
      <c r="G653" s="4" t="str">
        <f>LOOKUP($E653,OBRAS!$D:$D,OBRAS!E:E)</f>
        <v>C-00052/0217</v>
      </c>
      <c r="H653" s="80" t="s">
        <v>23</v>
      </c>
      <c r="I653" s="6">
        <v>465510.41</v>
      </c>
      <c r="J653" s="6"/>
      <c r="K653" s="6">
        <v>0</v>
      </c>
      <c r="L653" s="6">
        <f t="shared" si="166"/>
        <v>465510.41</v>
      </c>
      <c r="M653" s="6">
        <f t="shared" si="167"/>
        <v>74481.67</v>
      </c>
      <c r="N653" s="6">
        <f t="shared" si="168"/>
        <v>539992.07999999996</v>
      </c>
      <c r="O653" s="6">
        <v>0</v>
      </c>
      <c r="P653" s="6">
        <f t="shared" si="169"/>
        <v>539992.07999999996</v>
      </c>
      <c r="Q653" s="4" t="str">
        <f>LOOKUP($E653,OBRAS!$D:$D,OBRAS!B:B)</f>
        <v>LUIS ALFONSO CORDOVA CONTRERAS</v>
      </c>
      <c r="R653" s="4" t="str">
        <f>LOOKUP($E653,OBRAS!$D:$D,OBRAS!A:A)</f>
        <v>SAN PEDRO DE LA CUEVA</v>
      </c>
      <c r="S653" s="4" t="str">
        <f>LOOKUP($E653,OBRAS!$D:$D,OBRAS!F:F)</f>
        <v>11000002002201E202K05186A614202165FN08C</v>
      </c>
      <c r="T653" s="4" t="str">
        <f>LOOKUP($E653,OBRAS!$D:$D,OBRAS!G:G)</f>
        <v>IO-926006995-E107-2016</v>
      </c>
      <c r="U653" s="4" t="s">
        <v>863</v>
      </c>
      <c r="V653" s="89">
        <v>42682</v>
      </c>
      <c r="W653" s="6">
        <f>LOOKUP($E653,OBRAS!$D:$D,OBRAS!K:K)</f>
        <v>1799973.59</v>
      </c>
      <c r="X653" s="109" t="str">
        <f t="shared" si="170"/>
        <v/>
      </c>
      <c r="Y653" s="109">
        <f t="shared" si="171"/>
        <v>0.51619999999999999</v>
      </c>
      <c r="Z653" s="109">
        <f t="shared" si="172"/>
        <v>0.66139999999999999</v>
      </c>
      <c r="AA653" s="4" t="str">
        <f>LOOKUP($E653,OBRAS!$D:$D,OBRAS!H:H)</f>
        <v>SH-NC-17-R-005</v>
      </c>
    </row>
    <row r="654" spans="1:27" ht="60" x14ac:dyDescent="0.25">
      <c r="C654" s="51">
        <v>653</v>
      </c>
      <c r="D654" s="4" t="str">
        <f>LOOKUP($E654,OBRAS!$D:$D,OBRAS!C:C)</f>
        <v>PAVIMENTACION CON CONCRETO HIDRAULICO DE 15 CMS DE ESPESOR EN CALLE PARQUE BARRIO BAJO EN LA LOCALIDAD DE TECORIPA MUNICIPIO DE LA COLORADA, SONORA</v>
      </c>
      <c r="E654" s="4" t="s">
        <v>1214</v>
      </c>
      <c r="F654" s="4"/>
      <c r="G654" s="4" t="str">
        <f>LOOKUP($E654,OBRAS!$D:$D,OBRAS!E:E)</f>
        <v>C-00052/0216</v>
      </c>
      <c r="H654" s="80" t="s">
        <v>23</v>
      </c>
      <c r="I654" s="6">
        <v>324860.62</v>
      </c>
      <c r="J654" s="6"/>
      <c r="K654" s="6">
        <v>0</v>
      </c>
      <c r="L654" s="6">
        <f t="shared" si="166"/>
        <v>324860.62</v>
      </c>
      <c r="M654" s="6">
        <f t="shared" si="167"/>
        <v>51977.7</v>
      </c>
      <c r="N654" s="6">
        <f t="shared" si="168"/>
        <v>376838.32</v>
      </c>
      <c r="O654" s="6">
        <v>0</v>
      </c>
      <c r="P654" s="6">
        <f t="shared" si="169"/>
        <v>376838.32</v>
      </c>
      <c r="Q654" s="4" t="str">
        <f>LOOKUP($E654,OBRAS!$D:$D,OBRAS!B:B)</f>
        <v>CONSTRUCTORES LISTA BLANCA, S.A.DE C.V.</v>
      </c>
      <c r="R654" s="4" t="str">
        <f>LOOKUP($E654,OBRAS!$D:$D,OBRAS!A:A)</f>
        <v>LA COLORADA</v>
      </c>
      <c r="S654" s="4" t="str">
        <f>LOOKUP($E654,OBRAS!$D:$D,OBRAS!F:F)</f>
        <v>11000002002201E202K05186A614202165FN08</v>
      </c>
      <c r="T654" s="4" t="str">
        <f>LOOKUP($E654,OBRAS!$D:$D,OBRAS!G:G)</f>
        <v>IO-926006995-E129-2016</v>
      </c>
      <c r="U654" s="4" t="s">
        <v>863</v>
      </c>
      <c r="V654" s="89">
        <v>42682</v>
      </c>
      <c r="W654" s="6">
        <f>LOOKUP($E654,OBRAS!$D:$D,OBRAS!K:K)</f>
        <v>1256127.72</v>
      </c>
      <c r="X654" s="109" t="str">
        <f t="shared" si="170"/>
        <v/>
      </c>
      <c r="Y654" s="109">
        <f t="shared" si="171"/>
        <v>0.88949999999999996</v>
      </c>
      <c r="Z654" s="109">
        <f t="shared" si="172"/>
        <v>0.88949999999999996</v>
      </c>
      <c r="AA654" s="4" t="str">
        <f>LOOKUP($E654,OBRAS!$D:$D,OBRAS!H:H)</f>
        <v>SH-NC-17-R-005</v>
      </c>
    </row>
    <row r="655" spans="1:27" ht="75" x14ac:dyDescent="0.25">
      <c r="C655" s="51">
        <v>654</v>
      </c>
      <c r="D655" s="4" t="str">
        <f>LOOKUP($E655,OBRAS!$D:$D,OBRAS!C:C)</f>
        <v>PAVIMENTACION CON CARPETA ASFALTICA DE 5 CMS DE ESPESOR EN LA CALLE COAHUILA ENTRE CANANEA Y LAGO MAGDA, EN LA LOCALIDAD DE CIUDAD OBREGON MUNICIPIO DE CAJEME, SONORA</v>
      </c>
      <c r="E655" s="4" t="s">
        <v>1219</v>
      </c>
      <c r="F655" s="4"/>
      <c r="G655" s="4" t="str">
        <f>LOOKUP($E655,OBRAS!$D:$D,OBRAS!E:E)</f>
        <v>C-00052/0228</v>
      </c>
      <c r="H655" s="80" t="s">
        <v>23</v>
      </c>
      <c r="I655" s="6">
        <v>162066.29999999999</v>
      </c>
      <c r="J655" s="6"/>
      <c r="K655" s="6">
        <v>0</v>
      </c>
      <c r="L655" s="6">
        <f t="shared" si="166"/>
        <v>162066.29999999999</v>
      </c>
      <c r="M655" s="6">
        <f t="shared" si="167"/>
        <v>25930.61</v>
      </c>
      <c r="N655" s="6">
        <f t="shared" si="168"/>
        <v>187996.91</v>
      </c>
      <c r="O655" s="6">
        <v>0</v>
      </c>
      <c r="P655" s="6">
        <f t="shared" si="169"/>
        <v>187996.91</v>
      </c>
      <c r="Q655" s="4" t="str">
        <f>LOOKUP($E655,OBRAS!$D:$D,OBRAS!B:B)</f>
        <v>VLEXEL, S. C.</v>
      </c>
      <c r="R655" s="4" t="str">
        <f>LOOKUP($E655,OBRAS!$D:$D,OBRAS!A:A)</f>
        <v>CAJEME</v>
      </c>
      <c r="S655" s="4" t="str">
        <f>LOOKUP($E655,OBRAS!$D:$D,OBRAS!F:F)</f>
        <v>11000002002201E202K05186A614202165FN11</v>
      </c>
      <c r="T655" s="4" t="str">
        <f>LOOKUP($E655,OBRAS!$D:$D,OBRAS!G:G)</f>
        <v>AO-926006995-E124-2016</v>
      </c>
      <c r="U655" s="4" t="s">
        <v>863</v>
      </c>
      <c r="V655" s="89">
        <v>42682</v>
      </c>
      <c r="W655" s="6">
        <f>LOOKUP($E655,OBRAS!$D:$D,OBRAS!K:K)</f>
        <v>626656.36</v>
      </c>
      <c r="X655" s="109" t="str">
        <f t="shared" si="170"/>
        <v/>
      </c>
      <c r="Y655" s="109">
        <f t="shared" si="171"/>
        <v>1.0018</v>
      </c>
      <c r="Z655" s="109">
        <f t="shared" si="172"/>
        <v>0.99919999999999998</v>
      </c>
      <c r="AA655" s="4" t="str">
        <f>LOOKUP($E655,OBRAS!$D:$D,OBRAS!H:H)</f>
        <v>SH-NC-17-R-005</v>
      </c>
    </row>
    <row r="656" spans="1:27" x14ac:dyDescent="0.25">
      <c r="C656" s="51"/>
      <c r="D656" s="4"/>
      <c r="E656" s="4"/>
      <c r="F656" s="4"/>
      <c r="G656" s="4"/>
      <c r="H656" s="80"/>
      <c r="I656" s="6"/>
      <c r="J656" s="6"/>
      <c r="K656" s="6"/>
      <c r="L656" s="6"/>
      <c r="M656" s="6"/>
      <c r="N656" s="6"/>
      <c r="O656" s="6"/>
      <c r="P656" s="6"/>
      <c r="Q656" s="4"/>
      <c r="R656" s="4"/>
      <c r="S656" s="4" t="e">
        <f>LOOKUP($E656,OBRAS!$D:$D,OBRAS!F:F)</f>
        <v>#N/A</v>
      </c>
      <c r="T656" s="4" t="e">
        <f>LOOKUP($E656,OBRAS!$D:$D,OBRAS!G:G)</f>
        <v>#N/A</v>
      </c>
      <c r="U656" s="4"/>
      <c r="V656" s="4"/>
      <c r="W656" s="6"/>
      <c r="X656" s="109"/>
      <c r="Y656" s="109"/>
      <c r="Z656" s="109"/>
      <c r="AA656" s="4"/>
    </row>
    <row r="657" spans="1:27" ht="60" x14ac:dyDescent="0.25">
      <c r="C657" s="51">
        <v>656</v>
      </c>
      <c r="D657" s="4" t="str">
        <f>LOOKUP($E657,OBRAS!$D:$D,OBRAS!C:C)</f>
        <v>PAVIMENTACION CON CONCRETO HIDRAULICO EN CALLE 10 ENTRE AVENIDA QUIROZ MORA Y AVENIDA H. COLEGIO MILITAR (CALLE N) EN LA LOCALIDAD Y MUNICIPIO DE CABORCA, SONORA</v>
      </c>
      <c r="E657" s="4" t="s">
        <v>1230</v>
      </c>
      <c r="F657" s="4"/>
      <c r="G657" s="4" t="str">
        <f>LOOKUP($E657,OBRAS!$D:$D,OBRAS!E:E)</f>
        <v>C-00052/0223</v>
      </c>
      <c r="H657" s="80" t="s">
        <v>23</v>
      </c>
      <c r="I657" s="6">
        <v>2977464.62</v>
      </c>
      <c r="J657" s="6"/>
      <c r="K657" s="6"/>
      <c r="L657" s="6">
        <f t="shared" ref="L657:L720" si="173">I657-K657</f>
        <v>2977464.62</v>
      </c>
      <c r="M657" s="6">
        <f t="shared" ref="M657:M675" si="174">ROUND(L657*0.16,2)</f>
        <v>476394.34</v>
      </c>
      <c r="N657" s="6">
        <f t="shared" ref="N657:N720" si="175">M657+L657</f>
        <v>3453858.96</v>
      </c>
      <c r="O657" s="6"/>
      <c r="P657" s="6">
        <f t="shared" ref="P657:P720" si="176">N657-O657</f>
        <v>3453858.96</v>
      </c>
      <c r="Q657" s="4" t="str">
        <f>LOOKUP($E657,OBRAS!$D:$D,OBRAS!B:B)</f>
        <v>INGENIERIA UNIVERSAL S. A. DE C. V.</v>
      </c>
      <c r="R657" s="4" t="str">
        <f>LOOKUP($E657,OBRAS!$D:$D,OBRAS!A:A)</f>
        <v>CABORCA</v>
      </c>
      <c r="S657" s="4" t="str">
        <f>LOOKUP($E657,OBRAS!$D:$D,OBRAS!F:F)</f>
        <v>11000002002201E202K05186A614202165FN02</v>
      </c>
      <c r="T657" s="4" t="str">
        <f>LOOKUP($E657,OBRAS!$D:$D,OBRAS!G:G)</f>
        <v>LO-926006995-E95-2016</v>
      </c>
      <c r="U657" s="4" t="s">
        <v>863</v>
      </c>
      <c r="V657" s="89">
        <v>42683</v>
      </c>
      <c r="W657" s="6">
        <f>LOOKUP($E657,OBRAS!$D:$D,OBRAS!K:K)</f>
        <v>11512863.189999999</v>
      </c>
      <c r="X657" s="109" t="str">
        <f t="shared" ref="X657:X720" si="177">IF(H657&lt;&gt;"ANTICIPO",I657/(W657/1.16),"")</f>
        <v/>
      </c>
      <c r="Y657" s="109">
        <f t="shared" ref="Y657:Y720" si="178">SUMIF(E:E,E657,X:X)</f>
        <v>0.14299999999999999</v>
      </c>
      <c r="Z657" s="109">
        <f t="shared" ref="Z657:Z720" si="179">SUMIF(E:E,E657,N:N)/W657</f>
        <v>0.40010000000000001</v>
      </c>
      <c r="AA657" s="4" t="str">
        <f>LOOKUP($E657,OBRAS!$D:$D,OBRAS!H:H)</f>
        <v>SH-NC-17-R-005</v>
      </c>
    </row>
    <row r="658" spans="1:27" ht="60" x14ac:dyDescent="0.25">
      <c r="C658" s="51">
        <v>657</v>
      </c>
      <c r="D658" s="4" t="str">
        <f>LOOKUP($E658,OBRAS!$D:$D,OBRAS!C:C)</f>
        <v>PAVIMENTACION CON CONCRETO HIDRAULICO DE CALLE GRAL. ESTEBAN BACA CALDERON ENTRE BENITO JUAREZ Y RAHAM EN LA LOCALIDAD Y MUNICIPIO DE SAN IGNACIO RIO MUERTO</v>
      </c>
      <c r="E658" s="4" t="s">
        <v>1235</v>
      </c>
      <c r="F658" s="4"/>
      <c r="G658" s="4" t="str">
        <f>LOOKUP($E658,OBRAS!$D:$D,OBRAS!E:E)</f>
        <v>C-00052/0187</v>
      </c>
      <c r="H658" s="80" t="s">
        <v>23</v>
      </c>
      <c r="I658" s="6">
        <v>2274704.0299999998</v>
      </c>
      <c r="J658" s="6"/>
      <c r="K658" s="6"/>
      <c r="L658" s="6">
        <f t="shared" si="173"/>
        <v>2274704.0299999998</v>
      </c>
      <c r="M658" s="6">
        <f t="shared" si="174"/>
        <v>363952.64000000001</v>
      </c>
      <c r="N658" s="6">
        <f t="shared" si="175"/>
        <v>2638656.67</v>
      </c>
      <c r="O658" s="6"/>
      <c r="P658" s="6">
        <f t="shared" si="176"/>
        <v>2638656.67</v>
      </c>
      <c r="Q658" s="4" t="str">
        <f>LOOKUP($E658,OBRAS!$D:$D,OBRAS!B:B)</f>
        <v>GRUPO PROFING CONSTRUCCIONES Y DESARROLLOS, S. A. DE C. V.</v>
      </c>
      <c r="R658" s="4" t="str">
        <f>LOOKUP($E658,OBRAS!$D:$D,OBRAS!A:A)</f>
        <v>SAN IGNACIO RIO MUERTO</v>
      </c>
      <c r="S658" s="4" t="str">
        <f>LOOKUP($E658,OBRAS!$D:$D,OBRAS!F:F)</f>
        <v>11000002002201E202K05186A614202165FC10</v>
      </c>
      <c r="T658" s="4" t="str">
        <f>LOOKUP($E658,OBRAS!$D:$D,OBRAS!G:G)</f>
        <v>LO-926006995-E113-2016</v>
      </c>
      <c r="U658" s="4" t="s">
        <v>863</v>
      </c>
      <c r="V658" s="89">
        <v>42682</v>
      </c>
      <c r="W658" s="6">
        <f>LOOKUP($E658,OBRAS!$D:$D,OBRAS!K:K)</f>
        <v>8795522.2799999993</v>
      </c>
      <c r="X658" s="109" t="str">
        <f t="shared" si="177"/>
        <v/>
      </c>
      <c r="Y658" s="109">
        <f t="shared" si="178"/>
        <v>0.48780000000000001</v>
      </c>
      <c r="Z658" s="109">
        <f t="shared" si="179"/>
        <v>0.64149999999999996</v>
      </c>
      <c r="AA658" s="4" t="str">
        <f>LOOKUP($E658,OBRAS!$D:$D,OBRAS!H:H)</f>
        <v>SH-NC-17-R-009</v>
      </c>
    </row>
    <row r="659" spans="1:27" ht="45" x14ac:dyDescent="0.25">
      <c r="A659" s="90">
        <v>42674</v>
      </c>
      <c r="B659" s="56">
        <v>4717</v>
      </c>
      <c r="C659" s="51">
        <v>658</v>
      </c>
      <c r="D659" s="4" t="str">
        <f>LOOKUP($E659,OBRAS!$D:$D,OBRAS!C:C)</f>
        <v>CONSTRUCCION DE PARQUE DE ACCESO DEL MUSEO MUSAS EN LA LOCALIDAD Y MUNICIPIO DE HERMOSILLO</v>
      </c>
      <c r="E659" s="4" t="s">
        <v>89</v>
      </c>
      <c r="F659" s="4" t="s">
        <v>1436</v>
      </c>
      <c r="G659" s="4" t="str">
        <f>LOOKUP($E659,OBRAS!$D:$D,OBRAS!E:E)</f>
        <v>C-00093/0010</v>
      </c>
      <c r="H659" s="80" t="s">
        <v>748</v>
      </c>
      <c r="I659" s="6">
        <v>286016.17</v>
      </c>
      <c r="J659" s="6"/>
      <c r="K659" s="6">
        <v>114406.47</v>
      </c>
      <c r="L659" s="6">
        <f t="shared" si="173"/>
        <v>171609.7</v>
      </c>
      <c r="M659" s="6">
        <f t="shared" si="174"/>
        <v>27457.55</v>
      </c>
      <c r="N659" s="6">
        <f t="shared" si="175"/>
        <v>199067.25</v>
      </c>
      <c r="O659" s="6">
        <f>+ROUND(I659*0.005,2)</f>
        <v>1430.08</v>
      </c>
      <c r="P659" s="6">
        <f t="shared" si="176"/>
        <v>197637.17</v>
      </c>
      <c r="Q659" s="4" t="str">
        <f>LOOKUP($E659,OBRAS!$D:$D,OBRAS!B:B)</f>
        <v>CONSTRUCTORES LISTABLANCA, S.A. DE C.V.</v>
      </c>
      <c r="R659" s="4" t="str">
        <f>LOOKUP($E659,OBRAS!$D:$D,OBRAS!A:A)</f>
        <v>HERMOSILLO</v>
      </c>
      <c r="S659" s="4" t="str">
        <f>LOOKUP($E659,OBRAS!$D:$D,OBRAS!F:F)</f>
        <v>11000002002402E406K06106A612012155GL07</v>
      </c>
      <c r="T659" s="4" t="str">
        <f>LOOKUP($E659,OBRAS!$D:$D,OBRAS!G:G)</f>
        <v>LO-926006995-N8-2015</v>
      </c>
      <c r="U659" s="4" t="s">
        <v>863</v>
      </c>
      <c r="V659" s="89">
        <v>42698</v>
      </c>
      <c r="W659" s="6">
        <f>LOOKUP($E659,OBRAS!$D:$D,OBRAS!K:K)</f>
        <v>10308275.199999999</v>
      </c>
      <c r="X659" s="109">
        <f t="shared" si="177"/>
        <v>3.2199999999999999E-2</v>
      </c>
      <c r="Y659" s="109">
        <f t="shared" si="178"/>
        <v>1.0001</v>
      </c>
      <c r="Z659" s="109">
        <f t="shared" si="179"/>
        <v>0.6</v>
      </c>
      <c r="AA659" s="4" t="str">
        <f>LOOKUP($E659,OBRAS!$D:$D,OBRAS!H:H)</f>
        <v>SH-NC-16-R-007</v>
      </c>
    </row>
    <row r="660" spans="1:27" ht="90" x14ac:dyDescent="0.25">
      <c r="A660" s="90">
        <v>42674</v>
      </c>
      <c r="B660" s="56">
        <v>4720</v>
      </c>
      <c r="C660" s="51">
        <v>659</v>
      </c>
      <c r="D660" s="4" t="str">
        <f>LOOKUP($E660,OBRAS!$D:$D,OBRAS!C:C)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660" s="4" t="s">
        <v>320</v>
      </c>
      <c r="F660" s="4"/>
      <c r="G660" s="4" t="str">
        <f>LOOKUP($E660,OBRAS!$D:$D,OBRAS!E:E)</f>
        <v>C-00098/0021</v>
      </c>
      <c r="H660" s="80" t="s">
        <v>15</v>
      </c>
      <c r="I660" s="6">
        <v>236819.84</v>
      </c>
      <c r="J660" s="6"/>
      <c r="K660" s="6">
        <f>ROUND(I660*0.1,2)</f>
        <v>23681.98</v>
      </c>
      <c r="L660" s="6">
        <f t="shared" si="173"/>
        <v>213137.86</v>
      </c>
      <c r="M660" s="6">
        <f t="shared" si="174"/>
        <v>34102.06</v>
      </c>
      <c r="N660" s="6">
        <f t="shared" si="175"/>
        <v>247239.92</v>
      </c>
      <c r="O660" s="6">
        <f>ROUND(I660*0.0003,2)+ROUND(I660*0.0003,2)+ROUND(I660*0.0003,2)+ROUND(I660*0.002,2)</f>
        <v>686.79</v>
      </c>
      <c r="P660" s="6">
        <f t="shared" si="176"/>
        <v>246553.13</v>
      </c>
      <c r="Q660" s="4" t="str">
        <f>LOOKUP($E660,OBRAS!$D:$D,OBRAS!B:B)</f>
        <v>PROYECTOS Y SUPERVISION, J.H. ROMERO, S.A. DE C.V.</v>
      </c>
      <c r="R660" s="4" t="str">
        <f>LOOKUP($E660,OBRAS!$D:$D,OBRAS!A:A)</f>
        <v>VARIOS</v>
      </c>
      <c r="S660" s="4" t="str">
        <f>LOOKUP($E660,OBRAS!$D:$D,OBRAS!F:F)</f>
        <v>11000002003501E203K03203A625132161A013</v>
      </c>
      <c r="T660" s="4" t="str">
        <f>LOOKUP($E660,OBRAS!$D:$D,OBRAS!G:G)</f>
        <v>CE-926006995-E50-2016</v>
      </c>
      <c r="U660" s="4" t="s">
        <v>863</v>
      </c>
      <c r="V660" s="89">
        <v>42781</v>
      </c>
      <c r="W660" s="6">
        <f>LOOKUP($E660,OBRAS!$D:$D,OBRAS!K:K)</f>
        <v>1648266.09</v>
      </c>
      <c r="X660" s="109">
        <f t="shared" si="177"/>
        <v>0.16669999999999999</v>
      </c>
      <c r="Y660" s="109">
        <f t="shared" si="178"/>
        <v>1.0002</v>
      </c>
      <c r="Z660" s="109">
        <f t="shared" si="179"/>
        <v>1</v>
      </c>
      <c r="AA660" s="4" t="str">
        <f>LOOKUP($E660,OBRAS!$D:$D,OBRAS!H:H)</f>
        <v>SH-ED-16-040</v>
      </c>
    </row>
    <row r="661" spans="1:27" ht="75" x14ac:dyDescent="0.25">
      <c r="A661" s="90">
        <v>42683</v>
      </c>
      <c r="B661" s="56">
        <v>4959</v>
      </c>
      <c r="C661" s="49">
        <v>660</v>
      </c>
      <c r="D661" s="4" t="str">
        <f>LOOKUP($E661,OBRAS!$D:$D,OBRAS!C:C)</f>
        <v>SUPERVISION Y CONTROL DE CALIDAD DE LA OBRA: RECONSTRUCCION DE E.C. (HERMOSILLO -  BAHIA DE KINO) - GRANJA ACUICOLA SAN NICOLAS DEL KM 0+000 AL KM 10+410 EN VARIAS LOCALIDADES DE HERMOSILLO, SONORA.</v>
      </c>
      <c r="E661" s="4" t="s">
        <v>848</v>
      </c>
      <c r="F661" s="4"/>
      <c r="G661" s="4" t="str">
        <f>LOOKUP($E661,OBRAS!$D:$D,OBRAS!E:E)</f>
        <v>C-00098/0022</v>
      </c>
      <c r="H661" s="80" t="s">
        <v>55</v>
      </c>
      <c r="I661" s="6">
        <v>82406.789999999994</v>
      </c>
      <c r="J661" s="6"/>
      <c r="K661" s="6">
        <v>0</v>
      </c>
      <c r="L661" s="6">
        <f t="shared" si="173"/>
        <v>82406.789999999994</v>
      </c>
      <c r="M661" s="6">
        <f t="shared" si="174"/>
        <v>13185.09</v>
      </c>
      <c r="N661" s="6">
        <f t="shared" si="175"/>
        <v>95591.88</v>
      </c>
      <c r="O661" s="6">
        <f>ROUND(I661*0.0003,2)+ROUND(I661*0.0003,2)+ROUND(I661*0.0003,2)+ROUND(I661*0.002,2)</f>
        <v>238.97</v>
      </c>
      <c r="P661" s="6">
        <f t="shared" si="176"/>
        <v>95352.91</v>
      </c>
      <c r="Q661" s="4" t="str">
        <f>LOOKUP($E661,OBRAS!$D:$D,OBRAS!B:B)</f>
        <v>DAPCI, S.A. DE C.V.</v>
      </c>
      <c r="R661" s="4" t="str">
        <f>LOOKUP($E661,OBRAS!$D:$D,OBRAS!A:A)</f>
        <v>HERMOSILLO</v>
      </c>
      <c r="S661" s="4" t="str">
        <f>LOOKUP($E661,OBRAS!$D:$D,OBRAS!F:F)</f>
        <v>11000002002207E201K02104A622212161A013</v>
      </c>
      <c r="T661" s="4" t="str">
        <f>LOOKUP($E661,OBRAS!$D:$D,OBRAS!G:G)</f>
        <v>LICITACIÓN SIMPLIFICADA</v>
      </c>
      <c r="U661" s="4" t="s">
        <v>863</v>
      </c>
      <c r="V661" s="89">
        <v>42781</v>
      </c>
      <c r="W661" s="6">
        <f>LOOKUP($E661,OBRAS!$D:$D,OBRAS!K:K)</f>
        <v>573551.26</v>
      </c>
      <c r="X661" s="109">
        <f t="shared" si="177"/>
        <v>0.16669999999999999</v>
      </c>
      <c r="Y661" s="109">
        <f t="shared" si="178"/>
        <v>0.71</v>
      </c>
      <c r="Z661" s="109">
        <f t="shared" si="179"/>
        <v>0.70989999999999998</v>
      </c>
      <c r="AA661" s="4" t="str">
        <f>LOOKUP($E661,OBRAS!$D:$D,OBRAS!H:H)</f>
        <v>SH-ED-16-066</v>
      </c>
    </row>
    <row r="662" spans="1:27" ht="45" x14ac:dyDescent="0.25">
      <c r="A662" s="90">
        <v>42674</v>
      </c>
      <c r="B662" s="56">
        <v>4721</v>
      </c>
      <c r="C662" s="51">
        <v>661</v>
      </c>
      <c r="D662" s="4" t="str">
        <f>LOOKUP($E662,OBRAS!$D:$D,OBRAS!C:C)</f>
        <v>SUPERVISION EXTERNA Y CONTROL DE CALIDAD DE LAS OBRAS DE REHABILITACION DEL DELFINARIO SONORA (PRIMERA ETAPA)</v>
      </c>
      <c r="E662" s="4" t="s">
        <v>480</v>
      </c>
      <c r="F662" s="4"/>
      <c r="G662" s="4" t="str">
        <f>LOOKUP($E662,OBRAS!$D:$D,OBRAS!E:E)</f>
        <v>C-00098/0035</v>
      </c>
      <c r="H662" s="80" t="s">
        <v>55</v>
      </c>
      <c r="I662" s="6">
        <v>276687.64</v>
      </c>
      <c r="J662" s="6"/>
      <c r="K662" s="6">
        <f>ROUND(I662*0.1,2)</f>
        <v>27668.76</v>
      </c>
      <c r="L662" s="6">
        <f t="shared" si="173"/>
        <v>249018.88</v>
      </c>
      <c r="M662" s="6">
        <f t="shared" si="174"/>
        <v>39843.019999999997</v>
      </c>
      <c r="N662" s="6">
        <f t="shared" si="175"/>
        <v>288861.90000000002</v>
      </c>
      <c r="O662" s="6">
        <f>ROUND(I662*0.0003,2)+ROUND(I662*0.0003,2)+ROUND(I662*0.0003,2)+ROUND(I662*0.002,2)</f>
        <v>802.41</v>
      </c>
      <c r="P662" s="6">
        <f t="shared" si="176"/>
        <v>288059.49</v>
      </c>
      <c r="Q662" s="4" t="str">
        <f>LOOKUP($E662,OBRAS!$D:$D,OBRAS!B:B)</f>
        <v>ING. DANIEL ACEVEDO ESMERIO</v>
      </c>
      <c r="R662" s="4" t="str">
        <f>LOOKUP($E662,OBRAS!$D:$D,OBRAS!A:A)</f>
        <v>GUAYMAS</v>
      </c>
      <c r="S662" s="4" t="str">
        <f>LOOKUP($E662,OBRAS!$D:$D,OBRAS!F:F)</f>
        <v>11000002002207E202K05200A62222161A013</v>
      </c>
      <c r="T662" s="4" t="str">
        <f>LOOKUP($E662,OBRAS!$D:$D,OBRAS!G:G)</f>
        <v>CE-926006995-E57-2016</v>
      </c>
      <c r="U662" s="4" t="s">
        <v>863</v>
      </c>
      <c r="V662" s="89">
        <v>42762</v>
      </c>
      <c r="W662" s="6">
        <f>LOOKUP($E662,OBRAS!$D:$D,OBRAS!K:K)</f>
        <v>1367299.18</v>
      </c>
      <c r="X662" s="109">
        <f t="shared" si="177"/>
        <v>0.23469999999999999</v>
      </c>
      <c r="Y662" s="109">
        <f t="shared" si="178"/>
        <v>0.91549999999999998</v>
      </c>
      <c r="Z662" s="109">
        <f t="shared" si="179"/>
        <v>0.92390000000000005</v>
      </c>
      <c r="AA662" s="4" t="str">
        <f>LOOKUP($E662,OBRAS!$D:$D,OBRAS!H:H)</f>
        <v>SH-ED-17-R-018</v>
      </c>
    </row>
    <row r="663" spans="1:27" ht="45" x14ac:dyDescent="0.25">
      <c r="A663" s="90">
        <v>42674</v>
      </c>
      <c r="B663" s="56">
        <v>4722</v>
      </c>
      <c r="C663" s="51">
        <v>662</v>
      </c>
      <c r="D663" s="4" t="str">
        <f>LOOKUP($E663,OBRAS!$D:$D,OBRAS!C:C)</f>
        <v>SUPERVISION EXTERNA Y CONTROL DE CALIDAD DE LAS OBRAS DE REHABILITACION DEL DELFINARIO SONORA (PRIMERA ETAPA)</v>
      </c>
      <c r="E663" s="4" t="s">
        <v>480</v>
      </c>
      <c r="F663" s="4"/>
      <c r="G663" s="4" t="str">
        <f>LOOKUP($E663,OBRAS!$D:$D,OBRAS!E:E)</f>
        <v>C-00098/0035</v>
      </c>
      <c r="H663" s="80" t="s">
        <v>215</v>
      </c>
      <c r="I663" s="6">
        <v>265620.13</v>
      </c>
      <c r="J663" s="6"/>
      <c r="K663" s="6">
        <f>ROUND(I663*0.1,2)</f>
        <v>26562.01</v>
      </c>
      <c r="L663" s="6">
        <f t="shared" si="173"/>
        <v>239058.12</v>
      </c>
      <c r="M663" s="6">
        <f t="shared" si="174"/>
        <v>38249.300000000003</v>
      </c>
      <c r="N663" s="6">
        <f t="shared" si="175"/>
        <v>277307.42</v>
      </c>
      <c r="O663" s="6">
        <f>ROUND(I663*0.0003,2)+ROUND(I663*0.0003,2)+ROUND(I663*0.0003,2)+ROUND(I663*0.002,2)</f>
        <v>770.31</v>
      </c>
      <c r="P663" s="6">
        <f t="shared" si="176"/>
        <v>276537.11</v>
      </c>
      <c r="Q663" s="4" t="str">
        <f>LOOKUP($E663,OBRAS!$D:$D,OBRAS!B:B)</f>
        <v>ING. DANIEL ACEVEDO ESMERIO</v>
      </c>
      <c r="R663" s="4" t="str">
        <f>LOOKUP($E663,OBRAS!$D:$D,OBRAS!A:A)</f>
        <v>GUAYMAS</v>
      </c>
      <c r="S663" s="4" t="str">
        <f>LOOKUP($E663,OBRAS!$D:$D,OBRAS!F:F)</f>
        <v>11000002002207E202K05200A62222161A013</v>
      </c>
      <c r="T663" s="4" t="str">
        <f>LOOKUP($E663,OBRAS!$D:$D,OBRAS!G:G)</f>
        <v>CE-926006995-E57-2016</v>
      </c>
      <c r="U663" s="4" t="s">
        <v>863</v>
      </c>
      <c r="V663" s="89">
        <v>42762</v>
      </c>
      <c r="W663" s="6">
        <f>LOOKUP($E663,OBRAS!$D:$D,OBRAS!K:K)</f>
        <v>1367299.18</v>
      </c>
      <c r="X663" s="109">
        <f t="shared" si="177"/>
        <v>0.2253</v>
      </c>
      <c r="Y663" s="109">
        <f t="shared" si="178"/>
        <v>0.91549999999999998</v>
      </c>
      <c r="Z663" s="109">
        <f t="shared" si="179"/>
        <v>0.92390000000000005</v>
      </c>
      <c r="AA663" s="4" t="str">
        <f>LOOKUP($E663,OBRAS!$D:$D,OBRAS!H:H)</f>
        <v>SH-ED-17-R-018</v>
      </c>
    </row>
    <row r="664" spans="1:27" ht="45" x14ac:dyDescent="0.25">
      <c r="A664" s="90">
        <v>42674</v>
      </c>
      <c r="B664" s="56">
        <v>4729</v>
      </c>
      <c r="C664" s="51">
        <v>663</v>
      </c>
      <c r="D664" s="4" t="str">
        <f>LOOKUP($E664,OBRAS!$D:$D,OBRAS!C:C)</f>
        <v>SUPERVISION EXTERNA Y CONTROL DE CALIDAD DE CONSTRUCCION DE LA BODEGA DE EVIDENCIAS DEL DISTRITO DE HERMOSILLO, PRIMERA ETAPA</v>
      </c>
      <c r="E664" s="4" t="s">
        <v>628</v>
      </c>
      <c r="F664" s="4"/>
      <c r="G664" s="4" t="str">
        <f>LOOKUP($E664,OBRAS!$D:$D,OBRAS!E:E)</f>
        <v>C-00098/0016-7</v>
      </c>
      <c r="H664" s="80" t="s">
        <v>215</v>
      </c>
      <c r="I664" s="6">
        <v>53408.25</v>
      </c>
      <c r="J664" s="6"/>
      <c r="K664" s="6">
        <v>0</v>
      </c>
      <c r="L664" s="6">
        <f t="shared" si="173"/>
        <v>53408.25</v>
      </c>
      <c r="M664" s="6">
        <f t="shared" si="174"/>
        <v>8545.32</v>
      </c>
      <c r="N664" s="6">
        <f t="shared" si="175"/>
        <v>61953.57</v>
      </c>
      <c r="O664" s="6">
        <f>ROUND(I664*0.0003,2)+ROUND(I664*0.0003,2)+ROUND(I664*0.0003,2)+ROUND(I664*0.002,2)</f>
        <v>154.88</v>
      </c>
      <c r="P664" s="6">
        <f t="shared" si="176"/>
        <v>61798.69</v>
      </c>
      <c r="Q664" s="4" t="str">
        <f>LOOKUP($E664,OBRAS!$D:$D,OBRAS!B:B)</f>
        <v>GYS CONSTRUCTORES S.A. DE C.V.</v>
      </c>
      <c r="R664" s="4" t="str">
        <f>LOOKUP($E664,OBRAS!$D:$D,OBRAS!A:A)</f>
        <v>HERMOSILLO</v>
      </c>
      <c r="S664" s="4" t="str">
        <f>LOOKUP($E664,OBRAS!$D:$D,OBRAS!F:F)</f>
        <v>11000002002207E201K02104A622212161A013</v>
      </c>
      <c r="T664" s="4" t="str">
        <f>LOOKUP($E664,OBRAS!$D:$D,OBRAS!G:G)</f>
        <v>ADJUDICACIÓN DIRECTA</v>
      </c>
      <c r="U664" s="4" t="s">
        <v>863</v>
      </c>
      <c r="V664" s="89">
        <v>42713</v>
      </c>
      <c r="W664" s="6">
        <f>LOOKUP($E664,OBRAS!$D:$D,OBRAS!K:K)</f>
        <v>247814.28</v>
      </c>
      <c r="X664" s="109">
        <f t="shared" si="177"/>
        <v>0.25</v>
      </c>
      <c r="Y664" s="109">
        <f t="shared" si="178"/>
        <v>1</v>
      </c>
      <c r="Z664" s="109">
        <f t="shared" si="179"/>
        <v>1</v>
      </c>
      <c r="AA664" s="4" t="str">
        <f>LOOKUP($E664,OBRAS!$D:$D,OBRAS!H:H)</f>
        <v>SH-ED-16-011</v>
      </c>
    </row>
    <row r="665" spans="1:27" ht="75" x14ac:dyDescent="0.25">
      <c r="A665" s="90">
        <v>42677</v>
      </c>
      <c r="B665" s="56">
        <v>4791</v>
      </c>
      <c r="C665" s="55">
        <v>664</v>
      </c>
      <c r="D665" s="4" t="str">
        <f>LOOKUP($E665,OBRAS!$D:$D,OBRAS!C:C)</f>
        <v>CONSERVACION Y RECONSTRUCCION DE CARRETERAS ALIMENTADORAS REGION GUAYMAS-EMPALME, TRAMO: MI PATRIA ES PRIMERO DEL KM 0+000 AL 3+400 Y TRAMO BARCENAS-MAYTORENA, DEL KM 0+000 AL 3+400</v>
      </c>
      <c r="E665" s="4" t="s">
        <v>574</v>
      </c>
      <c r="F665" s="4" t="s">
        <v>314</v>
      </c>
      <c r="G665" s="4" t="str">
        <f>LOOKUP($E665,OBRAS!$D:$D,OBRAS!E:E)</f>
        <v>C-00054/0059</v>
      </c>
      <c r="H665" s="80" t="s">
        <v>55</v>
      </c>
      <c r="I665" s="6">
        <v>3107713.9</v>
      </c>
      <c r="J665" s="6"/>
      <c r="K665" s="6">
        <f>ROUND(I665*0.3,2)</f>
        <v>932314.17</v>
      </c>
      <c r="L665" s="6">
        <f t="shared" si="173"/>
        <v>2175399.73</v>
      </c>
      <c r="M665" s="6">
        <f t="shared" si="174"/>
        <v>348063.96</v>
      </c>
      <c r="N665" s="6">
        <f t="shared" si="175"/>
        <v>2523463.69</v>
      </c>
      <c r="O665" s="6">
        <f>+ROUND(I665*0.002,2)+ROUND(I665*0.0003,2)+ROUND(I665*0.0003,2)+ROUND(I665*0.0003,2)+ROUND(I665*0.002,2)</f>
        <v>15227.79</v>
      </c>
      <c r="P665" s="6">
        <f t="shared" si="176"/>
        <v>2508235.9</v>
      </c>
      <c r="Q665" s="4" t="str">
        <f>LOOKUP($E665,OBRAS!$D:$D,OBRAS!B:B)</f>
        <v>DESARROLLOS TIBURCIO, S.A. DE C.V.</v>
      </c>
      <c r="R665" s="4" t="str">
        <f>LOOKUP($E665,OBRAS!$D:$D,OBRAS!A:A)</f>
        <v>VARIOS</v>
      </c>
      <c r="S665" s="4" t="str">
        <f>LOOKUP($E665,OBRAS!$D:$D,OBRAS!F:F)</f>
        <v>11000002003501E204K08063A625012162A213</v>
      </c>
      <c r="T665" s="4" t="str">
        <f>LOOKUP($E665,OBRAS!$D:$D,OBRAS!G:G)</f>
        <v>CE-926006995-C23-2016</v>
      </c>
      <c r="U665" s="4" t="s">
        <v>863</v>
      </c>
      <c r="V665" s="88">
        <v>42725</v>
      </c>
      <c r="W665" s="6">
        <f>LOOKUP($E665,OBRAS!$D:$D,OBRAS!K:K)</f>
        <v>11799981.390000001</v>
      </c>
      <c r="X665" s="109">
        <f t="shared" si="177"/>
        <v>0.30549999999999999</v>
      </c>
      <c r="Y665" s="109">
        <f t="shared" si="178"/>
        <v>0.99529999999999996</v>
      </c>
      <c r="Z665" s="109">
        <f t="shared" si="179"/>
        <v>0.99670000000000003</v>
      </c>
      <c r="AA665" s="4" t="str">
        <f>LOOKUP($E665,OBRAS!$D:$D,OBRAS!H:H)</f>
        <v>SH-ED-17-R-013</v>
      </c>
    </row>
    <row r="666" spans="1:27" ht="45" x14ac:dyDescent="0.25">
      <c r="C666" s="51">
        <v>665</v>
      </c>
      <c r="D666" s="4" t="str">
        <f>LOOKUP($E666,OBRAS!$D:$D,OBRAS!C:C)</f>
        <v>PAVIMENTACION CON CONCRETO HIDRAULICO DE CALLE BARTOLOME DE LAS CASAS EN LA LOCALIDAD DE RAYON</v>
      </c>
      <c r="E666" s="4" t="s">
        <v>1442</v>
      </c>
      <c r="F666" s="4"/>
      <c r="G666" s="4" t="str">
        <f>LOOKUP($E666,OBRAS!$D:$D,OBRAS!E:E)</f>
        <v>C-00052/0195</v>
      </c>
      <c r="H666" s="80" t="s">
        <v>23</v>
      </c>
      <c r="I666" s="6">
        <v>509219.63</v>
      </c>
      <c r="J666" s="6"/>
      <c r="K666" s="6">
        <v>0</v>
      </c>
      <c r="L666" s="6">
        <f t="shared" si="173"/>
        <v>509219.63</v>
      </c>
      <c r="M666" s="6">
        <f t="shared" si="174"/>
        <v>81475.14</v>
      </c>
      <c r="N666" s="6">
        <f t="shared" si="175"/>
        <v>590694.77</v>
      </c>
      <c r="O666" s="6">
        <v>0</v>
      </c>
      <c r="P666" s="6">
        <f t="shared" si="176"/>
        <v>590694.77</v>
      </c>
      <c r="Q666" s="4" t="str">
        <f>LOOKUP($E666,OBRAS!$D:$D,OBRAS!B:B)</f>
        <v>CINCO H INGENIERIA Y TERRACERIAS, S.A. DE C.V.</v>
      </c>
      <c r="R666" s="4" t="str">
        <f>LOOKUP($E666,OBRAS!$D:$D,OBRAS!A:A)</f>
        <v>RAYON</v>
      </c>
      <c r="S666" s="4" t="str">
        <f>LOOKUP($E666,OBRAS!$D:$D,OBRAS!F:F)</f>
        <v>11000002002201E202K05186A614202165FC05</v>
      </c>
      <c r="T666" s="4" t="str">
        <f>LOOKUP($E666,OBRAS!$D:$D,OBRAS!G:G)</f>
        <v>IO-926006995-E147-2016</v>
      </c>
      <c r="U666" s="4" t="s">
        <v>863</v>
      </c>
      <c r="V666" s="89">
        <v>42683</v>
      </c>
      <c r="W666" s="6">
        <f>LOOKUP($E666,OBRAS!$D:$D,OBRAS!K:K)</f>
        <v>1968982.56</v>
      </c>
      <c r="X666" s="109" t="str">
        <f t="shared" si="177"/>
        <v/>
      </c>
      <c r="Y666" s="109">
        <f t="shared" si="178"/>
        <v>1</v>
      </c>
      <c r="Z666" s="109">
        <f t="shared" si="179"/>
        <v>1</v>
      </c>
      <c r="AA666" s="4" t="str">
        <f>LOOKUP($E666,OBRAS!$D:$D,OBRAS!H:H)</f>
        <v>SH-NC-17-R-009</v>
      </c>
    </row>
    <row r="667" spans="1:27" ht="60" x14ac:dyDescent="0.25">
      <c r="A667" s="90">
        <v>42677</v>
      </c>
      <c r="B667" s="56">
        <v>4790</v>
      </c>
      <c r="C667" s="49">
        <v>666</v>
      </c>
      <c r="D667" s="4" t="str">
        <f>LOOKUP($E667,OBRAS!$D:$D,OBRAS!C:C)</f>
        <v>CONSERVACION Y RECONSTRUCCION DE CARRETERAS ALIMENTADORAS REGION GUAYMAS-EMPALME, TRAMO: E.C. (PROVIDENCIA-ORTIZ)-LA MISA</v>
      </c>
      <c r="E667" s="4" t="s">
        <v>582</v>
      </c>
      <c r="F667" s="4" t="s">
        <v>1445</v>
      </c>
      <c r="G667" s="4" t="str">
        <f>LOOKUP($E667,OBRAS!$D:$D,OBRAS!E:E)</f>
        <v>C-00054/0065</v>
      </c>
      <c r="H667" s="80" t="s">
        <v>214</v>
      </c>
      <c r="I667" s="6">
        <v>2743456.69</v>
      </c>
      <c r="J667" s="6"/>
      <c r="K667" s="6">
        <f>ROUND(I667*0.3,2)</f>
        <v>823037.01</v>
      </c>
      <c r="L667" s="6">
        <f t="shared" si="173"/>
        <v>1920419.68</v>
      </c>
      <c r="M667" s="6">
        <f t="shared" si="174"/>
        <v>307267.15000000002</v>
      </c>
      <c r="N667" s="6">
        <f t="shared" si="175"/>
        <v>2227686.83</v>
      </c>
      <c r="O667" s="6">
        <f>+ROUND(I667*0.002,2)+ROUND(I667*0.0003,2)+ROUND(I667*0.0003,2)+ROUND(I667*0.0003,2)+ROUND(I667*0.002,2)</f>
        <v>13442.94</v>
      </c>
      <c r="P667" s="6">
        <f t="shared" si="176"/>
        <v>2214243.89</v>
      </c>
      <c r="Q667" s="4" t="str">
        <f>LOOKUP($E667,OBRAS!$D:$D,OBRAS!B:B)</f>
        <v>GILA MINAS Y DESARROLLOS SA DE CV</v>
      </c>
      <c r="R667" s="4" t="str">
        <f>LOOKUP($E667,OBRAS!$D:$D,OBRAS!A:A)</f>
        <v>VARIOS</v>
      </c>
      <c r="S667" s="4" t="str">
        <f>LOOKUP($E667,OBRAS!$D:$D,OBRAS!F:F)</f>
        <v>11000002003501E204K08063A625012162213</v>
      </c>
      <c r="T667" s="4" t="str">
        <f>LOOKUP($E667,OBRAS!$D:$D,OBRAS!G:G)</f>
        <v>CE-926006995-E29-2016</v>
      </c>
      <c r="U667" s="4" t="s">
        <v>863</v>
      </c>
      <c r="V667" s="89">
        <v>42712</v>
      </c>
      <c r="W667" s="6">
        <f>LOOKUP($E667,OBRAS!$D:$D,OBRAS!K:K)</f>
        <v>31555491.960000001</v>
      </c>
      <c r="X667" s="109">
        <f t="shared" si="177"/>
        <v>0.1009</v>
      </c>
      <c r="Y667" s="109">
        <f t="shared" si="178"/>
        <v>0.9194</v>
      </c>
      <c r="Z667" s="109">
        <f t="shared" si="179"/>
        <v>0.9194</v>
      </c>
      <c r="AA667" s="4" t="str">
        <f>LOOKUP($E667,OBRAS!$D:$D,OBRAS!H:H)</f>
        <v>SH-ED-17-R-013</v>
      </c>
    </row>
    <row r="668" spans="1:27" ht="30" x14ac:dyDescent="0.25">
      <c r="A668" s="90">
        <v>42677</v>
      </c>
      <c r="B668" s="56">
        <v>4792</v>
      </c>
      <c r="C668" s="51">
        <v>667</v>
      </c>
      <c r="D668" s="4" t="str">
        <f>LOOKUP($E668,OBRAS!$D:$D,OBRAS!C:C)</f>
        <v>CONSTRUCCION DE LINEA DE CONDUCCION DEL POZO EXISTENTE A LA CAJA DE ALMACENAMIENTO</v>
      </c>
      <c r="E668" s="4" t="s">
        <v>331</v>
      </c>
      <c r="F668" s="4" t="s">
        <v>306</v>
      </c>
      <c r="G668" s="4" t="str">
        <f>LOOKUP($E668,OBRAS!$D:$D,OBRAS!E:E)</f>
        <v>C-00050/0003</v>
      </c>
      <c r="H668" s="80" t="s">
        <v>215</v>
      </c>
      <c r="I668" s="6">
        <v>381010.25</v>
      </c>
      <c r="J668" s="6"/>
      <c r="K668" s="6">
        <v>0</v>
      </c>
      <c r="L668" s="6">
        <f t="shared" si="173"/>
        <v>381010.25</v>
      </c>
      <c r="M668" s="6">
        <f t="shared" si="174"/>
        <v>60961.64</v>
      </c>
      <c r="N668" s="6">
        <f t="shared" si="175"/>
        <v>441971.89</v>
      </c>
      <c r="O668" s="6">
        <f>+ROUND(I668*0.002,2)+ROUND(I668*0.0003,2)+ROUND(I668*0.0003,2)+ROUND(I668*0.0003,2)+ROUND(I668*0.002,2)</f>
        <v>1866.94</v>
      </c>
      <c r="P668" s="6">
        <f t="shared" si="176"/>
        <v>440104.95</v>
      </c>
      <c r="Q668" s="4" t="str">
        <f>LOOKUP($E668,OBRAS!$D:$D,OBRAS!B:B)</f>
        <v>CONSTRUCCIONES Y DISEÑOS OPOSURA, S.A. DE C.V.</v>
      </c>
      <c r="R668" s="4" t="str">
        <f>LOOKUP($E668,OBRAS!$D:$D,OBRAS!A:A)</f>
        <v>SAN PEDRO DE LA CUEVA</v>
      </c>
      <c r="S668" s="4" t="str">
        <f>LOOKUP($E668,OBRAS!$D:$D,OBRAS!F:F)</f>
        <v>11000002002203E208K13020A614082162A208</v>
      </c>
      <c r="T668" s="4" t="str">
        <f>LOOKUP($E668,OBRAS!$D:$D,OBRAS!G:G)</f>
        <v>CE-926006995-E47-2016</v>
      </c>
      <c r="U668" s="4" t="s">
        <v>863</v>
      </c>
      <c r="V668" s="89">
        <v>42720</v>
      </c>
      <c r="W668" s="6">
        <f>LOOKUP($E668,OBRAS!$D:$D,OBRAS!K:K)</f>
        <v>2209859.44</v>
      </c>
      <c r="X668" s="109">
        <f t="shared" si="177"/>
        <v>0.2</v>
      </c>
      <c r="Y668" s="109">
        <f t="shared" si="178"/>
        <v>1</v>
      </c>
      <c r="Z668" s="109">
        <f t="shared" si="179"/>
        <v>1</v>
      </c>
      <c r="AA668" s="4" t="str">
        <f>LOOKUP($E668,OBRAS!$D:$D,OBRAS!H:H)</f>
        <v>SH-ED-17-R-007</v>
      </c>
    </row>
    <row r="669" spans="1:27" ht="60" x14ac:dyDescent="0.25">
      <c r="A669" s="90">
        <v>42677</v>
      </c>
      <c r="B669" s="56">
        <v>4793</v>
      </c>
      <c r="C669" s="51">
        <v>668</v>
      </c>
      <c r="D669" s="4" t="str">
        <f>LOOKUP($E669,OBRAS!$D:$D,OBRAS!C:C)</f>
        <v>SUPERVISION EXTERNA Y CONTROL DE CALIDAD DE LA REHABILITACION DE RED DE CARRETERAS ALIMENTADORAS EN LA REGION DEL RIO SONORA; SUBTRAMO KM 0+000 AL KM 75+000</v>
      </c>
      <c r="E669" s="4" t="s">
        <v>732</v>
      </c>
      <c r="F669" s="4"/>
      <c r="G669" s="4" t="str">
        <f>LOOKUP($E669,OBRAS!$D:$D,OBRAS!E:E)</f>
        <v>C-00098/0021</v>
      </c>
      <c r="H669" s="80" t="s">
        <v>218</v>
      </c>
      <c r="I669" s="6">
        <v>174049.1</v>
      </c>
      <c r="J669" s="6"/>
      <c r="K669" s="6">
        <v>0</v>
      </c>
      <c r="L669" s="6">
        <f t="shared" si="173"/>
        <v>174049.1</v>
      </c>
      <c r="M669" s="6">
        <f t="shared" si="174"/>
        <v>27847.86</v>
      </c>
      <c r="N669" s="6">
        <f t="shared" si="175"/>
        <v>201896.95999999999</v>
      </c>
      <c r="O669" s="6">
        <f>ROUND(I669*0.0003,2)+ROUND(I669*0.0003,2)+ROUND(I669*0.0003,2)+ROUND(I669*0.002,2)</f>
        <v>504.73</v>
      </c>
      <c r="P669" s="6">
        <f t="shared" si="176"/>
        <v>201392.23</v>
      </c>
      <c r="Q669" s="4" t="str">
        <f>LOOKUP($E669,OBRAS!$D:$D,OBRAS!B:B)</f>
        <v>ESCOBO S.A. DE C.V.</v>
      </c>
      <c r="R669" s="4" t="str">
        <f>LOOKUP($E669,OBRAS!$D:$D,OBRAS!A:A)</f>
        <v>VARIOS</v>
      </c>
      <c r="S669" s="4" t="str">
        <f>LOOKUP($E669,OBRAS!$D:$D,OBRAS!F:F)</f>
        <v>11000002003501E203K03203A625132161A013</v>
      </c>
      <c r="T669" s="4" t="str">
        <f>LOOKUP($E669,OBRAS!$D:$D,OBRAS!G:G)</f>
        <v>CE-966006995-E67-2016</v>
      </c>
      <c r="U669" s="4" t="s">
        <v>863</v>
      </c>
      <c r="V669" s="89">
        <v>42781</v>
      </c>
      <c r="W669" s="6">
        <f>LOOKUP($E669,OBRAS!$D:$D,OBRAS!K:K)</f>
        <v>2329580.42</v>
      </c>
      <c r="X669" s="109">
        <f t="shared" si="177"/>
        <v>8.6699999999999999E-2</v>
      </c>
      <c r="Y669" s="109">
        <f t="shared" si="178"/>
        <v>0.92679999999999996</v>
      </c>
      <c r="Z669" s="109">
        <f t="shared" si="179"/>
        <v>0.92669999999999997</v>
      </c>
      <c r="AA669" s="4" t="str">
        <f>LOOKUP($E669,OBRAS!$D:$D,OBRAS!H:H)</f>
        <v>SH-ED-16-060</v>
      </c>
    </row>
    <row r="670" spans="1:27" ht="60" x14ac:dyDescent="0.25">
      <c r="A670" s="90">
        <v>42677</v>
      </c>
      <c r="B670" s="56">
        <v>4794</v>
      </c>
      <c r="C670" s="51">
        <v>669</v>
      </c>
      <c r="D670" s="4" t="str">
        <f>LOOKUP($E670,OBRAS!$D:$D,OBRAS!C:C)</f>
        <v>SUPERVISION EXTERNA Y CONTROL DE CALIDAD DE LA REHABILITACION DE RED DE CARRETERAS ALIMENTADORAS EN LA REGION DEL RIO SONORA; SUBTRAMO KM 0+000 AL KM 75+000</v>
      </c>
      <c r="E670" s="4" t="s">
        <v>732</v>
      </c>
      <c r="F670" s="4"/>
      <c r="G670" s="4" t="str">
        <f>LOOKUP($E670,OBRAS!$D:$D,OBRAS!E:E)</f>
        <v>C-00098/0021</v>
      </c>
      <c r="H670" s="80" t="s">
        <v>220</v>
      </c>
      <c r="I670" s="6">
        <v>164007.81</v>
      </c>
      <c r="J670" s="6"/>
      <c r="K670" s="6">
        <v>0</v>
      </c>
      <c r="L670" s="6">
        <f t="shared" si="173"/>
        <v>164007.81</v>
      </c>
      <c r="M670" s="6">
        <f t="shared" si="174"/>
        <v>26241.25</v>
      </c>
      <c r="N670" s="6">
        <f t="shared" si="175"/>
        <v>190249.06</v>
      </c>
      <c r="O670" s="6">
        <f>ROUND(I670*0.0003,2)+ROUND(I670*0.0003,2)+ROUND(I670*0.0003,2)+ROUND(I670*0.002,2)</f>
        <v>475.62</v>
      </c>
      <c r="P670" s="6">
        <f t="shared" si="176"/>
        <v>189773.44</v>
      </c>
      <c r="Q670" s="4" t="str">
        <f>LOOKUP($E670,OBRAS!$D:$D,OBRAS!B:B)</f>
        <v>ESCOBO S.A. DE C.V.</v>
      </c>
      <c r="R670" s="4" t="str">
        <f>LOOKUP($E670,OBRAS!$D:$D,OBRAS!A:A)</f>
        <v>VARIOS</v>
      </c>
      <c r="S670" s="4" t="str">
        <f>LOOKUP($E670,OBRAS!$D:$D,OBRAS!F:F)</f>
        <v>11000002003501E203K03203A625132161A013</v>
      </c>
      <c r="T670" s="4" t="str">
        <f>LOOKUP($E670,OBRAS!$D:$D,OBRAS!G:G)</f>
        <v>CE-966006995-E67-2016</v>
      </c>
      <c r="U670" s="4" t="s">
        <v>863</v>
      </c>
      <c r="V670" s="89">
        <v>42781</v>
      </c>
      <c r="W670" s="6">
        <f>LOOKUP($E670,OBRAS!$D:$D,OBRAS!K:K)</f>
        <v>2329580.42</v>
      </c>
      <c r="X670" s="109">
        <f t="shared" si="177"/>
        <v>8.1699999999999995E-2</v>
      </c>
      <c r="Y670" s="109">
        <f t="shared" si="178"/>
        <v>0.92679999999999996</v>
      </c>
      <c r="Z670" s="109">
        <f t="shared" si="179"/>
        <v>0.92669999999999997</v>
      </c>
      <c r="AA670" s="4" t="str">
        <f>LOOKUP($E670,OBRAS!$D:$D,OBRAS!H:H)</f>
        <v>SH-ED-16-060</v>
      </c>
    </row>
    <row r="671" spans="1:27" ht="105" x14ac:dyDescent="0.25">
      <c r="A671" s="90">
        <v>42677</v>
      </c>
      <c r="B671" s="56">
        <v>4795</v>
      </c>
      <c r="C671" s="51">
        <v>670</v>
      </c>
      <c r="D671" s="4" t="str">
        <f>LOOKUP($E671,OBRAS!$D:$D,OBRAS!C:C)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671" s="4" t="s">
        <v>403</v>
      </c>
      <c r="F671" s="4"/>
      <c r="G671" s="4" t="str">
        <f>LOOKUP($E671,OBRAS!$D:$D,OBRAS!E:E)</f>
        <v>C-00098/0032</v>
      </c>
      <c r="H671" s="80" t="s">
        <v>15</v>
      </c>
      <c r="I671" s="6">
        <v>567225.07999999996</v>
      </c>
      <c r="J671" s="6"/>
      <c r="K671" s="6">
        <f>ROUND(I671*0.1,2)</f>
        <v>56722.51</v>
      </c>
      <c r="L671" s="6">
        <f t="shared" si="173"/>
        <v>510502.57</v>
      </c>
      <c r="M671" s="6">
        <f t="shared" si="174"/>
        <v>81680.41</v>
      </c>
      <c r="N671" s="6">
        <f t="shared" si="175"/>
        <v>592182.98</v>
      </c>
      <c r="O671" s="6">
        <f>+ROUND(I671*0.002,2)+ROUND(I671*0.0003,2)+ROUND(I671*0.0003,2)+ROUND(I671*0.0003,2)</f>
        <v>1644.96</v>
      </c>
      <c r="P671" s="6">
        <f t="shared" si="176"/>
        <v>590538.02</v>
      </c>
      <c r="Q671" s="4" t="str">
        <f>LOOKUP($E671,OBRAS!$D:$D,OBRAS!B:B)</f>
        <v>RL INFRAESTRUCTURA, S.A. DE C.V.</v>
      </c>
      <c r="R671" s="4" t="str">
        <f>LOOKUP($E671,OBRAS!$D:$D,OBRAS!A:A)</f>
        <v>VARIOS</v>
      </c>
      <c r="S671" s="4" t="str">
        <f>LOOKUP($E671,OBRAS!$D:$D,OBRAS!F:F)</f>
        <v>11000002003501E203K03203A625132161A013</v>
      </c>
      <c r="T671" s="4" t="str">
        <f>LOOKUP($E671,OBRAS!$D:$D,OBRAS!G:G)</f>
        <v>CE-926006995-E54-2016</v>
      </c>
      <c r="U671" s="4" t="s">
        <v>863</v>
      </c>
      <c r="V671" s="89">
        <v>42781</v>
      </c>
      <c r="W671" s="6">
        <f>LOOKUP($E671,OBRAS!$D:$D,OBRAS!K:K)</f>
        <v>4605867.6500000004</v>
      </c>
      <c r="X671" s="109">
        <f t="shared" si="177"/>
        <v>0.1429</v>
      </c>
      <c r="Y671" s="109">
        <f t="shared" si="178"/>
        <v>1.0003</v>
      </c>
      <c r="Z671" s="109">
        <f t="shared" si="179"/>
        <v>1</v>
      </c>
      <c r="AA671" s="4" t="str">
        <f>LOOKUP($E671,OBRAS!$D:$D,OBRAS!H:H)</f>
        <v>SH-ED-16-039</v>
      </c>
    </row>
    <row r="672" spans="1:27" ht="45" x14ac:dyDescent="0.25">
      <c r="A672" s="90">
        <v>42677</v>
      </c>
      <c r="B672" s="56">
        <v>4797</v>
      </c>
      <c r="C672" s="51">
        <v>671</v>
      </c>
      <c r="D672" s="4" t="str">
        <f>LOOKUP($E672,OBRAS!$D:$D,OBRAS!C:C)</f>
        <v>RECONSTRUCCION DE CALLE 28 NORTE, DEL KM 0 + 000 AL KM 10+160, Y DEL KM 17+210 AL 17+982, HERMOSILLO</v>
      </c>
      <c r="E672" s="4" t="s">
        <v>349</v>
      </c>
      <c r="F672" s="4" t="s">
        <v>306</v>
      </c>
      <c r="G672" s="4" t="str">
        <f>LOOKUP($E672,OBRAS!$D:$D,OBRAS!E:E)</f>
        <v>C-00054/0072</v>
      </c>
      <c r="H672" s="80" t="s">
        <v>221</v>
      </c>
      <c r="I672" s="6">
        <v>2616238.12</v>
      </c>
      <c r="J672" s="6"/>
      <c r="K672" s="6">
        <f>ROUND(I672*0.3,2)</f>
        <v>784871.44</v>
      </c>
      <c r="L672" s="6">
        <f t="shared" si="173"/>
        <v>1831366.68</v>
      </c>
      <c r="M672" s="6">
        <f t="shared" si="174"/>
        <v>293018.67</v>
      </c>
      <c r="N672" s="6">
        <f t="shared" si="175"/>
        <v>2124385.35</v>
      </c>
      <c r="O672" s="6">
        <f>+ROUND(I672*0.002,2)+ROUND(I672*0.0003,2)+ROUND(I672*0.0003,2)+ROUND(I672*0.0003,2)+ROUND(I672*0.002,2)</f>
        <v>12819.57</v>
      </c>
      <c r="P672" s="6">
        <f t="shared" si="176"/>
        <v>2111565.7799999998</v>
      </c>
      <c r="Q672" s="4" t="str">
        <f>LOOKUP($E672,OBRAS!$D:$D,OBRAS!B:B)</f>
        <v>GRUPO EMPRESARIAL BABASAC, S. A. DE C. V.</v>
      </c>
      <c r="R672" s="4" t="str">
        <f>LOOKUP($E672,OBRAS!$D:$D,OBRAS!A:A)</f>
        <v>HERMOSILLO</v>
      </c>
      <c r="S672" s="4" t="str">
        <f>LOOKUP($E672,OBRAS!$D:$D,OBRAS!F:F)</f>
        <v>11000002003501E204K08063A625012162A207</v>
      </c>
      <c r="T672" s="4" t="str">
        <f>LOOKUP($E672,OBRAS!$D:$D,OBRAS!G:G)</f>
        <v>CE-926006995-E40-2016</v>
      </c>
      <c r="U672" s="4" t="s">
        <v>863</v>
      </c>
      <c r="V672" s="89">
        <v>42762</v>
      </c>
      <c r="W672" s="6">
        <f>LOOKUP($E672,OBRAS!$D:$D,OBRAS!K:K)</f>
        <v>20694418.350000001</v>
      </c>
      <c r="X672" s="109">
        <f t="shared" si="177"/>
        <v>0.14660000000000001</v>
      </c>
      <c r="Y672" s="109">
        <f t="shared" si="178"/>
        <v>1</v>
      </c>
      <c r="Z672" s="109">
        <f t="shared" si="179"/>
        <v>1</v>
      </c>
      <c r="AA672" s="4" t="str">
        <f>LOOKUP($E672,OBRAS!$D:$D,OBRAS!H:H)</f>
        <v>SH-ED-17-R-004</v>
      </c>
    </row>
    <row r="673" spans="1:27" ht="30" x14ac:dyDescent="0.25">
      <c r="C673" s="51">
        <v>672</v>
      </c>
      <c r="D673" s="4" t="str">
        <f>LOOKUP($E673,OBRAS!$D:$D,OBRAS!C:C)</f>
        <v>PAVIMENTACION CON CONCRETO HIDRAULICO DE VARIAS CALLES EN LA LOCALIDAD DE ARIVECHI</v>
      </c>
      <c r="E673" s="4" t="s">
        <v>1457</v>
      </c>
      <c r="F673" s="4"/>
      <c r="G673" s="4" t="str">
        <f>LOOKUP($E673,OBRAS!$D:$D,OBRAS!E:E)</f>
        <v>C-00052/0218</v>
      </c>
      <c r="H673" s="80" t="s">
        <v>23</v>
      </c>
      <c r="I673" s="6">
        <v>419387.09</v>
      </c>
      <c r="J673" s="6"/>
      <c r="K673" s="6">
        <v>0</v>
      </c>
      <c r="L673" s="6">
        <f t="shared" si="173"/>
        <v>419387.09</v>
      </c>
      <c r="M673" s="6">
        <f t="shared" si="174"/>
        <v>67101.929999999993</v>
      </c>
      <c r="N673" s="6">
        <f t="shared" si="175"/>
        <v>486489.02</v>
      </c>
      <c r="O673" s="6">
        <v>0</v>
      </c>
      <c r="P673" s="6">
        <f t="shared" si="176"/>
        <v>486489.02</v>
      </c>
      <c r="Q673" s="4" t="str">
        <f>LOOKUP($E673,OBRAS!$D:$D,OBRAS!B:B)</f>
        <v>EDIVIA DESARROLLOS, S.A. DE C.V.</v>
      </c>
      <c r="R673" s="4" t="str">
        <f>LOOKUP($E673,OBRAS!$D:$D,OBRAS!A:A)</f>
        <v>ARIVECHI</v>
      </c>
      <c r="S673" s="4" t="str">
        <f>LOOKUP($E673,OBRAS!$D:$D,OBRAS!F:F)</f>
        <v>11000002002201E202K05186A614202165FN09</v>
      </c>
      <c r="T673" s="4" t="str">
        <f>LOOKUP($E673,OBRAS!$D:$D,OBRAS!G:G)</f>
        <v>IO-926006995-E127-2016</v>
      </c>
      <c r="U673" s="4" t="s">
        <v>863</v>
      </c>
      <c r="V673" s="89">
        <v>42692</v>
      </c>
      <c r="W673" s="6">
        <f>LOOKUP($E673,OBRAS!$D:$D,OBRAS!K:K)</f>
        <v>1621630.07</v>
      </c>
      <c r="X673" s="109" t="str">
        <f t="shared" si="177"/>
        <v/>
      </c>
      <c r="Y673" s="109">
        <f t="shared" si="178"/>
        <v>0.50280000000000002</v>
      </c>
      <c r="Z673" s="109">
        <f t="shared" si="179"/>
        <v>0.65190000000000003</v>
      </c>
      <c r="AA673" s="4" t="str">
        <f>LOOKUP($E673,OBRAS!$D:$D,OBRAS!H:H)</f>
        <v>SH-NC-17-R-005</v>
      </c>
    </row>
    <row r="674" spans="1:27" ht="45" x14ac:dyDescent="0.25">
      <c r="C674" s="51">
        <v>673</v>
      </c>
      <c r="D674" s="4" t="str">
        <f>LOOKUP($E674,OBRAS!$D:$D,OBRAS!C:C)</f>
        <v>PAVIMENTACION CON CONCRETO HIDRAULICO EN LA AVENIDA DE LA CASA EN LA LOCALIDAD DE BACERAC</v>
      </c>
      <c r="E674" s="4" t="s">
        <v>1453</v>
      </c>
      <c r="F674" s="4"/>
      <c r="G674" s="4" t="str">
        <f>LOOKUP($E674,OBRAS!$D:$D,OBRAS!E:E)</f>
        <v>C-00052/0196</v>
      </c>
      <c r="H674" s="80" t="s">
        <v>23</v>
      </c>
      <c r="I674" s="6">
        <v>340935.62</v>
      </c>
      <c r="J674" s="6"/>
      <c r="K674" s="6">
        <v>0</v>
      </c>
      <c r="L674" s="6">
        <f t="shared" si="173"/>
        <v>340935.62</v>
      </c>
      <c r="M674" s="6">
        <f t="shared" si="174"/>
        <v>54549.7</v>
      </c>
      <c r="N674" s="6">
        <f t="shared" si="175"/>
        <v>395485.32</v>
      </c>
      <c r="O674" s="6">
        <v>0</v>
      </c>
      <c r="P674" s="6">
        <f t="shared" si="176"/>
        <v>395485.32</v>
      </c>
      <c r="Q674" s="4" t="str">
        <f>LOOKUP($E674,OBRAS!$D:$D,OBRAS!B:B)</f>
        <v>ADOBE DESARROLLOS, S.A. DE C.V.</v>
      </c>
      <c r="R674" s="4" t="str">
        <f>LOOKUP($E674,OBRAS!$D:$D,OBRAS!A:A)</f>
        <v>BACERAC</v>
      </c>
      <c r="S674" s="4" t="str">
        <f>LOOKUP($E674,OBRAS!$D:$D,OBRAS!F:F)</f>
        <v>11000002002201E202K05186A614202165FC06</v>
      </c>
      <c r="T674" s="4" t="str">
        <f>LOOKUP($E674,OBRAS!$D:$D,OBRAS!G:G)</f>
        <v>IO-926006995-E138-2016</v>
      </c>
      <c r="U674" s="4" t="s">
        <v>863</v>
      </c>
      <c r="V674" s="89">
        <v>42690</v>
      </c>
      <c r="W674" s="6">
        <f>LOOKUP($E674,OBRAS!$D:$D,OBRAS!K:K)</f>
        <v>1318284.3999999999</v>
      </c>
      <c r="X674" s="109" t="str">
        <f t="shared" si="177"/>
        <v/>
      </c>
      <c r="Y674" s="109">
        <f t="shared" si="178"/>
        <v>0.99990000000000001</v>
      </c>
      <c r="Z674" s="109">
        <f t="shared" si="179"/>
        <v>1</v>
      </c>
      <c r="AA674" s="4" t="str">
        <f>LOOKUP($E674,OBRAS!$D:$D,OBRAS!H:H)</f>
        <v>SH-NC-17-R-009</v>
      </c>
    </row>
    <row r="675" spans="1:27" ht="45" x14ac:dyDescent="0.25">
      <c r="C675" s="51">
        <v>674</v>
      </c>
      <c r="D675" s="4" t="str">
        <f>LOOKUP($E675,OBRAS!$D:$D,OBRAS!C:C)</f>
        <v>PAVIMENTACION CON CONCRETO HIDRAHULICO DE AVENIDA PROFA. JULIA GALAZ EN LA LOCALIDAD DE BACADEHUACHI</v>
      </c>
      <c r="E675" s="4" t="s">
        <v>1446</v>
      </c>
      <c r="F675" s="4"/>
      <c r="G675" s="4" t="str">
        <f>LOOKUP($E675,OBRAS!$D:$D,OBRAS!E:E)</f>
        <v>C-00052/0233</v>
      </c>
      <c r="H675" s="80" t="s">
        <v>23</v>
      </c>
      <c r="I675" s="6">
        <v>411345.02</v>
      </c>
      <c r="J675" s="6"/>
      <c r="K675" s="6">
        <v>0</v>
      </c>
      <c r="L675" s="6">
        <f t="shared" si="173"/>
        <v>411345.02</v>
      </c>
      <c r="M675" s="6">
        <f t="shared" si="174"/>
        <v>65815.199999999997</v>
      </c>
      <c r="N675" s="6">
        <f t="shared" si="175"/>
        <v>477160.22</v>
      </c>
      <c r="O675" s="6">
        <v>0</v>
      </c>
      <c r="P675" s="6">
        <f t="shared" si="176"/>
        <v>477160.22</v>
      </c>
      <c r="Q675" s="4" t="str">
        <f>LOOKUP($E675,OBRAS!$D:$D,OBRAS!B:B)</f>
        <v>ADOBE DESARROLLOS, S.A. DE C.V.</v>
      </c>
      <c r="R675" s="4" t="str">
        <f>LOOKUP($E675,OBRAS!$D:$D,OBRAS!A:A)</f>
        <v>BACADEHUACHI</v>
      </c>
      <c r="S675" s="4" t="str">
        <f>LOOKUP($E675,OBRAS!$D:$D,OBRAS!F:F)</f>
        <v>1000002002201E202K05186A614202165FM06</v>
      </c>
      <c r="T675" s="4" t="str">
        <f>LOOKUP($E675,OBRAS!$D:$D,OBRAS!G:G)</f>
        <v>IO-926006995-E144-2016</v>
      </c>
      <c r="U675" s="4" t="s">
        <v>863</v>
      </c>
      <c r="V675" s="89">
        <v>42690</v>
      </c>
      <c r="W675" s="6">
        <f>LOOKUP($E675,OBRAS!$D:$D,OBRAS!K:K)</f>
        <v>1590534.08</v>
      </c>
      <c r="X675" s="109" t="str">
        <f t="shared" si="177"/>
        <v/>
      </c>
      <c r="Y675" s="109">
        <f t="shared" si="178"/>
        <v>0.17849999999999999</v>
      </c>
      <c r="Z675" s="109">
        <f t="shared" si="179"/>
        <v>0.42499999999999999</v>
      </c>
      <c r="AA675" s="4" t="str">
        <f>LOOKUP($E675,OBRAS!$D:$D,OBRAS!H:H)</f>
        <v>SH-NC-17-R-008</v>
      </c>
    </row>
    <row r="676" spans="1:27" ht="30" x14ac:dyDescent="0.25">
      <c r="C676" s="51">
        <v>675</v>
      </c>
      <c r="D676" s="4" t="str">
        <f>LOOKUP($E676,OBRAS!$D:$D,OBRAS!C:C)</f>
        <v>REHABILITACION DE PAVIMENTOS DE 9 CALLES EN LA LOCALIDAD DE TERRENATE</v>
      </c>
      <c r="E676" s="4" t="s">
        <v>1462</v>
      </c>
      <c r="F676" s="4"/>
      <c r="G676" s="4" t="str">
        <f>LOOKUP($E676,OBRAS!$D:$D,OBRAS!E:E)</f>
        <v>C-00052/0208</v>
      </c>
      <c r="H676" s="80" t="s">
        <v>23</v>
      </c>
      <c r="I676" s="6">
        <v>749995.91</v>
      </c>
      <c r="J676" s="6"/>
      <c r="K676" s="6">
        <v>0</v>
      </c>
      <c r="L676" s="6">
        <f t="shared" si="173"/>
        <v>749995.91</v>
      </c>
      <c r="M676" s="6">
        <v>119999.34</v>
      </c>
      <c r="N676" s="6">
        <f t="shared" si="175"/>
        <v>869995.25</v>
      </c>
      <c r="O676" s="6">
        <v>0</v>
      </c>
      <c r="P676" s="6">
        <f t="shared" si="176"/>
        <v>869995.25</v>
      </c>
      <c r="Q676" s="4" t="str">
        <f>LOOKUP($E676,OBRAS!$D:$D,OBRAS!B:B)</f>
        <v>CW METAL S.A DE C.V.</v>
      </c>
      <c r="R676" s="4" t="str">
        <f>LOOKUP($E676,OBRAS!$D:$D,OBRAS!A:A)</f>
        <v>IMURIS</v>
      </c>
      <c r="S676" s="4" t="str">
        <f>LOOKUP($E676,OBRAS!$D:$D,OBRAS!F:F)</f>
        <v>11000002002201E202K05186A614202165FN03</v>
      </c>
      <c r="T676" s="4" t="str">
        <f>LOOKUP($E676,OBRAS!$D:$D,OBRAS!G:G)</f>
        <v>IO-926006995-E133-2016</v>
      </c>
      <c r="U676" s="4" t="s">
        <v>863</v>
      </c>
      <c r="V676" s="89">
        <v>42685</v>
      </c>
      <c r="W676" s="6">
        <f>LOOKUP($E676,OBRAS!$D:$D,OBRAS!K:K)</f>
        <v>2899984.17</v>
      </c>
      <c r="X676" s="109" t="str">
        <f t="shared" si="177"/>
        <v/>
      </c>
      <c r="Y676" s="109">
        <f t="shared" si="178"/>
        <v>0.64649999999999996</v>
      </c>
      <c r="Z676" s="109">
        <f t="shared" si="179"/>
        <v>0.75249999999999995</v>
      </c>
      <c r="AA676" s="4" t="str">
        <f>LOOKUP($E676,OBRAS!$D:$D,OBRAS!H:H)</f>
        <v>SH-NC-17-R-005</v>
      </c>
    </row>
    <row r="677" spans="1:27" ht="45" x14ac:dyDescent="0.25">
      <c r="A677" s="90">
        <v>42677</v>
      </c>
      <c r="B677" s="56">
        <v>4806</v>
      </c>
      <c r="C677" s="49">
        <v>676</v>
      </c>
      <c r="D677" s="4" t="str">
        <f>LOOKUP($E677,OBRAS!$D:$D,OBRAS!C:C)</f>
        <v>CONCLUSION DE LA MODERNIZACION Y RECONSTRUCCION DEL TRAMO ESPERANZA - HORNOS (DEL KM 8 + 800 AL KM 17 + 400)</v>
      </c>
      <c r="E677" s="4" t="s">
        <v>597</v>
      </c>
      <c r="F677" s="4" t="s">
        <v>306</v>
      </c>
      <c r="G677" s="4" t="str">
        <f>LOOKUP($E677,OBRAS!$D:$D,OBRAS!E:E)</f>
        <v>C-00054/0053</v>
      </c>
      <c r="H677" s="80" t="s">
        <v>214</v>
      </c>
      <c r="I677" s="6">
        <v>8557708.3599999994</v>
      </c>
      <c r="J677" s="6"/>
      <c r="K677" s="6">
        <f>ROUND(I677*0.3,2)</f>
        <v>2567312.5099999998</v>
      </c>
      <c r="L677" s="6">
        <f t="shared" si="173"/>
        <v>5990395.8499999996</v>
      </c>
      <c r="M677" s="6">
        <f t="shared" ref="M677:M695" si="180">ROUND(L677*0.16,2)</f>
        <v>958463.34</v>
      </c>
      <c r="N677" s="6">
        <f t="shared" si="175"/>
        <v>6948859.1900000004</v>
      </c>
      <c r="O677" s="6">
        <f>+ROUND(I677*0.002,2)+ROUND(I677*0.0003,2)+ROUND(I677*0.0003,2)+ROUND(I677*0.0003,2)+ROUND(I677*0.002,2)</f>
        <v>41932.769999999997</v>
      </c>
      <c r="P677" s="6">
        <f t="shared" si="176"/>
        <v>6906926.4199999999</v>
      </c>
      <c r="Q677" s="4" t="str">
        <f>LOOKUP($E677,OBRAS!$D:$D,OBRAS!B:B)</f>
        <v>INGENIEROS CIVILES, S.A. DE C.V.</v>
      </c>
      <c r="R677" s="4" t="str">
        <f>LOOKUP($E677,OBRAS!$D:$D,OBRAS!A:A)</f>
        <v>VARIOS</v>
      </c>
      <c r="S677" s="4" t="str">
        <f>LOOKUP($E677,OBRAS!$D:$D,OBRAS!F:F)</f>
        <v>11000002003501E204K08063A625012162A213</v>
      </c>
      <c r="T677" s="4" t="str">
        <f>LOOKUP($E677,OBRAS!$D:$D,OBRAS!G:G)</f>
        <v>CE-966006995-E17-2016</v>
      </c>
      <c r="U677" s="4" t="s">
        <v>863</v>
      </c>
      <c r="V677" s="89">
        <v>42723</v>
      </c>
      <c r="W677" s="6">
        <f>LOOKUP($E677,OBRAS!$D:$D,OBRAS!K:K)</f>
        <v>79892690.269999996</v>
      </c>
      <c r="X677" s="109">
        <f t="shared" si="177"/>
        <v>0.12429999999999999</v>
      </c>
      <c r="Y677" s="109">
        <f t="shared" si="178"/>
        <v>0.98319999999999996</v>
      </c>
      <c r="Z677" s="109">
        <f t="shared" si="179"/>
        <v>0.98309999999999997</v>
      </c>
      <c r="AA677" s="4" t="str">
        <f>LOOKUP($E677,OBRAS!$D:$D,OBRAS!H:H)</f>
        <v>SH-ED-17-R-013</v>
      </c>
    </row>
    <row r="678" spans="1:27" ht="60" x14ac:dyDescent="0.25">
      <c r="C678" s="51">
        <v>677</v>
      </c>
      <c r="D678" s="4" t="str">
        <f>LOOKUP($E678,OBRAS!$D:$D,OBRAS!C:C)</f>
        <v>PAVIMENTACION CON CONCRETO HIDRAULICO DE LAS CALLES NACOZARI, CAJEME Y LA AV. PLUTARCO ELIAS CALLES EN LA LOCALIDAD DE YÉCORA</v>
      </c>
      <c r="E678" s="4" t="s">
        <v>1467</v>
      </c>
      <c r="F678" s="4"/>
      <c r="G678" s="4" t="str">
        <f>LOOKUP($E678,OBRAS!$D:$D,OBRAS!E:E)</f>
        <v>C-00052/0188</v>
      </c>
      <c r="H678" s="80" t="s">
        <v>23</v>
      </c>
      <c r="I678" s="6">
        <v>1011121.38</v>
      </c>
      <c r="J678" s="6"/>
      <c r="K678" s="6">
        <v>0</v>
      </c>
      <c r="L678" s="6">
        <f t="shared" si="173"/>
        <v>1011121.38</v>
      </c>
      <c r="M678" s="6">
        <f t="shared" si="180"/>
        <v>161779.42000000001</v>
      </c>
      <c r="N678" s="6">
        <f t="shared" si="175"/>
        <v>1172900.8</v>
      </c>
      <c r="O678" s="6">
        <v>0</v>
      </c>
      <c r="P678" s="6">
        <f t="shared" si="176"/>
        <v>1172900.8</v>
      </c>
      <c r="Q678" s="4" t="str">
        <f>LOOKUP($E678,OBRAS!$D:$D,OBRAS!B:B)</f>
        <v>JASA INSTALACIONES Y ALCANTARILLADO, S.A. DE C.V.</v>
      </c>
      <c r="R678" s="4" t="str">
        <f>LOOKUP($E678,OBRAS!$D:$D,OBRAS!A:A)</f>
        <v>YECORA</v>
      </c>
      <c r="S678" s="4" t="str">
        <f>LOOKUP($E678,OBRAS!$D:$D,OBRAS!F:F)</f>
        <v>11000002002201E202K05186A614202165FC09</v>
      </c>
      <c r="T678" s="4" t="str">
        <f>LOOKUP($E678,OBRAS!$D:$D,OBRAS!G:G)</f>
        <v>IO-926006995-E128-2016</v>
      </c>
      <c r="U678" s="4" t="s">
        <v>863</v>
      </c>
      <c r="V678" s="89">
        <v>42691</v>
      </c>
      <c r="W678" s="6">
        <f>LOOKUP($E678,OBRAS!$D:$D,OBRAS!K:K)</f>
        <v>3909669.34</v>
      </c>
      <c r="X678" s="109" t="str">
        <f t="shared" si="177"/>
        <v/>
      </c>
      <c r="Y678" s="109">
        <f t="shared" si="178"/>
        <v>6.1699999999999998E-2</v>
      </c>
      <c r="Z678" s="109">
        <f t="shared" si="179"/>
        <v>0.34320000000000001</v>
      </c>
      <c r="AA678" s="4" t="str">
        <f>LOOKUP($E678,OBRAS!$D:$D,OBRAS!H:H)</f>
        <v>SH-NC-17-R-009</v>
      </c>
    </row>
    <row r="679" spans="1:27" ht="45" x14ac:dyDescent="0.25">
      <c r="C679" s="51">
        <v>678</v>
      </c>
      <c r="D679" s="4" t="str">
        <f>LOOKUP($E679,OBRAS!$D:$D,OBRAS!C:C)</f>
        <v>CONSTRUCCION DEL CENTRO DE TRANSICION AL NUEVO SISTEMA DE JUSTICIA PENAL DE HERMOSILLO</v>
      </c>
      <c r="E679" s="4" t="s">
        <v>1476</v>
      </c>
      <c r="F679" s="4"/>
      <c r="G679" s="4" t="str">
        <f>LOOKUP($E679,OBRAS!$D:$D,OBRAS!E:E)</f>
        <v>C-00058/0011</v>
      </c>
      <c r="H679" s="80" t="s">
        <v>23</v>
      </c>
      <c r="I679" s="6">
        <v>8351930.1299999999</v>
      </c>
      <c r="J679" s="6"/>
      <c r="K679" s="6">
        <v>0</v>
      </c>
      <c r="L679" s="6">
        <f t="shared" si="173"/>
        <v>8351930.1299999999</v>
      </c>
      <c r="M679" s="6">
        <f t="shared" si="180"/>
        <v>1336308.82</v>
      </c>
      <c r="N679" s="6">
        <f t="shared" si="175"/>
        <v>9688238.9499999993</v>
      </c>
      <c r="O679" s="6">
        <v>0</v>
      </c>
      <c r="P679" s="6">
        <f t="shared" si="176"/>
        <v>9688238.9499999993</v>
      </c>
      <c r="Q679" s="4" t="str">
        <f>LOOKUP($E679,OBRAS!$D:$D,OBRAS!B:B)</f>
        <v>CONSTRUMIL, S.A. DE C.V.</v>
      </c>
      <c r="R679" s="4" t="str">
        <f>LOOKUP($E679,OBRAS!$D:$D,OBRAS!A:A)</f>
        <v>HERMOSILLO</v>
      </c>
      <c r="S679" s="4" t="str">
        <f>LOOKUP($E679,OBRAS!$D:$D,OBRAS!F:F)</f>
        <v>11000002001202E104K06104A622012165HY07</v>
      </c>
      <c r="T679" s="4" t="str">
        <f>LOOKUP($E679,OBRAS!$D:$D,OBRAS!G:G)</f>
        <v>LO-926006995-E114-2016</v>
      </c>
      <c r="U679" s="4" t="s">
        <v>863</v>
      </c>
      <c r="V679" s="89">
        <v>42682</v>
      </c>
      <c r="W679" s="6">
        <f>LOOKUP($E679,OBRAS!$D:$D,OBRAS!K:K)</f>
        <v>32294129.84</v>
      </c>
      <c r="X679" s="109" t="str">
        <f t="shared" si="177"/>
        <v/>
      </c>
      <c r="Y679" s="109">
        <f t="shared" si="178"/>
        <v>5.3999999999999999E-2</v>
      </c>
      <c r="Z679" s="109">
        <f t="shared" si="179"/>
        <v>0.33779999999999999</v>
      </c>
      <c r="AA679" s="4" t="str">
        <f>LOOKUP($E679,OBRAS!$D:$D,OBRAS!H:H)</f>
        <v>SH-FIES-16-001</v>
      </c>
    </row>
    <row r="680" spans="1:27" ht="45" x14ac:dyDescent="0.25">
      <c r="C680" s="51">
        <v>679</v>
      </c>
      <c r="D680" s="4" t="str">
        <f>LOOKUP($E680,OBRAS!$D:$D,OBRAS!C:C)</f>
        <v>REHABILITACION DE PAVIMENTOS EN 13 CALLES DE CD. OBREGON ORIENTE</v>
      </c>
      <c r="E680" s="4" t="s">
        <v>1480</v>
      </c>
      <c r="F680" s="4"/>
      <c r="G680" s="4" t="str">
        <f>LOOKUP($E680,OBRAS!$D:$D,OBRAS!E:E)</f>
        <v>C-00052/0221</v>
      </c>
      <c r="H680" s="80" t="s">
        <v>23</v>
      </c>
      <c r="I680" s="6">
        <v>4732745.29</v>
      </c>
      <c r="J680" s="6"/>
      <c r="K680" s="6">
        <v>0</v>
      </c>
      <c r="L680" s="6">
        <f t="shared" si="173"/>
        <v>4732745.29</v>
      </c>
      <c r="M680" s="6">
        <f t="shared" si="180"/>
        <v>757239.25</v>
      </c>
      <c r="N680" s="6">
        <f t="shared" si="175"/>
        <v>5489984.54</v>
      </c>
      <c r="O680" s="6">
        <v>0</v>
      </c>
      <c r="P680" s="6">
        <f t="shared" si="176"/>
        <v>5489984.54</v>
      </c>
      <c r="Q680" s="4" t="str">
        <f>LOOKUP($E680,OBRAS!$D:$D,OBRAS!B:B)</f>
        <v>INMOBILIARIA Y CONSTRUCTORA HARBOR, S.A. DE C.V.</v>
      </c>
      <c r="R680" s="4" t="str">
        <f>LOOKUP($E680,OBRAS!$D:$D,OBRAS!A:A)</f>
        <v>CAJEME</v>
      </c>
      <c r="S680" s="4" t="str">
        <f>LOOKUP($E680,OBRAS!$D:$D,OBRAS!F:F)</f>
        <v>11000002002201E202K05186A614202165FN11</v>
      </c>
      <c r="T680" s="4" t="str">
        <f>LOOKUP($E680,OBRAS!$D:$D,OBRAS!G:G)</f>
        <v>LO-926006995-E110-2016</v>
      </c>
      <c r="U680" s="4" t="s">
        <v>863</v>
      </c>
      <c r="V680" s="89">
        <v>42689</v>
      </c>
      <c r="W680" s="6">
        <f>LOOKUP($E680,OBRAS!$D:$D,OBRAS!K:K)</f>
        <v>18299948.469999999</v>
      </c>
      <c r="X680" s="109" t="str">
        <f t="shared" si="177"/>
        <v/>
      </c>
      <c r="Y680" s="109">
        <f t="shared" si="178"/>
        <v>0.43049999999999999</v>
      </c>
      <c r="Z680" s="109">
        <f t="shared" si="179"/>
        <v>0.60129999999999995</v>
      </c>
      <c r="AA680" s="4" t="str">
        <f>LOOKUP($E680,OBRAS!$D:$D,OBRAS!H:H)</f>
        <v>SH-NC-17-R-005</v>
      </c>
    </row>
    <row r="681" spans="1:27" ht="30" x14ac:dyDescent="0.25">
      <c r="A681" s="90">
        <v>42678</v>
      </c>
      <c r="B681" s="56">
        <v>4835</v>
      </c>
      <c r="C681" s="51">
        <v>680</v>
      </c>
      <c r="D681" s="4" t="str">
        <f>LOOKUP($E681,OBRAS!$D:$D,OBRAS!C:C)</f>
        <v>CONSTRUCCION DEL CENTRO CULTURAL AL NORTE DE HERMOSILLO</v>
      </c>
      <c r="E681" s="4" t="s">
        <v>790</v>
      </c>
      <c r="F681" s="4" t="s">
        <v>991</v>
      </c>
      <c r="G681" s="4" t="str">
        <f>LOOKUP($E681,OBRAS!$D:$D,OBRAS!E:E)</f>
        <v>C-00111/0001</v>
      </c>
      <c r="H681" s="80" t="s">
        <v>55</v>
      </c>
      <c r="I681" s="6">
        <v>958298.47</v>
      </c>
      <c r="J681" s="6"/>
      <c r="K681" s="6">
        <f>ROUND(I681*0.3,2)</f>
        <v>287489.53999999998</v>
      </c>
      <c r="L681" s="6">
        <f t="shared" si="173"/>
        <v>670808.93000000005</v>
      </c>
      <c r="M681" s="6">
        <f t="shared" si="180"/>
        <v>107329.43</v>
      </c>
      <c r="N681" s="6">
        <f t="shared" si="175"/>
        <v>778138.36</v>
      </c>
      <c r="O681" s="6">
        <f>+ROUND(I681*0.005,2)</f>
        <v>4791.49</v>
      </c>
      <c r="P681" s="6">
        <f t="shared" si="176"/>
        <v>773346.87</v>
      </c>
      <c r="Q681" s="4" t="str">
        <f>LOOKUP($E681,OBRAS!$D:$D,OBRAS!B:B)</f>
        <v>CONSTRUCTORA MIRAMAR, S.A. DE C.V.</v>
      </c>
      <c r="R681" s="4" t="str">
        <f>LOOKUP($E681,OBRAS!$D:$D,OBRAS!A:A)</f>
        <v>HERMOSILLO</v>
      </c>
      <c r="S681" s="4">
        <f>LOOKUP($E681,OBRAS!$D:$D,OBRAS!F:F)</f>
        <v>0</v>
      </c>
      <c r="T681" s="4">
        <f>LOOKUP($E681,OBRAS!$D:$D,OBRAS!G:G)</f>
        <v>0</v>
      </c>
      <c r="U681" s="4" t="s">
        <v>863</v>
      </c>
      <c r="V681" s="89">
        <v>42684</v>
      </c>
      <c r="W681" s="6">
        <f>LOOKUP($E681,OBRAS!$D:$D,OBRAS!K:K)</f>
        <v>3955324.73</v>
      </c>
      <c r="X681" s="109">
        <f t="shared" si="177"/>
        <v>0.28100000000000003</v>
      </c>
      <c r="Y681" s="109">
        <f t="shared" si="178"/>
        <v>1.1862999999999999</v>
      </c>
      <c r="Z681" s="109">
        <f t="shared" si="179"/>
        <v>1.1862999999999999</v>
      </c>
      <c r="AA681" s="4">
        <f>LOOKUP($E681,OBRAS!$D:$D,OBRAS!H:H)</f>
        <v>4908879.3099999996</v>
      </c>
    </row>
    <row r="682" spans="1:27" ht="75" x14ac:dyDescent="0.25">
      <c r="A682" s="90">
        <v>42678</v>
      </c>
      <c r="B682" s="56">
        <v>4836</v>
      </c>
      <c r="C682" s="51">
        <v>681</v>
      </c>
      <c r="D682" s="4" t="str">
        <f>LOOKUP($E682,OBRAS!$D:$D,OBRAS!C:C)</f>
        <v>SUPERVISION EXTERNA PARA LA OBRA: CONSTRUCCION DE PARQUE, PLAYA Y BALNEARIO KINO MAGICO (ETAPA 1) EN LA COMISARIA DE BAHIA DE KINO MUNICIPIO DE HERMOSILLO, SONORA.</v>
      </c>
      <c r="E682" s="4" t="s">
        <v>410</v>
      </c>
      <c r="F682" s="4"/>
      <c r="G682" s="4" t="str">
        <f>LOOKUP($E682,OBRAS!$D:$D,OBRAS!E:E)</f>
        <v>C-00053/0014</v>
      </c>
      <c r="H682" s="80" t="s">
        <v>215</v>
      </c>
      <c r="I682" s="6">
        <v>299129.75</v>
      </c>
      <c r="J682" s="6"/>
      <c r="K682" s="6">
        <f>ROUND(I682*0.1,2)</f>
        <v>29912.98</v>
      </c>
      <c r="L682" s="6">
        <f t="shared" si="173"/>
        <v>269216.77</v>
      </c>
      <c r="M682" s="6">
        <f t="shared" si="180"/>
        <v>43074.68</v>
      </c>
      <c r="N682" s="6">
        <f t="shared" si="175"/>
        <v>312291.45</v>
      </c>
      <c r="O682" s="6">
        <f>ROUND(I682*0.0003,2)+ROUND(I682*0.0003,2)+ROUND(I682*0.0003,2)+ROUND(I682*0.002,2)</f>
        <v>867.48</v>
      </c>
      <c r="P682" s="6">
        <f t="shared" si="176"/>
        <v>311423.96999999997</v>
      </c>
      <c r="Q682" s="4" t="str">
        <f>LOOKUP($E682,OBRAS!$D:$D,OBRAS!B:B)</f>
        <v>CONSULTORIA Y CONSTRUCCION DEL NOROESTE</v>
      </c>
      <c r="R682" s="4" t="str">
        <f>LOOKUP($E682,OBRAS!$D:$D,OBRAS!A:A)</f>
        <v>HERMOSILLO</v>
      </c>
      <c r="S682" s="4" t="str">
        <f>LOOKUP($E682,OBRAS!$D:$D,OBRAS!F:F)</f>
        <v>11000002003701E306K05101A121012162A207</v>
      </c>
      <c r="T682" s="4" t="str">
        <f>LOOKUP($E682,OBRAS!$D:$D,OBRAS!G:G)</f>
        <v>CE-926006995-E56-2016</v>
      </c>
      <c r="U682" s="4" t="s">
        <v>863</v>
      </c>
      <c r="V682" s="89">
        <v>42781</v>
      </c>
      <c r="W682" s="6">
        <f>LOOKUP($E682,OBRAS!$D:$D,OBRAS!K:K)</f>
        <v>2428933.5699999998</v>
      </c>
      <c r="X682" s="109">
        <f t="shared" si="177"/>
        <v>0.1429</v>
      </c>
      <c r="Y682" s="109">
        <f t="shared" si="178"/>
        <v>0.71450000000000002</v>
      </c>
      <c r="Z682" s="109">
        <f t="shared" si="179"/>
        <v>0.7429</v>
      </c>
      <c r="AA682" s="4" t="str">
        <f>LOOKUP($E682,OBRAS!$D:$D,OBRAS!H:H)</f>
        <v>SH-ED-16-046</v>
      </c>
    </row>
    <row r="683" spans="1:27" ht="30" x14ac:dyDescent="0.25">
      <c r="C683" s="51">
        <v>682</v>
      </c>
      <c r="D683" s="4" t="str">
        <f>LOOKUP($E683,OBRAS!$D:$D,OBRAS!C:C)</f>
        <v>REHABILITACION DE PAVIMENTOS DE 4 CALLES EN LA LOCALIDAD DE IMURIS</v>
      </c>
      <c r="E683" s="4" t="s">
        <v>1483</v>
      </c>
      <c r="F683" s="4"/>
      <c r="G683" s="4" t="str">
        <f>LOOKUP($E683,OBRAS!$D:$D,OBRAS!E:E)</f>
        <v>C-00052/0210</v>
      </c>
      <c r="H683" s="80" t="s">
        <v>23</v>
      </c>
      <c r="I683" s="6">
        <v>704997.71</v>
      </c>
      <c r="J683" s="6"/>
      <c r="K683" s="6">
        <v>0</v>
      </c>
      <c r="L683" s="6">
        <f t="shared" si="173"/>
        <v>704997.71</v>
      </c>
      <c r="M683" s="6">
        <f t="shared" si="180"/>
        <v>112799.63</v>
      </c>
      <c r="N683" s="6">
        <f t="shared" si="175"/>
        <v>817797.34</v>
      </c>
      <c r="O683" s="6">
        <v>0</v>
      </c>
      <c r="P683" s="6">
        <f t="shared" si="176"/>
        <v>817797.34</v>
      </c>
      <c r="Q683" s="4" t="str">
        <f>LOOKUP($E683,OBRAS!$D:$D,OBRAS!B:B)</f>
        <v>CW METAL S.A DE C.V.</v>
      </c>
      <c r="R683" s="4" t="str">
        <f>LOOKUP($E683,OBRAS!$D:$D,OBRAS!A:A)</f>
        <v>IMURIS</v>
      </c>
      <c r="S683" s="4" t="str">
        <f>LOOKUP($E683,OBRAS!$D:$D,OBRAS!F:F)</f>
        <v>11000002002201E202K05186A614202165FN03</v>
      </c>
      <c r="T683" s="4" t="str">
        <f>LOOKUP($E683,OBRAS!$D:$D,OBRAS!G:G)</f>
        <v>IO-926006995-E130-2016</v>
      </c>
      <c r="U683" s="4" t="s">
        <v>863</v>
      </c>
      <c r="V683" s="89">
        <v>42685</v>
      </c>
      <c r="W683" s="6">
        <f>LOOKUP($E683,OBRAS!$D:$D,OBRAS!K:K)</f>
        <v>2725991.13</v>
      </c>
      <c r="X683" s="109" t="str">
        <f t="shared" si="177"/>
        <v/>
      </c>
      <c r="Y683" s="109">
        <f t="shared" si="178"/>
        <v>0.47520000000000001</v>
      </c>
      <c r="Z683" s="109">
        <f t="shared" si="179"/>
        <v>0.63260000000000005</v>
      </c>
      <c r="AA683" s="4" t="str">
        <f>LOOKUP($E683,OBRAS!$D:$D,OBRAS!H:H)</f>
        <v>SH-NC-17-R-005</v>
      </c>
    </row>
    <row r="684" spans="1:27" ht="45" x14ac:dyDescent="0.25">
      <c r="C684" s="51">
        <v>683</v>
      </c>
      <c r="D684" s="4" t="str">
        <f>LOOKUP($E684,OBRAS!$D:$D,OBRAS!C:C)</f>
        <v>PAVIMENTACION CON CONCRETO HIDRAULICO DE 15 CMS DE ESPESOR EN CALLE 3 EN LA LOCALIDAD DE NACORI CHICO</v>
      </c>
      <c r="E684" s="4" t="s">
        <v>1488</v>
      </c>
      <c r="F684" s="4"/>
      <c r="G684" s="4" t="str">
        <f>LOOKUP($E684,OBRAS!$D:$D,OBRAS!E:E)</f>
        <v>C-00052/0186</v>
      </c>
      <c r="H684" s="80" t="s">
        <v>23</v>
      </c>
      <c r="I684" s="6">
        <v>495627</v>
      </c>
      <c r="J684" s="6"/>
      <c r="K684" s="6">
        <v>0</v>
      </c>
      <c r="L684" s="6">
        <f t="shared" si="173"/>
        <v>495627</v>
      </c>
      <c r="M684" s="6">
        <f t="shared" si="180"/>
        <v>79300.320000000007</v>
      </c>
      <c r="N684" s="6">
        <f t="shared" si="175"/>
        <v>574927.31999999995</v>
      </c>
      <c r="O684" s="6">
        <v>0</v>
      </c>
      <c r="P684" s="6">
        <f t="shared" si="176"/>
        <v>574927.31999999995</v>
      </c>
      <c r="Q684" s="4" t="str">
        <f>LOOKUP($E684,OBRAS!$D:$D,OBRAS!B:B)</f>
        <v>ADOBE DESARROLLOS, S.A. DE C.V.</v>
      </c>
      <c r="R684" s="4" t="str">
        <f>LOOKUP($E684,OBRAS!$D:$D,OBRAS!A:A)</f>
        <v>NACORI CHICO</v>
      </c>
      <c r="S684" s="4" t="str">
        <f>LOOKUP($E684,OBRAS!$D:$D,OBRAS!F:F)</f>
        <v>11000002002201E202K05186A614202165FC06</v>
      </c>
      <c r="T684" s="4" t="str">
        <f>LOOKUP($E684,OBRAS!$D:$D,OBRAS!G:G)</f>
        <v>IO-926006995-E135-2016</v>
      </c>
      <c r="U684" s="4" t="s">
        <v>863</v>
      </c>
      <c r="V684" s="89">
        <v>42690</v>
      </c>
      <c r="W684" s="6">
        <f>LOOKUP($E684,OBRAS!$D:$D,OBRAS!K:K)</f>
        <v>1916424.39</v>
      </c>
      <c r="X684" s="109" t="str">
        <f t="shared" si="177"/>
        <v/>
      </c>
      <c r="Y684" s="109">
        <f t="shared" si="178"/>
        <v>1</v>
      </c>
      <c r="Z684" s="109">
        <f t="shared" si="179"/>
        <v>1</v>
      </c>
      <c r="AA684" s="4" t="str">
        <f>LOOKUP($E684,OBRAS!$D:$D,OBRAS!H:H)</f>
        <v>SH-NC-17-R-009</v>
      </c>
    </row>
    <row r="685" spans="1:27" ht="75" x14ac:dyDescent="0.25">
      <c r="A685" s="90">
        <v>42678</v>
      </c>
      <c r="B685" s="56">
        <v>4839</v>
      </c>
      <c r="C685" s="51">
        <v>684</v>
      </c>
      <c r="D685" s="4" t="str">
        <f>LOOKUP($E685,OBRAS!$D:$D,OBRAS!C:C)</f>
        <v>SUPERVISION EXTERNA Y CONTROL DE CALIDAD PARA LA OBRA RECONSTRUCCION DE CAMINO CALLE 600 VARIOS TRAMOS DEL KM 20+100 AL KM 40+700 EN VARIAS LOCALIDADES DEL MUNICIPIO DE CAJEME, SONORA</v>
      </c>
      <c r="E685" s="4" t="s">
        <v>446</v>
      </c>
      <c r="F685" s="4"/>
      <c r="G685" s="4" t="str">
        <f>LOOKUP($E685,OBRAS!$D:$D,OBRAS!E:E)</f>
        <v>C-00098/0020</v>
      </c>
      <c r="H685" s="80" t="s">
        <v>103</v>
      </c>
      <c r="I685" s="6">
        <v>114251.09</v>
      </c>
      <c r="J685" s="6"/>
      <c r="K685" s="6">
        <v>0</v>
      </c>
      <c r="L685" s="6">
        <f t="shared" si="173"/>
        <v>114251.09</v>
      </c>
      <c r="M685" s="6">
        <f t="shared" si="180"/>
        <v>18280.169999999998</v>
      </c>
      <c r="N685" s="6">
        <f t="shared" si="175"/>
        <v>132531.26</v>
      </c>
      <c r="O685" s="6">
        <f>ROUND(I685*0.0003,2)+ROUND(I685*0.0003,2)+ROUND(I685*0.0003,2)+ROUND(I685*0.002,2)</f>
        <v>331.34</v>
      </c>
      <c r="P685" s="6">
        <f t="shared" si="176"/>
        <v>132199.92000000001</v>
      </c>
      <c r="Q685" s="4" t="str">
        <f>LOOKUP($E685,OBRAS!$D:$D,OBRAS!B:B)</f>
        <v>ING. IVAN MLADOSICH ESTRADA</v>
      </c>
      <c r="R685" s="4" t="str">
        <f>LOOKUP($E685,OBRAS!$D:$D,OBRAS!A:A)</f>
        <v>CAJEME</v>
      </c>
      <c r="S685" s="4" t="str">
        <f>LOOKUP($E685,OBRAS!$D:$D,OBRAS!F:F)</f>
        <v>11000002003501E203K03203A625132161A013C-00098/0020</v>
      </c>
      <c r="T685" s="4" t="str">
        <f>LOOKUP($E685,OBRAS!$D:$D,OBRAS!G:G)</f>
        <v>ADJUDICACIÓN DIRECTA</v>
      </c>
      <c r="U685" s="4" t="s">
        <v>863</v>
      </c>
      <c r="V685" s="89">
        <v>42781</v>
      </c>
      <c r="W685" s="6">
        <f>LOOKUP($E685,OBRAS!$D:$D,OBRAS!K:K)</f>
        <v>220885.44</v>
      </c>
      <c r="X685" s="109">
        <f t="shared" si="177"/>
        <v>0.6</v>
      </c>
      <c r="Y685" s="109">
        <f t="shared" si="178"/>
        <v>1</v>
      </c>
      <c r="Z685" s="109">
        <f t="shared" si="179"/>
        <v>1</v>
      </c>
      <c r="AA685" s="4" t="str">
        <f>LOOKUP($E685,OBRAS!$D:$D,OBRAS!H:H)</f>
        <v>SH-ED-16-021</v>
      </c>
    </row>
    <row r="686" spans="1:27" ht="60" x14ac:dyDescent="0.25">
      <c r="A686" s="90">
        <v>42681</v>
      </c>
      <c r="B686" s="56">
        <v>4871</v>
      </c>
      <c r="C686" s="51">
        <v>685</v>
      </c>
      <c r="D686" s="4" t="str">
        <f>LOOKUP($E686,OBRAS!$D:$D,OBRAS!C:C)</f>
        <v>SUPERVISION EXTERNA Y CONTROL DE CALIDAD DE RECONSTRUCCION DEL CAMINO HERMOSILLO-BAHIA DE KINO EN VARIAS LOCALIADES DEL MUNICIPIO DE HERMOSILLO, SONORA.</v>
      </c>
      <c r="E686" s="4" t="s">
        <v>421</v>
      </c>
      <c r="F686" s="4"/>
      <c r="G686" s="4" t="str">
        <f>LOOKUP($E686,OBRAS!$D:$D,OBRAS!E:E)</f>
        <v>C-00098/0021</v>
      </c>
      <c r="H686" s="80" t="s">
        <v>214</v>
      </c>
      <c r="I686" s="6">
        <v>164796.85</v>
      </c>
      <c r="J686" s="6"/>
      <c r="K686" s="6">
        <f>ROUND(I686*0.1,2)</f>
        <v>16479.689999999999</v>
      </c>
      <c r="L686" s="6">
        <f t="shared" si="173"/>
        <v>148317.16</v>
      </c>
      <c r="M686" s="6">
        <f t="shared" si="180"/>
        <v>23730.75</v>
      </c>
      <c r="N686" s="6">
        <f t="shared" si="175"/>
        <v>172047.91</v>
      </c>
      <c r="O686" s="6">
        <f>ROUND(I686*0.0003,2)+ROUND(I686*0.0003,2)+ROUND(I686*0.0003,2)+ROUND(I686*0.002,2)</f>
        <v>477.91</v>
      </c>
      <c r="P686" s="6">
        <f t="shared" si="176"/>
        <v>171570</v>
      </c>
      <c r="Q686" s="4" t="str">
        <f>LOOKUP($E686,OBRAS!$D:$D,OBRAS!B:B)</f>
        <v>SEI TETRA, S. A. DE C. V.</v>
      </c>
      <c r="R686" s="4" t="str">
        <f>LOOKUP($E686,OBRAS!$D:$D,OBRAS!A:A)</f>
        <v>HERMOSILLO</v>
      </c>
      <c r="S686" s="4" t="str">
        <f>LOOKUP($E686,OBRAS!$D:$D,OBRAS!F:F)</f>
        <v>11000002003501E203K03203A625132161A013</v>
      </c>
      <c r="T686" s="4" t="str">
        <f>LOOKUP($E686,OBRAS!$D:$D,OBRAS!G:G)</f>
        <v>CE-926006995-E49-2016</v>
      </c>
      <c r="U686" s="4" t="s">
        <v>863</v>
      </c>
      <c r="V686" s="89">
        <v>42781</v>
      </c>
      <c r="W686" s="6">
        <f>LOOKUP($E686,OBRAS!$D:$D,OBRAS!K:K)</f>
        <v>1146994.1499999999</v>
      </c>
      <c r="X686" s="109">
        <f t="shared" si="177"/>
        <v>0.16669999999999999</v>
      </c>
      <c r="Y686" s="109">
        <f t="shared" si="178"/>
        <v>1</v>
      </c>
      <c r="Z686" s="109">
        <f t="shared" si="179"/>
        <v>1</v>
      </c>
      <c r="AA686" s="4" t="str">
        <f>LOOKUP($E686,OBRAS!$D:$D,OBRAS!H:H)</f>
        <v>SH-ED-16-040</v>
      </c>
    </row>
    <row r="687" spans="1:27" ht="45" x14ac:dyDescent="0.25">
      <c r="A687" s="90">
        <v>42681</v>
      </c>
      <c r="B687" s="56">
        <v>4872</v>
      </c>
      <c r="C687" s="51">
        <v>686</v>
      </c>
      <c r="D687" s="4" t="str">
        <f>LOOKUP($E687,OBRAS!$D:$D,OBRAS!C:C)</f>
        <v>RECONSTRUCCION DEL CAMINO CALLE 12 SUR EN VARIAS LOCALIDADES, MUNICIPIO DE HERMOSILLO, SONORA</v>
      </c>
      <c r="E687" s="4" t="s">
        <v>524</v>
      </c>
      <c r="F687" s="4"/>
      <c r="G687" s="4" t="str">
        <f>LOOKUP($E687,OBRAS!$D:$D,OBRAS!E:E)</f>
        <v>C-00054/0025</v>
      </c>
      <c r="H687" s="80" t="s">
        <v>215</v>
      </c>
      <c r="I687" s="6">
        <v>3708425.71</v>
      </c>
      <c r="J687" s="6"/>
      <c r="K687" s="6">
        <f>ROUND(I687*0.3,2)</f>
        <v>1112527.71</v>
      </c>
      <c r="L687" s="6">
        <f t="shared" si="173"/>
        <v>2595898</v>
      </c>
      <c r="M687" s="6">
        <f t="shared" si="180"/>
        <v>415343.68</v>
      </c>
      <c r="N687" s="6">
        <f t="shared" si="175"/>
        <v>3011241.68</v>
      </c>
      <c r="O687" s="6">
        <f>+ROUND(I687*0.002,2)+ROUND(I687*0.0003,2)+ROUND(I687*0.0003,2)+ROUND(I687*0.0003,2)+ROUND(I687*0.002,2)</f>
        <v>18171.29</v>
      </c>
      <c r="P687" s="6">
        <f t="shared" si="176"/>
        <v>2993070.39</v>
      </c>
      <c r="Q687" s="4" t="str">
        <f>LOOKUP($E687,OBRAS!$D:$D,OBRAS!B:B)</f>
        <v>GALEONEZS LM CONSTRUCCIONES, S. A. DE C. V.</v>
      </c>
      <c r="R687" s="4" t="str">
        <f>LOOKUP($E687,OBRAS!$D:$D,OBRAS!A:A)</f>
        <v>HERMOSILLO</v>
      </c>
      <c r="S687" s="4" t="str">
        <f>LOOKUP($E687,OBRAS!$D:$D,OBRAS!F:F)</f>
        <v>11000002003501E204K08063A625012162A207</v>
      </c>
      <c r="T687" s="4" t="str">
        <f>LOOKUP($E687,OBRAS!$D:$D,OBRAS!G:G)</f>
        <v>CE-926006995-E6-2016</v>
      </c>
      <c r="U687" s="4" t="s">
        <v>863</v>
      </c>
      <c r="V687" s="89">
        <v>42712</v>
      </c>
      <c r="W687" s="6">
        <f>LOOKUP($E687,OBRAS!$D:$D,OBRAS!K:K)</f>
        <v>22955014.68</v>
      </c>
      <c r="X687" s="109">
        <f t="shared" si="177"/>
        <v>0.18740000000000001</v>
      </c>
      <c r="Y687" s="109">
        <f t="shared" si="178"/>
        <v>0.98119999999999996</v>
      </c>
      <c r="Z687" s="109">
        <f t="shared" si="179"/>
        <v>0.9869</v>
      </c>
      <c r="AA687" s="4" t="str">
        <f>LOOKUP($E687,OBRAS!$D:$D,OBRAS!H:H)</f>
        <v>SH-ED-17-R-013</v>
      </c>
    </row>
    <row r="688" spans="1:27" ht="45" x14ac:dyDescent="0.25">
      <c r="C688" s="51">
        <v>687</v>
      </c>
      <c r="D688" s="4" t="str">
        <f>LOOKUP($E688,OBRAS!$D:$D,OBRAS!C:C)</f>
        <v>PAVIMENTACION CON CONCRETO HIDRAULICO DE LAS CALLES NORTE (EPIFANIO LEYVA SOTO) Y CUAUHTEMOC</v>
      </c>
      <c r="E688" s="4" t="s">
        <v>1602</v>
      </c>
      <c r="F688" s="4"/>
      <c r="G688" s="4" t="str">
        <f>LOOKUP($E688,OBRAS!$D:$D,OBRAS!E:E)</f>
        <v>C-00052/0213</v>
      </c>
      <c r="H688" s="80" t="s">
        <v>23</v>
      </c>
      <c r="I688" s="6">
        <v>877389.54</v>
      </c>
      <c r="J688" s="6"/>
      <c r="K688" s="6">
        <v>0</v>
      </c>
      <c r="L688" s="6">
        <f t="shared" si="173"/>
        <v>877389.54</v>
      </c>
      <c r="M688" s="6">
        <f t="shared" si="180"/>
        <v>140382.32999999999</v>
      </c>
      <c r="N688" s="6">
        <f t="shared" si="175"/>
        <v>1017771.87</v>
      </c>
      <c r="O688" s="6">
        <v>0</v>
      </c>
      <c r="P688" s="6">
        <f t="shared" si="176"/>
        <v>1017771.87</v>
      </c>
      <c r="Q688" s="4" t="str">
        <f>LOOKUP($E688,OBRAS!$D:$D,OBRAS!B:B)</f>
        <v>PROTEKO DESARROLLOS E INFRAESTRUCTURA S.A. DE C.V.</v>
      </c>
      <c r="R688" s="4" t="str">
        <f>LOOKUP($E688,OBRAS!$D:$D,OBRAS!A:A)</f>
        <v>ROSARIO</v>
      </c>
      <c r="S688" s="4" t="str">
        <f>LOOKUP($E688,OBRAS!$D:$D,OBRAS!F:F)</f>
        <v>11000002002201E202K05186A614202165FN12</v>
      </c>
      <c r="T688" s="4" t="str">
        <f>LOOKUP($E688,OBRAS!$D:$D,OBRAS!G:G)</f>
        <v>IO-926006995-E139-2016</v>
      </c>
      <c r="U688" s="4" t="s">
        <v>863</v>
      </c>
      <c r="V688" s="89">
        <v>42685</v>
      </c>
      <c r="W688" s="6">
        <f>LOOKUP($E688,OBRAS!$D:$D,OBRAS!K:K)</f>
        <v>3392572.89</v>
      </c>
      <c r="X688" s="109" t="str">
        <f t="shared" si="177"/>
        <v/>
      </c>
      <c r="Y688" s="109">
        <f t="shared" si="178"/>
        <v>0.2059</v>
      </c>
      <c r="Z688" s="109">
        <f t="shared" si="179"/>
        <v>0.44409999999999999</v>
      </c>
      <c r="AA688" s="4" t="str">
        <f>LOOKUP($E688,OBRAS!$D:$D,OBRAS!H:H)</f>
        <v>SH-NC-17-R-005</v>
      </c>
    </row>
    <row r="689" spans="1:27" ht="45" x14ac:dyDescent="0.25">
      <c r="C689" s="51">
        <v>688</v>
      </c>
      <c r="D689" s="4" t="str">
        <f>LOOKUP($E689,OBRAS!$D:$D,OBRAS!C:C)</f>
        <v>PAVIMENTACION CON CONCRETO HIDRAULICO DE VARIAS CALLES Y AVENIDAS DE VARIAS COLONIAS EN NACOZARI DE GARCIA</v>
      </c>
      <c r="E689" s="4" t="s">
        <v>1608</v>
      </c>
      <c r="F689" s="4"/>
      <c r="G689" s="4" t="str">
        <f>LOOKUP($E689,OBRAS!$D:$D,OBRAS!E:E)</f>
        <v>C-00052/0235</v>
      </c>
      <c r="H689" s="80" t="s">
        <v>23</v>
      </c>
      <c r="I689" s="6">
        <v>2185187.98</v>
      </c>
      <c r="J689" s="6"/>
      <c r="K689" s="6">
        <v>0</v>
      </c>
      <c r="L689" s="6">
        <f t="shared" si="173"/>
        <v>2185187.98</v>
      </c>
      <c r="M689" s="6">
        <f t="shared" si="180"/>
        <v>349630.08</v>
      </c>
      <c r="N689" s="6">
        <f t="shared" si="175"/>
        <v>2534818.06</v>
      </c>
      <c r="O689" s="6">
        <v>0</v>
      </c>
      <c r="P689" s="6">
        <f t="shared" si="176"/>
        <v>2534818.06</v>
      </c>
      <c r="Q689" s="4" t="str">
        <f>LOOKUP($E689,OBRAS!$D:$D,OBRAS!B:B)</f>
        <v>SIGNS MANUFACTURAS Y CONSTRUCCIONES, S.A. DE C.V.</v>
      </c>
      <c r="R689" s="4" t="str">
        <f>LOOKUP($E689,OBRAS!$D:$D,OBRAS!A:A)</f>
        <v>NACOZARI DE GARCIA</v>
      </c>
      <c r="S689" s="4" t="str">
        <f>LOOKUP($E689,OBRAS!$D:$D,OBRAS!F:F)</f>
        <v>11000002002201E202K05186A614202165FM04</v>
      </c>
      <c r="T689" s="4" t="str">
        <f>LOOKUP($E689,OBRAS!$D:$D,OBRAS!G:G)</f>
        <v>IO-926006995-E134-2016</v>
      </c>
      <c r="U689" s="4" t="s">
        <v>863</v>
      </c>
      <c r="V689" s="89">
        <v>42691</v>
      </c>
      <c r="W689" s="6">
        <f>LOOKUP($E689,OBRAS!$D:$D,OBRAS!K:K)</f>
        <v>8449393.5399999991</v>
      </c>
      <c r="X689" s="109" t="str">
        <f t="shared" si="177"/>
        <v/>
      </c>
      <c r="Y689" s="109">
        <f t="shared" si="178"/>
        <v>0.4264</v>
      </c>
      <c r="Z689" s="109">
        <f t="shared" si="179"/>
        <v>0.59850000000000003</v>
      </c>
      <c r="AA689" s="4" t="str">
        <f>LOOKUP($E689,OBRAS!$D:$D,OBRAS!H:H)</f>
        <v>SH-NC-17-R-008</v>
      </c>
    </row>
    <row r="690" spans="1:27" ht="45" x14ac:dyDescent="0.25">
      <c r="C690" s="51">
        <v>689</v>
      </c>
      <c r="D690" s="4" t="str">
        <f>LOOKUP($E690,OBRAS!$D:$D,OBRAS!C:C)</f>
        <v>PAVIMENTACION CON CONCRETO HIDRAULICO EN LA CALLE LOS OLIVOS EN LA LOCALIDAD DE BAVIACORA</v>
      </c>
      <c r="E690" s="4" t="s">
        <v>1614</v>
      </c>
      <c r="F690" s="4"/>
      <c r="G690" s="4" t="str">
        <f>LOOKUP($E690,OBRAS!$D:$D,OBRAS!E:E)</f>
        <v>C-00052/0183</v>
      </c>
      <c r="H690" s="80" t="s">
        <v>23</v>
      </c>
      <c r="I690" s="6">
        <v>461931.86</v>
      </c>
      <c r="J690" s="6"/>
      <c r="K690" s="6">
        <v>0</v>
      </c>
      <c r="L690" s="6">
        <f t="shared" si="173"/>
        <v>461931.86</v>
      </c>
      <c r="M690" s="6">
        <f t="shared" si="180"/>
        <v>73909.100000000006</v>
      </c>
      <c r="N690" s="6">
        <f t="shared" si="175"/>
        <v>535840.96</v>
      </c>
      <c r="O690" s="6">
        <v>0</v>
      </c>
      <c r="P690" s="6">
        <f t="shared" si="176"/>
        <v>535840.96</v>
      </c>
      <c r="Q690" s="4" t="str">
        <f>LOOKUP($E690,OBRAS!$D:$D,OBRAS!B:B)</f>
        <v>VALPA SUPERVISIONES, S.A. DE C.V.</v>
      </c>
      <c r="R690" s="4" t="str">
        <f>LOOKUP($E690,OBRAS!$D:$D,OBRAS!A:A)</f>
        <v>BAVIACORA</v>
      </c>
      <c r="S690" s="4" t="str">
        <f>LOOKUP($E690,OBRAS!$D:$D,OBRAS!F:F)</f>
        <v>11000002002201E202K05186A614202165FC05</v>
      </c>
      <c r="T690" s="4" t="str">
        <f>LOOKUP($E690,OBRAS!$D:$D,OBRAS!G:G)</f>
        <v>IO-926006995-E132-2016</v>
      </c>
      <c r="U690" s="4" t="s">
        <v>863</v>
      </c>
      <c r="V690" s="89">
        <v>42696</v>
      </c>
      <c r="W690" s="6">
        <f>LOOKUP($E690,OBRAS!$D:$D,OBRAS!K:K)</f>
        <v>1797489.34</v>
      </c>
      <c r="X690" s="109" t="str">
        <f t="shared" si="177"/>
        <v/>
      </c>
      <c r="Y690" s="109">
        <f t="shared" si="178"/>
        <v>0.28470000000000001</v>
      </c>
      <c r="Z690" s="109">
        <f t="shared" si="179"/>
        <v>0.49740000000000001</v>
      </c>
      <c r="AA690" s="4" t="str">
        <f>LOOKUP($E690,OBRAS!$D:$D,OBRAS!H:H)</f>
        <v>SH-NC-17-R-009</v>
      </c>
    </row>
    <row r="691" spans="1:27" ht="45" x14ac:dyDescent="0.25">
      <c r="A691" s="90">
        <v>42682</v>
      </c>
      <c r="B691" s="56">
        <v>4922</v>
      </c>
      <c r="C691" s="51">
        <v>690</v>
      </c>
      <c r="D691" s="4" t="str">
        <f>LOOKUP($E691,OBRAS!$D:$D,OBRAS!C:C)</f>
        <v>SUPERVISION Y CONTROL DE CALIDAD DE LA CONSERVACION Y RECONSTRUCCION DE LA CARRETERA SAN IGNACIO-JUPATAHUECA</v>
      </c>
      <c r="E691" s="4" t="s">
        <v>683</v>
      </c>
      <c r="F691" s="4"/>
      <c r="G691" s="4" t="str">
        <f>LOOKUP($E691,OBRAS!$D:$D,OBRAS!E:E)</f>
        <v>C-00098/0021</v>
      </c>
      <c r="H691" s="80" t="s">
        <v>103</v>
      </c>
      <c r="I691" s="6">
        <v>191745.56</v>
      </c>
      <c r="J691" s="6"/>
      <c r="K691" s="6">
        <f>ROUND(I691*0.1,2)</f>
        <v>19174.560000000001</v>
      </c>
      <c r="L691" s="6">
        <f t="shared" si="173"/>
        <v>172571</v>
      </c>
      <c r="M691" s="6">
        <f t="shared" si="180"/>
        <v>27611.360000000001</v>
      </c>
      <c r="N691" s="6">
        <f t="shared" si="175"/>
        <v>200182.36</v>
      </c>
      <c r="O691" s="6">
        <f>ROUND(I691*0.0003,2)+ROUND(I691*0.0003,2)+ROUND(I691*0.0003,2)+ROUND(I691*0.002,2)</f>
        <v>556.04999999999995</v>
      </c>
      <c r="P691" s="6">
        <f t="shared" si="176"/>
        <v>199626.31</v>
      </c>
      <c r="Q691" s="4" t="str">
        <f>LOOKUP($E691,OBRAS!$D:$D,OBRAS!B:B)</f>
        <v>ACSA CONSTRUCTORES S.A. DE C.V.</v>
      </c>
      <c r="R691" s="4" t="str">
        <f>LOOKUP($E691,OBRAS!$D:$D,OBRAS!A:A)</f>
        <v>VARIOS</v>
      </c>
      <c r="S691" s="4" t="str">
        <f>LOOKUP($E691,OBRAS!$D:$D,OBRAS!F:F)</f>
        <v>11000002003501E203K03203A625132161A013</v>
      </c>
      <c r="T691" s="4" t="str">
        <f>LOOKUP($E691,OBRAS!$D:$D,OBRAS!G:G)</f>
        <v>LICITACIÓN SIMPLIFICADA</v>
      </c>
      <c r="U691" s="4" t="s">
        <v>863</v>
      </c>
      <c r="V691" s="89">
        <v>42781</v>
      </c>
      <c r="W691" s="6">
        <f>LOOKUP($E691,OBRAS!$D:$D,OBRAS!K:K)</f>
        <v>674014.68</v>
      </c>
      <c r="X691" s="109">
        <f t="shared" si="177"/>
        <v>0.33</v>
      </c>
      <c r="Y691" s="109">
        <f t="shared" si="178"/>
        <v>1</v>
      </c>
      <c r="Z691" s="109">
        <f t="shared" si="179"/>
        <v>1</v>
      </c>
      <c r="AA691" s="4" t="str">
        <f>LOOKUP($E691,OBRAS!$D:$D,OBRAS!H:H)</f>
        <v>SH-ED-16-051</v>
      </c>
    </row>
    <row r="692" spans="1:27" ht="30" x14ac:dyDescent="0.25">
      <c r="A692" s="90"/>
      <c r="C692" s="51">
        <v>691</v>
      </c>
      <c r="D692" s="4" t="str">
        <f>LOOKUP($E692,OBRAS!$D:$D,OBRAS!C:C)</f>
        <v>PAVIMENTACION CON CONCRETO HIDRAULICO DE 15CM DE ESPESOR DE LA CALLE 16 DE SEPTIEMBRE</v>
      </c>
      <c r="E692" s="4" t="s">
        <v>1620</v>
      </c>
      <c r="F692" s="4"/>
      <c r="G692" s="4" t="str">
        <f>LOOKUP($E692,OBRAS!$D:$D,OBRAS!E:E)</f>
        <v>C-00052/0207</v>
      </c>
      <c r="H692" s="80" t="s">
        <v>23</v>
      </c>
      <c r="I692" s="6">
        <v>954463.31</v>
      </c>
      <c r="J692" s="6"/>
      <c r="K692" s="6">
        <v>0</v>
      </c>
      <c r="L692" s="6">
        <f t="shared" si="173"/>
        <v>954463.31</v>
      </c>
      <c r="M692" s="6">
        <f t="shared" si="180"/>
        <v>152714.13</v>
      </c>
      <c r="N692" s="6">
        <f t="shared" si="175"/>
        <v>1107177.44</v>
      </c>
      <c r="O692" s="6">
        <v>0</v>
      </c>
      <c r="P692" s="6">
        <f t="shared" si="176"/>
        <v>1107177.44</v>
      </c>
      <c r="Q692" s="4" t="str">
        <f>LOOKUP($E692,OBRAS!$D:$D,OBRAS!B:B)</f>
        <v>CONSTRUCTORA GARPE, S.A. DE C.V.</v>
      </c>
      <c r="R692" s="4" t="str">
        <f>LOOKUP($E692,OBRAS!$D:$D,OBRAS!A:A)</f>
        <v>BACUM</v>
      </c>
      <c r="S692" s="4" t="str">
        <f>LOOKUP($E692,OBRAS!$D:$D,OBRAS!F:F)</f>
        <v>11000002002201E202K05186A614202165FN10</v>
      </c>
      <c r="T692" s="4" t="str">
        <f>LOOKUP($E692,OBRAS!$D:$D,OBRAS!G:G)</f>
        <v>IO-926006995-E152-2016</v>
      </c>
      <c r="U692" s="4" t="s">
        <v>863</v>
      </c>
      <c r="V692" s="89">
        <v>42689</v>
      </c>
      <c r="W692" s="6">
        <f>LOOKUP($E692,OBRAS!$D:$D,OBRAS!K:K)</f>
        <v>3690591.47</v>
      </c>
      <c r="X692" s="109" t="str">
        <f t="shared" si="177"/>
        <v/>
      </c>
      <c r="Y692" s="109">
        <f t="shared" si="178"/>
        <v>0.94330000000000003</v>
      </c>
      <c r="Z692" s="109">
        <f t="shared" si="179"/>
        <v>0.96030000000000004</v>
      </c>
      <c r="AA692" s="4" t="str">
        <f>LOOKUP($E692,OBRAS!$D:$D,OBRAS!H:H)</f>
        <v>SH-NC-17-R-005</v>
      </c>
    </row>
    <row r="693" spans="1:27" ht="60" x14ac:dyDescent="0.25">
      <c r="C693" s="51">
        <v>692</v>
      </c>
      <c r="D693" s="4" t="str">
        <f>LOOKUP($E693,OBRAS!$D:$D,OBRAS!C:C)</f>
        <v>REHABILITACION DE PAVIMENTOS EN 15 CALLES DE CD. OBREGON CENTRO</v>
      </c>
      <c r="E693" s="4" t="s">
        <v>1625</v>
      </c>
      <c r="F693" s="4"/>
      <c r="G693" s="4" t="str">
        <f>LOOKUP($E693,OBRAS!$D:$D,OBRAS!E:E)</f>
        <v>C-00052/0222</v>
      </c>
      <c r="H693" s="80" t="s">
        <v>23</v>
      </c>
      <c r="I693" s="6">
        <v>5898568.4400000004</v>
      </c>
      <c r="J693" s="6"/>
      <c r="K693" s="6">
        <v>0</v>
      </c>
      <c r="L693" s="6">
        <f t="shared" si="173"/>
        <v>5898568.4400000004</v>
      </c>
      <c r="M693" s="6">
        <f t="shared" si="180"/>
        <v>943770.95</v>
      </c>
      <c r="N693" s="6">
        <f t="shared" si="175"/>
        <v>6842339.3899999997</v>
      </c>
      <c r="O693" s="6">
        <v>0</v>
      </c>
      <c r="P693" s="6">
        <f t="shared" si="176"/>
        <v>6842339.3899999997</v>
      </c>
      <c r="Q693" s="4" t="str">
        <f>LOOKUP($E693,OBRAS!$D:$D,OBRAS!B:B)</f>
        <v>CORPORATIVO DE SERVICIOS &amp; PLANEACION EN INFRAESTRUCTURA, S.A. DE C.V.</v>
      </c>
      <c r="R693" s="4" t="str">
        <f>LOOKUP($E693,OBRAS!$D:$D,OBRAS!A:A)</f>
        <v>CAJEME</v>
      </c>
      <c r="S693" s="4" t="str">
        <f>LOOKUP($E693,OBRAS!$D:$D,OBRAS!F:F)</f>
        <v>11000002002201E202K05186A614202165FN11</v>
      </c>
      <c r="T693" s="4" t="str">
        <f>LOOKUP($E693,OBRAS!$D:$D,OBRAS!G:G)</f>
        <v>LO-926006995-E98-2016</v>
      </c>
      <c r="U693" s="4" t="s">
        <v>863</v>
      </c>
      <c r="V693" s="89">
        <v>42691</v>
      </c>
      <c r="W693" s="6">
        <f>LOOKUP($E693,OBRAS!$D:$D,OBRAS!K:K)</f>
        <v>22807797.98</v>
      </c>
      <c r="X693" s="109" t="str">
        <f t="shared" si="177"/>
        <v/>
      </c>
      <c r="Y693" s="109">
        <f t="shared" si="178"/>
        <v>0</v>
      </c>
      <c r="Z693" s="109">
        <f t="shared" si="179"/>
        <v>0.3</v>
      </c>
      <c r="AA693" s="4" t="str">
        <f>LOOKUP($E693,OBRAS!$D:$D,OBRAS!H:H)</f>
        <v>SH-NC-17-R-005</v>
      </c>
    </row>
    <row r="694" spans="1:27" ht="45" x14ac:dyDescent="0.25">
      <c r="C694" s="51">
        <v>693</v>
      </c>
      <c r="D694" s="4" t="str">
        <f>LOOKUP($E694,OBRAS!$D:$D,OBRAS!C:C)</f>
        <v xml:space="preserve">CONSTRUCCION DE CENTRO COMUNITARIO DE APRENDIZAJE EN LA LOCALIDAD DE POZO DULCE MUNICIPIO DE HUATABAMPO </v>
      </c>
      <c r="E694" s="4" t="s">
        <v>1651</v>
      </c>
      <c r="F694" s="4"/>
      <c r="G694" s="4" t="str">
        <f>LOOKUP($E694,OBRAS!$D:$D,OBRAS!E:E)</f>
        <v xml:space="preserve"> C-00061/0022</v>
      </c>
      <c r="H694" s="80" t="s">
        <v>23</v>
      </c>
      <c r="I694" s="6">
        <v>580964.22</v>
      </c>
      <c r="J694" s="6"/>
      <c r="K694" s="6">
        <v>0</v>
      </c>
      <c r="L694" s="6">
        <f t="shared" si="173"/>
        <v>580964.22</v>
      </c>
      <c r="M694" s="6">
        <f t="shared" si="180"/>
        <v>92954.28</v>
      </c>
      <c r="N694" s="6">
        <f t="shared" si="175"/>
        <v>673918.5</v>
      </c>
      <c r="O694" s="6">
        <v>0</v>
      </c>
      <c r="P694" s="6">
        <f t="shared" si="176"/>
        <v>673918.5</v>
      </c>
      <c r="Q694" s="4" t="str">
        <f>LOOKUP($E694,OBRAS!$D:$D,OBRAS!B:B)</f>
        <v>CERTUS GERENCIA DE PROYECTOS S. A. DE C. V.</v>
      </c>
      <c r="R694" s="4" t="str">
        <f>LOOKUP($E694,OBRAS!$D:$D,OBRAS!A:A)</f>
        <v>HUATABAMPO</v>
      </c>
      <c r="S694" s="4" t="str">
        <f>LOOKUP($E694,OBRAS!$D:$D,OBRAS!F:F)</f>
        <v>11000002002302E401K04039K612032165DM12</v>
      </c>
      <c r="T694" s="4" t="str">
        <f>LOOKUP($E694,OBRAS!$D:$D,OBRAS!G:G)</f>
        <v>CE-926006995-E146-2016</v>
      </c>
      <c r="U694" s="4" t="s">
        <v>863</v>
      </c>
      <c r="V694" s="89">
        <v>42692</v>
      </c>
      <c r="W694" s="6">
        <f>LOOKUP($E694,OBRAS!$D:$D,OBRAS!K:K)</f>
        <v>2246395.02</v>
      </c>
      <c r="X694" s="109" t="str">
        <f t="shared" si="177"/>
        <v/>
      </c>
      <c r="Y694" s="109">
        <f t="shared" si="178"/>
        <v>0.14080000000000001</v>
      </c>
      <c r="Z694" s="109">
        <f t="shared" si="179"/>
        <v>0.39860000000000001</v>
      </c>
      <c r="AA694" s="4" t="str">
        <f>LOOKUP($E694,OBRAS!$D:$D,OBRAS!H:H)</f>
        <v>SH-FAFEF-17-R-001</v>
      </c>
    </row>
    <row r="695" spans="1:27" ht="60" x14ac:dyDescent="0.25">
      <c r="C695" s="51">
        <v>694</v>
      </c>
      <c r="D695" s="4" t="str">
        <f>LOOKUP($E695,OBRAS!$D:$D,OBRAS!C:C)</f>
        <v xml:space="preserve"> CONSTRUCCION Y REHABILITACION DE CENTRO COMUNITARIO DE APRENDIZAJE EN LA LOCALIDAD DE TIERRA BLANCA MUNICIPIO DE NAVOJOA, SONORA</v>
      </c>
      <c r="E695" s="4" t="s">
        <v>1650</v>
      </c>
      <c r="F695" s="4"/>
      <c r="G695" s="4" t="str">
        <f>LOOKUP($E695,OBRAS!$D:$D,OBRAS!E:E)</f>
        <v>C-00061/0021</v>
      </c>
      <c r="H695" s="80" t="s">
        <v>23</v>
      </c>
      <c r="I695" s="6">
        <v>546616.31999999995</v>
      </c>
      <c r="J695" s="6"/>
      <c r="K695" s="6">
        <v>0</v>
      </c>
      <c r="L695" s="6">
        <f t="shared" si="173"/>
        <v>546616.31999999995</v>
      </c>
      <c r="M695" s="6">
        <f t="shared" si="180"/>
        <v>87458.61</v>
      </c>
      <c r="N695" s="6">
        <f t="shared" si="175"/>
        <v>634074.93000000005</v>
      </c>
      <c r="O695" s="6">
        <v>0</v>
      </c>
      <c r="P695" s="6">
        <f t="shared" si="176"/>
        <v>634074.93000000005</v>
      </c>
      <c r="Q695" s="4" t="str">
        <f>LOOKUP($E695,OBRAS!$D:$D,OBRAS!B:B)</f>
        <v>CERTUS GERENCIA DE PROYECTOS S. A. DE C. V.</v>
      </c>
      <c r="R695" s="4" t="str">
        <f>LOOKUP($E695,OBRAS!$D:$D,OBRAS!A:A)</f>
        <v>NAVOJOA</v>
      </c>
      <c r="S695" s="4" t="str">
        <f>LOOKUP($E695,OBRAS!$D:$D,OBRAS!F:F)</f>
        <v>11000002002302E401K04039K612032165DM12</v>
      </c>
      <c r="T695" s="4" t="str">
        <f>LOOKUP($E695,OBRAS!$D:$D,OBRAS!G:G)</f>
        <v>CE-926006995-E146-2016</v>
      </c>
      <c r="U695" s="4" t="s">
        <v>863</v>
      </c>
      <c r="V695" s="89">
        <v>42692</v>
      </c>
      <c r="W695" s="6">
        <f>LOOKUP($E695,OBRAS!$D:$D,OBRAS!K:K)</f>
        <v>2113583.09</v>
      </c>
      <c r="X695" s="109" t="str">
        <f t="shared" si="177"/>
        <v/>
      </c>
      <c r="Y695" s="109">
        <f t="shared" si="178"/>
        <v>0.1187</v>
      </c>
      <c r="Z695" s="109">
        <f t="shared" si="179"/>
        <v>0.3831</v>
      </c>
      <c r="AA695" s="4" t="str">
        <f>LOOKUP($E695,OBRAS!$D:$D,OBRAS!H:H)</f>
        <v>SH-FAFEF-17-R-001</v>
      </c>
    </row>
    <row r="696" spans="1:27" ht="90" x14ac:dyDescent="0.25">
      <c r="C696" s="51">
        <v>695</v>
      </c>
      <c r="D696" s="4" t="str">
        <f>LOOKUP($E696,OBRAS!$D:$D,OBRAS!C:C)</f>
        <v>SUPERVISION EXTERNA Y CONTROL DE CALIDAD: CONSTRUCCIÓN DE PASO A DESNIVEL DENOMINADO "PUENTE UNIVERSITARIO", UBICADO SOBRE LA CARRETERA INTERNACIONAL 15 (UNISON, UTN, ACCESO AL HOSPITAL NUEVO IMSS)</v>
      </c>
      <c r="E696" s="4" t="s">
        <v>1633</v>
      </c>
      <c r="F696" s="4"/>
      <c r="G696" s="4" t="str">
        <f>LOOKUP($E696,OBRAS!$D:$D,OBRAS!E:E)</f>
        <v>C-00098/0022</v>
      </c>
      <c r="H696" s="80" t="s">
        <v>23</v>
      </c>
      <c r="I696" s="6">
        <v>876839.91</v>
      </c>
      <c r="J696" s="6"/>
      <c r="K696" s="6">
        <v>0</v>
      </c>
      <c r="L696" s="6">
        <f t="shared" si="173"/>
        <v>876839.91</v>
      </c>
      <c r="M696" s="6">
        <v>140294.38</v>
      </c>
      <c r="N696" s="6">
        <f t="shared" si="175"/>
        <v>1017134.29</v>
      </c>
      <c r="O696" s="6">
        <v>0</v>
      </c>
      <c r="P696" s="6">
        <f t="shared" si="176"/>
        <v>1017134.29</v>
      </c>
      <c r="Q696" s="4" t="str">
        <f>LOOKUP($E696,OBRAS!$D:$D,OBRAS!B:B)</f>
        <v>TOCA INGENIEROS, S.C.</v>
      </c>
      <c r="R696" s="4" t="str">
        <f>LOOKUP($E696,OBRAS!$D:$D,OBRAS!A:A)</f>
        <v>NOGALES</v>
      </c>
      <c r="S696" s="4" t="str">
        <f>LOOKUP($E696,OBRAS!$D:$D,OBRAS!F:F)</f>
        <v>11000002002207E201K02104A622212161A013</v>
      </c>
      <c r="T696" s="4" t="str">
        <f>LOOKUP($E696,OBRAS!$D:$D,OBRAS!G:G)</f>
        <v>CE-926006995-E156-2016</v>
      </c>
      <c r="U696" s="4" t="s">
        <v>863</v>
      </c>
      <c r="V696" s="89">
        <v>42781</v>
      </c>
      <c r="W696" s="6">
        <f>LOOKUP($E696,OBRAS!$D:$D,OBRAS!K:K)</f>
        <v>3390447.65</v>
      </c>
      <c r="X696" s="109" t="str">
        <f t="shared" si="177"/>
        <v/>
      </c>
      <c r="Y696" s="109">
        <f t="shared" si="178"/>
        <v>0</v>
      </c>
      <c r="Z696" s="109">
        <f t="shared" si="179"/>
        <v>0.3</v>
      </c>
      <c r="AA696" s="4" t="str">
        <f>LOOKUP($E696,OBRAS!$D:$D,OBRAS!H:H)</f>
        <v>SH-ED-16-124</v>
      </c>
    </row>
    <row r="697" spans="1:27" ht="45" x14ac:dyDescent="0.25">
      <c r="C697" s="51">
        <v>696</v>
      </c>
      <c r="D697" s="4" t="str">
        <f>LOOKUP($E697,OBRAS!$D:$D,OBRAS!C:C)</f>
        <v>PAVIMENTACION CON CONCRETO HIDRAULICO DE 15CMS DE ESPESOR EN CALLE MORELIA EN LA LOCALIDAD DE CARBO</v>
      </c>
      <c r="E697" s="4" t="s">
        <v>1638</v>
      </c>
      <c r="F697" s="4"/>
      <c r="G697" s="4" t="str">
        <f>LOOKUP($E697,OBRAS!$D:$D,OBRAS!E:E)</f>
        <v>C-00052/0191</v>
      </c>
      <c r="H697" s="80" t="s">
        <v>23</v>
      </c>
      <c r="I697" s="6">
        <v>674768.26</v>
      </c>
      <c r="J697" s="6"/>
      <c r="K697" s="6">
        <v>0</v>
      </c>
      <c r="L697" s="6">
        <f t="shared" si="173"/>
        <v>674768.26</v>
      </c>
      <c r="M697" s="6">
        <f t="shared" ref="M697:M718" si="181">ROUND(L697*0.16,2)</f>
        <v>107962.92</v>
      </c>
      <c r="N697" s="6">
        <f t="shared" si="175"/>
        <v>782731.18</v>
      </c>
      <c r="O697" s="6">
        <v>0</v>
      </c>
      <c r="P697" s="6">
        <f t="shared" si="176"/>
        <v>782731.18</v>
      </c>
      <c r="Q697" s="4" t="str">
        <f>LOOKUP($E697,OBRAS!$D:$D,OBRAS!B:B)</f>
        <v>RUVERSA, S.A. DE C.V.</v>
      </c>
      <c r="R697" s="4" t="str">
        <f>LOOKUP($E697,OBRAS!$D:$D,OBRAS!A:A)</f>
        <v>CARBO</v>
      </c>
      <c r="S697" s="4" t="str">
        <f>LOOKUP($E697,OBRAS!$D:$D,OBRAS!F:F)</f>
        <v>11000002002201E202K05186A614202165FC05</v>
      </c>
      <c r="T697" s="4" t="str">
        <f>LOOKUP($E697,OBRAS!$D:$D,OBRAS!G:G)</f>
        <v>IO-926006995-E143-2016</v>
      </c>
      <c r="U697" s="4" t="s">
        <v>863</v>
      </c>
      <c r="V697" s="89">
        <v>42691</v>
      </c>
      <c r="W697" s="6">
        <f>LOOKUP($E697,OBRAS!$D:$D,OBRAS!K:K)</f>
        <v>2609103.9500000002</v>
      </c>
      <c r="X697" s="109" t="str">
        <f t="shared" si="177"/>
        <v/>
      </c>
      <c r="Y697" s="109">
        <f t="shared" si="178"/>
        <v>1</v>
      </c>
      <c r="Z697" s="109">
        <f t="shared" si="179"/>
        <v>0.99990000000000001</v>
      </c>
      <c r="AA697" s="4" t="str">
        <f>LOOKUP($E697,OBRAS!$D:$D,OBRAS!H:H)</f>
        <v>SH-NC-17-R-009</v>
      </c>
    </row>
    <row r="698" spans="1:27" ht="45" x14ac:dyDescent="0.25">
      <c r="C698" s="51">
        <v>697</v>
      </c>
      <c r="D698" s="4" t="str">
        <f>LOOKUP($E698,OBRAS!$D:$D,OBRAS!C:C)</f>
        <v>CONSTRUCCION DE CENTRO COMUNITARIO DE APRENDIZAJE EN LA LOCALIDAD DE GUAJARAY, MUNICIPIO DE ALAMOS</v>
      </c>
      <c r="E698" s="4" t="s">
        <v>1644</v>
      </c>
      <c r="F698" s="4"/>
      <c r="G698" s="4" t="str">
        <f>LOOKUP($E698,OBRAS!$D:$D,OBRAS!E:E)</f>
        <v>C-00061/0019</v>
      </c>
      <c r="H698" s="80" t="s">
        <v>23</v>
      </c>
      <c r="I698" s="6">
        <v>744821.22</v>
      </c>
      <c r="J698" s="6"/>
      <c r="K698" s="6">
        <v>0</v>
      </c>
      <c r="L698" s="6">
        <f t="shared" si="173"/>
        <v>744821.22</v>
      </c>
      <c r="M698" s="6">
        <f t="shared" si="181"/>
        <v>119171.4</v>
      </c>
      <c r="N698" s="6">
        <f t="shared" si="175"/>
        <v>863992.62</v>
      </c>
      <c r="O698" s="6">
        <v>0</v>
      </c>
      <c r="P698" s="6">
        <f t="shared" si="176"/>
        <v>863992.62</v>
      </c>
      <c r="Q698" s="4" t="str">
        <f>LOOKUP($E698,OBRAS!$D:$D,OBRAS!B:B)</f>
        <v>ING. GAUDENCIO RAMOS MONTEON</v>
      </c>
      <c r="R698" s="4" t="str">
        <f>LOOKUP($E698,OBRAS!$D:$D,OBRAS!A:A)</f>
        <v>ALAMOS</v>
      </c>
      <c r="S698" s="4" t="str">
        <f>LOOKUP($E698,OBRAS!$D:$D,OBRAS!F:F)</f>
        <v>11000002002302E401K04039K612032165DM12</v>
      </c>
      <c r="T698" s="4" t="str">
        <f>LOOKUP($E698,OBRAS!$D:$D,OBRAS!G:G)</f>
        <v>CE-926006995-E145-2016</v>
      </c>
      <c r="U698" s="4" t="s">
        <v>863</v>
      </c>
      <c r="V698" s="89">
        <v>42692</v>
      </c>
      <c r="W698" s="6">
        <f>LOOKUP($E698,OBRAS!$D:$D,OBRAS!K:K)</f>
        <v>2879975.4</v>
      </c>
      <c r="X698" s="109" t="str">
        <f t="shared" si="177"/>
        <v/>
      </c>
      <c r="Y698" s="109">
        <f t="shared" si="178"/>
        <v>0.19040000000000001</v>
      </c>
      <c r="Z698" s="109">
        <f t="shared" si="179"/>
        <v>0.43330000000000002</v>
      </c>
      <c r="AA698" s="4" t="str">
        <f>LOOKUP($E698,OBRAS!$D:$D,OBRAS!H:H)</f>
        <v>SH-FAFEF-17-R-001</v>
      </c>
    </row>
    <row r="699" spans="1:27" ht="45" x14ac:dyDescent="0.25">
      <c r="C699" s="51">
        <v>698</v>
      </c>
      <c r="D699" s="4" t="str">
        <f>LOOKUP($E699,OBRAS!$D:$D,OBRAS!C:C)</f>
        <v>CONSTRUCCION DE CENTRO COMUNITARIO DE APRENDIZAJE EN LA LOCALIDAD DE MESA COLORADA, MUNICIPIO DE ALAMOS</v>
      </c>
      <c r="E699" s="4" t="s">
        <v>1647</v>
      </c>
      <c r="F699" s="4"/>
      <c r="G699" s="4" t="str">
        <f>LOOKUP($E699,OBRAS!$D:$D,OBRAS!E:E)</f>
        <v>C-00061/0020</v>
      </c>
      <c r="H699" s="80" t="s">
        <v>23</v>
      </c>
      <c r="I699" s="6">
        <v>744821.1</v>
      </c>
      <c r="J699" s="6"/>
      <c r="K699" s="6">
        <v>0</v>
      </c>
      <c r="L699" s="6">
        <f t="shared" si="173"/>
        <v>744821.1</v>
      </c>
      <c r="M699" s="6">
        <f t="shared" si="181"/>
        <v>119171.38</v>
      </c>
      <c r="N699" s="6">
        <f t="shared" si="175"/>
        <v>863992.48</v>
      </c>
      <c r="O699" s="6">
        <v>0</v>
      </c>
      <c r="P699" s="6">
        <f t="shared" si="176"/>
        <v>863992.48</v>
      </c>
      <c r="Q699" s="4" t="str">
        <f>LOOKUP($E699,OBRAS!$D:$D,OBRAS!B:B)</f>
        <v>ING. GAUDENCIO RAMOS MONTEON</v>
      </c>
      <c r="R699" s="4" t="str">
        <f>LOOKUP($E699,OBRAS!$D:$D,OBRAS!A:A)</f>
        <v>ALAMOS</v>
      </c>
      <c r="S699" s="4" t="str">
        <f>LOOKUP($E699,OBRAS!$D:$D,OBRAS!F:F)</f>
        <v>11000002002302E401K04039K612032165DM12</v>
      </c>
      <c r="T699" s="4" t="str">
        <f>LOOKUP($E699,OBRAS!$D:$D,OBRAS!G:G)</f>
        <v>CE-926006995-E145-2016</v>
      </c>
      <c r="U699" s="4" t="s">
        <v>863</v>
      </c>
      <c r="V699" s="89">
        <v>42692</v>
      </c>
      <c r="W699" s="6">
        <f>LOOKUP($E699,OBRAS!$D:$D,OBRAS!K:K)</f>
        <v>2879974.93</v>
      </c>
      <c r="X699" s="109" t="str">
        <f t="shared" si="177"/>
        <v/>
      </c>
      <c r="Y699" s="109">
        <f t="shared" si="178"/>
        <v>0.19040000000000001</v>
      </c>
      <c r="Z699" s="109">
        <f t="shared" si="179"/>
        <v>0.43330000000000002</v>
      </c>
      <c r="AA699" s="4" t="str">
        <f>LOOKUP($E699,OBRAS!$D:$D,OBRAS!H:H)</f>
        <v>SH-FAFEF-17-R-001</v>
      </c>
    </row>
    <row r="700" spans="1:27" ht="75" x14ac:dyDescent="0.25">
      <c r="A700" s="90">
        <v>42683</v>
      </c>
      <c r="B700" s="56">
        <v>4954</v>
      </c>
      <c r="C700" s="51">
        <v>699</v>
      </c>
      <c r="D700" s="4" t="str">
        <f>LOOKUP($E700,OBRAS!$D:$D,OBRAS!C:C)</f>
        <v>SUPERVISION EXTERNA Y CONTROL DE CALIDAD PARA LA OBRA RECONSTRUCCION DE CAMINO CALLE 900 VARIOS TRAMOS DEL KM 8+200 AL KM 36+139 EN VARIAS LOCALIDADES DEL MUNICIPIO DE CAJEME, SONORA</v>
      </c>
      <c r="E700" s="4" t="s">
        <v>447</v>
      </c>
      <c r="F700" s="4"/>
      <c r="G700" s="4" t="str">
        <f>LOOKUP($E700,OBRAS!$D:$D,OBRAS!E:E)</f>
        <v>C-00098/0020</v>
      </c>
      <c r="H700" s="80" t="s">
        <v>103</v>
      </c>
      <c r="I700" s="6">
        <v>102825.98</v>
      </c>
      <c r="J700" s="6"/>
      <c r="K700" s="6">
        <v>0</v>
      </c>
      <c r="L700" s="6">
        <f t="shared" si="173"/>
        <v>102825.98</v>
      </c>
      <c r="M700" s="6">
        <f t="shared" si="181"/>
        <v>16452.16</v>
      </c>
      <c r="N700" s="6">
        <f t="shared" si="175"/>
        <v>119278.14</v>
      </c>
      <c r="O700" s="6">
        <f>ROUND(I700*0.0003,2)+ROUND(I700*0.0003,2)+ROUND(I700*0.0003,2)+ROUND(I700*0.002,2)</f>
        <v>298.2</v>
      </c>
      <c r="P700" s="6">
        <f t="shared" si="176"/>
        <v>118979.94</v>
      </c>
      <c r="Q700" s="4" t="str">
        <f>LOOKUP($E700,OBRAS!$D:$D,OBRAS!B:B)</f>
        <v>ING. IVAN MLADOSICH ESTRADA</v>
      </c>
      <c r="R700" s="4" t="str">
        <f>LOOKUP($E700,OBRAS!$D:$D,OBRAS!A:A)</f>
        <v>CAJEME</v>
      </c>
      <c r="S700" s="4" t="str">
        <f>LOOKUP($E700,OBRAS!$D:$D,OBRAS!F:F)</f>
        <v>11000002003501E203K03203A625132161A013C-00098/0020</v>
      </c>
      <c r="T700" s="4" t="str">
        <f>LOOKUP($E700,OBRAS!$D:$D,OBRAS!G:G)</f>
        <v>ADJUDICACIÓN DIRECTA</v>
      </c>
      <c r="U700" s="4" t="s">
        <v>863</v>
      </c>
      <c r="V700" s="89">
        <v>42781</v>
      </c>
      <c r="W700" s="6">
        <f>LOOKUP($E700,OBRAS!$D:$D,OBRAS!K:K)</f>
        <v>220885.44</v>
      </c>
      <c r="X700" s="109">
        <f t="shared" si="177"/>
        <v>0.54</v>
      </c>
      <c r="Y700" s="109">
        <f t="shared" si="178"/>
        <v>1</v>
      </c>
      <c r="Z700" s="109">
        <f t="shared" si="179"/>
        <v>1</v>
      </c>
      <c r="AA700" s="4" t="str">
        <f>LOOKUP($E700,OBRAS!$D:$D,OBRAS!H:H)</f>
        <v>SH-ED-16-021</v>
      </c>
    </row>
    <row r="701" spans="1:27" ht="45" x14ac:dyDescent="0.25">
      <c r="A701" s="90"/>
      <c r="C701" s="51">
        <v>700</v>
      </c>
      <c r="D701" s="4" t="str">
        <f>LOOKUP($E701,OBRAS!$D:$D,OBRAS!C:C)</f>
        <v>PAVIMENTACION CON CARPETA ASFALTICA EN LAS CALLES AV. SAN LUIS, ALVARO OBREGON Y ABELARDO L. RODRIGUEZ</v>
      </c>
      <c r="E701" s="4" t="s">
        <v>1652</v>
      </c>
      <c r="F701" s="4"/>
      <c r="G701" s="4" t="str">
        <f>LOOKUP($E701,OBRAS!$D:$D,OBRAS!E:E)</f>
        <v>C-00052/0229</v>
      </c>
      <c r="H701" s="80" t="s">
        <v>23</v>
      </c>
      <c r="I701" s="6">
        <v>2455434.81</v>
      </c>
      <c r="J701" s="6"/>
      <c r="K701" s="6">
        <v>0</v>
      </c>
      <c r="L701" s="6">
        <f t="shared" si="173"/>
        <v>2455434.81</v>
      </c>
      <c r="M701" s="6">
        <f t="shared" si="181"/>
        <v>392869.57</v>
      </c>
      <c r="N701" s="6">
        <f t="shared" si="175"/>
        <v>2848304.38</v>
      </c>
      <c r="O701" s="6">
        <v>0</v>
      </c>
      <c r="P701" s="6">
        <f t="shared" si="176"/>
        <v>2848304.38</v>
      </c>
      <c r="Q701" s="4" t="str">
        <f>LOOKUP($E701,OBRAS!$D:$D,OBRAS!B:B)</f>
        <v>BARREDA PROYECTO Y CONSTRUCCIONES, S.A. DE C.V.</v>
      </c>
      <c r="R701" s="4" t="str">
        <f>LOOKUP($E701,OBRAS!$D:$D,OBRAS!A:A)</f>
        <v>S.L.R.C.</v>
      </c>
      <c r="S701" s="4" t="str">
        <f>LOOKUP($E701,OBRAS!$D:$D,OBRAS!F:F)</f>
        <v>11000002002201E202K05186A614202165FN01</v>
      </c>
      <c r="T701" s="4" t="str">
        <f>LOOKUP($E701,OBRAS!$D:$D,OBRAS!G:G)</f>
        <v>LO-926006995-E125-2016</v>
      </c>
      <c r="U701" s="4" t="s">
        <v>863</v>
      </c>
      <c r="V701" s="89">
        <v>42691</v>
      </c>
      <c r="W701" s="6">
        <f>LOOKUP($E701,OBRAS!$D:$D,OBRAS!K:K)</f>
        <v>9494347.9299999997</v>
      </c>
      <c r="X701" s="109" t="str">
        <f t="shared" si="177"/>
        <v/>
      </c>
      <c r="Y701" s="109">
        <f t="shared" si="178"/>
        <v>0.30559999999999998</v>
      </c>
      <c r="Z701" s="109">
        <f t="shared" si="179"/>
        <v>0.51390000000000002</v>
      </c>
      <c r="AA701" s="4" t="str">
        <f>LOOKUP($E701,OBRAS!$D:$D,OBRAS!H:H)</f>
        <v>SH-NC-17-R-005</v>
      </c>
    </row>
    <row r="702" spans="1:27" ht="45" x14ac:dyDescent="0.25">
      <c r="A702" s="90"/>
      <c r="C702" s="51">
        <v>701</v>
      </c>
      <c r="D702" s="4" t="str">
        <f>LOOKUP($E702,OBRAS!$D:$D,OBRAS!C:C)</f>
        <v>PAVIMENTACION CON CONCRETO HIDRAULICO DE 15 CMS DE ESPESOR EN CALLE INDEPENDENCIA EN LA LOCALIDAD Y MUNICIPIO DE SARIC, SONORA</v>
      </c>
      <c r="E702" s="4" t="s">
        <v>1222</v>
      </c>
      <c r="F702" s="4"/>
      <c r="G702" s="4" t="str">
        <f>LOOKUP($E702,OBRAS!$D:$D,OBRAS!E:E)</f>
        <v>C-00052/0237</v>
      </c>
      <c r="H702" s="80" t="s">
        <v>23</v>
      </c>
      <c r="I702" s="6">
        <v>594816.54</v>
      </c>
      <c r="J702" s="6"/>
      <c r="K702" s="6">
        <v>0</v>
      </c>
      <c r="L702" s="6">
        <f t="shared" si="173"/>
        <v>594816.54</v>
      </c>
      <c r="M702" s="6">
        <f t="shared" si="181"/>
        <v>95170.65</v>
      </c>
      <c r="N702" s="6">
        <f t="shared" si="175"/>
        <v>689987.19</v>
      </c>
      <c r="O702" s="6">
        <v>0</v>
      </c>
      <c r="P702" s="6">
        <f t="shared" si="176"/>
        <v>689987.19</v>
      </c>
      <c r="Q702" s="4" t="str">
        <f>LOOKUP($E702,OBRAS!$D:$D,OBRAS!B:B)</f>
        <v>DESARROLLOS CORCON, S. DE R. L. DE C. V.</v>
      </c>
      <c r="R702" s="4" t="str">
        <f>LOOKUP($E702,OBRAS!$D:$D,OBRAS!A:A)</f>
        <v>SARIC</v>
      </c>
      <c r="S702" s="4" t="str">
        <f>LOOKUP($E702,OBRAS!$D:$D,OBRAS!F:F)</f>
        <v>11000002002201E202K05186A614202165FM02</v>
      </c>
      <c r="T702" s="4" t="str">
        <f>LOOKUP($E702,OBRAS!$D:$D,OBRAS!G:G)</f>
        <v>IO-926006995-E119-2016</v>
      </c>
      <c r="U702" s="4" t="s">
        <v>863</v>
      </c>
      <c r="V702" s="89">
        <v>42702</v>
      </c>
      <c r="W702" s="6">
        <f>LOOKUP($E702,OBRAS!$D:$D,OBRAS!K:K)</f>
        <v>2299957.2999999998</v>
      </c>
      <c r="X702" s="109" t="str">
        <f t="shared" si="177"/>
        <v/>
      </c>
      <c r="Y702" s="109">
        <f t="shared" si="178"/>
        <v>0.1249</v>
      </c>
      <c r="Z702" s="109">
        <f t="shared" si="179"/>
        <v>0.38740000000000002</v>
      </c>
      <c r="AA702" s="4" t="str">
        <f>LOOKUP($E702,OBRAS!$D:$D,OBRAS!H:H)</f>
        <v>SH-NC-17-R-008</v>
      </c>
    </row>
    <row r="703" spans="1:27" ht="45" x14ac:dyDescent="0.25">
      <c r="A703" s="90"/>
      <c r="C703" s="51">
        <v>702</v>
      </c>
      <c r="D703" s="4" t="str">
        <f>LOOKUP($E703,OBRAS!$D:$D,OBRAS!C:C)</f>
        <v>PAVIMENTACION CON CONCRETO HIDRAULICO DE 15CMS DE ESPESOR EN CALLE PRINCIPAL EN LA LOCALIDAD DE QUIRIEGO</v>
      </c>
      <c r="E703" s="4" t="s">
        <v>1656</v>
      </c>
      <c r="F703" s="4"/>
      <c r="G703" s="4" t="str">
        <f>LOOKUP($E703,OBRAS!$D:$D,OBRAS!E:E)</f>
        <v>C-00052/0184</v>
      </c>
      <c r="H703" s="80" t="s">
        <v>23</v>
      </c>
      <c r="I703" s="6">
        <v>387853.28</v>
      </c>
      <c r="J703" s="6"/>
      <c r="K703" s="6">
        <v>0</v>
      </c>
      <c r="L703" s="6">
        <f t="shared" si="173"/>
        <v>387853.28</v>
      </c>
      <c r="M703" s="6">
        <f t="shared" si="181"/>
        <v>62056.52</v>
      </c>
      <c r="N703" s="6">
        <f t="shared" si="175"/>
        <v>449909.8</v>
      </c>
      <c r="O703" s="6">
        <v>0</v>
      </c>
      <c r="P703" s="6">
        <f t="shared" si="176"/>
        <v>449909.8</v>
      </c>
      <c r="Q703" s="4" t="str">
        <f>LOOKUP($E703,OBRAS!$D:$D,OBRAS!B:B)</f>
        <v>DISEÑOS Y CONSTRUCCIONES LOAR S.A. DE C.V.</v>
      </c>
      <c r="R703" s="4" t="str">
        <f>LOOKUP($E703,OBRAS!$D:$D,OBRAS!A:A)</f>
        <v>QUIRIEGO</v>
      </c>
      <c r="S703" s="4" t="str">
        <f>LOOKUP($E703,OBRAS!$D:$D,OBRAS!F:F)</f>
        <v>11000002002201E202K05186A614202165FC12</v>
      </c>
      <c r="T703" s="4" t="str">
        <f>LOOKUP($E703,OBRAS!$D:$D,OBRAS!G:G)</f>
        <v>IO-92600995-E153-2016</v>
      </c>
      <c r="U703" s="4" t="s">
        <v>863</v>
      </c>
      <c r="V703" s="89">
        <v>42692</v>
      </c>
      <c r="W703" s="6">
        <f>LOOKUP($E703,OBRAS!$D:$D,OBRAS!K:K)</f>
        <v>1499699.33</v>
      </c>
      <c r="X703" s="109" t="str">
        <f t="shared" si="177"/>
        <v/>
      </c>
      <c r="Y703" s="109">
        <f t="shared" si="178"/>
        <v>0.371</v>
      </c>
      <c r="Z703" s="109">
        <f t="shared" si="179"/>
        <v>0.55969999999999998</v>
      </c>
      <c r="AA703" s="4" t="str">
        <f>LOOKUP($E703,OBRAS!$D:$D,OBRAS!H:H)</f>
        <v>SH-NC-17-R-009</v>
      </c>
    </row>
    <row r="704" spans="1:27" ht="75" x14ac:dyDescent="0.25">
      <c r="A704" s="90">
        <v>42684</v>
      </c>
      <c r="B704" s="56">
        <v>4977</v>
      </c>
      <c r="C704" s="49">
        <v>703</v>
      </c>
      <c r="D704" s="4" t="str">
        <f>LOOKUP($E704,OBRAS!$D:$D,OBRAS!C:C)</f>
        <v>SUPERVISION EXTERNA Y CONTROL DE CALIDAD PARA LA OBRA RECONSTRUCCION DE CAMINO CALLE 600 VARIOS TRAMOS DEL KM 20+100 AL KM 40+700 EN VARIAS LOCALIDADES DEL MUNICIPIO DE CAJEME, SONORA</v>
      </c>
      <c r="E704" s="4" t="s">
        <v>446</v>
      </c>
      <c r="F704" s="4"/>
      <c r="G704" s="4" t="str">
        <f>LOOKUP($E704,OBRAS!$D:$D,OBRAS!E:E)</f>
        <v>C-00098/0020</v>
      </c>
      <c r="H704" s="80" t="s">
        <v>221</v>
      </c>
      <c r="I704" s="6">
        <v>76167.39</v>
      </c>
      <c r="J704" s="6"/>
      <c r="K704" s="6">
        <v>0</v>
      </c>
      <c r="L704" s="6">
        <f t="shared" si="173"/>
        <v>76167.39</v>
      </c>
      <c r="M704" s="6">
        <f t="shared" si="181"/>
        <v>12186.78</v>
      </c>
      <c r="N704" s="6">
        <f t="shared" si="175"/>
        <v>88354.17</v>
      </c>
      <c r="O704" s="6">
        <f>ROUND(I704*0.0003,2)+ROUND(I704*0.0003,2)+ROUND(I704*0.0003,2)+ROUND(I704*0.002,2)</f>
        <v>220.88</v>
      </c>
      <c r="P704" s="6">
        <f t="shared" si="176"/>
        <v>88133.29</v>
      </c>
      <c r="Q704" s="4" t="str">
        <f>LOOKUP($E704,OBRAS!$D:$D,OBRAS!B:B)</f>
        <v>ING. IVAN MLADOSICH ESTRADA</v>
      </c>
      <c r="R704" s="4" t="str">
        <f>LOOKUP($E704,OBRAS!$D:$D,OBRAS!A:A)</f>
        <v>CAJEME</v>
      </c>
      <c r="S704" s="4" t="str">
        <f>LOOKUP($E704,OBRAS!$D:$D,OBRAS!F:F)</f>
        <v>11000002003501E203K03203A625132161A013C-00098/0020</v>
      </c>
      <c r="T704" s="4" t="str">
        <f>LOOKUP($E704,OBRAS!$D:$D,OBRAS!G:G)</f>
        <v>ADJUDICACIÓN DIRECTA</v>
      </c>
      <c r="U704" s="4" t="s">
        <v>863</v>
      </c>
      <c r="V704" s="89">
        <v>42781</v>
      </c>
      <c r="W704" s="6">
        <f>LOOKUP($E704,OBRAS!$D:$D,OBRAS!K:K)</f>
        <v>220885.44</v>
      </c>
      <c r="X704" s="109">
        <f t="shared" si="177"/>
        <v>0.4</v>
      </c>
      <c r="Y704" s="109">
        <f t="shared" si="178"/>
        <v>1</v>
      </c>
      <c r="Z704" s="109">
        <f t="shared" si="179"/>
        <v>1</v>
      </c>
      <c r="AA704" s="4" t="str">
        <f>LOOKUP($E704,OBRAS!$D:$D,OBRAS!H:H)</f>
        <v>SH-ED-16-021</v>
      </c>
    </row>
    <row r="705" spans="1:27" ht="75" x14ac:dyDescent="0.25">
      <c r="A705" s="90">
        <v>42684</v>
      </c>
      <c r="B705" s="56">
        <v>4978</v>
      </c>
      <c r="C705" s="49">
        <v>704</v>
      </c>
      <c r="D705" s="4" t="str">
        <f>LOOKUP($E705,OBRAS!$D:$D,OBRAS!C:C)</f>
        <v>SUPERVISION EXTERNA Y CONTROL DE CALIDAD PARA LA OBRA RECONSTRUCCION DE CAMINO CALLE 900 VARIOS TRAMOS DEL KM 8+200 AL KM 36+139 EN VARIAS LOCALIDADES DEL MUNICIPIO DE CAJEME, SONORA</v>
      </c>
      <c r="E705" s="4" t="s">
        <v>447</v>
      </c>
      <c r="F705" s="4"/>
      <c r="G705" s="4" t="str">
        <f>LOOKUP($E705,OBRAS!$D:$D,OBRAS!E:E)</f>
        <v>C-00098/0020</v>
      </c>
      <c r="H705" s="80" t="s">
        <v>221</v>
      </c>
      <c r="I705" s="6">
        <v>87592.5</v>
      </c>
      <c r="J705" s="6"/>
      <c r="K705" s="6">
        <v>0</v>
      </c>
      <c r="L705" s="6">
        <f t="shared" si="173"/>
        <v>87592.5</v>
      </c>
      <c r="M705" s="6">
        <f t="shared" si="181"/>
        <v>14014.8</v>
      </c>
      <c r="N705" s="6">
        <f t="shared" si="175"/>
        <v>101607.3</v>
      </c>
      <c r="O705" s="6">
        <f>ROUND(I705*0.0003,2)+ROUND(I705*0.0003,2)+ROUND(I705*0.0003,2)+ROUND(I705*0.002,2)</f>
        <v>254.03</v>
      </c>
      <c r="P705" s="6">
        <f t="shared" si="176"/>
        <v>101353.27</v>
      </c>
      <c r="Q705" s="4" t="str">
        <f>LOOKUP($E705,OBRAS!$D:$D,OBRAS!B:B)</f>
        <v>ING. IVAN MLADOSICH ESTRADA</v>
      </c>
      <c r="R705" s="4" t="str">
        <f>LOOKUP($E705,OBRAS!$D:$D,OBRAS!A:A)</f>
        <v>CAJEME</v>
      </c>
      <c r="S705" s="4" t="str">
        <f>LOOKUP($E705,OBRAS!$D:$D,OBRAS!F:F)</f>
        <v>11000002003501E203K03203A625132161A013C-00098/0020</v>
      </c>
      <c r="T705" s="4" t="str">
        <f>LOOKUP($E705,OBRAS!$D:$D,OBRAS!G:G)</f>
        <v>ADJUDICACIÓN DIRECTA</v>
      </c>
      <c r="U705" s="4" t="s">
        <v>863</v>
      </c>
      <c r="V705" s="89">
        <v>42781</v>
      </c>
      <c r="W705" s="6">
        <f>LOOKUP($E705,OBRAS!$D:$D,OBRAS!K:K)</f>
        <v>220885.44</v>
      </c>
      <c r="X705" s="109">
        <f t="shared" si="177"/>
        <v>0.46</v>
      </c>
      <c r="Y705" s="109">
        <f t="shared" si="178"/>
        <v>1</v>
      </c>
      <c r="Z705" s="109">
        <f t="shared" si="179"/>
        <v>1</v>
      </c>
      <c r="AA705" s="4" t="str">
        <f>LOOKUP($E705,OBRAS!$D:$D,OBRAS!H:H)</f>
        <v>SH-ED-16-021</v>
      </c>
    </row>
    <row r="706" spans="1:27" ht="30" x14ac:dyDescent="0.25">
      <c r="A706" s="90">
        <v>42685</v>
      </c>
      <c r="B706" s="56">
        <v>5004</v>
      </c>
      <c r="C706" s="51">
        <v>705</v>
      </c>
      <c r="D706" s="4" t="str">
        <f>LOOKUP($E706,OBRAS!$D:$D,OBRAS!C:C)</f>
        <v>RECONSTRUCCIÓN DE CAMINO HORNOS-ROSARIO</v>
      </c>
      <c r="E706" s="4" t="s">
        <v>532</v>
      </c>
      <c r="F706" s="4" t="s">
        <v>1445</v>
      </c>
      <c r="G706" s="4" t="str">
        <f>LOOKUP($E706,OBRAS!$D:$D,OBRAS!E:E)</f>
        <v>C-00054/0024</v>
      </c>
      <c r="H706" s="80" t="s">
        <v>748</v>
      </c>
      <c r="I706" s="6">
        <v>8497970.6899999995</v>
      </c>
      <c r="J706" s="6"/>
      <c r="K706" s="6">
        <f>ROUND(I706*0.3,2)</f>
        <v>2549391.21</v>
      </c>
      <c r="L706" s="6">
        <f t="shared" si="173"/>
        <v>5948579.4800000004</v>
      </c>
      <c r="M706" s="6">
        <f t="shared" si="181"/>
        <v>951772.72</v>
      </c>
      <c r="N706" s="6">
        <f t="shared" si="175"/>
        <v>6900352.2000000002</v>
      </c>
      <c r="O706" s="6">
        <f>+ROUND(I706*0.002,2)+ROUND(I706*0.0003,2)+ROUND(I706*0.0003,2)+ROUND(I706*0.0003,2)+ROUND(I706*0.002,2)</f>
        <v>41640.050000000003</v>
      </c>
      <c r="P706" s="6">
        <f t="shared" si="176"/>
        <v>6858712.1500000004</v>
      </c>
      <c r="Q706" s="4" t="str">
        <f>LOOKUP($E706,OBRAS!$D:$D,OBRAS!B:B)</f>
        <v>ADMINISTRADORA DE OBRAS OACSA, S.A. DE C.V.</v>
      </c>
      <c r="R706" s="4" t="str">
        <f>LOOKUP($E706,OBRAS!$D:$D,OBRAS!A:A)</f>
        <v>VARIOS</v>
      </c>
      <c r="S706" s="4" t="str">
        <f>LOOKUP($E706,OBRAS!$D:$D,OBRAS!F:F)</f>
        <v>11000002003501E204K08063A625012162A213</v>
      </c>
      <c r="T706" s="4" t="str">
        <f>LOOKUP($E706,OBRAS!$D:$D,OBRAS!G:G)</f>
        <v>CE-926006995-E7-2016</v>
      </c>
      <c r="U706" s="4" t="s">
        <v>863</v>
      </c>
      <c r="V706" s="89">
        <v>42717</v>
      </c>
      <c r="W706" s="6">
        <f>LOOKUP($E706,OBRAS!$D:$D,OBRAS!K:K)</f>
        <v>83353232.650000006</v>
      </c>
      <c r="X706" s="109">
        <f t="shared" si="177"/>
        <v>0.1183</v>
      </c>
      <c r="Y706" s="109">
        <f t="shared" si="178"/>
        <v>0.99390000000000001</v>
      </c>
      <c r="Z706" s="109">
        <f t="shared" si="179"/>
        <v>0.99370000000000003</v>
      </c>
      <c r="AA706" s="4" t="str">
        <f>LOOKUP($E706,OBRAS!$D:$D,OBRAS!H:H)</f>
        <v>SH-ED-17-R-013</v>
      </c>
    </row>
    <row r="707" spans="1:27" ht="30" x14ac:dyDescent="0.25">
      <c r="A707" s="90">
        <v>42685</v>
      </c>
      <c r="B707" s="56">
        <v>5005</v>
      </c>
      <c r="C707" s="51">
        <v>706</v>
      </c>
      <c r="D707" s="4" t="str">
        <f>LOOKUP($E707,OBRAS!$D:$D,OBRAS!C:C)</f>
        <v>RECONSTRUCCIÓN DE CAMINO HORNOS-ROSARIO</v>
      </c>
      <c r="E707" s="4" t="s">
        <v>532</v>
      </c>
      <c r="F707" s="4" t="s">
        <v>1445</v>
      </c>
      <c r="G707" s="4" t="str">
        <f>LOOKUP($E707,OBRAS!$D:$D,OBRAS!E:E)</f>
        <v>C-00054/0024</v>
      </c>
      <c r="H707" s="80" t="s">
        <v>249</v>
      </c>
      <c r="I707" s="6">
        <v>6744025.25</v>
      </c>
      <c r="J707" s="6"/>
      <c r="K707" s="6">
        <f>ROUND(I707*0.3,2)</f>
        <v>2023207.58</v>
      </c>
      <c r="L707" s="6">
        <f t="shared" si="173"/>
        <v>4720817.67</v>
      </c>
      <c r="M707" s="6">
        <f t="shared" si="181"/>
        <v>755330.83</v>
      </c>
      <c r="N707" s="6">
        <f t="shared" si="175"/>
        <v>5476148.5</v>
      </c>
      <c r="O707" s="6">
        <f>+ROUND(I707*0.002,2)+ROUND(I707*0.0003,2)+ROUND(I707*0.0003,2)+ROUND(I707*0.0003,2)+ROUND(I707*0.002,2)</f>
        <v>33045.730000000003</v>
      </c>
      <c r="P707" s="6">
        <f t="shared" si="176"/>
        <v>5443102.7699999996</v>
      </c>
      <c r="Q707" s="4" t="str">
        <f>LOOKUP($E707,OBRAS!$D:$D,OBRAS!B:B)</f>
        <v>ADMINISTRADORA DE OBRAS OACSA, S.A. DE C.V.</v>
      </c>
      <c r="R707" s="4" t="str">
        <f>LOOKUP($E707,OBRAS!$D:$D,OBRAS!A:A)</f>
        <v>VARIOS</v>
      </c>
      <c r="S707" s="4" t="str">
        <f>LOOKUP($E707,OBRAS!$D:$D,OBRAS!F:F)</f>
        <v>11000002003501E204K08063A625012162A213</v>
      </c>
      <c r="T707" s="4" t="str">
        <f>LOOKUP($E707,OBRAS!$D:$D,OBRAS!G:G)</f>
        <v>CE-926006995-E7-2016</v>
      </c>
      <c r="U707" s="4" t="s">
        <v>863</v>
      </c>
      <c r="V707" s="89">
        <v>42717</v>
      </c>
      <c r="W707" s="6">
        <f>LOOKUP($E707,OBRAS!$D:$D,OBRAS!K:K)</f>
        <v>83353232.650000006</v>
      </c>
      <c r="X707" s="109">
        <f t="shared" si="177"/>
        <v>9.3899999999999997E-2</v>
      </c>
      <c r="Y707" s="109">
        <f t="shared" si="178"/>
        <v>0.99390000000000001</v>
      </c>
      <c r="Z707" s="109">
        <f t="shared" si="179"/>
        <v>0.99370000000000003</v>
      </c>
      <c r="AA707" s="4" t="str">
        <f>LOOKUP($E707,OBRAS!$D:$D,OBRAS!H:H)</f>
        <v>SH-ED-17-R-013</v>
      </c>
    </row>
    <row r="708" spans="1:27" ht="45" x14ac:dyDescent="0.25">
      <c r="A708" s="90">
        <v>42685</v>
      </c>
      <c r="B708" s="56">
        <v>5006</v>
      </c>
      <c r="C708" s="51">
        <v>707</v>
      </c>
      <c r="D708" s="4" t="str">
        <f>LOOKUP($E708,OBRAS!$D:$D,OBRAS!C:C)</f>
        <v>RECONSTRUCCION DE E. C. (HERMOSILLO-BAHIA DE KINO)- GRANJA ACUICOLA SAN NICOLAS DEL KM 0+000 AL KM 10+410, HERMOSILLO</v>
      </c>
      <c r="E708" s="4" t="s">
        <v>326</v>
      </c>
      <c r="F708" s="4"/>
      <c r="G708" s="4" t="str">
        <f>LOOKUP($E708,OBRAS!$D:$D,OBRAS!E:E)</f>
        <v>C-00054/0075</v>
      </c>
      <c r="H708" s="80" t="s">
        <v>55</v>
      </c>
      <c r="I708" s="6">
        <v>5907692.0700000003</v>
      </c>
      <c r="J708" s="6"/>
      <c r="K708" s="6">
        <f>ROUND(I708*0.3,2)</f>
        <v>1772307.62</v>
      </c>
      <c r="L708" s="6">
        <f t="shared" si="173"/>
        <v>4135384.45</v>
      </c>
      <c r="M708" s="6">
        <f t="shared" si="181"/>
        <v>661661.51</v>
      </c>
      <c r="N708" s="6">
        <f t="shared" si="175"/>
        <v>4797045.96</v>
      </c>
      <c r="O708" s="6">
        <f>+ROUND(I708*0.002,2)+ROUND(I708*0.0003,2)+ROUND(I708*0.0003,2)+ROUND(I708*0.0003,2)+ROUND(I708*0.002,2)</f>
        <v>28947.69</v>
      </c>
      <c r="P708" s="6">
        <f t="shared" si="176"/>
        <v>4768098.2699999996</v>
      </c>
      <c r="Q708" s="4" t="str">
        <f>LOOKUP($E708,OBRAS!$D:$D,OBRAS!B:B)</f>
        <v>GALEONEZS LM CONSTRUCCIONES, S. A. DE C. V.</v>
      </c>
      <c r="R708" s="4" t="str">
        <f>LOOKUP($E708,OBRAS!$D:$D,OBRAS!A:A)</f>
        <v>HERMOSILLO</v>
      </c>
      <c r="S708" s="4" t="str">
        <f>LOOKUP($E708,OBRAS!$D:$D,OBRAS!F:F)</f>
        <v>11000002003501E204K08063A625012162A207</v>
      </c>
      <c r="T708" s="4" t="str">
        <f>LOOKUP($E708,OBRAS!$D:$D,OBRAS!G:G)</f>
        <v>CE-926006995-E43-2016</v>
      </c>
      <c r="U708" s="4" t="s">
        <v>863</v>
      </c>
      <c r="V708" s="89">
        <v>42726</v>
      </c>
      <c r="W708" s="6">
        <f>LOOKUP($E708,OBRAS!$D:$D,OBRAS!K:K)</f>
        <v>19015925.609999999</v>
      </c>
      <c r="X708" s="109">
        <f t="shared" si="177"/>
        <v>0.3604</v>
      </c>
      <c r="Y708" s="109">
        <f t="shared" si="178"/>
        <v>0.82530000000000003</v>
      </c>
      <c r="Z708" s="109">
        <f t="shared" si="179"/>
        <v>0.87770000000000004</v>
      </c>
      <c r="AA708" s="4" t="str">
        <f>LOOKUP($E708,OBRAS!$D:$D,OBRAS!H:H)</f>
        <v>SH-ED-17-R-004</v>
      </c>
    </row>
    <row r="709" spans="1:27" ht="45" x14ac:dyDescent="0.25">
      <c r="A709" s="90">
        <v>42685</v>
      </c>
      <c r="B709" s="56">
        <v>5007</v>
      </c>
      <c r="C709" s="51">
        <v>708</v>
      </c>
      <c r="D709" s="4" t="str">
        <f>LOOKUP($E709,OBRAS!$D:$D,OBRAS!C:C)</f>
        <v>SUPERVISOR EXTERNA Y CONTROL CALIDAD DE RECARPETEO CON MICROCARPETA ASFALTICA DE 3.0 CM DE ESPESOR EN VARIAS CALLES Y AVENIDAS</v>
      </c>
      <c r="E709" s="4" t="s">
        <v>466</v>
      </c>
      <c r="F709" s="4"/>
      <c r="G709" s="4" t="str">
        <f>LOOKUP($E709,OBRAS!$D:$D,OBRAS!E:E)</f>
        <v>C-00098/0022</v>
      </c>
      <c r="H709" s="80" t="s">
        <v>215</v>
      </c>
      <c r="I709" s="6">
        <v>151503.09</v>
      </c>
      <c r="J709" s="6"/>
      <c r="K709" s="6">
        <f>ROUND(I709*0.1,2)</f>
        <v>15150.31</v>
      </c>
      <c r="L709" s="6">
        <f t="shared" si="173"/>
        <v>136352.78</v>
      </c>
      <c r="M709" s="6">
        <f t="shared" si="181"/>
        <v>21816.44</v>
      </c>
      <c r="N709" s="6">
        <f t="shared" si="175"/>
        <v>158169.22</v>
      </c>
      <c r="O709" s="6">
        <f>ROUND(I709*0.0003,2)+ROUND(I709*0.0003,2)+ROUND(I709*0.0003,2)+ROUND(I709*0.002,2)</f>
        <v>439.36</v>
      </c>
      <c r="P709" s="6">
        <f t="shared" si="176"/>
        <v>157729.85999999999</v>
      </c>
      <c r="Q709" s="4" t="str">
        <f>LOOKUP($E709,OBRAS!$D:$D,OBRAS!B:B)</f>
        <v>PROMOTORES ADMINISTRATIVOS ASOCIADOS, S.C.</v>
      </c>
      <c r="R709" s="4" t="str">
        <f>LOOKUP($E709,OBRAS!$D:$D,OBRAS!A:A)</f>
        <v>CABORCA</v>
      </c>
      <c r="S709" s="4" t="str">
        <f>LOOKUP($E709,OBRAS!$D:$D,OBRAS!F:F)</f>
        <v>11000002002207E201K02104A622212161A013</v>
      </c>
      <c r="T709" s="4" t="str">
        <f>LOOKUP($E709,OBRAS!$D:$D,OBRAS!G:G)</f>
        <v>LICITACIÓN SIMPLIFICADA</v>
      </c>
      <c r="U709" s="4" t="s">
        <v>863</v>
      </c>
      <c r="V709" s="89">
        <v>42781</v>
      </c>
      <c r="W709" s="6">
        <f>LOOKUP($E709,OBRAS!$D:$D,OBRAS!K:K)</f>
        <v>878717.92</v>
      </c>
      <c r="X709" s="109">
        <f t="shared" si="177"/>
        <v>0.2</v>
      </c>
      <c r="Y709" s="109">
        <f t="shared" si="178"/>
        <v>0.998</v>
      </c>
      <c r="Z709" s="109">
        <f t="shared" si="179"/>
        <v>0.998</v>
      </c>
      <c r="AA709" s="4" t="str">
        <f>LOOKUP($E709,OBRAS!$D:$D,OBRAS!H:H)</f>
        <v>SH-ED-16-028</v>
      </c>
    </row>
    <row r="710" spans="1:27" ht="60" x14ac:dyDescent="0.25">
      <c r="A710" s="90">
        <v>42685</v>
      </c>
      <c r="B710" s="56">
        <v>5650</v>
      </c>
      <c r="C710" s="130">
        <v>709</v>
      </c>
      <c r="D710" s="4" t="str">
        <f>LOOKUP($E710,OBRAS!$D:$D,OBRAS!C:C)</f>
        <v>CONSERVACION Y RECONSTRUCCION DE CARRETERAS ALIMENTADORAS REGION GUAYMAS--EMPALME, TRAMO: AGUILITAS-BRINGAS DEL KM 0+000 AL KM 10+500</v>
      </c>
      <c r="E710" s="4" t="s">
        <v>566</v>
      </c>
      <c r="F710" s="4" t="s">
        <v>306</v>
      </c>
      <c r="G710" s="4" t="str">
        <f>LOOKUP($E710,OBRAS!$D:$D,OBRAS!E:E)</f>
        <v>C-00054/0058</v>
      </c>
      <c r="H710" s="80" t="s">
        <v>15</v>
      </c>
      <c r="I710" s="6">
        <v>1244152.27</v>
      </c>
      <c r="J710" s="6"/>
      <c r="K710" s="6">
        <v>556301.4</v>
      </c>
      <c r="L710" s="6">
        <f t="shared" si="173"/>
        <v>687850.87</v>
      </c>
      <c r="M710" s="6">
        <f t="shared" si="181"/>
        <v>110056.14</v>
      </c>
      <c r="N710" s="6">
        <f t="shared" si="175"/>
        <v>797907.01</v>
      </c>
      <c r="O710" s="6">
        <f>+ROUND(I710*0.002,2)+ROUND(I710*0.0003,2)+ROUND(I710*0.0003,2)+ROUND(I710*0.0003,2)+ROUND(I710*0.002,2)</f>
        <v>6096.35</v>
      </c>
      <c r="P710" s="6">
        <f t="shared" si="176"/>
        <v>791810.66</v>
      </c>
      <c r="Q710" s="4" t="str">
        <f>LOOKUP($E710,OBRAS!$D:$D,OBRAS!B:B)</f>
        <v>MAQUINARIA Y AGREGADOS GALA S.A. DE C.V.</v>
      </c>
      <c r="R710" s="4" t="str">
        <f>LOOKUP($E710,OBRAS!$D:$D,OBRAS!A:A)</f>
        <v>VARIOS</v>
      </c>
      <c r="S710" s="4" t="str">
        <f>LOOKUP($E710,OBRAS!$D:$D,OBRAS!F:F)</f>
        <v>11000002003501E204K08063A625012162A213</v>
      </c>
      <c r="T710" s="4" t="str">
        <f>LOOKUP($E710,OBRAS!$D:$D,OBRAS!G:G)</f>
        <v>CE-926006995-E22-2016</v>
      </c>
      <c r="U710" s="4" t="s">
        <v>863</v>
      </c>
      <c r="V710" s="89">
        <v>42780</v>
      </c>
      <c r="W710" s="6">
        <f>LOOKUP($E710,OBRAS!$D:$D,OBRAS!K:K)</f>
        <v>21349397.859999999</v>
      </c>
      <c r="X710" s="109">
        <f t="shared" si="177"/>
        <v>6.7599999999999993E-2</v>
      </c>
      <c r="Y710" s="109">
        <f t="shared" si="178"/>
        <v>0.96679999999999999</v>
      </c>
      <c r="Z710" s="109">
        <f t="shared" si="179"/>
        <v>0.96679999999999999</v>
      </c>
      <c r="AA710" s="4" t="str">
        <f>LOOKUP($E710,OBRAS!$D:$D,OBRAS!H:H)</f>
        <v>SH-ED-17-R-013</v>
      </c>
    </row>
    <row r="711" spans="1:27" ht="45" x14ac:dyDescent="0.25">
      <c r="A711" s="90">
        <v>42685</v>
      </c>
      <c r="B711" s="56">
        <v>5010</v>
      </c>
      <c r="C711" s="51">
        <v>710</v>
      </c>
      <c r="D711" s="4" t="str">
        <f>LOOKUP($E711,OBRAS!$D:$D,OBRAS!C:C)</f>
        <v>RECARPETEO CON MICROCARPETA ASFALTICA EN 12 CALLES Y AVENIDAS Y LOCALIDADES DE MOCTEZUMA</v>
      </c>
      <c r="E711" s="4" t="s">
        <v>1663</v>
      </c>
      <c r="F711" s="4"/>
      <c r="G711" s="4" t="str">
        <f>LOOKUP($E711,OBRAS!$D:$D,OBRAS!E:E)</f>
        <v>C-00052/0225</v>
      </c>
      <c r="H711" s="80" t="s">
        <v>23</v>
      </c>
      <c r="I711" s="6">
        <v>738446.01</v>
      </c>
      <c r="J711" s="6"/>
      <c r="K711" s="6">
        <v>0</v>
      </c>
      <c r="L711" s="6">
        <f t="shared" si="173"/>
        <v>738446.01</v>
      </c>
      <c r="M711" s="6">
        <f t="shared" si="181"/>
        <v>118151.36</v>
      </c>
      <c r="N711" s="6">
        <f t="shared" si="175"/>
        <v>856597.37</v>
      </c>
      <c r="O711" s="6">
        <v>0</v>
      </c>
      <c r="P711" s="6">
        <f t="shared" si="176"/>
        <v>856597.37</v>
      </c>
      <c r="Q711" s="4" t="str">
        <f>LOOKUP($E711,OBRAS!$D:$D,OBRAS!B:B)</f>
        <v>JUAN DIEGO AVILES MARTINEZ</v>
      </c>
      <c r="R711" s="4" t="str">
        <f>LOOKUP($E711,OBRAS!$D:$D,OBRAS!A:A)</f>
        <v>MOCTEZUMA</v>
      </c>
      <c r="S711" s="4" t="str">
        <f>LOOKUP($E711,OBRAS!$D:$D,OBRAS!F:F)</f>
        <v>11000002002201E202K05186A614202165FN06</v>
      </c>
      <c r="T711" s="4" t="str">
        <f>LOOKUP($E711,OBRAS!$D:$D,OBRAS!G:G)</f>
        <v>IO-926006995-E137-2016</v>
      </c>
      <c r="U711" s="4" t="s">
        <v>863</v>
      </c>
      <c r="V711" s="89">
        <v>42696</v>
      </c>
      <c r="W711" s="6">
        <f>LOOKUP($E711,OBRAS!$D:$D,OBRAS!K:K)</f>
        <v>2855324.57</v>
      </c>
      <c r="X711" s="109" t="str">
        <f t="shared" si="177"/>
        <v/>
      </c>
      <c r="Y711" s="109">
        <f t="shared" si="178"/>
        <v>1</v>
      </c>
      <c r="Z711" s="109">
        <f t="shared" si="179"/>
        <v>1</v>
      </c>
      <c r="AA711" s="4" t="str">
        <f>LOOKUP($E711,OBRAS!$D:$D,OBRAS!H:H)</f>
        <v>SH-NC-17-R-005</v>
      </c>
    </row>
    <row r="712" spans="1:27" ht="60" x14ac:dyDescent="0.25">
      <c r="A712" s="90">
        <v>42685</v>
      </c>
      <c r="B712" s="56">
        <v>5013</v>
      </c>
      <c r="C712" s="130">
        <v>711</v>
      </c>
      <c r="D712" s="4" t="str">
        <f>LOOKUP($E712,OBRAS!$D:$D,OBRAS!C:C)</f>
        <v>REHABILITACION DE PAVIMENTOS A BASE DE RECARPETEO EN CALLE MONTEVERDE ENTRE BLVD. PROGRESO Y VERACRUZ EN LA LOCALIDAD Y MUNICIPIO DE HERMOSILLO, SONORA</v>
      </c>
      <c r="E712" s="4" t="s">
        <v>777</v>
      </c>
      <c r="F712" s="4" t="s">
        <v>927</v>
      </c>
      <c r="G712" s="4" t="str">
        <f>LOOKUP($E712,OBRAS!$D:$D,OBRAS!E:E)</f>
        <v>C-00052/0175</v>
      </c>
      <c r="H712" s="80" t="s">
        <v>221</v>
      </c>
      <c r="I712" s="6">
        <v>6319112.8499999996</v>
      </c>
      <c r="J712" s="6"/>
      <c r="K712" s="6">
        <f>ROUND(I712*0.3,2)</f>
        <v>1895733.86</v>
      </c>
      <c r="L712" s="6">
        <f t="shared" si="173"/>
        <v>4423378.99</v>
      </c>
      <c r="M712" s="6">
        <f t="shared" si="181"/>
        <v>707740.64</v>
      </c>
      <c r="N712" s="6">
        <f t="shared" si="175"/>
        <v>5131119.63</v>
      </c>
      <c r="O712" s="6">
        <f>+ROUND(I712*0.005,2)</f>
        <v>31595.56</v>
      </c>
      <c r="P712" s="6">
        <f t="shared" si="176"/>
        <v>5099524.07</v>
      </c>
      <c r="Q712" s="4" t="str">
        <f>LOOKUP($E712,OBRAS!$D:$D,OBRAS!B:B)</f>
        <v>PROYECTOS Y CONSTRUCCIONES VIRGO, S. A. DE C. V.</v>
      </c>
      <c r="R712" s="4" t="str">
        <f>LOOKUP($E712,OBRAS!$D:$D,OBRAS!A:A)</f>
        <v>HERMOSILLO</v>
      </c>
      <c r="S712" s="4" t="str">
        <f>LOOKUP($E712,OBRAS!$D:$D,OBRAS!F:F)</f>
        <v>11000002002201E202K05186A614202165CN07</v>
      </c>
      <c r="T712" s="4" t="str">
        <f>LOOKUP($E712,OBRAS!$D:$D,OBRAS!G:G)</f>
        <v>LO-926006995-E84-2016</v>
      </c>
      <c r="U712" s="4" t="s">
        <v>863</v>
      </c>
      <c r="V712" s="89">
        <v>42710</v>
      </c>
      <c r="W712" s="6">
        <f>LOOKUP($E712,OBRAS!$D:$D,OBRAS!K:K)</f>
        <v>19539418.57</v>
      </c>
      <c r="X712" s="109">
        <f t="shared" si="177"/>
        <v>0.37509999999999999</v>
      </c>
      <c r="Y712" s="109">
        <f t="shared" si="178"/>
        <v>0.97240000000000004</v>
      </c>
      <c r="Z712" s="109">
        <f t="shared" si="179"/>
        <v>0.98070000000000002</v>
      </c>
      <c r="AA712" s="4" t="str">
        <f>LOOKUP($E712,OBRAS!$D:$D,OBRAS!H:H)</f>
        <v>SH-NC-17-R-004</v>
      </c>
    </row>
    <row r="713" spans="1:27" ht="45" x14ac:dyDescent="0.25">
      <c r="C713" s="51">
        <v>712</v>
      </c>
      <c r="D713" s="4" t="str">
        <f>LOOKUP($E713,OBRAS!$D:$D,OBRAS!C:C)</f>
        <v>PAVIMENTACION CON CONCRETO HIDRAULICO EN LA CALLE BENITO JUAREZ EN LA LOCALIDAD DE SAHUARIPA</v>
      </c>
      <c r="E713" s="4" t="s">
        <v>1670</v>
      </c>
      <c r="F713" s="4"/>
      <c r="G713" s="4" t="str">
        <f>LOOKUP($E713,OBRAS!$D:$D,OBRAS!E:E)</f>
        <v>C-00052/0190</v>
      </c>
      <c r="H713" s="80" t="s">
        <v>23</v>
      </c>
      <c r="I713" s="6">
        <v>981674.67</v>
      </c>
      <c r="J713" s="6"/>
      <c r="K713" s="6">
        <v>0</v>
      </c>
      <c r="L713" s="6">
        <f t="shared" si="173"/>
        <v>981674.67</v>
      </c>
      <c r="M713" s="6">
        <f t="shared" si="181"/>
        <v>157067.95000000001</v>
      </c>
      <c r="N713" s="6">
        <f t="shared" si="175"/>
        <v>1138742.6200000001</v>
      </c>
      <c r="O713" s="6">
        <v>0</v>
      </c>
      <c r="P713" s="6">
        <f t="shared" si="176"/>
        <v>1138742.6200000001</v>
      </c>
      <c r="Q713" s="4" t="str">
        <f>LOOKUP($E713,OBRAS!$D:$D,OBRAS!B:B)</f>
        <v>CONSTRUVISAC, S.A. DE C.V.</v>
      </c>
      <c r="R713" s="4" t="str">
        <f>LOOKUP($E713,OBRAS!$D:$D,OBRAS!A:A)</f>
        <v>SAHUARIPA</v>
      </c>
      <c r="S713" s="4" t="str">
        <f>LOOKUP($E713,OBRAS!$D:$D,OBRAS!F:F)</f>
        <v>11000002002201E202K05186A614202165FC09</v>
      </c>
      <c r="T713" s="4" t="str">
        <f>LOOKUP($E713,OBRAS!$D:$D,OBRAS!G:G)</f>
        <v>IO-926006995-E158-2016</v>
      </c>
      <c r="U713" s="4" t="s">
        <v>863</v>
      </c>
      <c r="V713" s="89">
        <v>42704</v>
      </c>
      <c r="W713" s="6">
        <f>LOOKUP($E713,OBRAS!$D:$D,OBRAS!K:K)</f>
        <v>3795808.73</v>
      </c>
      <c r="X713" s="109" t="str">
        <f t="shared" si="177"/>
        <v/>
      </c>
      <c r="Y713" s="109">
        <f t="shared" si="178"/>
        <v>0.124</v>
      </c>
      <c r="Z713" s="109">
        <f t="shared" si="179"/>
        <v>0.38679999999999998</v>
      </c>
      <c r="AA713" s="4" t="str">
        <f>LOOKUP($E713,OBRAS!$D:$D,OBRAS!H:H)</f>
        <v>SH-NC-17-R-009</v>
      </c>
    </row>
    <row r="714" spans="1:27" ht="30" x14ac:dyDescent="0.25">
      <c r="A714" s="131">
        <v>42688</v>
      </c>
      <c r="B714" s="56">
        <v>5040</v>
      </c>
      <c r="C714" s="51">
        <v>713</v>
      </c>
      <c r="D714" s="4" t="str">
        <f>LOOKUP($E714,OBRAS!$D:$D,OBRAS!C:C)</f>
        <v>CONSERVACION Y RECONSTRUCCION DE LA VIALIDAD YAQUI-MAYO</v>
      </c>
      <c r="E714" s="4" t="s">
        <v>570</v>
      </c>
      <c r="F714" s="4" t="s">
        <v>306</v>
      </c>
      <c r="G714" s="4" t="str">
        <f>LOOKUP($E714,OBRAS!$D:$D,OBRAS!E:E)</f>
        <v>C-00054/0063</v>
      </c>
      <c r="H714" s="80" t="s">
        <v>55</v>
      </c>
      <c r="I714" s="6">
        <v>4237764.16</v>
      </c>
      <c r="J714" s="6"/>
      <c r="K714" s="6">
        <f>ROUND(I714*0.3,2)</f>
        <v>1271329.25</v>
      </c>
      <c r="L714" s="6">
        <f t="shared" si="173"/>
        <v>2966434.91</v>
      </c>
      <c r="M714" s="6">
        <f t="shared" si="181"/>
        <v>474629.59</v>
      </c>
      <c r="N714" s="6">
        <f t="shared" si="175"/>
        <v>3441064.5</v>
      </c>
      <c r="O714" s="6">
        <f>+ROUND(I714*0.002,2)+ROUND(I714*0.0003,2)+ROUND(I714*0.0003,2)+ROUND(I714*0.0003,2)+ROUND(I714*0.002,2)</f>
        <v>20765.05</v>
      </c>
      <c r="P714" s="6">
        <f t="shared" si="176"/>
        <v>3420299.45</v>
      </c>
      <c r="Q714" s="4" t="str">
        <f>LOOKUP($E714,OBRAS!$D:$D,OBRAS!B:B)</f>
        <v>GRUPO MESIS, S.A. DE C.V.</v>
      </c>
      <c r="R714" s="4" t="str">
        <f>LOOKUP($E714,OBRAS!$D:$D,OBRAS!A:A)</f>
        <v>VARIOS</v>
      </c>
      <c r="S714" s="4" t="str">
        <f>LOOKUP($E714,OBRAS!$D:$D,OBRAS!F:F)</f>
        <v>11000002003501E204K08063A625012162A213</v>
      </c>
      <c r="T714" s="4" t="str">
        <f>LOOKUP($E714,OBRAS!$D:$D,OBRAS!G:G)</f>
        <v>CE-926006995-E27-2016</v>
      </c>
      <c r="U714" s="4" t="s">
        <v>863</v>
      </c>
      <c r="V714" s="89">
        <v>42755</v>
      </c>
      <c r="W714" s="6">
        <f>LOOKUP($E714,OBRAS!$D:$D,OBRAS!K:K)</f>
        <v>24023981.969999999</v>
      </c>
      <c r="X714" s="109">
        <f t="shared" si="177"/>
        <v>0.2046</v>
      </c>
      <c r="Y714" s="109">
        <f t="shared" si="178"/>
        <v>0.99150000000000005</v>
      </c>
      <c r="Z714" s="109">
        <f t="shared" si="179"/>
        <v>0.99160000000000004</v>
      </c>
      <c r="AA714" s="4" t="str">
        <f>LOOKUP($E714,OBRAS!$D:$D,OBRAS!H:H)</f>
        <v>SH-ED-17-R-013</v>
      </c>
    </row>
    <row r="715" spans="1:27" ht="60" x14ac:dyDescent="0.25">
      <c r="A715" s="131">
        <v>42689</v>
      </c>
      <c r="B715" s="56">
        <v>5072</v>
      </c>
      <c r="C715" s="49">
        <v>714</v>
      </c>
      <c r="D715" s="4" t="str">
        <f>LOOKUP($E715,OBRAS!$D:$D,OBRAS!C:C)</f>
        <v>REHABILITACION DE RED DE CARRETERAS ALIMENTADORAS EN LA REGION DEL RIO SONORA EN EL ESTADO DE SONORA; SUBTRAMO KM 75+000 AL KM 149+000.</v>
      </c>
      <c r="E715" s="4" t="s">
        <v>381</v>
      </c>
      <c r="F715" s="4" t="s">
        <v>306</v>
      </c>
      <c r="G715" s="4" t="str">
        <f>LOOKUP($E715,OBRAS!$D:$D,OBRAS!E:E)</f>
        <v>C-00054/0070</v>
      </c>
      <c r="H715" s="80" t="s">
        <v>15</v>
      </c>
      <c r="I715" s="6">
        <v>12682034.380000001</v>
      </c>
      <c r="J715" s="6"/>
      <c r="K715" s="6">
        <f>ROUND(I715*0.3,2)</f>
        <v>3804610.31</v>
      </c>
      <c r="L715" s="6">
        <f t="shared" si="173"/>
        <v>8877424.0700000003</v>
      </c>
      <c r="M715" s="6">
        <f t="shared" si="181"/>
        <v>1420387.85</v>
      </c>
      <c r="N715" s="6">
        <f t="shared" si="175"/>
        <v>10297811.92</v>
      </c>
      <c r="O715" s="6">
        <f>+ROUND(I715*0.002,2)+ROUND(I715*0.0003,2)+ROUND(I715*0.0003,2)+ROUND(I715*0.0003,2)+ROUND(I715*0.002,2)</f>
        <v>62141.97</v>
      </c>
      <c r="P715" s="6">
        <f t="shared" si="176"/>
        <v>10235669.949999999</v>
      </c>
      <c r="Q715" s="4" t="str">
        <f>LOOKUP($E715,OBRAS!$D:$D,OBRAS!B:B)</f>
        <v>RENTA, MOVIMIENTO DE CONSTRUCCION EQUIPEN, S.A. DE C.V.</v>
      </c>
      <c r="R715" s="4" t="str">
        <f>LOOKUP($E715,OBRAS!$D:$D,OBRAS!A:A)</f>
        <v>VARIOS</v>
      </c>
      <c r="S715" s="4" t="str">
        <f>LOOKUP($E715,OBRAS!$D:$D,OBRAS!F:F)</f>
        <v>110000002003501E204K08063A625012162A213</v>
      </c>
      <c r="T715" s="4" t="str">
        <f>LOOKUP($E715,OBRAS!$D:$D,OBRAS!G:G)</f>
        <v>CE-926006995-E39-2016</v>
      </c>
      <c r="U715" s="4" t="s">
        <v>863</v>
      </c>
      <c r="V715" s="89">
        <v>42698</v>
      </c>
      <c r="W715" s="6">
        <f>LOOKUP($E715,OBRAS!$D:$D,OBRAS!K:K)</f>
        <v>79270178.980000004</v>
      </c>
      <c r="X715" s="109">
        <f t="shared" si="177"/>
        <v>0.18559999999999999</v>
      </c>
      <c r="Y715" s="109">
        <f t="shared" si="178"/>
        <v>0.63300000000000001</v>
      </c>
      <c r="Z715" s="109">
        <f t="shared" si="179"/>
        <v>0.74309999999999998</v>
      </c>
      <c r="AA715" s="4" t="str">
        <f>LOOKUP($E715,OBRAS!$D:$D,OBRAS!H:H)</f>
        <v>SH-ED-17-R-013</v>
      </c>
    </row>
    <row r="716" spans="1:27" ht="60" x14ac:dyDescent="0.25">
      <c r="A716" s="131">
        <v>42689</v>
      </c>
      <c r="B716" s="56">
        <v>5073</v>
      </c>
      <c r="C716" s="129">
        <v>715</v>
      </c>
      <c r="D716" s="4" t="str">
        <f>LOOKUP($E716,OBRAS!$D:$D,OBRAS!C:C)</f>
        <v>REHABILITACION DE RED DE CARRETERAS ALIMENTADORAS EN LA REGION DEL RIO SONORA EN EL ESTADO DE SONORA; SUBTRAMO KM 75+000 AL KM 149+000.</v>
      </c>
      <c r="E716" s="4" t="s">
        <v>381</v>
      </c>
      <c r="F716" s="4" t="s">
        <v>306</v>
      </c>
      <c r="G716" s="4" t="str">
        <f>LOOKUP($E716,OBRAS!$D:$D,OBRAS!E:E)</f>
        <v>C-00054/0070</v>
      </c>
      <c r="H716" s="80" t="s">
        <v>214</v>
      </c>
      <c r="I716" s="6">
        <v>4945703.78</v>
      </c>
      <c r="J716" s="6"/>
      <c r="K716" s="6">
        <f>ROUND(I716*0.3,2)</f>
        <v>1483711.13</v>
      </c>
      <c r="L716" s="6">
        <f t="shared" si="173"/>
        <v>3461992.65</v>
      </c>
      <c r="M716" s="6">
        <f t="shared" si="181"/>
        <v>553918.81999999995</v>
      </c>
      <c r="N716" s="6">
        <f t="shared" si="175"/>
        <v>4015911.47</v>
      </c>
      <c r="O716" s="6">
        <f>+ROUND(I716*0.002,2)+ROUND(I716*0.0003,2)+ROUND(I716*0.0003,2)+ROUND(I716*0.0003,2)+ROUND(I716*0.002,2)</f>
        <v>24233.95</v>
      </c>
      <c r="P716" s="6">
        <f t="shared" si="176"/>
        <v>3991677.52</v>
      </c>
      <c r="Q716" s="4" t="str">
        <f>LOOKUP($E716,OBRAS!$D:$D,OBRAS!B:B)</f>
        <v>RENTA, MOVIMIENTO DE CONSTRUCCION EQUIPEN, S.A. DE C.V.</v>
      </c>
      <c r="R716" s="4" t="str">
        <f>LOOKUP($E716,OBRAS!$D:$D,OBRAS!A:A)</f>
        <v>VARIOS</v>
      </c>
      <c r="S716" s="4" t="str">
        <f>LOOKUP($E716,OBRAS!$D:$D,OBRAS!F:F)</f>
        <v>110000002003501E204K08063A625012162A213</v>
      </c>
      <c r="T716" s="4" t="str">
        <f>LOOKUP($E716,OBRAS!$D:$D,OBRAS!G:G)</f>
        <v>CE-926006995-E39-2016</v>
      </c>
      <c r="U716" s="4" t="s">
        <v>863</v>
      </c>
      <c r="V716" s="89">
        <v>42698</v>
      </c>
      <c r="W716" s="6">
        <f>LOOKUP($E716,OBRAS!$D:$D,OBRAS!K:K)</f>
        <v>79270178.980000004</v>
      </c>
      <c r="X716" s="109">
        <f t="shared" si="177"/>
        <v>7.2400000000000006E-2</v>
      </c>
      <c r="Y716" s="109">
        <f t="shared" si="178"/>
        <v>0.63300000000000001</v>
      </c>
      <c r="Z716" s="109">
        <f t="shared" si="179"/>
        <v>0.74309999999999998</v>
      </c>
      <c r="AA716" s="4" t="str">
        <f>LOOKUP($E716,OBRAS!$D:$D,OBRAS!H:H)</f>
        <v>SH-ED-17-R-013</v>
      </c>
    </row>
    <row r="717" spans="1:27" ht="60" x14ac:dyDescent="0.25">
      <c r="A717" s="131">
        <v>42689</v>
      </c>
      <c r="B717" s="56">
        <v>5074</v>
      </c>
      <c r="C717" s="49">
        <v>716</v>
      </c>
      <c r="D717" s="4" t="str">
        <f>LOOKUP($E717,OBRAS!$D:$D,OBRAS!C:C)</f>
        <v>REHABILITACION DE RED DE CARRETERAS ALIMENTADORAS EN LA REGION DEL RIO DE SONORA EN EL ESTADO DE SONORA; SUBTRAMO KM 0+000 AL KM 75+000</v>
      </c>
      <c r="E717" s="4" t="s">
        <v>370</v>
      </c>
      <c r="F717" s="4" t="s">
        <v>306</v>
      </c>
      <c r="G717" s="4" t="str">
        <f>LOOKUP($E717,OBRAS!$D:$D,OBRAS!E:E)</f>
        <v>C-00054/0069</v>
      </c>
      <c r="H717" s="80" t="s">
        <v>15</v>
      </c>
      <c r="I717" s="6">
        <v>12423169.460000001</v>
      </c>
      <c r="J717" s="6"/>
      <c r="K717" s="6">
        <f>ROUND(I717*0.3,2)</f>
        <v>3726950.84</v>
      </c>
      <c r="L717" s="6">
        <f t="shared" si="173"/>
        <v>8696218.6199999992</v>
      </c>
      <c r="M717" s="6">
        <f t="shared" si="181"/>
        <v>1391394.98</v>
      </c>
      <c r="N717" s="6">
        <f t="shared" si="175"/>
        <v>10087613.6</v>
      </c>
      <c r="O717" s="6">
        <f>+ROUND(I717*0.002,2)+ROUND(I717*0.0003,2)+ROUND(I717*0.0003,2)+ROUND(I717*0.0003,2)+ROUND(I717*0.002,2)</f>
        <v>60873.53</v>
      </c>
      <c r="P717" s="6">
        <f t="shared" si="176"/>
        <v>10026740.07</v>
      </c>
      <c r="Q717" s="4" t="str">
        <f>LOOKUP($E717,OBRAS!$D:$D,OBRAS!B:B)</f>
        <v>IKARO INGENIERIA Y ARQUITECTURA, S.A. DE C.V</v>
      </c>
      <c r="R717" s="4" t="str">
        <f>LOOKUP($E717,OBRAS!$D:$D,OBRAS!A:A)</f>
        <v>VARIOS</v>
      </c>
      <c r="S717" s="4" t="str">
        <f>LOOKUP($E717,OBRAS!$D:$D,OBRAS!F:F)</f>
        <v>11000002003501E204K08063A625012162A213</v>
      </c>
      <c r="T717" s="4" t="str">
        <f>LOOKUP($E717,OBRAS!$D:$D,OBRAS!G:G)</f>
        <v>CE-9260006995-E38-2016</v>
      </c>
      <c r="U717" s="4" t="s">
        <v>863</v>
      </c>
      <c r="V717" s="89">
        <v>42698</v>
      </c>
      <c r="W717" s="6">
        <f>LOOKUP($E717,OBRAS!$D:$D,OBRAS!K:K)</f>
        <v>76463113.200000003</v>
      </c>
      <c r="X717" s="109">
        <f t="shared" si="177"/>
        <v>0.1885</v>
      </c>
      <c r="Y717" s="109">
        <f t="shared" si="178"/>
        <v>0.98340000000000005</v>
      </c>
      <c r="Z717" s="109">
        <f t="shared" si="179"/>
        <v>0.98829999999999996</v>
      </c>
      <c r="AA717" s="4" t="str">
        <f>LOOKUP($E717,OBRAS!$D:$D,OBRAS!H:H)</f>
        <v>SH-ED-17-R-013</v>
      </c>
    </row>
    <row r="718" spans="1:27" ht="60" x14ac:dyDescent="0.25">
      <c r="A718" s="131">
        <v>42689</v>
      </c>
      <c r="B718" s="56">
        <v>5075</v>
      </c>
      <c r="C718" s="49">
        <v>717</v>
      </c>
      <c r="D718" s="4" t="str">
        <f>LOOKUP($E718,OBRAS!$D:$D,OBRAS!C:C)</f>
        <v>REHABILITACION DE RED DE CARRETERAS ALIMENTADORAS EN LA REGION DEL RIO DE SONORA EN EL ESTADO DE SONORA; SUBTRAMO KM 0+000 AL KM 75+000</v>
      </c>
      <c r="E718" s="4" t="s">
        <v>370</v>
      </c>
      <c r="F718" s="4" t="s">
        <v>306</v>
      </c>
      <c r="G718" s="4" t="str">
        <f>LOOKUP($E718,OBRAS!$D:$D,OBRAS!E:E)</f>
        <v>C-00054/0069</v>
      </c>
      <c r="H718" s="80" t="s">
        <v>214</v>
      </c>
      <c r="I718" s="6">
        <v>4902799.79</v>
      </c>
      <c r="J718" s="6"/>
      <c r="K718" s="6">
        <f>ROUND(I718*0.3,2)</f>
        <v>1470839.94</v>
      </c>
      <c r="L718" s="6">
        <f t="shared" si="173"/>
        <v>3431959.85</v>
      </c>
      <c r="M718" s="6">
        <f t="shared" si="181"/>
        <v>549113.57999999996</v>
      </c>
      <c r="N718" s="6">
        <f t="shared" si="175"/>
        <v>3981073.43</v>
      </c>
      <c r="O718" s="6">
        <f>+ROUND(I718*0.002,2)+ROUND(I718*0.0003,2)+ROUND(I718*0.0003,2)+ROUND(I718*0.0003,2)+ROUND(I718*0.002,2)</f>
        <v>24023.72</v>
      </c>
      <c r="P718" s="6">
        <f t="shared" si="176"/>
        <v>3957049.71</v>
      </c>
      <c r="Q718" s="4" t="str">
        <f>LOOKUP($E718,OBRAS!$D:$D,OBRAS!B:B)</f>
        <v>IKARO INGENIERIA Y ARQUITECTURA, S.A. DE C.V</v>
      </c>
      <c r="R718" s="4" t="str">
        <f>LOOKUP($E718,OBRAS!$D:$D,OBRAS!A:A)</f>
        <v>VARIOS</v>
      </c>
      <c r="S718" s="4" t="str">
        <f>LOOKUP($E718,OBRAS!$D:$D,OBRAS!F:F)</f>
        <v>11000002003501E204K08063A625012162A213</v>
      </c>
      <c r="T718" s="4" t="str">
        <f>LOOKUP($E718,OBRAS!$D:$D,OBRAS!G:G)</f>
        <v>CE-9260006995-E38-2016</v>
      </c>
      <c r="U718" s="4" t="s">
        <v>863</v>
      </c>
      <c r="V718" s="89">
        <v>42699</v>
      </c>
      <c r="W718" s="6">
        <f>LOOKUP($E718,OBRAS!$D:$D,OBRAS!K:K)</f>
        <v>76463113.200000003</v>
      </c>
      <c r="X718" s="109">
        <f t="shared" si="177"/>
        <v>7.4399999999999994E-2</v>
      </c>
      <c r="Y718" s="109">
        <f t="shared" si="178"/>
        <v>0.98340000000000005</v>
      </c>
      <c r="Z718" s="109">
        <f t="shared" si="179"/>
        <v>0.98829999999999996</v>
      </c>
      <c r="AA718" s="4" t="str">
        <f>LOOKUP($E718,OBRAS!$D:$D,OBRAS!H:H)</f>
        <v>SH-ED-17-R-013</v>
      </c>
    </row>
    <row r="719" spans="1:27" ht="45" x14ac:dyDescent="0.25">
      <c r="A719" s="131"/>
      <c r="C719" s="132">
        <v>718</v>
      </c>
      <c r="D719" s="4" t="str">
        <f>LOOKUP($E719,OBRAS!$D:$D,OBRAS!C:C)</f>
        <v>PAVIMENTACIÓN CON CONCRETO HIDRAULICO DE CALLE ADOLFO DE LA HUERTA EN LA LOCALIDAD DE QUEROBABI</v>
      </c>
      <c r="E719" s="4" t="s">
        <v>1719</v>
      </c>
      <c r="F719" s="4"/>
      <c r="G719" s="4" t="str">
        <f>LOOKUP($E719,OBRAS!$D:$D,OBRAS!E:E)</f>
        <v>C-00052/0185</v>
      </c>
      <c r="H719" s="80" t="s">
        <v>23</v>
      </c>
      <c r="I719" s="6">
        <v>737345.54</v>
      </c>
      <c r="J719" s="6"/>
      <c r="K719" s="6">
        <v>0</v>
      </c>
      <c r="L719" s="6">
        <f t="shared" si="173"/>
        <v>737345.54</v>
      </c>
      <c r="M719" s="6">
        <v>117975.28</v>
      </c>
      <c r="N719" s="6">
        <f t="shared" si="175"/>
        <v>855320.82</v>
      </c>
      <c r="O719" s="6">
        <v>0</v>
      </c>
      <c r="P719" s="6">
        <f t="shared" si="176"/>
        <v>855320.82</v>
      </c>
      <c r="Q719" s="4" t="str">
        <f>LOOKUP($E719,OBRAS!$D:$D,OBRAS!B:B)</f>
        <v>INGENIERIA INTEGRAL LA ISLETA, S.A. DE C.V.</v>
      </c>
      <c r="R719" s="4" t="str">
        <f>LOOKUP($E719,OBRAS!$D:$D,OBRAS!A:A)</f>
        <v>QUEROBABI</v>
      </c>
      <c r="S719" s="4" t="str">
        <f>LOOKUP($E719,OBRAS!$D:$D,OBRAS!F:F)</f>
        <v>11000002002201E202K05186A614202165FC05</v>
      </c>
      <c r="T719" s="4" t="str">
        <f>LOOKUP($E719,OBRAS!$D:$D,OBRAS!G:G)</f>
        <v>IO-926006995-E142-2016</v>
      </c>
      <c r="U719" s="4" t="s">
        <v>863</v>
      </c>
      <c r="V719" s="89">
        <v>42705</v>
      </c>
      <c r="W719" s="6">
        <f>LOOKUP($E719,OBRAS!$D:$D,OBRAS!K:K)</f>
        <v>2851069.39</v>
      </c>
      <c r="X719" s="109" t="str">
        <f t="shared" si="177"/>
        <v/>
      </c>
      <c r="Y719" s="109">
        <f t="shared" si="178"/>
        <v>0.95009999999999994</v>
      </c>
      <c r="Z719" s="109">
        <f t="shared" si="179"/>
        <v>0.96509999999999996</v>
      </c>
      <c r="AA719" s="4" t="str">
        <f>LOOKUP($E719,OBRAS!$D:$D,OBRAS!H:H)</f>
        <v>SH-NC-17-R-009</v>
      </c>
    </row>
    <row r="720" spans="1:27" ht="45" x14ac:dyDescent="0.25">
      <c r="A720" s="131"/>
      <c r="C720" s="132">
        <v>719</v>
      </c>
      <c r="D720" s="4" t="str">
        <f>LOOKUP($E720,OBRAS!$D:$D,OBRAS!C:C)</f>
        <v>REHABILITACION DE PAVIMENTOS A BASE DE RECARPETEO EN 4 CALLES EN LAS COLONIAS AL NORTE DE LA CIUDAD HEROICA GUAYMAS</v>
      </c>
      <c r="E720" s="4" t="s">
        <v>1731</v>
      </c>
      <c r="F720" s="4"/>
      <c r="G720" s="4" t="str">
        <f>LOOKUP($E720,OBRAS!$D:$D,OBRAS!E:E)</f>
        <v>C-00052/0230</v>
      </c>
      <c r="H720" s="80" t="s">
        <v>23</v>
      </c>
      <c r="I720" s="6">
        <v>1667234.83</v>
      </c>
      <c r="J720" s="6"/>
      <c r="K720" s="6">
        <v>0</v>
      </c>
      <c r="L720" s="6">
        <f t="shared" si="173"/>
        <v>1667234.83</v>
      </c>
      <c r="M720" s="6">
        <f t="shared" ref="M720:M743" si="182">ROUND(L720*0.16,2)</f>
        <v>266757.57</v>
      </c>
      <c r="N720" s="6">
        <f t="shared" si="175"/>
        <v>1933992.4</v>
      </c>
      <c r="O720" s="6">
        <v>0</v>
      </c>
      <c r="P720" s="6">
        <f t="shared" si="176"/>
        <v>1933992.4</v>
      </c>
      <c r="Q720" s="4" t="str">
        <f>LOOKUP($E720,OBRAS!$D:$D,OBRAS!B:B)</f>
        <v>EDIFICACIONES Y PROYECTOS MOCELIK, S.A. DE C.V.</v>
      </c>
      <c r="R720" s="4" t="str">
        <f>LOOKUP($E720,OBRAS!$D:$D,OBRAS!A:A)</f>
        <v>GUAYMAS</v>
      </c>
      <c r="S720" s="4" t="str">
        <f>LOOKUP($E720,OBRAS!$D:$D,OBRAS!F:F)</f>
        <v>11000002002201E202K05186A614202165FN10</v>
      </c>
      <c r="T720" s="4" t="str">
        <f>LOOKUP($E720,OBRAS!$D:$D,OBRAS!G:G)</f>
        <v>IO-926006995-E103-2016</v>
      </c>
      <c r="U720" s="4" t="s">
        <v>863</v>
      </c>
      <c r="V720" s="89">
        <v>42699</v>
      </c>
      <c r="W720" s="6">
        <f>LOOKUP($E720,OBRAS!$D:$D,OBRAS!K:K)</f>
        <v>6446641.3200000003</v>
      </c>
      <c r="X720" s="109" t="str">
        <f t="shared" si="177"/>
        <v/>
      </c>
      <c r="Y720" s="109">
        <f t="shared" si="178"/>
        <v>9.5100000000000004E-2</v>
      </c>
      <c r="Z720" s="109">
        <f t="shared" si="179"/>
        <v>0.36659999999999998</v>
      </c>
      <c r="AA720" s="4" t="str">
        <f>LOOKUP($E720,OBRAS!$D:$D,OBRAS!H:H)</f>
        <v>SH-NC-17-R-005</v>
      </c>
    </row>
    <row r="721" spans="1:27" ht="45" x14ac:dyDescent="0.25">
      <c r="A721" s="131"/>
      <c r="C721" s="132">
        <v>720</v>
      </c>
      <c r="D721" s="4" t="str">
        <f>LOOKUP($E721,OBRAS!$D:$D,OBRAS!C:C)</f>
        <v>REHABILITACION DE PAVIMENTOS A BASE DE RECARPETEO EN BLVD. LUIS ENCINAS ENTRE BENITO JUAREZ Y PERIFERICO ORIENTE</v>
      </c>
      <c r="E721" s="4" t="s">
        <v>1725</v>
      </c>
      <c r="F721" s="4"/>
      <c r="G721" s="4" t="str">
        <f>LOOKUP($E721,OBRAS!$D:$D,OBRAS!E:E)</f>
        <v>C-00052/0226</v>
      </c>
      <c r="H721" s="80" t="s">
        <v>23</v>
      </c>
      <c r="I721" s="6">
        <v>3749474.58</v>
      </c>
      <c r="J721" s="6"/>
      <c r="K721" s="6">
        <v>0</v>
      </c>
      <c r="L721" s="6">
        <f t="shared" ref="L721:L784" si="183">I721-K721</f>
        <v>3749474.58</v>
      </c>
      <c r="M721" s="6">
        <f t="shared" si="182"/>
        <v>599915.93000000005</v>
      </c>
      <c r="N721" s="6">
        <f t="shared" ref="N721:N784" si="184">M721+L721</f>
        <v>4349390.51</v>
      </c>
      <c r="O721" s="6">
        <v>0</v>
      </c>
      <c r="P721" s="6">
        <f t="shared" ref="P721:P784" si="185">N721-O721</f>
        <v>4349390.51</v>
      </c>
      <c r="Q721" s="4" t="str">
        <f>LOOKUP($E721,OBRAS!$D:$D,OBRAS!B:B)</f>
        <v>EDIFICACIONES Y PROYECTOS MOCELIK, S.A. DE C.V.</v>
      </c>
      <c r="R721" s="4" t="str">
        <f>LOOKUP($E721,OBRAS!$D:$D,OBRAS!A:A)</f>
        <v>HERMOSILLO</v>
      </c>
      <c r="S721" s="4" t="str">
        <f>LOOKUP($E721,OBRAS!$D:$D,OBRAS!F:F)</f>
        <v>11000002002201E202K05186A614202165FN07</v>
      </c>
      <c r="T721" s="4" t="str">
        <f>LOOKUP($E721,OBRAS!$D:$D,OBRAS!G:G)</f>
        <v>LO-926006995-E94-2016</v>
      </c>
      <c r="U721" s="4" t="s">
        <v>863</v>
      </c>
      <c r="V721" s="89">
        <v>42699</v>
      </c>
      <c r="W721" s="6">
        <f>LOOKUP($E721,OBRAS!$D:$D,OBRAS!K:K)</f>
        <v>14497968.359999999</v>
      </c>
      <c r="X721" s="109" t="str">
        <f t="shared" ref="X721:X784" si="186">IF(H721&lt;&gt;"ANTICIPO",I721/(W721/1.16),"")</f>
        <v/>
      </c>
      <c r="Y721" s="109">
        <f t="shared" ref="Y721:Y784" si="187">SUMIF(E:E,E721,X:X)</f>
        <v>0.79359999999999997</v>
      </c>
      <c r="Z721" s="109">
        <f t="shared" ref="Z721:Z784" si="188">SUMIF(E:E,E721,N:N)/W721</f>
        <v>0.85560000000000003</v>
      </c>
      <c r="AA721" s="4" t="str">
        <f>LOOKUP($E721,OBRAS!$D:$D,OBRAS!H:H)</f>
        <v>SH-NC-17-R-005</v>
      </c>
    </row>
    <row r="722" spans="1:27" ht="60" x14ac:dyDescent="0.25">
      <c r="A722" s="131">
        <v>42690</v>
      </c>
      <c r="B722" s="56">
        <v>5096</v>
      </c>
      <c r="C722" s="132">
        <v>721</v>
      </c>
      <c r="D722" s="4" t="str">
        <f>LOOKUP($E722,OBRAS!$D:$D,OBRAS!C:C)</f>
        <v>VERIFICACION DE INSTALACIONES ELECTRICAS EN LA  REHABILITACION DE EDIFICIO PARA ALBERGAR JUZGADO DE ORALIDAD PENAL CON SEDE EN SAN LUIS RIO COLORADO</v>
      </c>
      <c r="E722" s="4" t="s">
        <v>648</v>
      </c>
      <c r="F722" s="4"/>
      <c r="G722" s="4" t="str">
        <f>LOOKUP($E722,OBRAS!$D:$D,OBRAS!E:E)</f>
        <v>C-00098/0016-1</v>
      </c>
      <c r="H722" s="80" t="s">
        <v>221</v>
      </c>
      <c r="I722" s="6">
        <v>13461.21</v>
      </c>
      <c r="J722" s="6"/>
      <c r="K722" s="6">
        <v>0</v>
      </c>
      <c r="L722" s="6">
        <f t="shared" si="183"/>
        <v>13461.21</v>
      </c>
      <c r="M722" s="6">
        <f t="shared" si="182"/>
        <v>2153.79</v>
      </c>
      <c r="N722" s="6">
        <f t="shared" si="184"/>
        <v>15615</v>
      </c>
      <c r="O722" s="6">
        <f>ROUND(I722*0.0003,2)+ROUND(I722*0.0003,2)+ROUND(I722*0.0003,2)+ROUND(I722*0.002,2)</f>
        <v>39.04</v>
      </c>
      <c r="P722" s="6">
        <f t="shared" si="185"/>
        <v>15575.96</v>
      </c>
      <c r="Q722" s="4" t="str">
        <f>LOOKUP($E722,OBRAS!$D:$D,OBRAS!B:B)</f>
        <v>ING. MARIANO HOYOS ARVIZU</v>
      </c>
      <c r="R722" s="4" t="str">
        <f>LOOKUP($E722,OBRAS!$D:$D,OBRAS!A:A)</f>
        <v>S.L.R.C.</v>
      </c>
      <c r="S722" s="4" t="str">
        <f>LOOKUP($E722,OBRAS!$D:$D,OBRAS!F:F)</f>
        <v>11000002002207E201K02104A622212161A013</v>
      </c>
      <c r="T722" s="4" t="str">
        <f>LOOKUP($E722,OBRAS!$D:$D,OBRAS!G:G)</f>
        <v>ADJUDICACIÓN DIRECTA</v>
      </c>
      <c r="U722" s="4" t="s">
        <v>863</v>
      </c>
      <c r="V722" s="89">
        <v>42781</v>
      </c>
      <c r="W722" s="6">
        <f>LOOKUP($E722,OBRAS!$D:$D,OBRAS!K:K)</f>
        <v>36659</v>
      </c>
      <c r="X722" s="109">
        <f t="shared" si="186"/>
        <v>0.42599999999999999</v>
      </c>
      <c r="Y722" s="109">
        <f t="shared" si="187"/>
        <v>1.0001</v>
      </c>
      <c r="Z722" s="109">
        <f t="shared" si="188"/>
        <v>1</v>
      </c>
      <c r="AA722" s="4" t="str">
        <f>LOOKUP($E722,OBRAS!$D:$D,OBRAS!H:H)</f>
        <v>SH-ED-16-011</v>
      </c>
    </row>
    <row r="723" spans="1:27" ht="60" x14ac:dyDescent="0.25">
      <c r="A723" s="131">
        <v>42690</v>
      </c>
      <c r="B723" s="56">
        <v>5097</v>
      </c>
      <c r="C723" s="132">
        <v>722</v>
      </c>
      <c r="D723" s="4" t="str">
        <f>LOOKUP($E723,OBRAS!$D:$D,OBRAS!C:C)</f>
        <v>VERIFICACION DE INSTALACIONES ELECTRICAS DE LA CONSTRUCCION Y REMODELACION DEL CENTRO DE ATENCION TEMPRANA EN EL DISTRITO DE SAN LUIS RIO COLORADO</v>
      </c>
      <c r="E723" s="4" t="s">
        <v>651</v>
      </c>
      <c r="F723" s="4"/>
      <c r="G723" s="4" t="str">
        <f>LOOKUP($E723,OBRAS!$D:$D,OBRAS!E:E)</f>
        <v>C-00098/0016-2</v>
      </c>
      <c r="H723" s="80" t="s">
        <v>221</v>
      </c>
      <c r="I723" s="6">
        <v>29526.3</v>
      </c>
      <c r="J723" s="6"/>
      <c r="K723" s="6">
        <v>0</v>
      </c>
      <c r="L723" s="6">
        <f t="shared" si="183"/>
        <v>29526.3</v>
      </c>
      <c r="M723" s="6">
        <f t="shared" si="182"/>
        <v>4724.21</v>
      </c>
      <c r="N723" s="6">
        <f t="shared" si="184"/>
        <v>34250.51</v>
      </c>
      <c r="O723" s="6">
        <f>ROUND(I723*0.0003,2)+ROUND(I723*0.0003,2)+ROUND(I723*0.0003,2)+ROUND(I723*0.002,2)</f>
        <v>85.63</v>
      </c>
      <c r="P723" s="6">
        <f t="shared" si="185"/>
        <v>34164.879999999997</v>
      </c>
      <c r="Q723" s="4" t="str">
        <f>LOOKUP($E723,OBRAS!$D:$D,OBRAS!B:B)</f>
        <v>ING. MARIANO HOYOS ARVIZU</v>
      </c>
      <c r="R723" s="4" t="str">
        <f>LOOKUP($E723,OBRAS!$D:$D,OBRAS!A:A)</f>
        <v>S.L.R.C.</v>
      </c>
      <c r="S723" s="4" t="str">
        <f>LOOKUP($E723,OBRAS!$D:$D,OBRAS!F:F)</f>
        <v>11000002002207E201K02104A622212161A013</v>
      </c>
      <c r="T723" s="4" t="str">
        <f>LOOKUP($E723,OBRAS!$D:$D,OBRAS!G:G)</f>
        <v>ADJUDICACIÓN DIRECTA</v>
      </c>
      <c r="U723" s="4" t="s">
        <v>863</v>
      </c>
      <c r="V723" s="89">
        <v>42781</v>
      </c>
      <c r="W723" s="6">
        <f>LOOKUP($E723,OBRAS!$D:$D,OBRAS!K:K)</f>
        <v>72670</v>
      </c>
      <c r="X723" s="109">
        <f t="shared" si="186"/>
        <v>0.4713</v>
      </c>
      <c r="Y723" s="109">
        <f t="shared" si="187"/>
        <v>1</v>
      </c>
      <c r="Z723" s="109">
        <f t="shared" si="188"/>
        <v>1</v>
      </c>
      <c r="AA723" s="4" t="str">
        <f>LOOKUP($E723,OBRAS!$D:$D,OBRAS!H:H)</f>
        <v>SH-ED-16-011</v>
      </c>
    </row>
    <row r="724" spans="1:27" ht="60" x14ac:dyDescent="0.25">
      <c r="A724" s="131">
        <v>42690</v>
      </c>
      <c r="B724" s="56">
        <v>5098</v>
      </c>
      <c r="C724" s="132">
        <v>723</v>
      </c>
      <c r="D724" s="4" t="str">
        <f>LOOKUP($E724,OBRAS!$D:$D,OBRAS!C:C)</f>
        <v>VERIFICACION DE INSTALACIONES ELECTRICAS DE LA AMPLIACION DE EDIFICIO PARA ALBERGAR JUZGADO DE ORALIDAD PENAL CON SEDE EN CABORCA</v>
      </c>
      <c r="E724" s="4" t="s">
        <v>655</v>
      </c>
      <c r="F724" s="4"/>
      <c r="G724" s="4" t="str">
        <f>LOOKUP($E724,OBRAS!$D:$D,OBRAS!E:E)</f>
        <v>C-00098/0016-3</v>
      </c>
      <c r="H724" s="80" t="s">
        <v>221</v>
      </c>
      <c r="I724" s="6">
        <v>24767.24</v>
      </c>
      <c r="J724" s="6"/>
      <c r="K724" s="6">
        <v>0</v>
      </c>
      <c r="L724" s="6">
        <f t="shared" si="183"/>
        <v>24767.24</v>
      </c>
      <c r="M724" s="6">
        <f t="shared" si="182"/>
        <v>3962.76</v>
      </c>
      <c r="N724" s="6">
        <f t="shared" si="184"/>
        <v>28730</v>
      </c>
      <c r="O724" s="6">
        <f>ROUND(I724*0.0003,2)+ROUND(I724*0.0003,2)+ROUND(I724*0.0003,2)+ROUND(I724*0.002,2)</f>
        <v>71.819999999999993</v>
      </c>
      <c r="P724" s="6">
        <f t="shared" si="185"/>
        <v>28658.18</v>
      </c>
      <c r="Q724" s="4" t="str">
        <f>LOOKUP($E724,OBRAS!$D:$D,OBRAS!B:B)</f>
        <v>ING. MARIANO HOYOS ARVIZU</v>
      </c>
      <c r="R724" s="4" t="str">
        <f>LOOKUP($E724,OBRAS!$D:$D,OBRAS!A:A)</f>
        <v>CABORCA</v>
      </c>
      <c r="S724" s="4" t="str">
        <f>LOOKUP($E724,OBRAS!$D:$D,OBRAS!F:F)</f>
        <v>11000002002207E201K02104A622212161A013</v>
      </c>
      <c r="T724" s="4" t="str">
        <f>LOOKUP($E724,OBRAS!$D:$D,OBRAS!G:G)</f>
        <v>ADJUDICACIÓN DIRECTA</v>
      </c>
      <c r="U724" s="4" t="s">
        <v>863</v>
      </c>
      <c r="V724" s="89">
        <v>42781</v>
      </c>
      <c r="W724" s="6">
        <f>LOOKUP($E724,OBRAS!$D:$D,OBRAS!K:K)</f>
        <v>57460</v>
      </c>
      <c r="X724" s="109">
        <f t="shared" si="186"/>
        <v>0.5</v>
      </c>
      <c r="Y724" s="109">
        <f t="shared" si="187"/>
        <v>1</v>
      </c>
      <c r="Z724" s="109">
        <f t="shared" si="188"/>
        <v>1</v>
      </c>
      <c r="AA724" s="4" t="str">
        <f>LOOKUP($E724,OBRAS!$D:$D,OBRAS!H:H)</f>
        <v>SH-ED-16-011</v>
      </c>
    </row>
    <row r="725" spans="1:27" ht="60" x14ac:dyDescent="0.25">
      <c r="A725" s="131">
        <v>42690</v>
      </c>
      <c r="B725" s="56">
        <v>5099</v>
      </c>
      <c r="C725" s="132">
        <v>724</v>
      </c>
      <c r="D725" s="4" t="str">
        <f>LOOKUP($E725,OBRAS!$D:$D,OBRAS!C:C)</f>
        <v>VERIFICACION DE INSTALACIONES ELECTRICAS DE LA CONTRUCCION DE CENTRO DE ATENCION TEMPRANA EN EL DISTRITO DE ALTAR CON SEDE EN CABORCA.</v>
      </c>
      <c r="E725" s="4" t="s">
        <v>658</v>
      </c>
      <c r="F725" s="4"/>
      <c r="G725" s="4" t="str">
        <f>LOOKUP($E725,OBRAS!$D:$D,OBRAS!E:E)</f>
        <v>C-00098/0016-4</v>
      </c>
      <c r="H725" s="80" t="s">
        <v>221</v>
      </c>
      <c r="I725" s="6">
        <v>19163.79</v>
      </c>
      <c r="J725" s="6"/>
      <c r="K725" s="6">
        <v>0</v>
      </c>
      <c r="L725" s="6">
        <f t="shared" si="183"/>
        <v>19163.79</v>
      </c>
      <c r="M725" s="6">
        <f t="shared" si="182"/>
        <v>3066.21</v>
      </c>
      <c r="N725" s="6">
        <f t="shared" si="184"/>
        <v>22230</v>
      </c>
      <c r="O725" s="6">
        <f>ROUND(I725*0.0003,2)+ROUND(I725*0.0003,2)+ROUND(I725*0.0003,2)+ROUND(I725*0.002,2)</f>
        <v>55.58</v>
      </c>
      <c r="P725" s="6">
        <f t="shared" si="185"/>
        <v>22174.42</v>
      </c>
      <c r="Q725" s="4" t="str">
        <f>LOOKUP($E725,OBRAS!$D:$D,OBRAS!B:B)</f>
        <v>ING. MARIANO HOYOS ARVIZU</v>
      </c>
      <c r="R725" s="4" t="str">
        <f>LOOKUP($E725,OBRAS!$D:$D,OBRAS!A:A)</f>
        <v>CABORCA</v>
      </c>
      <c r="S725" s="4" t="str">
        <f>LOOKUP($E725,OBRAS!$D:$D,OBRAS!F:F)</f>
        <v>11000002002207E201K02104A622212161A013</v>
      </c>
      <c r="T725" s="4" t="str">
        <f>LOOKUP($E725,OBRAS!$D:$D,OBRAS!G:G)</f>
        <v>ADJUDICACIÓN DIRECTA</v>
      </c>
      <c r="U725" s="4" t="s">
        <v>863</v>
      </c>
      <c r="V725" s="89">
        <v>42781</v>
      </c>
      <c r="W725" s="6">
        <f>LOOKUP($E725,OBRAS!$D:$D,OBRAS!K:K)</f>
        <v>44459.99</v>
      </c>
      <c r="X725" s="109">
        <f t="shared" si="186"/>
        <v>0.5</v>
      </c>
      <c r="Y725" s="109">
        <f t="shared" si="187"/>
        <v>1</v>
      </c>
      <c r="Z725" s="109">
        <f t="shared" si="188"/>
        <v>1</v>
      </c>
      <c r="AA725" s="4" t="str">
        <f>LOOKUP($E725,OBRAS!$D:$D,OBRAS!H:H)</f>
        <v>SH-ED-16-011</v>
      </c>
    </row>
    <row r="726" spans="1:27" ht="45" x14ac:dyDescent="0.25">
      <c r="A726" s="131">
        <v>42690</v>
      </c>
      <c r="B726" s="56">
        <v>5100</v>
      </c>
      <c r="C726" s="132">
        <v>725</v>
      </c>
      <c r="D726" s="4" t="str">
        <f>LOOKUP($E726,OBRAS!$D:$D,OBRAS!C:C)</f>
        <v>VERIFICACION DE INSTALACIONES ELECTRICAS DE LA OBRA: CONSTRUCCION DE CENTRO DE ATENCION TEMPRANA EN EL DISTRITO DE CAJEME</v>
      </c>
      <c r="E726" s="4" t="s">
        <v>1734</v>
      </c>
      <c r="F726" s="4"/>
      <c r="G726" s="4" t="str">
        <f>LOOKUP($E726,OBRAS!$D:$D,OBRAS!E:E)</f>
        <v>C-00098/0016</v>
      </c>
      <c r="H726" s="80" t="s">
        <v>103</v>
      </c>
      <c r="I726" s="6">
        <v>44827.58</v>
      </c>
      <c r="J726" s="6"/>
      <c r="K726" s="6">
        <v>0</v>
      </c>
      <c r="L726" s="6">
        <f t="shared" si="183"/>
        <v>44827.58</v>
      </c>
      <c r="M726" s="6">
        <f t="shared" si="182"/>
        <v>7172.41</v>
      </c>
      <c r="N726" s="6">
        <f t="shared" si="184"/>
        <v>51999.99</v>
      </c>
      <c r="O726" s="6">
        <v>0</v>
      </c>
      <c r="P726" s="6">
        <f t="shared" si="185"/>
        <v>51999.99</v>
      </c>
      <c r="Q726" s="4" t="str">
        <f>LOOKUP($E726,OBRAS!$D:$D,OBRAS!B:B)</f>
        <v>ING. MARIANO HOYOS ARVIZU</v>
      </c>
      <c r="R726" s="4" t="str">
        <f>LOOKUP($E726,OBRAS!$D:$D,OBRAS!A:A)</f>
        <v>CAJEME</v>
      </c>
      <c r="S726" s="4" t="str">
        <f>LOOKUP($E726,OBRAS!$D:$D,OBRAS!F:F)</f>
        <v>11000002002207E201K021D4A622212161A013</v>
      </c>
      <c r="T726" s="4" t="str">
        <f>LOOKUP($E726,OBRAS!$D:$D,OBRAS!G:G)</f>
        <v>ADJUDICACIÓN DIRECTA</v>
      </c>
      <c r="U726" s="4" t="s">
        <v>2238</v>
      </c>
      <c r="V726" s="89">
        <v>42690</v>
      </c>
      <c r="W726" s="6">
        <f>LOOKUP($E726,OBRAS!$D:$D,OBRAS!K:K)</f>
        <v>51999.99</v>
      </c>
      <c r="X726" s="109">
        <f t="shared" si="186"/>
        <v>1</v>
      </c>
      <c r="Y726" s="109">
        <f t="shared" si="187"/>
        <v>1</v>
      </c>
      <c r="Z726" s="109">
        <f t="shared" si="188"/>
        <v>1</v>
      </c>
      <c r="AA726" s="4" t="str">
        <f>LOOKUP($E726,OBRAS!$D:$D,OBRAS!H:H)</f>
        <v>SH-ED-16-011</v>
      </c>
    </row>
    <row r="727" spans="1:27" ht="45" x14ac:dyDescent="0.25">
      <c r="A727" s="131"/>
      <c r="C727" s="132">
        <v>726</v>
      </c>
      <c r="D727" s="4" t="str">
        <f>LOOKUP($E727,OBRAS!$D:$D,OBRAS!C:C)</f>
        <v>PAVIMENTACION CON CONCRETO HIDRAULICO DE 15CM DE ESPESOR EN LAS CALLES FERROCARRIL Y SONORA EN LA LOCALIDAD DE ESQUEDA</v>
      </c>
      <c r="E727" s="4" t="s">
        <v>1740</v>
      </c>
      <c r="F727" s="4"/>
      <c r="G727" s="4" t="str">
        <f>LOOKUP($E727,OBRAS!$D:$D,OBRAS!E:E)</f>
        <v>C-00052/0209</v>
      </c>
      <c r="H727" s="80" t="s">
        <v>23</v>
      </c>
      <c r="I727" s="6">
        <v>1468839.05</v>
      </c>
      <c r="J727" s="6"/>
      <c r="K727" s="6">
        <v>0</v>
      </c>
      <c r="L727" s="6">
        <f t="shared" si="183"/>
        <v>1468839.05</v>
      </c>
      <c r="M727" s="6">
        <f t="shared" si="182"/>
        <v>235014.25</v>
      </c>
      <c r="N727" s="6">
        <f t="shared" si="184"/>
        <v>1703853.3</v>
      </c>
      <c r="O727" s="6">
        <v>0</v>
      </c>
      <c r="P727" s="6">
        <f t="shared" si="185"/>
        <v>1703853.3</v>
      </c>
      <c r="Q727" s="4" t="str">
        <f>LOOKUP($E727,OBRAS!$D:$D,OBRAS!B:B)</f>
        <v>SEÑALAMIENTOS Y SERVICIOS INTEGRALES DEL NOROESTE, S.A. DE C.V.</v>
      </c>
      <c r="R727" s="4" t="str">
        <f>LOOKUP($E727,OBRAS!$D:$D,OBRAS!A:A)</f>
        <v>FRONTERAS</v>
      </c>
      <c r="S727" s="4" t="str">
        <f>LOOKUP($E727,OBRAS!$D:$D,OBRAS!F:F)</f>
        <v>11000002002201E202K05186A614202165FN04</v>
      </c>
      <c r="T727" s="4" t="str">
        <f>LOOKUP($E727,OBRAS!$D:$D,OBRAS!G:G)</f>
        <v>IO-926006995-E148-2016</v>
      </c>
      <c r="U727" s="4" t="s">
        <v>863</v>
      </c>
      <c r="V727" s="89">
        <v>42705</v>
      </c>
      <c r="W727" s="6">
        <f>LOOKUP($E727,OBRAS!$D:$D,OBRAS!K:K)</f>
        <v>5679511.0099999998</v>
      </c>
      <c r="X727" s="109" t="str">
        <f t="shared" si="186"/>
        <v/>
      </c>
      <c r="Y727" s="109">
        <f t="shared" si="187"/>
        <v>0.1242</v>
      </c>
      <c r="Z727" s="109">
        <f t="shared" si="188"/>
        <v>0.38690000000000002</v>
      </c>
      <c r="AA727" s="4" t="str">
        <f>LOOKUP($E727,OBRAS!$D:$D,OBRAS!H:H)</f>
        <v>SH-NC-17-R-005</v>
      </c>
    </row>
    <row r="728" spans="1:27" ht="30" x14ac:dyDescent="0.25">
      <c r="A728" s="131"/>
      <c r="C728" s="132">
        <v>727</v>
      </c>
      <c r="D728" s="4" t="str">
        <f>LOOKUP($E728,OBRAS!$D:$D,OBRAS!C:C)</f>
        <v>REHABILITACION DE COLECTOR DE AGUAS RESIDUALES</v>
      </c>
      <c r="E728" s="4" t="s">
        <v>1739</v>
      </c>
      <c r="F728" s="4"/>
      <c r="G728" s="4" t="str">
        <f>LOOKUP($E728,OBRAS!$D:$D,OBRAS!E:E)</f>
        <v>C-00051/0003</v>
      </c>
      <c r="H728" s="80" t="s">
        <v>23</v>
      </c>
      <c r="I728" s="6">
        <v>332220.40000000002</v>
      </c>
      <c r="J728" s="6"/>
      <c r="K728" s="6">
        <v>0</v>
      </c>
      <c r="L728" s="6">
        <f t="shared" si="183"/>
        <v>332220.40000000002</v>
      </c>
      <c r="M728" s="6">
        <f t="shared" si="182"/>
        <v>53155.26</v>
      </c>
      <c r="N728" s="6">
        <f t="shared" si="184"/>
        <v>385375.66</v>
      </c>
      <c r="O728" s="6">
        <v>0</v>
      </c>
      <c r="P728" s="6">
        <f t="shared" si="185"/>
        <v>385375.66</v>
      </c>
      <c r="Q728" s="4" t="str">
        <f>LOOKUP($E728,OBRAS!$D:$D,OBRAS!B:B)</f>
        <v>CONSTRUCTORA MIRAMAR, S.A. DE C.V.</v>
      </c>
      <c r="R728" s="4" t="str">
        <f>LOOKUP($E728,OBRAS!$D:$D,OBRAS!A:A)</f>
        <v>PITIQUITO</v>
      </c>
      <c r="S728" s="4" t="str">
        <f>LOOKUP($E728,OBRAS!$D:$D,OBRAS!F:F)</f>
        <v>11000002002103E202K06023A614092162A202</v>
      </c>
      <c r="T728" s="4" t="str">
        <f>LOOKUP($E728,OBRAS!$D:$D,OBRAS!G:G)</f>
        <v>LICITACIÓN SIMPLIFICADA</v>
      </c>
      <c r="U728" s="4" t="s">
        <v>863</v>
      </c>
      <c r="V728" s="89">
        <v>42712</v>
      </c>
      <c r="W728" s="6">
        <f>LOOKUP($E728,OBRAS!$D:$D,OBRAS!K:K)</f>
        <v>1284585.54</v>
      </c>
      <c r="X728" s="109" t="str">
        <f t="shared" si="186"/>
        <v/>
      </c>
      <c r="Y728" s="109">
        <f t="shared" si="187"/>
        <v>0.99370000000000003</v>
      </c>
      <c r="Z728" s="109">
        <f t="shared" si="188"/>
        <v>0.99370000000000003</v>
      </c>
      <c r="AA728" s="4" t="str">
        <f>LOOKUP($E728,OBRAS!$D:$D,OBRAS!H:H)</f>
        <v>SH-ED-17-R-013</v>
      </c>
    </row>
    <row r="729" spans="1:27" ht="45" x14ac:dyDescent="0.25">
      <c r="A729" s="131"/>
      <c r="C729" s="132">
        <v>728</v>
      </c>
      <c r="D729" s="4" t="str">
        <f>LOOKUP($E729,OBRAS!$D:$D,OBRAS!C:C)</f>
        <v>REHABILITACION DEL DELFINARIO SONORA(SEGUNDA ETAPA) EN LA LOCALIDAD DE SAN CARLOS, MUNICIPIO DE GUAYMAS</v>
      </c>
      <c r="E729" s="4" t="s">
        <v>1746</v>
      </c>
      <c r="F729" s="4"/>
      <c r="G729" s="4" t="str">
        <f>LOOKUP($E729,OBRAS!$D:$D,OBRAS!E:E)</f>
        <v>C-00061/0018</v>
      </c>
      <c r="H729" s="80" t="s">
        <v>23</v>
      </c>
      <c r="I729" s="6">
        <v>2131451.0299999998</v>
      </c>
      <c r="J729" s="6"/>
      <c r="K729" s="6">
        <v>0</v>
      </c>
      <c r="L729" s="6">
        <f t="shared" si="183"/>
        <v>2131451.0299999998</v>
      </c>
      <c r="M729" s="6">
        <f t="shared" si="182"/>
        <v>341032.16</v>
      </c>
      <c r="N729" s="6">
        <f t="shared" si="184"/>
        <v>2472483.19</v>
      </c>
      <c r="O729" s="6">
        <v>0</v>
      </c>
      <c r="P729" s="6">
        <f t="shared" si="185"/>
        <v>2472483.19</v>
      </c>
      <c r="Q729" s="4" t="str">
        <f>LOOKUP($E729,OBRAS!$D:$D,OBRAS!B:B)</f>
        <v>CONSTRUCTORA MIRAMAR, S.A. DE C.V.</v>
      </c>
      <c r="R729" s="4" t="str">
        <f>LOOKUP($E729,OBRAS!$D:$D,OBRAS!A:A)</f>
        <v>GUAYMAS</v>
      </c>
      <c r="S729" s="4" t="str">
        <f>LOOKUP($E729,OBRAS!$D:$D,OBRAS!F:F)</f>
        <v>11000002002202E401K04039A612032165DM10</v>
      </c>
      <c r="T729" s="4" t="str">
        <f>LOOKUP($E729,OBRAS!$D:$D,OBRAS!G:G)</f>
        <v>CE-926006995-E161-2016</v>
      </c>
      <c r="U729" s="4" t="s">
        <v>863</v>
      </c>
      <c r="V729" s="89">
        <v>42702</v>
      </c>
      <c r="W729" s="6">
        <f>LOOKUP($E729,OBRAS!$D:$D,OBRAS!K:K)</f>
        <v>8591026.3200000003</v>
      </c>
      <c r="X729" s="109" t="str">
        <f t="shared" si="186"/>
        <v/>
      </c>
      <c r="Y729" s="109">
        <f t="shared" si="187"/>
        <v>0.89180000000000004</v>
      </c>
      <c r="Z729" s="109">
        <f t="shared" si="188"/>
        <v>0.89180000000000004</v>
      </c>
      <c r="AA729" s="4" t="str">
        <f>LOOKUP($E729,OBRAS!$D:$D,OBRAS!H:H)</f>
        <v>SH-FAFEF-17-R-001</v>
      </c>
    </row>
    <row r="730" spans="1:27" ht="45" x14ac:dyDescent="0.25">
      <c r="A730" s="131"/>
      <c r="C730" s="132">
        <v>729</v>
      </c>
      <c r="D730" s="4" t="str">
        <f>LOOKUP($E730,OBRAS!$D:$D,OBRAS!C:C)</f>
        <v>PAVIMENTACIÓN CON CARPETA ASFALTICA DE 5CMS DE ESPESOR EN 3 CALLES, GENERAL PLUTARCO ELIAS CALLES</v>
      </c>
      <c r="E730" s="4" t="s">
        <v>1770</v>
      </c>
      <c r="F730" s="4"/>
      <c r="G730" s="4" t="str">
        <f>LOOKUP($E730,OBRAS!$D:$D,OBRAS!E:E)</f>
        <v>C-00052/0176</v>
      </c>
      <c r="H730" s="80" t="s">
        <v>23</v>
      </c>
      <c r="I730" s="6">
        <v>1335848.3</v>
      </c>
      <c r="J730" s="6"/>
      <c r="K730" s="6">
        <v>0</v>
      </c>
      <c r="L730" s="6">
        <f t="shared" si="183"/>
        <v>1335848.3</v>
      </c>
      <c r="M730" s="6">
        <f t="shared" si="182"/>
        <v>213735.73</v>
      </c>
      <c r="N730" s="6">
        <f t="shared" si="184"/>
        <v>1549584.03</v>
      </c>
      <c r="O730" s="6">
        <v>0</v>
      </c>
      <c r="P730" s="6">
        <f t="shared" si="185"/>
        <v>1549584.03</v>
      </c>
      <c r="Q730" s="4" t="str">
        <f>LOOKUP($E730,OBRAS!$D:$D,OBRAS!B:B)</f>
        <v>CONSTRUSERVICIOS Y EDIFICACIONES BAJAMAR DE MEXICO S.A. DE C.V.</v>
      </c>
      <c r="R730" s="4" t="str">
        <f>LOOKUP($E730,OBRAS!$D:$D,OBRAS!A:A)</f>
        <v>GRAL. PLUTARCO ELIAS CALLES</v>
      </c>
      <c r="S730" s="4" t="str">
        <f>LOOKUP($E730,OBRAS!$D:$D,OBRAS!F:F)</f>
        <v>11000002002201E202K05186A614202165CN01</v>
      </c>
      <c r="T730" s="4" t="str">
        <f>LOOKUP($E730,OBRAS!$D:$D,OBRAS!G:G)</f>
        <v>IO-926006995-E159-2016</v>
      </c>
      <c r="U730" s="4" t="s">
        <v>863</v>
      </c>
      <c r="V730" s="89">
        <v>42699</v>
      </c>
      <c r="W730" s="6">
        <f>LOOKUP($E730,OBRAS!$D:$D,OBRAS!K:K)</f>
        <v>5165280.09</v>
      </c>
      <c r="X730" s="109" t="str">
        <f t="shared" si="186"/>
        <v/>
      </c>
      <c r="Y730" s="109">
        <f t="shared" si="187"/>
        <v>0.85419999999999996</v>
      </c>
      <c r="Z730" s="109">
        <f t="shared" si="188"/>
        <v>0.89790000000000003</v>
      </c>
      <c r="AA730" s="4" t="str">
        <f>LOOKUP($E730,OBRAS!$D:$D,OBRAS!H:H)</f>
        <v>SH-NC-17-R-004</v>
      </c>
    </row>
    <row r="731" spans="1:27" ht="30" x14ac:dyDescent="0.25">
      <c r="A731" s="131"/>
      <c r="C731" s="132">
        <v>730</v>
      </c>
      <c r="D731" s="4" t="str">
        <f>LOOKUP($E731,OBRAS!$D:$D,OBRAS!C:C)</f>
        <v>CONSTRUCCION DEL CENTRO CULTURAL AL NORTE DE HERMOSILLO</v>
      </c>
      <c r="E731" s="4" t="s">
        <v>790</v>
      </c>
      <c r="F731" s="4"/>
      <c r="G731" s="4" t="str">
        <f>LOOKUP($E731,OBRAS!$D:$D,OBRAS!E:E)</f>
        <v>C-00111/0001</v>
      </c>
      <c r="H731" s="80" t="s">
        <v>215</v>
      </c>
      <c r="I731" s="6">
        <v>901141.94</v>
      </c>
      <c r="J731" s="6"/>
      <c r="K731" s="6">
        <f>ROUND(I731*0.3,2)</f>
        <v>270342.58</v>
      </c>
      <c r="L731" s="6">
        <f t="shared" si="183"/>
        <v>630799.35999999999</v>
      </c>
      <c r="M731" s="6">
        <f t="shared" si="182"/>
        <v>100927.9</v>
      </c>
      <c r="N731" s="6">
        <f t="shared" si="184"/>
        <v>731727.26</v>
      </c>
      <c r="O731" s="6">
        <f>+ROUND(I731*0.005,2)</f>
        <v>4505.71</v>
      </c>
      <c r="P731" s="6">
        <f t="shared" si="185"/>
        <v>727221.55</v>
      </c>
      <c r="Q731" s="4" t="str">
        <f>LOOKUP($E731,OBRAS!$D:$D,OBRAS!B:B)</f>
        <v>CONSTRUCTORA MIRAMAR, S.A. DE C.V.</v>
      </c>
      <c r="R731" s="4" t="str">
        <f>LOOKUP($E731,OBRAS!$D:$D,OBRAS!A:A)</f>
        <v>HERMOSILLO</v>
      </c>
      <c r="S731" s="4">
        <f>LOOKUP($E731,OBRAS!$D:$D,OBRAS!F:F)</f>
        <v>0</v>
      </c>
      <c r="T731" s="4">
        <f>LOOKUP($E731,OBRAS!$D:$D,OBRAS!G:G)</f>
        <v>0</v>
      </c>
      <c r="U731" s="4" t="s">
        <v>863</v>
      </c>
      <c r="V731" s="89">
        <v>42691</v>
      </c>
      <c r="W731" s="6">
        <f>LOOKUP($E731,OBRAS!$D:$D,OBRAS!K:K)</f>
        <v>3955324.73</v>
      </c>
      <c r="X731" s="109">
        <f t="shared" si="186"/>
        <v>0.26429999999999998</v>
      </c>
      <c r="Y731" s="109">
        <f t="shared" si="187"/>
        <v>1.1862999999999999</v>
      </c>
      <c r="Z731" s="109">
        <f t="shared" si="188"/>
        <v>1.1862999999999999</v>
      </c>
      <c r="AA731" s="4">
        <f>LOOKUP($E731,OBRAS!$D:$D,OBRAS!H:H)</f>
        <v>4908879.3099999996</v>
      </c>
    </row>
    <row r="732" spans="1:27" ht="30" x14ac:dyDescent="0.25">
      <c r="A732" s="131"/>
      <c r="C732" s="132">
        <v>731</v>
      </c>
      <c r="D732" s="4" t="str">
        <f>LOOKUP($E732,OBRAS!$D:$D,OBRAS!C:C)</f>
        <v>CONSTRUCCION DEL CENTRO CULTURAL AL NORTE DE HERMOSILLO</v>
      </c>
      <c r="E732" s="4" t="s">
        <v>790</v>
      </c>
      <c r="F732" s="4"/>
      <c r="G732" s="4" t="str">
        <f>LOOKUP($E732,OBRAS!$D:$D,OBRAS!E:E)</f>
        <v>C-00111/0001</v>
      </c>
      <c r="H732" s="80" t="s">
        <v>15</v>
      </c>
      <c r="I732" s="6">
        <v>635374.18000000005</v>
      </c>
      <c r="J732" s="6"/>
      <c r="K732" s="6">
        <v>0</v>
      </c>
      <c r="L732" s="6">
        <f t="shared" si="183"/>
        <v>635374.18000000005</v>
      </c>
      <c r="M732" s="6">
        <f t="shared" si="182"/>
        <v>101659.87</v>
      </c>
      <c r="N732" s="6">
        <f t="shared" si="184"/>
        <v>737034.05</v>
      </c>
      <c r="O732" s="6">
        <f>+ROUND(I732*0.005,2)</f>
        <v>3176.87</v>
      </c>
      <c r="P732" s="6">
        <f t="shared" si="185"/>
        <v>733857.18</v>
      </c>
      <c r="Q732" s="4" t="str">
        <f>LOOKUP($E732,OBRAS!$D:$D,OBRAS!B:B)</f>
        <v>CONSTRUCTORA MIRAMAR, S.A. DE C.V.</v>
      </c>
      <c r="R732" s="4" t="str">
        <f>LOOKUP($E732,OBRAS!$D:$D,OBRAS!A:A)</f>
        <v>HERMOSILLO</v>
      </c>
      <c r="S732" s="4">
        <f>LOOKUP($E732,OBRAS!$D:$D,OBRAS!F:F)</f>
        <v>0</v>
      </c>
      <c r="T732" s="4">
        <f>LOOKUP($E732,OBRAS!$D:$D,OBRAS!G:G)</f>
        <v>0</v>
      </c>
      <c r="U732" s="4" t="s">
        <v>863</v>
      </c>
      <c r="V732" s="89">
        <v>42691</v>
      </c>
      <c r="W732" s="6">
        <f>LOOKUP($E732,OBRAS!$D:$D,OBRAS!K:K)</f>
        <v>3955324.73</v>
      </c>
      <c r="X732" s="109">
        <f t="shared" si="186"/>
        <v>0.18629999999999999</v>
      </c>
      <c r="Y732" s="109">
        <f t="shared" si="187"/>
        <v>1.1862999999999999</v>
      </c>
      <c r="Z732" s="109">
        <f t="shared" si="188"/>
        <v>1.1862999999999999</v>
      </c>
      <c r="AA732" s="4">
        <f>LOOKUP($E732,OBRAS!$D:$D,OBRAS!H:H)</f>
        <v>4908879.3099999996</v>
      </c>
    </row>
    <row r="733" spans="1:27" ht="30" x14ac:dyDescent="0.25">
      <c r="A733" s="131">
        <v>42692</v>
      </c>
      <c r="B733" s="56">
        <v>5171</v>
      </c>
      <c r="C733" s="49">
        <v>732</v>
      </c>
      <c r="D733" s="4" t="str">
        <f>LOOKUP($E733,OBRAS!$D:$D,OBRAS!C:C)</f>
        <v>CONSTRUCCION DE PUENTE VEHICULAR SOBRE RIO MAYO, EN EL PERIFERICO PONIENTE EN NAVOJOA</v>
      </c>
      <c r="E733" s="4" t="s">
        <v>776</v>
      </c>
      <c r="F733" s="4" t="s">
        <v>927</v>
      </c>
      <c r="G733" s="4" t="str">
        <f>LOOKUP($E733,OBRAS!$D:$D,OBRAS!E:E)</f>
        <v>C-00052/0174</v>
      </c>
      <c r="H733" s="80" t="s">
        <v>103</v>
      </c>
      <c r="I733" s="6">
        <v>22284978.559999999</v>
      </c>
      <c r="J733" s="6">
        <f>I733*1.16</f>
        <v>25850575.129999999</v>
      </c>
      <c r="K733" s="6">
        <f>ROUND(I733*0.3,2)</f>
        <v>6685493.5700000003</v>
      </c>
      <c r="L733" s="6">
        <f t="shared" si="183"/>
        <v>15599484.99</v>
      </c>
      <c r="M733" s="6">
        <f t="shared" si="182"/>
        <v>2495917.6</v>
      </c>
      <c r="N733" s="6">
        <f t="shared" si="184"/>
        <v>18095402.59</v>
      </c>
      <c r="O733" s="6">
        <f>+ROUND(I733*0.002,2)+ROUND(I733*0.0003,2)+ROUND(I733*0.0003,2)+ROUND(I733*0.0003,2)+ROUND(I733*0.002,2)</f>
        <v>109196.39</v>
      </c>
      <c r="P733" s="6">
        <f t="shared" si="185"/>
        <v>17986206.199999999</v>
      </c>
      <c r="Q733" s="4" t="str">
        <f>LOOKUP($E733,OBRAS!$D:$D,OBRAS!B:B)</f>
        <v>ING. LUIS EDUARDO GUERRA ESQUIVEL</v>
      </c>
      <c r="R733" s="4" t="str">
        <f>LOOKUP($E733,OBRAS!$D:$D,OBRAS!A:A)</f>
        <v>NAVOJOA</v>
      </c>
      <c r="S733" s="4" t="str">
        <f>LOOKUP($E733,OBRAS!$D:$D,OBRAS!F:F)</f>
        <v>11000002002201E202K05250A615122162A212</v>
      </c>
      <c r="T733" s="4">
        <f>LOOKUP($E733,OBRAS!$D:$D,OBRAS!G:G)</f>
        <v>0</v>
      </c>
      <c r="U733" s="4" t="s">
        <v>863</v>
      </c>
      <c r="V733" s="89">
        <v>42712</v>
      </c>
      <c r="W733" s="6">
        <f>LOOKUP($E733,OBRAS!$D:$D,OBRAS!K:K)</f>
        <v>82488388.799999997</v>
      </c>
      <c r="X733" s="109">
        <f t="shared" si="186"/>
        <v>0.31340000000000001</v>
      </c>
      <c r="Y733" s="109">
        <f t="shared" si="187"/>
        <v>0.64639999999999997</v>
      </c>
      <c r="Z733" s="109">
        <f t="shared" si="188"/>
        <v>0.75249999999999995</v>
      </c>
      <c r="AA733" s="4" t="str">
        <f>LOOKUP($E733,OBRAS!$D:$D,OBRAS!H:H)</f>
        <v>SH-ED-17-R-004</v>
      </c>
    </row>
    <row r="734" spans="1:27" ht="60" x14ac:dyDescent="0.25">
      <c r="A734" s="131">
        <v>42692</v>
      </c>
      <c r="B734" s="56">
        <v>5172</v>
      </c>
      <c r="C734" s="49">
        <v>733</v>
      </c>
      <c r="D734" s="4" t="str">
        <f>LOOKUP($E734,OBRAS!$D:$D,OBRAS!C:C)</f>
        <v>MODERNIZACION Y RECONSTRUCCION DEL PERIFERICO EN NAVOJOA (E.C. MEXICO 15 - TETANCHOPO) DEL KM 7+031 AL KM 13+126 EN LA LOCALIDAD Y MUNICIPIO DE NAVOJOA, SONORA.</v>
      </c>
      <c r="E734" s="4" t="s">
        <v>462</v>
      </c>
      <c r="F734" s="4" t="s">
        <v>927</v>
      </c>
      <c r="G734" s="4" t="str">
        <f>LOOKUP($E734,OBRAS!$D:$D,OBRAS!E:E)</f>
        <v>C-00052/0172</v>
      </c>
      <c r="H734" s="80" t="s">
        <v>103</v>
      </c>
      <c r="I734" s="6">
        <v>1901366.53</v>
      </c>
      <c r="J734" s="6"/>
      <c r="K734" s="6">
        <f>ROUND(I734*0.3,2)</f>
        <v>570409.96</v>
      </c>
      <c r="L734" s="6">
        <f t="shared" si="183"/>
        <v>1330956.57</v>
      </c>
      <c r="M734" s="6">
        <f t="shared" si="182"/>
        <v>212953.05</v>
      </c>
      <c r="N734" s="6">
        <f t="shared" si="184"/>
        <v>1543909.62</v>
      </c>
      <c r="O734" s="6">
        <f>+ROUND(I734*0.002,2)+ROUND(I734*0.0003,2)+ROUND(I734*0.0003,2)+ROUND(I734*0.0003,2)+ROUND(I734*0.002,2)</f>
        <v>9316.69</v>
      </c>
      <c r="P734" s="6">
        <f t="shared" si="185"/>
        <v>1534592.93</v>
      </c>
      <c r="Q734" s="4" t="str">
        <f>LOOKUP($E734,OBRAS!$D:$D,OBRAS!B:B)</f>
        <v>NA CONSTRUCCIONES DEL PACIFICO, S.A. DE C.V.</v>
      </c>
      <c r="R734" s="4" t="str">
        <f>LOOKUP($E734,OBRAS!$D:$D,OBRAS!A:A)</f>
        <v>NAVOJOA</v>
      </c>
      <c r="S734" s="4" t="str">
        <f>LOOKUP($E734,OBRAS!$D:$D,OBRAS!F:F)</f>
        <v>11000002002201E202K05186A614202162A212</v>
      </c>
      <c r="T734" s="4" t="str">
        <f>LOOKUP($E734,OBRAS!$D:$D,OBRAS!G:G)</f>
        <v>CE-926006995-E60-2015</v>
      </c>
      <c r="U734" s="4" t="s">
        <v>863</v>
      </c>
      <c r="V734" s="89">
        <v>42712</v>
      </c>
      <c r="W734" s="6">
        <f>LOOKUP($E734,OBRAS!$D:$D,OBRAS!K:K)</f>
        <v>91796179.200000003</v>
      </c>
      <c r="X734" s="109">
        <f t="shared" si="186"/>
        <v>2.4E-2</v>
      </c>
      <c r="Y734" s="109">
        <f t="shared" si="187"/>
        <v>0.31269999999999998</v>
      </c>
      <c r="Z734" s="109">
        <f t="shared" si="188"/>
        <v>0.51890000000000003</v>
      </c>
      <c r="AA734" s="4" t="str">
        <f>LOOKUP($E734,OBRAS!$D:$D,OBRAS!H:H)</f>
        <v>SH-ED-17-R-004</v>
      </c>
    </row>
    <row r="735" spans="1:27" ht="60" x14ac:dyDescent="0.25">
      <c r="A735" s="131">
        <v>42692</v>
      </c>
      <c r="B735" s="56">
        <v>5173</v>
      </c>
      <c r="C735" s="49">
        <v>734</v>
      </c>
      <c r="D735" s="4" t="str">
        <f>LOOKUP($E735,OBRAS!$D:$D,OBRAS!C:C)</f>
        <v>MODERNIZACION Y RECONSTRUCCION DEL PERIFERICO EN NAVOJOA (E.C. MEXICO 15 - TETANCHOPO) DEL KM 7+031 AL KM 13+126 EN LA LOCALIDAD Y MUNICIPIO DE NAVOJOA, SONORA.</v>
      </c>
      <c r="E735" s="4" t="s">
        <v>462</v>
      </c>
      <c r="F735" s="4" t="s">
        <v>927</v>
      </c>
      <c r="G735" s="4" t="str">
        <f>LOOKUP($E735,OBRAS!$D:$D,OBRAS!E:E)</f>
        <v>C-00052/0172</v>
      </c>
      <c r="H735" s="80" t="s">
        <v>221</v>
      </c>
      <c r="I735" s="6">
        <v>2965449.39</v>
      </c>
      <c r="J735" s="6"/>
      <c r="K735" s="6">
        <f>ROUND(I735*0.3,2)</f>
        <v>889634.82</v>
      </c>
      <c r="L735" s="6">
        <f t="shared" si="183"/>
        <v>2075814.57</v>
      </c>
      <c r="M735" s="6">
        <f t="shared" si="182"/>
        <v>332130.33</v>
      </c>
      <c r="N735" s="6">
        <f t="shared" si="184"/>
        <v>2407944.9</v>
      </c>
      <c r="O735" s="6">
        <f>+ROUND(I735*0.002,2)+ROUND(I735*0.0003,2)+ROUND(I735*0.0003,2)+ROUND(I735*0.0003,2)+ROUND(I735*0.002,2)</f>
        <v>14530.69</v>
      </c>
      <c r="P735" s="6">
        <f t="shared" si="185"/>
        <v>2393414.21</v>
      </c>
      <c r="Q735" s="4" t="str">
        <f>LOOKUP($E735,OBRAS!$D:$D,OBRAS!B:B)</f>
        <v>NA CONSTRUCCIONES DEL PACIFICO, S.A. DE C.V.</v>
      </c>
      <c r="R735" s="4" t="str">
        <f>LOOKUP($E735,OBRAS!$D:$D,OBRAS!A:A)</f>
        <v>NAVOJOA</v>
      </c>
      <c r="S735" s="4" t="str">
        <f>LOOKUP($E735,OBRAS!$D:$D,OBRAS!F:F)</f>
        <v>11000002002201E202K05186A614202162A212</v>
      </c>
      <c r="T735" s="4" t="str">
        <f>LOOKUP($E735,OBRAS!$D:$D,OBRAS!G:G)</f>
        <v>CE-926006995-E60-2015</v>
      </c>
      <c r="U735" s="4" t="s">
        <v>863</v>
      </c>
      <c r="V735" s="89">
        <v>42712</v>
      </c>
      <c r="W735" s="6">
        <f>LOOKUP($E735,OBRAS!$D:$D,OBRAS!K:K)</f>
        <v>91796179.200000003</v>
      </c>
      <c r="X735" s="109">
        <f t="shared" si="186"/>
        <v>3.7499999999999999E-2</v>
      </c>
      <c r="Y735" s="109">
        <f t="shared" si="187"/>
        <v>0.31269999999999998</v>
      </c>
      <c r="Z735" s="109">
        <f t="shared" si="188"/>
        <v>0.51890000000000003</v>
      </c>
      <c r="AA735" s="4" t="str">
        <f>LOOKUP($E735,OBRAS!$D:$D,OBRAS!H:H)</f>
        <v>SH-ED-17-R-004</v>
      </c>
    </row>
    <row r="736" spans="1:27" ht="75" x14ac:dyDescent="0.25">
      <c r="A736" s="131">
        <v>42692</v>
      </c>
      <c r="B736" s="56">
        <v>5177</v>
      </c>
      <c r="C736" s="132">
        <v>735</v>
      </c>
      <c r="D736" s="4" t="str">
        <f>LOOKUP($E736,OBRAS!$D:$D,OBRAS!C:C)</f>
        <v>SUPERVISION EXTERNA Y CONTROL DE CALIDAD DE LA CONSERVACION Y RECONSTRUCCION DE CARRETERAS ALIMENTADORAS REGION GUAYMAS-EMPALME, TRAMO: URSULO GALVAN-JUNELANCAHUI, DEL KM 0+000 AL KM 5+600</v>
      </c>
      <c r="E736" s="4" t="s">
        <v>414</v>
      </c>
      <c r="F736" s="4"/>
      <c r="G736" s="4" t="str">
        <f>LOOKUP($E736,OBRAS!$D:$D,OBRAS!E:E)</f>
        <v>C-00098/0021</v>
      </c>
      <c r="H736" s="80" t="s">
        <v>221</v>
      </c>
      <c r="I736" s="6">
        <v>129198.23</v>
      </c>
      <c r="J736" s="6"/>
      <c r="K736" s="6">
        <f t="shared" ref="K736:K741" si="189">ROUND(I736*0.1,2)</f>
        <v>12919.82</v>
      </c>
      <c r="L736" s="6">
        <f t="shared" si="183"/>
        <v>116278.41</v>
      </c>
      <c r="M736" s="6">
        <f t="shared" si="182"/>
        <v>18604.55</v>
      </c>
      <c r="N736" s="6">
        <f t="shared" si="184"/>
        <v>134882.96</v>
      </c>
      <c r="O736" s="6">
        <f t="shared" ref="O736:O743" si="190">+ROUND(I736*0.002,2)+ROUND(I736*0.0003,2)+ROUND(I736*0.0003,2)+ROUND(I736*0.0003,2)</f>
        <v>374.68</v>
      </c>
      <c r="P736" s="6">
        <f t="shared" si="185"/>
        <v>134508.28</v>
      </c>
      <c r="Q736" s="4" t="str">
        <f>LOOKUP($E736,OBRAS!$D:$D,OBRAS!B:B)</f>
        <v>ISAFRA CONSTRUCCIONES, S.A. DE C.V.</v>
      </c>
      <c r="R736" s="4" t="str">
        <f>LOOKUP($E736,OBRAS!$D:$D,OBRAS!A:A)</f>
        <v>VARIOS</v>
      </c>
      <c r="S736" s="4" t="str">
        <f>LOOKUP($E736,OBRAS!$D:$D,OBRAS!F:F)</f>
        <v>11000002003501E203K03203A625132161A013</v>
      </c>
      <c r="T736" s="4" t="str">
        <f>LOOKUP($E736,OBRAS!$D:$D,OBRAS!G:G)</f>
        <v>LICITACIÓN SIMPLIFICADA</v>
      </c>
      <c r="U736" s="4" t="s">
        <v>863</v>
      </c>
      <c r="V736" s="89">
        <v>42781</v>
      </c>
      <c r="W736" s="6">
        <f>LOOKUP($E736,OBRAS!$D:$D,OBRAS!K:K)</f>
        <v>449609.84</v>
      </c>
      <c r="X736" s="109">
        <f t="shared" si="186"/>
        <v>0.33329999999999999</v>
      </c>
      <c r="Y736" s="109">
        <f t="shared" si="187"/>
        <v>0.91659999999999997</v>
      </c>
      <c r="Z736" s="109">
        <f t="shared" si="188"/>
        <v>0.92500000000000004</v>
      </c>
      <c r="AA736" s="4" t="str">
        <f>LOOKUP($E736,OBRAS!$D:$D,OBRAS!H:H)</f>
        <v>SH-ED-16-051</v>
      </c>
    </row>
    <row r="737" spans="1:27" ht="75" x14ac:dyDescent="0.25">
      <c r="A737" s="131">
        <v>42692</v>
      </c>
      <c r="B737" s="56">
        <v>5178</v>
      </c>
      <c r="C737" s="132">
        <v>736</v>
      </c>
      <c r="D737" s="4" t="str">
        <f>LOOKUP($E737,OBRAS!$D:$D,OBRAS!C:C)</f>
        <v>SUPERVISION EXTERNA Y CONTROL DE CALIDAD DE LA CONSERVACION Y RECONSTRUCCION DE CARRETERAS ALIMENTADORAS REGION GUAYMAS-EMPALME, TRAMO: URSULO GALVAN-JUNELANCAHUI, DEL KM 0+000 AL KM 5+600</v>
      </c>
      <c r="E737" s="4" t="s">
        <v>414</v>
      </c>
      <c r="F737" s="4"/>
      <c r="G737" s="4" t="str">
        <f>LOOKUP($E737,OBRAS!$D:$D,OBRAS!E:E)</f>
        <v>C-00098/0021</v>
      </c>
      <c r="H737" s="80" t="s">
        <v>55</v>
      </c>
      <c r="I737" s="6">
        <v>64599.14</v>
      </c>
      <c r="J737" s="6"/>
      <c r="K737" s="6">
        <f t="shared" si="189"/>
        <v>6459.91</v>
      </c>
      <c r="L737" s="6">
        <f t="shared" si="183"/>
        <v>58139.23</v>
      </c>
      <c r="M737" s="6">
        <f t="shared" si="182"/>
        <v>9302.2800000000007</v>
      </c>
      <c r="N737" s="6">
        <f t="shared" si="184"/>
        <v>67441.509999999995</v>
      </c>
      <c r="O737" s="6">
        <f t="shared" si="190"/>
        <v>187.34</v>
      </c>
      <c r="P737" s="6">
        <f t="shared" si="185"/>
        <v>67254.17</v>
      </c>
      <c r="Q737" s="4" t="str">
        <f>LOOKUP($E737,OBRAS!$D:$D,OBRAS!B:B)</f>
        <v>ISAFRA CONSTRUCCIONES, S.A. DE C.V.</v>
      </c>
      <c r="R737" s="4" t="str">
        <f>LOOKUP($E737,OBRAS!$D:$D,OBRAS!A:A)</f>
        <v>VARIOS</v>
      </c>
      <c r="S737" s="4" t="str">
        <f>LOOKUP($E737,OBRAS!$D:$D,OBRAS!F:F)</f>
        <v>11000002003501E203K03203A625132161A013</v>
      </c>
      <c r="T737" s="4" t="str">
        <f>LOOKUP($E737,OBRAS!$D:$D,OBRAS!G:G)</f>
        <v>LICITACIÓN SIMPLIFICADA</v>
      </c>
      <c r="U737" s="4" t="s">
        <v>863</v>
      </c>
      <c r="V737" s="89">
        <v>42781</v>
      </c>
      <c r="W737" s="6">
        <f>LOOKUP($E737,OBRAS!$D:$D,OBRAS!K:K)</f>
        <v>449609.84</v>
      </c>
      <c r="X737" s="109">
        <f t="shared" si="186"/>
        <v>0.16669999999999999</v>
      </c>
      <c r="Y737" s="109">
        <f t="shared" si="187"/>
        <v>0.91659999999999997</v>
      </c>
      <c r="Z737" s="109">
        <f t="shared" si="188"/>
        <v>0.92500000000000004</v>
      </c>
      <c r="AA737" s="4" t="str">
        <f>LOOKUP($E737,OBRAS!$D:$D,OBRAS!H:H)</f>
        <v>SH-ED-16-051</v>
      </c>
    </row>
    <row r="738" spans="1:27" ht="75" x14ac:dyDescent="0.25">
      <c r="A738" s="131">
        <v>42692</v>
      </c>
      <c r="B738" s="56">
        <v>5179</v>
      </c>
      <c r="C738" s="132">
        <v>737</v>
      </c>
      <c r="D738" s="4" t="str">
        <f>LOOKUP($E738,OBRAS!$D:$D,OBRAS!C:C)</f>
        <v>SUPERVISION EXTERNA Y CONTROL DE CALIDAD DE LA CONSERVACION Y RECONSTRUCCION DE CARRETERAS ALIMENTADORAS REGION GUAYMAS-EMPALME, TRAMO: URSULO GALVAN-JUNELANCAHUI, DEL KM 0+000 AL KM 5+600</v>
      </c>
      <c r="E738" s="4" t="s">
        <v>414</v>
      </c>
      <c r="F738" s="4"/>
      <c r="G738" s="4" t="str">
        <f>LOOKUP($E738,OBRAS!$D:$D,OBRAS!E:E)</f>
        <v>C-00098/0021</v>
      </c>
      <c r="H738" s="80" t="s">
        <v>215</v>
      </c>
      <c r="I738" s="6">
        <v>32299.58</v>
      </c>
      <c r="J738" s="6"/>
      <c r="K738" s="6">
        <f t="shared" si="189"/>
        <v>3229.96</v>
      </c>
      <c r="L738" s="6">
        <f t="shared" si="183"/>
        <v>29069.62</v>
      </c>
      <c r="M738" s="6">
        <f t="shared" si="182"/>
        <v>4651.1400000000003</v>
      </c>
      <c r="N738" s="6">
        <f t="shared" si="184"/>
        <v>33720.76</v>
      </c>
      <c r="O738" s="6">
        <f t="shared" si="190"/>
        <v>93.67</v>
      </c>
      <c r="P738" s="6">
        <f t="shared" si="185"/>
        <v>33627.089999999997</v>
      </c>
      <c r="Q738" s="4" t="str">
        <f>LOOKUP($E738,OBRAS!$D:$D,OBRAS!B:B)</f>
        <v>ISAFRA CONSTRUCCIONES, S.A. DE C.V.</v>
      </c>
      <c r="R738" s="4" t="str">
        <f>LOOKUP($E738,OBRAS!$D:$D,OBRAS!A:A)</f>
        <v>VARIOS</v>
      </c>
      <c r="S738" s="4" t="str">
        <f>LOOKUP($E738,OBRAS!$D:$D,OBRAS!F:F)</f>
        <v>11000002003501E203K03203A625132161A013</v>
      </c>
      <c r="T738" s="4" t="str">
        <f>LOOKUP($E738,OBRAS!$D:$D,OBRAS!G:G)</f>
        <v>LICITACIÓN SIMPLIFICADA</v>
      </c>
      <c r="U738" s="4" t="s">
        <v>864</v>
      </c>
      <c r="V738" s="89">
        <v>42717</v>
      </c>
      <c r="W738" s="6">
        <f>LOOKUP($E738,OBRAS!$D:$D,OBRAS!K:K)</f>
        <v>449609.84</v>
      </c>
      <c r="X738" s="109">
        <f t="shared" si="186"/>
        <v>8.3299999999999999E-2</v>
      </c>
      <c r="Y738" s="109">
        <f t="shared" si="187"/>
        <v>0.91659999999999997</v>
      </c>
      <c r="Z738" s="109">
        <f t="shared" si="188"/>
        <v>0.92500000000000004</v>
      </c>
      <c r="AA738" s="4" t="str">
        <f>LOOKUP($E738,OBRAS!$D:$D,OBRAS!H:H)</f>
        <v>SH-ED-16-051</v>
      </c>
    </row>
    <row r="739" spans="1:27" ht="75" x14ac:dyDescent="0.25">
      <c r="A739" s="131">
        <v>42692</v>
      </c>
      <c r="B739" s="56">
        <v>5180</v>
      </c>
      <c r="C739" s="132">
        <v>738</v>
      </c>
      <c r="D739" s="4" t="str">
        <f>LOOKUP($E739,OBRAS!$D:$D,OBRAS!C:C)</f>
        <v xml:space="preserve"> SUPERVISION EXTERNA Y CONTROL DE CALIDAD DE LA CONSERVACION Y RECONSTRUCCION DE CARRETERAS ALIMENTADORAS REGION GUAYMAS-EMPALME, TRAMO: E.C. (PROVIDENCIA-ORTIZ)-LA MISA</v>
      </c>
      <c r="E739" s="4" t="s">
        <v>465</v>
      </c>
      <c r="F739" s="4"/>
      <c r="G739" s="4" t="str">
        <f>LOOKUP($E739,OBRAS!$D:$D,OBRAS!E:E)</f>
        <v>C-00098/0021</v>
      </c>
      <c r="H739" s="80" t="s">
        <v>221</v>
      </c>
      <c r="I739" s="6">
        <v>241032.12</v>
      </c>
      <c r="J739" s="6"/>
      <c r="K739" s="6">
        <f t="shared" si="189"/>
        <v>24103.21</v>
      </c>
      <c r="L739" s="6">
        <f t="shared" si="183"/>
        <v>216928.91</v>
      </c>
      <c r="M739" s="6">
        <f t="shared" si="182"/>
        <v>34708.629999999997</v>
      </c>
      <c r="N739" s="6">
        <f t="shared" si="184"/>
        <v>251637.54</v>
      </c>
      <c r="O739" s="6">
        <f t="shared" si="190"/>
        <v>698.99</v>
      </c>
      <c r="P739" s="6">
        <f t="shared" si="185"/>
        <v>250938.55</v>
      </c>
      <c r="Q739" s="4" t="str">
        <f>LOOKUP($E739,OBRAS!$D:$D,OBRAS!B:B)</f>
        <v>ISAFRA CONSTRUCCIONES, S.A. DE C.V.</v>
      </c>
      <c r="R739" s="4" t="str">
        <f>LOOKUP($E739,OBRAS!$D:$D,OBRAS!A:A)</f>
        <v>VARIOS</v>
      </c>
      <c r="S739" s="4" t="str">
        <f>LOOKUP($E739,OBRAS!$D:$D,OBRAS!F:F)</f>
        <v>11000002003501E203K03203A625132161A013</v>
      </c>
      <c r="T739" s="4" t="str">
        <f>LOOKUP($E739,OBRAS!$D:$D,OBRAS!G:G)</f>
        <v>LICITACIÓN SIMPLIFICADA</v>
      </c>
      <c r="U739" s="4" t="s">
        <v>863</v>
      </c>
      <c r="V739" s="89">
        <v>42781</v>
      </c>
      <c r="W739" s="6">
        <f>LOOKUP($E739,OBRAS!$D:$D,OBRAS!K:K)</f>
        <v>838791.85</v>
      </c>
      <c r="X739" s="109">
        <f t="shared" si="186"/>
        <v>0.33329999999999999</v>
      </c>
      <c r="Y739" s="109">
        <f t="shared" si="187"/>
        <v>1</v>
      </c>
      <c r="Z739" s="109">
        <f t="shared" si="188"/>
        <v>1</v>
      </c>
      <c r="AA739" s="4" t="str">
        <f>LOOKUP($E739,OBRAS!$D:$D,OBRAS!H:H)</f>
        <v>SH-ED-16-051</v>
      </c>
    </row>
    <row r="740" spans="1:27" ht="75" x14ac:dyDescent="0.25">
      <c r="A740" s="131">
        <v>42692</v>
      </c>
      <c r="B740" s="56">
        <v>5181</v>
      </c>
      <c r="C740" s="132">
        <v>739</v>
      </c>
      <c r="D740" s="4" t="str">
        <f>LOOKUP($E740,OBRAS!$D:$D,OBRAS!C:C)</f>
        <v xml:space="preserve"> SUPERVISION EXTERNA Y CONTROL DE CALIDAD DE LA CONSERVACION Y RECONSTRUCCION DE CARRETERAS ALIMENTADORAS REGION GUAYMAS-EMPALME, TRAMO: E.C. (PROVIDENCIA-ORTIZ)-LA MISA</v>
      </c>
      <c r="E740" s="4" t="s">
        <v>465</v>
      </c>
      <c r="F740" s="4"/>
      <c r="G740" s="4" t="str">
        <f>LOOKUP($E740,OBRAS!$D:$D,OBRAS!E:E)</f>
        <v>C-00098/0021</v>
      </c>
      <c r="H740" s="80" t="s">
        <v>55</v>
      </c>
      <c r="I740" s="6">
        <v>120516.08</v>
      </c>
      <c r="J740" s="6"/>
      <c r="K740" s="6">
        <f t="shared" si="189"/>
        <v>12051.61</v>
      </c>
      <c r="L740" s="6">
        <f t="shared" si="183"/>
        <v>108464.47</v>
      </c>
      <c r="M740" s="6">
        <f t="shared" si="182"/>
        <v>17354.32</v>
      </c>
      <c r="N740" s="6">
        <f t="shared" si="184"/>
        <v>125818.79</v>
      </c>
      <c r="O740" s="6">
        <f t="shared" si="190"/>
        <v>349.48</v>
      </c>
      <c r="P740" s="6">
        <f t="shared" si="185"/>
        <v>125469.31</v>
      </c>
      <c r="Q740" s="4" t="str">
        <f>LOOKUP($E740,OBRAS!$D:$D,OBRAS!B:B)</f>
        <v>ISAFRA CONSTRUCCIONES, S.A. DE C.V.</v>
      </c>
      <c r="R740" s="4" t="str">
        <f>LOOKUP($E740,OBRAS!$D:$D,OBRAS!A:A)</f>
        <v>VARIOS</v>
      </c>
      <c r="S740" s="4" t="str">
        <f>LOOKUP($E740,OBRAS!$D:$D,OBRAS!F:F)</f>
        <v>11000002003501E203K03203A625132161A013</v>
      </c>
      <c r="T740" s="4" t="str">
        <f>LOOKUP($E740,OBRAS!$D:$D,OBRAS!G:G)</f>
        <v>LICITACIÓN SIMPLIFICADA</v>
      </c>
      <c r="U740" s="4" t="s">
        <v>863</v>
      </c>
      <c r="V740" s="89">
        <v>42781</v>
      </c>
      <c r="W740" s="6">
        <f>LOOKUP($E740,OBRAS!$D:$D,OBRAS!K:K)</f>
        <v>838791.85</v>
      </c>
      <c r="X740" s="109">
        <f t="shared" si="186"/>
        <v>0.16669999999999999</v>
      </c>
      <c r="Y740" s="109">
        <f t="shared" si="187"/>
        <v>1</v>
      </c>
      <c r="Z740" s="109">
        <f t="shared" si="188"/>
        <v>1</v>
      </c>
      <c r="AA740" s="4" t="str">
        <f>LOOKUP($E740,OBRAS!$D:$D,OBRAS!H:H)</f>
        <v>SH-ED-16-051</v>
      </c>
    </row>
    <row r="741" spans="1:27" ht="75" x14ac:dyDescent="0.25">
      <c r="A741" s="131">
        <v>42692</v>
      </c>
      <c r="B741" s="56">
        <v>5182</v>
      </c>
      <c r="C741" s="132">
        <v>740</v>
      </c>
      <c r="D741" s="4" t="str">
        <f>LOOKUP($E741,OBRAS!$D:$D,OBRAS!C:C)</f>
        <v xml:space="preserve"> SUPERVISION EXTERNA Y CONTROL DE CALIDAD DE LA CONSERVACION Y RECONSTRUCCION DE CARRETERAS ALIMENTADORAS REGION GUAYMAS-EMPALME, TRAMO: E.C. (PROVIDENCIA-ORTIZ)-LA MISA</v>
      </c>
      <c r="E741" s="4" t="s">
        <v>465</v>
      </c>
      <c r="F741" s="4"/>
      <c r="G741" s="4" t="str">
        <f>LOOKUP($E741,OBRAS!$D:$D,OBRAS!E:E)</f>
        <v>C-00098/0021</v>
      </c>
      <c r="H741" s="80" t="s">
        <v>215</v>
      </c>
      <c r="I741" s="6">
        <v>120516.08</v>
      </c>
      <c r="J741" s="6"/>
      <c r="K741" s="6">
        <f t="shared" si="189"/>
        <v>12051.61</v>
      </c>
      <c r="L741" s="6">
        <f t="shared" si="183"/>
        <v>108464.47</v>
      </c>
      <c r="M741" s="6">
        <f t="shared" si="182"/>
        <v>17354.32</v>
      </c>
      <c r="N741" s="6">
        <f t="shared" si="184"/>
        <v>125818.79</v>
      </c>
      <c r="O741" s="6">
        <f t="shared" si="190"/>
        <v>349.48</v>
      </c>
      <c r="P741" s="6">
        <f t="shared" si="185"/>
        <v>125469.31</v>
      </c>
      <c r="Q741" s="4" t="str">
        <f>LOOKUP($E741,OBRAS!$D:$D,OBRAS!B:B)</f>
        <v>ISAFRA CONSTRUCCIONES, S.A. DE C.V.</v>
      </c>
      <c r="R741" s="4" t="str">
        <f>LOOKUP($E741,OBRAS!$D:$D,OBRAS!A:A)</f>
        <v>VARIOS</v>
      </c>
      <c r="S741" s="4" t="str">
        <f>LOOKUP($E741,OBRAS!$D:$D,OBRAS!F:F)</f>
        <v>11000002003501E203K03203A625132161A013</v>
      </c>
      <c r="T741" s="4" t="str">
        <f>LOOKUP($E741,OBRAS!$D:$D,OBRAS!G:G)</f>
        <v>LICITACIÓN SIMPLIFICADA</v>
      </c>
      <c r="U741" s="4" t="s">
        <v>864</v>
      </c>
      <c r="V741" s="89">
        <v>42717</v>
      </c>
      <c r="W741" s="6">
        <f>LOOKUP($E741,OBRAS!$D:$D,OBRAS!K:K)</f>
        <v>838791.85</v>
      </c>
      <c r="X741" s="109">
        <f t="shared" si="186"/>
        <v>0.16669999999999999</v>
      </c>
      <c r="Y741" s="109">
        <f t="shared" si="187"/>
        <v>1</v>
      </c>
      <c r="Z741" s="109">
        <f t="shared" si="188"/>
        <v>1</v>
      </c>
      <c r="AA741" s="4" t="str">
        <f>LOOKUP($E741,OBRAS!$D:$D,OBRAS!H:H)</f>
        <v>SH-ED-16-051</v>
      </c>
    </row>
    <row r="742" spans="1:27" ht="120" x14ac:dyDescent="0.25">
      <c r="A742" s="131">
        <v>42692</v>
      </c>
      <c r="B742" s="56">
        <v>5183</v>
      </c>
      <c r="C742" s="132">
        <v>741</v>
      </c>
      <c r="D742" s="4" t="str">
        <f>LOOKUP($E742,OBRAS!$D:$D,OBRAS!C:C)</f>
        <v>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</v>
      </c>
      <c r="E742" s="4" t="s">
        <v>345</v>
      </c>
      <c r="F742" s="4"/>
      <c r="G742" s="4" t="str">
        <f>LOOKUP($E742,OBRAS!$D:$D,OBRAS!E:E)</f>
        <v>C-00098/0021</v>
      </c>
      <c r="H742" s="80" t="s">
        <v>55</v>
      </c>
      <c r="I742" s="6">
        <v>66073.63</v>
      </c>
      <c r="J742" s="6"/>
      <c r="K742" s="6">
        <v>0</v>
      </c>
      <c r="L742" s="6">
        <f t="shared" si="183"/>
        <v>66073.63</v>
      </c>
      <c r="M742" s="6">
        <f t="shared" si="182"/>
        <v>10571.78</v>
      </c>
      <c r="N742" s="6">
        <f t="shared" si="184"/>
        <v>76645.41</v>
      </c>
      <c r="O742" s="6">
        <f t="shared" si="190"/>
        <v>191.61</v>
      </c>
      <c r="P742" s="6">
        <f t="shared" si="185"/>
        <v>76453.8</v>
      </c>
      <c r="Q742" s="4" t="str">
        <f>LOOKUP($E742,OBRAS!$D:$D,OBRAS!B:B)</f>
        <v>ISAFRA CONSTRUCCIONES, S.A. DE C.V.</v>
      </c>
      <c r="R742" s="4" t="str">
        <f>LOOKUP($E742,OBRAS!$D:$D,OBRAS!A:A)</f>
        <v>VARIOS</v>
      </c>
      <c r="S742" s="4" t="str">
        <f>LOOKUP($E742,OBRAS!$D:$D,OBRAS!F:F)</f>
        <v>11000002003501E203K03203A625132161A013</v>
      </c>
      <c r="T742" s="4" t="str">
        <f>LOOKUP($E742,OBRAS!$D:$D,OBRAS!G:G)</f>
        <v>ADJUDICACIÓN DIRECTA</v>
      </c>
      <c r="U742" s="4" t="s">
        <v>863</v>
      </c>
      <c r="V742" s="89">
        <v>42781</v>
      </c>
      <c r="W742" s="6">
        <f>LOOKUP($E742,OBRAS!$D:$D,OBRAS!K:K)</f>
        <v>333168.8</v>
      </c>
      <c r="X742" s="109">
        <f t="shared" si="186"/>
        <v>0.23</v>
      </c>
      <c r="Y742" s="109">
        <f t="shared" si="187"/>
        <v>1</v>
      </c>
      <c r="Z742" s="109">
        <f t="shared" si="188"/>
        <v>1</v>
      </c>
      <c r="AA742" s="4" t="str">
        <f>LOOKUP($E742,OBRAS!$D:$D,OBRAS!H:H)</f>
        <v>SH-ED-16-051</v>
      </c>
    </row>
    <row r="743" spans="1:27" ht="120" x14ac:dyDescent="0.25">
      <c r="A743" s="131">
        <v>42692</v>
      </c>
      <c r="B743" s="56">
        <v>5184</v>
      </c>
      <c r="C743" s="132">
        <v>742</v>
      </c>
      <c r="D743" s="4" t="str">
        <f>LOOKUP($E743,OBRAS!$D:$D,OBRAS!C:C)</f>
        <v>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</v>
      </c>
      <c r="E743" s="4" t="s">
        <v>345</v>
      </c>
      <c r="F743" s="4"/>
      <c r="G743" s="4" t="str">
        <f>LOOKUP($E743,OBRAS!$D:$D,OBRAS!E:E)</f>
        <v>C-00098/0021</v>
      </c>
      <c r="H743" s="80" t="s">
        <v>215</v>
      </c>
      <c r="I743" s="6">
        <v>21048.09</v>
      </c>
      <c r="J743" s="6"/>
      <c r="K743" s="6">
        <v>0</v>
      </c>
      <c r="L743" s="6">
        <f t="shared" si="183"/>
        <v>21048.09</v>
      </c>
      <c r="M743" s="6">
        <f t="shared" si="182"/>
        <v>3367.69</v>
      </c>
      <c r="N743" s="6">
        <f t="shared" si="184"/>
        <v>24415.78</v>
      </c>
      <c r="O743" s="6">
        <f t="shared" si="190"/>
        <v>61.03</v>
      </c>
      <c r="P743" s="6">
        <f t="shared" si="185"/>
        <v>24354.75</v>
      </c>
      <c r="Q743" s="4" t="str">
        <f>LOOKUP($E743,OBRAS!$D:$D,OBRAS!B:B)</f>
        <v>ISAFRA CONSTRUCCIONES, S.A. DE C.V.</v>
      </c>
      <c r="R743" s="4" t="str">
        <f>LOOKUP($E743,OBRAS!$D:$D,OBRAS!A:A)</f>
        <v>VARIOS</v>
      </c>
      <c r="S743" s="4" t="str">
        <f>LOOKUP($E743,OBRAS!$D:$D,OBRAS!F:F)</f>
        <v>11000002003501E203K03203A625132161A013</v>
      </c>
      <c r="T743" s="4" t="str">
        <f>LOOKUP($E743,OBRAS!$D:$D,OBRAS!G:G)</f>
        <v>ADJUDICACIÓN DIRECTA</v>
      </c>
      <c r="U743" s="4" t="s">
        <v>863</v>
      </c>
      <c r="V743" s="89">
        <v>42781</v>
      </c>
      <c r="W743" s="6">
        <f>LOOKUP($E743,OBRAS!$D:$D,OBRAS!K:K)</f>
        <v>333168.8</v>
      </c>
      <c r="X743" s="109">
        <f t="shared" si="186"/>
        <v>7.3300000000000004E-2</v>
      </c>
      <c r="Y743" s="109">
        <f t="shared" si="187"/>
        <v>1</v>
      </c>
      <c r="Z743" s="109">
        <f t="shared" si="188"/>
        <v>1</v>
      </c>
      <c r="AA743" s="4" t="str">
        <f>LOOKUP($E743,OBRAS!$D:$D,OBRAS!H:H)</f>
        <v>SH-ED-16-051</v>
      </c>
    </row>
    <row r="744" spans="1:27" ht="30" x14ac:dyDescent="0.25">
      <c r="A744" s="131"/>
      <c r="C744" s="51">
        <v>743</v>
      </c>
      <c r="D744" s="4" t="str">
        <f>LOOKUP($E744,OBRAS!$D:$D,OBRAS!C:C)</f>
        <v>MODERNIZACIÓN DE LA CALLE ROSALES, ETAPA 1 EN  HERMOSILLO, SONORA.</v>
      </c>
      <c r="E744" s="4" t="s">
        <v>1776</v>
      </c>
      <c r="F744" s="4"/>
      <c r="G744" s="4" t="str">
        <f>LOOKUP($E744,OBRAS!$D:$D,OBRAS!E:E)</f>
        <v>C-00052/0180</v>
      </c>
      <c r="H744" s="80" t="s">
        <v>23</v>
      </c>
      <c r="I744" s="6">
        <v>71211.86</v>
      </c>
      <c r="J744" s="6"/>
      <c r="K744" s="6">
        <v>0</v>
      </c>
      <c r="L744" s="6">
        <f t="shared" si="183"/>
        <v>71211.86</v>
      </c>
      <c r="M744" s="6">
        <v>11393.89</v>
      </c>
      <c r="N744" s="6">
        <f t="shared" si="184"/>
        <v>82605.75</v>
      </c>
      <c r="O744" s="6">
        <v>0</v>
      </c>
      <c r="P744" s="6">
        <f t="shared" si="185"/>
        <v>82605.75</v>
      </c>
      <c r="Q744" s="4" t="str">
        <f>LOOKUP($E744,OBRAS!$D:$D,OBRAS!B:B)</f>
        <v>CONSULTORIA Y CONSTRUCCION DEL NOROESTE</v>
      </c>
      <c r="R744" s="4" t="str">
        <f>LOOKUP($E744,OBRAS!$D:$D,OBRAS!A:A)</f>
        <v>HERMOSILLO</v>
      </c>
      <c r="S744" s="4" t="str">
        <f>LOOKUP($E744,OBRAS!$D:$D,OBRAS!F:F)</f>
        <v>11000002002207E201K02104A622212161A013</v>
      </c>
      <c r="T744" s="4" t="str">
        <f>LOOKUP($E744,OBRAS!$D:$D,OBRAS!G:G)</f>
        <v>LICITACIÓN SIMPLIFICADA</v>
      </c>
      <c r="U744" s="4" t="s">
        <v>863</v>
      </c>
      <c r="V744" s="89">
        <v>42781</v>
      </c>
      <c r="W744" s="6">
        <f>LOOKUP($E744,OBRAS!$D:$D,OBRAS!K:K)</f>
        <v>826057.46</v>
      </c>
      <c r="X744" s="109" t="str">
        <f t="shared" si="186"/>
        <v/>
      </c>
      <c r="Y744" s="109">
        <f t="shared" si="187"/>
        <v>0</v>
      </c>
      <c r="Z744" s="109">
        <f t="shared" si="188"/>
        <v>0.1</v>
      </c>
      <c r="AA744" s="4" t="str">
        <f>LOOKUP($E744,OBRAS!$D:$D,OBRAS!H:H)</f>
        <v>SH-ED-16-123.</v>
      </c>
    </row>
    <row r="745" spans="1:27" ht="75" x14ac:dyDescent="0.25">
      <c r="A745" s="131"/>
      <c r="C745" s="51">
        <v>744</v>
      </c>
      <c r="D745" s="4" t="str">
        <f>LOOKUP($E745,OBRAS!$D:$D,OBRAS!C:C)</f>
        <v>REHABILITACION DE PAVIMENTOS A BASE DE RECARPETEO EN CALLE GARCIA MORALES ENTRE HIDALGO Y RAYON, ENTRE QUINTANA ROO Y BRAVO, Y ENTRE ABASOLO Y JOSEFA ORTIZ DE DOMINGUEZ</v>
      </c>
      <c r="E745" s="4" t="s">
        <v>1778</v>
      </c>
      <c r="F745" s="4"/>
      <c r="G745" s="4" t="str">
        <f>LOOKUP($E745,OBRAS!$D:$D,OBRAS!E:E)</f>
        <v>C-00052/0232</v>
      </c>
      <c r="H745" s="80" t="s">
        <v>23</v>
      </c>
      <c r="I745" s="6">
        <v>486579.66</v>
      </c>
      <c r="J745" s="6"/>
      <c r="K745" s="6">
        <v>0</v>
      </c>
      <c r="L745" s="6">
        <f t="shared" si="183"/>
        <v>486579.66</v>
      </c>
      <c r="M745" s="6">
        <f t="shared" ref="M745:M776" si="191">ROUND(L745*0.16,2)</f>
        <v>77852.75</v>
      </c>
      <c r="N745" s="6">
        <f t="shared" si="184"/>
        <v>564432.41</v>
      </c>
      <c r="O745" s="6">
        <v>0</v>
      </c>
      <c r="P745" s="6">
        <f t="shared" si="185"/>
        <v>564432.41</v>
      </c>
      <c r="Q745" s="4" t="str">
        <f>LOOKUP($E745,OBRAS!$D:$D,OBRAS!B:B)</f>
        <v>PROMOCIONES TESIA, S.A. DE C.V.</v>
      </c>
      <c r="R745" s="4" t="str">
        <f>LOOKUP($E745,OBRAS!$D:$D,OBRAS!A:A)</f>
        <v>NAVOJOA</v>
      </c>
      <c r="S745" s="4" t="str">
        <f>LOOKUP($E745,OBRAS!$D:$D,OBRAS!F:F)</f>
        <v>11000002002201E202K05186A614202165FN12</v>
      </c>
      <c r="T745" s="4" t="str">
        <f>LOOKUP($E745,OBRAS!$D:$D,OBRAS!G:G)</f>
        <v>IO-926006995-E160-2016</v>
      </c>
      <c r="U745" s="4" t="s">
        <v>863</v>
      </c>
      <c r="V745" s="89">
        <v>42710</v>
      </c>
      <c r="W745" s="6">
        <f>LOOKUP($E745,OBRAS!$D:$D,OBRAS!K:K)</f>
        <v>1881441.35</v>
      </c>
      <c r="X745" s="109" t="str">
        <f t="shared" si="186"/>
        <v/>
      </c>
      <c r="Y745" s="109">
        <f t="shared" si="187"/>
        <v>0.98929999999999996</v>
      </c>
      <c r="Z745" s="109">
        <f t="shared" si="188"/>
        <v>0.99250000000000005</v>
      </c>
      <c r="AA745" s="4" t="str">
        <f>LOOKUP($E745,OBRAS!$D:$D,OBRAS!H:H)</f>
        <v>SH-NC-17-R-005</v>
      </c>
    </row>
    <row r="746" spans="1:27" ht="45" x14ac:dyDescent="0.25">
      <c r="A746" s="90">
        <v>42692</v>
      </c>
      <c r="B746" s="56">
        <v>5169</v>
      </c>
      <c r="C746" s="51">
        <v>745</v>
      </c>
      <c r="D746" s="4" t="str">
        <f>LOOKUP($E746,OBRAS!$D:$D,OBRAS!C:C)</f>
        <v>CONSTRUCCION DE PARQUE DE ACCESO DEL MUSEO MUSAS EN LA LOCALIDAD Y MUNICIPIO DE HERMOSILLO</v>
      </c>
      <c r="E746" s="4" t="s">
        <v>89</v>
      </c>
      <c r="F746" s="4" t="s">
        <v>1436</v>
      </c>
      <c r="G746" s="4" t="str">
        <f>LOOKUP($E746,OBRAS!$D:$D,OBRAS!E:E)</f>
        <v>C-00093/0010</v>
      </c>
      <c r="H746" s="80" t="s">
        <v>249</v>
      </c>
      <c r="I746" s="6">
        <v>1500407.61</v>
      </c>
      <c r="J746" s="6"/>
      <c r="K746" s="6">
        <v>600163.04</v>
      </c>
      <c r="L746" s="6">
        <f t="shared" si="183"/>
        <v>900244.57</v>
      </c>
      <c r="M746" s="6">
        <f t="shared" si="191"/>
        <v>144039.13</v>
      </c>
      <c r="N746" s="6">
        <f t="shared" si="184"/>
        <v>1044283.7</v>
      </c>
      <c r="O746" s="6">
        <f>+ROUND(I746*0.005,2)</f>
        <v>7502.04</v>
      </c>
      <c r="P746" s="6">
        <f t="shared" si="185"/>
        <v>1036781.66</v>
      </c>
      <c r="Q746" s="4" t="str">
        <f>LOOKUP($E746,OBRAS!$D:$D,OBRAS!B:B)</f>
        <v>CONSTRUCTORES LISTABLANCA, S.A. DE C.V.</v>
      </c>
      <c r="R746" s="4" t="str">
        <f>LOOKUP($E746,OBRAS!$D:$D,OBRAS!A:A)</f>
        <v>HERMOSILLO</v>
      </c>
      <c r="S746" s="4" t="str">
        <f>LOOKUP($E746,OBRAS!$D:$D,OBRAS!F:F)</f>
        <v>11000002002402E406K06106A612012155GL07</v>
      </c>
      <c r="T746" s="4" t="str">
        <f>LOOKUP($E746,OBRAS!$D:$D,OBRAS!G:G)</f>
        <v>LO-926006995-N8-2015</v>
      </c>
      <c r="U746" s="4" t="s">
        <v>863</v>
      </c>
      <c r="V746" s="89">
        <v>42712</v>
      </c>
      <c r="W746" s="6">
        <f>LOOKUP($E746,OBRAS!$D:$D,OBRAS!K:K)</f>
        <v>10308275.199999999</v>
      </c>
      <c r="X746" s="109">
        <f t="shared" si="186"/>
        <v>0.16880000000000001</v>
      </c>
      <c r="Y746" s="109">
        <f t="shared" si="187"/>
        <v>1.0001</v>
      </c>
      <c r="Z746" s="109">
        <f t="shared" si="188"/>
        <v>0.6</v>
      </c>
      <c r="AA746" s="4" t="str">
        <f>LOOKUP($E746,OBRAS!$D:$D,OBRAS!H:H)</f>
        <v>SH-NC-16-R-007</v>
      </c>
    </row>
    <row r="747" spans="1:27" ht="30" x14ac:dyDescent="0.25">
      <c r="A747" s="90">
        <v>42692</v>
      </c>
      <c r="B747" s="56">
        <v>5170</v>
      </c>
      <c r="C747" s="51">
        <v>746</v>
      </c>
      <c r="D747" s="4" t="str">
        <f>LOOKUP($E747,OBRAS!$D:$D,OBRAS!C:C)</f>
        <v>PAVIMENTACION DE LA CALLE JUVENTINO ROSAS, ENTRE LOPEZ MATEOS Y JUAN ALDAMA</v>
      </c>
      <c r="E747" s="4" t="s">
        <v>1782</v>
      </c>
      <c r="F747" s="4" t="s">
        <v>285</v>
      </c>
      <c r="G747" s="4" t="str">
        <f>LOOKUP($E747,OBRAS!$D:$D,OBRAS!E:E)</f>
        <v>C-00093/0023</v>
      </c>
      <c r="H747" s="80" t="s">
        <v>103</v>
      </c>
      <c r="I747" s="6">
        <v>1974704.31</v>
      </c>
      <c r="J747" s="6"/>
      <c r="K747" s="6">
        <v>592496.31000000006</v>
      </c>
      <c r="L747" s="6">
        <f t="shared" si="183"/>
        <v>1382208</v>
      </c>
      <c r="M747" s="6">
        <f t="shared" si="191"/>
        <v>221153.28</v>
      </c>
      <c r="N747" s="6">
        <f t="shared" si="184"/>
        <v>1603361.28</v>
      </c>
      <c r="O747" s="6">
        <f>+ROUND(I747*0.005,2)</f>
        <v>9873.52</v>
      </c>
      <c r="P747" s="6">
        <f t="shared" si="185"/>
        <v>1593487.76</v>
      </c>
      <c r="Q747" s="4" t="str">
        <f>LOOKUP($E747,OBRAS!$D:$D,OBRAS!B:B)</f>
        <v>CONSTRUCTORA OSAL, S.A. DE C.V.</v>
      </c>
      <c r="R747" s="4" t="str">
        <f>LOOKUP($E747,OBRAS!$D:$D,OBRAS!A:A)</f>
        <v>PUERTO PEÑASCO</v>
      </c>
      <c r="S747" s="4" t="str">
        <f>LOOKUP($E747,OBRAS!$D:$D,OBRAS!F:F)</f>
        <v>11000002002201E41K901A000614202155GL01</v>
      </c>
      <c r="T747" s="4" t="str">
        <f>LOOKUP($E747,OBRAS!$D:$D,OBRAS!G:G)</f>
        <v>IO-926006995-N31-2015</v>
      </c>
      <c r="U747" s="4" t="s">
        <v>863</v>
      </c>
      <c r="V747" s="89">
        <v>42712</v>
      </c>
      <c r="W747" s="6">
        <f>LOOKUP($E747,OBRAS!$D:$D,OBRAS!K:K)</f>
        <v>2290985.7200000002</v>
      </c>
      <c r="X747" s="109">
        <f t="shared" si="186"/>
        <v>0.99990000000000001</v>
      </c>
      <c r="Y747" s="109">
        <f t="shared" si="187"/>
        <v>0.99990000000000001</v>
      </c>
      <c r="Z747" s="109">
        <f t="shared" si="188"/>
        <v>0.69989999999999997</v>
      </c>
      <c r="AA747" s="4" t="str">
        <f>LOOKUP($E747,OBRAS!$D:$D,OBRAS!H:H)</f>
        <v>OM-NC-15-185</v>
      </c>
    </row>
    <row r="748" spans="1:27" ht="120" x14ac:dyDescent="0.25">
      <c r="A748" s="90">
        <v>42692</v>
      </c>
      <c r="B748" s="56">
        <v>5185</v>
      </c>
      <c r="C748" s="51">
        <v>747</v>
      </c>
      <c r="D748" s="4" t="str">
        <f>LOOKUP($E748,OBRAS!$D:$D,OBRAS!C:C)</f>
        <v>SUPERVISION EXTERNA Y CONTROL DE CALIDAD DEL LA OBRA: CONSERVACION Y RECONSTRUCCION DE CARRETERAS ALIMENTADORAS REGION: GUAYMAS - EMPALME TRAMO MI PATRIA ES PRIMERO DEL KM 0+000 AL KM 3+400 TRAMO BARCENAS MAYTORENA DEL KM 0+000 AL KM 3+400 EN VARIAS LOCALIDADES DE VARIOS MUNICIPIOS DEL ESTADO DE SONORA.</v>
      </c>
      <c r="E748" s="4" t="s">
        <v>345</v>
      </c>
      <c r="F748" s="4"/>
      <c r="G748" s="4" t="str">
        <f>LOOKUP($E748,OBRAS!$D:$D,OBRAS!E:E)</f>
        <v>C-00098/0021</v>
      </c>
      <c r="H748" s="80" t="s">
        <v>15</v>
      </c>
      <c r="I748" s="6">
        <v>27764.080000000002</v>
      </c>
      <c r="J748" s="6"/>
      <c r="K748" s="6">
        <v>0</v>
      </c>
      <c r="L748" s="6">
        <f t="shared" si="183"/>
        <v>27764.080000000002</v>
      </c>
      <c r="M748" s="6">
        <f t="shared" si="191"/>
        <v>4442.25</v>
      </c>
      <c r="N748" s="6">
        <f t="shared" si="184"/>
        <v>32206.33</v>
      </c>
      <c r="O748" s="6">
        <f>+ROUND(I748*0.002,2)+ROUND(I748*0.0003,2)+ROUND(I748*0.0003,2)+ROUND(I748*0.0003,2)</f>
        <v>80.52</v>
      </c>
      <c r="P748" s="6">
        <f t="shared" si="185"/>
        <v>32125.81</v>
      </c>
      <c r="Q748" s="4" t="str">
        <f>LOOKUP($E748,OBRAS!$D:$D,OBRAS!B:B)</f>
        <v>ISAFRA CONSTRUCCIONES, S.A. DE C.V.</v>
      </c>
      <c r="R748" s="4" t="str">
        <f>LOOKUP($E748,OBRAS!$D:$D,OBRAS!A:A)</f>
        <v>VARIOS</v>
      </c>
      <c r="S748" s="4" t="str">
        <f>LOOKUP($E748,OBRAS!$D:$D,OBRAS!F:F)</f>
        <v>11000002003501E203K03203A625132161A013</v>
      </c>
      <c r="T748" s="4" t="str">
        <f>LOOKUP($E748,OBRAS!$D:$D,OBRAS!G:G)</f>
        <v>ADJUDICACIÓN DIRECTA</v>
      </c>
      <c r="U748" s="4" t="s">
        <v>863</v>
      </c>
      <c r="V748" s="89">
        <v>42781</v>
      </c>
      <c r="W748" s="6">
        <f>LOOKUP($E748,OBRAS!$D:$D,OBRAS!K:K)</f>
        <v>333168.8</v>
      </c>
      <c r="X748" s="109">
        <f t="shared" si="186"/>
        <v>9.6699999999999994E-2</v>
      </c>
      <c r="Y748" s="109">
        <f t="shared" si="187"/>
        <v>1</v>
      </c>
      <c r="Z748" s="109">
        <f t="shared" si="188"/>
        <v>1</v>
      </c>
      <c r="AA748" s="4" t="str">
        <f>LOOKUP($E748,OBRAS!$D:$D,OBRAS!H:H)</f>
        <v>SH-ED-16-051</v>
      </c>
    </row>
    <row r="749" spans="1:27" ht="75" x14ac:dyDescent="0.25">
      <c r="A749" s="90">
        <v>42692</v>
      </c>
      <c r="B749" s="56">
        <v>5186</v>
      </c>
      <c r="C749" s="51">
        <v>748</v>
      </c>
      <c r="D749" s="4" t="str">
        <f>LOOKUP($E749,OBRAS!$D:$D,OBRAS!C:C)</f>
        <v>SUPERVISION EXYERNA Y CONTROL DE CALIDAD DE LA CONSERVACION Y RECONSTRUCCION DE CARRETERAS ALIMENTADORAS REGION GUAYMAS--EMPALME, TRAMO: AGUILITAS-BRINGAS DEL KM 0+000 AL KM 10+500</v>
      </c>
      <c r="E749" s="4" t="s">
        <v>416</v>
      </c>
      <c r="F749" s="4"/>
      <c r="G749" s="4" t="str">
        <f>LOOKUP($E749,OBRAS!$D:$D,OBRAS!E:E)</f>
        <v>C-00098/0021</v>
      </c>
      <c r="H749" s="80" t="s">
        <v>221</v>
      </c>
      <c r="I749" s="6">
        <v>170241.83</v>
      </c>
      <c r="J749" s="6"/>
      <c r="K749" s="6">
        <f>ROUND(I749*0.1,2)</f>
        <v>17024.18</v>
      </c>
      <c r="L749" s="6">
        <f t="shared" si="183"/>
        <v>153217.65</v>
      </c>
      <c r="M749" s="6">
        <f t="shared" si="191"/>
        <v>24514.82</v>
      </c>
      <c r="N749" s="6">
        <f t="shared" si="184"/>
        <v>177732.47</v>
      </c>
      <c r="O749" s="6">
        <f>+ROUND(I749*0.002,2)+ROUND(I749*0.0003,2)+ROUND(I749*0.0003,2)+ROUND(I749*0.0003,2)</f>
        <v>493.69</v>
      </c>
      <c r="P749" s="6">
        <f t="shared" si="185"/>
        <v>177238.78</v>
      </c>
      <c r="Q749" s="4" t="str">
        <f>LOOKUP($E749,OBRAS!$D:$D,OBRAS!B:B)</f>
        <v>ISAFRA CONSTRUCCIONES, S.A. DE C.V.</v>
      </c>
      <c r="R749" s="4" t="str">
        <f>LOOKUP($E749,OBRAS!$D:$D,OBRAS!A:A)</f>
        <v>VARIOS</v>
      </c>
      <c r="S749" s="4" t="str">
        <f>LOOKUP($E749,OBRAS!$D:$D,OBRAS!F:F)</f>
        <v>11000002003501E203K03203A625132161A013</v>
      </c>
      <c r="T749" s="4" t="str">
        <f>LOOKUP($E749,OBRAS!$D:$D,OBRAS!G:G)</f>
        <v>LICITACIÓN SIMPLIFICADA</v>
      </c>
      <c r="U749" s="4" t="s">
        <v>863</v>
      </c>
      <c r="V749" s="89">
        <v>42781</v>
      </c>
      <c r="W749" s="6">
        <f>LOOKUP($E749,OBRAS!$D:$D,OBRAS!K:K)</f>
        <v>623622.72</v>
      </c>
      <c r="X749" s="109">
        <f t="shared" si="186"/>
        <v>0.31669999999999998</v>
      </c>
      <c r="Y749" s="109">
        <f t="shared" si="187"/>
        <v>1</v>
      </c>
      <c r="Z749" s="109">
        <f t="shared" si="188"/>
        <v>1</v>
      </c>
      <c r="AA749" s="4" t="str">
        <f>LOOKUP($E749,OBRAS!$D:$D,OBRAS!H:H)</f>
        <v>SH-ED-16-051</v>
      </c>
    </row>
    <row r="750" spans="1:27" ht="75" x14ac:dyDescent="0.25">
      <c r="A750" s="90">
        <v>42692</v>
      </c>
      <c r="B750" s="56">
        <v>5187</v>
      </c>
      <c r="C750" s="51">
        <v>749</v>
      </c>
      <c r="D750" s="4" t="str">
        <f>LOOKUP($E750,OBRAS!$D:$D,OBRAS!C:C)</f>
        <v>SUPERVISION EXYERNA Y CONTROL DE CALIDAD DE LA CONSERVACION Y RECONSTRUCCION DE CARRETERAS ALIMENTADORAS REGION GUAYMAS--EMPALME, TRAMO: AGUILITAS-BRINGAS DEL KM 0+000 AL KM 10+500</v>
      </c>
      <c r="E750" s="4" t="s">
        <v>416</v>
      </c>
      <c r="F750" s="4"/>
      <c r="G750" s="4" t="str">
        <f>LOOKUP($E750,OBRAS!$D:$D,OBRAS!E:E)</f>
        <v>C-00098/0021</v>
      </c>
      <c r="H750" s="80" t="s">
        <v>55</v>
      </c>
      <c r="I750" s="6">
        <v>71680.78</v>
      </c>
      <c r="J750" s="6"/>
      <c r="K750" s="6">
        <f>ROUND(I750*0.1,2)</f>
        <v>7168.08</v>
      </c>
      <c r="L750" s="6">
        <f t="shared" si="183"/>
        <v>64512.7</v>
      </c>
      <c r="M750" s="6">
        <f t="shared" si="191"/>
        <v>10322.030000000001</v>
      </c>
      <c r="N750" s="6">
        <f t="shared" si="184"/>
        <v>74834.73</v>
      </c>
      <c r="O750" s="6">
        <f>+ROUND(I750*0.002,2)+ROUND(I750*0.0003,2)+ROUND(I750*0.0003,2)+ROUND(I750*0.0003,2)</f>
        <v>207.86</v>
      </c>
      <c r="P750" s="6">
        <f t="shared" si="185"/>
        <v>74626.87</v>
      </c>
      <c r="Q750" s="4" t="str">
        <f>LOOKUP($E750,OBRAS!$D:$D,OBRAS!B:B)</f>
        <v>ISAFRA CONSTRUCCIONES, S.A. DE C.V.</v>
      </c>
      <c r="R750" s="4" t="str">
        <f>LOOKUP($E750,OBRAS!$D:$D,OBRAS!A:A)</f>
        <v>VARIOS</v>
      </c>
      <c r="S750" s="4" t="str">
        <f>LOOKUP($E750,OBRAS!$D:$D,OBRAS!F:F)</f>
        <v>11000002003501E203K03203A625132161A013</v>
      </c>
      <c r="T750" s="4" t="str">
        <f>LOOKUP($E750,OBRAS!$D:$D,OBRAS!G:G)</f>
        <v>LICITACIÓN SIMPLIFICADA</v>
      </c>
      <c r="U750" s="4" t="s">
        <v>863</v>
      </c>
      <c r="V750" s="89">
        <v>42781</v>
      </c>
      <c r="W750" s="6">
        <f>LOOKUP($E750,OBRAS!$D:$D,OBRAS!K:K)</f>
        <v>623622.72</v>
      </c>
      <c r="X750" s="109">
        <f t="shared" si="186"/>
        <v>0.1333</v>
      </c>
      <c r="Y750" s="109">
        <f t="shared" si="187"/>
        <v>1</v>
      </c>
      <c r="Z750" s="109">
        <f t="shared" si="188"/>
        <v>1</v>
      </c>
      <c r="AA750" s="4" t="str">
        <f>LOOKUP($E750,OBRAS!$D:$D,OBRAS!H:H)</f>
        <v>SH-ED-16-051</v>
      </c>
    </row>
    <row r="751" spans="1:27" ht="75" x14ac:dyDescent="0.25">
      <c r="A751" s="90">
        <v>42692</v>
      </c>
      <c r="B751" s="56">
        <v>5188</v>
      </c>
      <c r="C751" s="51">
        <v>750</v>
      </c>
      <c r="D751" s="4" t="str">
        <f>LOOKUP($E751,OBRAS!$D:$D,OBRAS!C:C)</f>
        <v>SUPERVISION EXYERNA Y CONTROL DE CALIDAD DE LA CONSERVACION Y RECONSTRUCCION DE CARRETERAS ALIMENTADORAS REGION GUAYMAS--EMPALME, TRAMO: AGUILITAS-BRINGAS DEL KM 0+000 AL KM 10+500</v>
      </c>
      <c r="E751" s="4" t="s">
        <v>416</v>
      </c>
      <c r="F751" s="4"/>
      <c r="G751" s="4" t="str">
        <f>LOOKUP($E751,OBRAS!$D:$D,OBRAS!E:E)</f>
        <v>C-00098/0021</v>
      </c>
      <c r="H751" s="80" t="s">
        <v>215</v>
      </c>
      <c r="I751" s="6">
        <v>116481.25</v>
      </c>
      <c r="J751" s="6"/>
      <c r="K751" s="6">
        <f>ROUND(I751*0.1,2)</f>
        <v>11648.13</v>
      </c>
      <c r="L751" s="6">
        <f t="shared" si="183"/>
        <v>104833.12</v>
      </c>
      <c r="M751" s="6">
        <f t="shared" si="191"/>
        <v>16773.3</v>
      </c>
      <c r="N751" s="6">
        <f t="shared" si="184"/>
        <v>121606.42</v>
      </c>
      <c r="O751" s="6">
        <f>+ROUND(I751*0.002,2)+ROUND(I751*0.0003,2)+ROUND(I751*0.0003,2)+ROUND(I751*0.0003,2)</f>
        <v>337.78</v>
      </c>
      <c r="P751" s="6">
        <f t="shared" si="185"/>
        <v>121268.64</v>
      </c>
      <c r="Q751" s="4" t="str">
        <f>LOOKUP($E751,OBRAS!$D:$D,OBRAS!B:B)</f>
        <v>ISAFRA CONSTRUCCIONES, S.A. DE C.V.</v>
      </c>
      <c r="R751" s="4" t="str">
        <f>LOOKUP($E751,OBRAS!$D:$D,OBRAS!A:A)</f>
        <v>VARIOS</v>
      </c>
      <c r="S751" s="4" t="str">
        <f>LOOKUP($E751,OBRAS!$D:$D,OBRAS!F:F)</f>
        <v>11000002003501E203K03203A625132161A013</v>
      </c>
      <c r="T751" s="4" t="str">
        <f>LOOKUP($E751,OBRAS!$D:$D,OBRAS!G:G)</f>
        <v>LICITACIÓN SIMPLIFICADA</v>
      </c>
      <c r="U751" s="4" t="s">
        <v>2238</v>
      </c>
      <c r="V751" s="89">
        <v>42699</v>
      </c>
      <c r="W751" s="6">
        <f>LOOKUP($E751,OBRAS!$D:$D,OBRAS!K:K)</f>
        <v>623622.72</v>
      </c>
      <c r="X751" s="109">
        <f t="shared" si="186"/>
        <v>0.2167</v>
      </c>
      <c r="Y751" s="109">
        <f t="shared" si="187"/>
        <v>1</v>
      </c>
      <c r="Z751" s="109">
        <f t="shared" si="188"/>
        <v>1</v>
      </c>
      <c r="AA751" s="4" t="str">
        <f>LOOKUP($E751,OBRAS!$D:$D,OBRAS!H:H)</f>
        <v>SH-ED-16-051</v>
      </c>
    </row>
    <row r="752" spans="1:27" ht="30" x14ac:dyDescent="0.25">
      <c r="A752" s="90">
        <v>42696</v>
      </c>
      <c r="B752" s="56">
        <v>5196</v>
      </c>
      <c r="C752" s="133">
        <v>751</v>
      </c>
      <c r="D752" s="4" t="str">
        <f>LOOKUP($E752,OBRAS!$D:$D,OBRAS!C:C)</f>
        <v>CONSERVACION Y RECONSTRUCCION DEL TRAMO EL CRUCERO- VILLA HIDALGO (KM 0+000 AL 28+500)</v>
      </c>
      <c r="E752" s="4" t="s">
        <v>607</v>
      </c>
      <c r="F752" s="4"/>
      <c r="G752" s="4" t="str">
        <f>LOOKUP($E752,OBRAS!$D:$D,OBRAS!E:E)</f>
        <v>C-00054/0068</v>
      </c>
      <c r="H752" s="80" t="s">
        <v>55</v>
      </c>
      <c r="I752" s="6">
        <v>3054487.33</v>
      </c>
      <c r="J752" s="6"/>
      <c r="K752" s="6">
        <f>ROUND(I752*0.3,2)</f>
        <v>916346.2</v>
      </c>
      <c r="L752" s="6">
        <f t="shared" si="183"/>
        <v>2138141.13</v>
      </c>
      <c r="M752" s="6">
        <f t="shared" si="191"/>
        <v>342102.58</v>
      </c>
      <c r="N752" s="6">
        <f t="shared" si="184"/>
        <v>2480243.71</v>
      </c>
      <c r="O752" s="6">
        <f>+ROUND(I752*0.002,2)+ROUND(I752*0.0003,2)+ROUND(I752*0.0003,2)+ROUND(I752*0.0003,2)+ROUND(I752*0.002,2)</f>
        <v>14966.99</v>
      </c>
      <c r="P752" s="6">
        <f t="shared" si="185"/>
        <v>2465276.7200000002</v>
      </c>
      <c r="Q752" s="4" t="str">
        <f>LOOKUP($E752,OBRAS!$D:$D,OBRAS!B:B)</f>
        <v>CONSTRUCTORA SAITE, S.A. DE C.V.</v>
      </c>
      <c r="R752" s="4" t="str">
        <f>LOOKUP($E752,OBRAS!$D:$D,OBRAS!A:A)</f>
        <v>VARIOS</v>
      </c>
      <c r="S752" s="4" t="str">
        <f>LOOKUP($E752,OBRAS!$D:$D,OBRAS!F:F)</f>
        <v>11000002003501E204K08063A625012162A213</v>
      </c>
      <c r="T752" s="4" t="str">
        <f>LOOKUP($E752,OBRAS!$D:$D,OBRAS!G:G)</f>
        <v>CE-926006995-E35-2016</v>
      </c>
      <c r="U752" s="4" t="s">
        <v>863</v>
      </c>
      <c r="V752" s="89">
        <v>42732</v>
      </c>
      <c r="W752" s="6">
        <f>LOOKUP($E752,OBRAS!$D:$D,OBRAS!K:K)</f>
        <v>27782320.260000002</v>
      </c>
      <c r="X752" s="109">
        <f t="shared" si="186"/>
        <v>0.1275</v>
      </c>
      <c r="Y752" s="109">
        <f t="shared" si="187"/>
        <v>0.29220000000000002</v>
      </c>
      <c r="Z752" s="109">
        <f t="shared" si="188"/>
        <v>0.50460000000000005</v>
      </c>
      <c r="AA752" s="4" t="str">
        <f>LOOKUP($E752,OBRAS!$D:$D,OBRAS!H:H)</f>
        <v>SH-ED-17-R-013</v>
      </c>
    </row>
    <row r="753" spans="1:27" ht="45" x14ac:dyDescent="0.25">
      <c r="A753" s="90"/>
      <c r="C753" s="51">
        <v>752</v>
      </c>
      <c r="D753" s="4" t="str">
        <f>LOOKUP($E753,OBRAS!$D:$D,OBRAS!C:C)</f>
        <v>PAVIMENTACION CON CARPETA ASFÁLTICA EN 3 CALLES, EN LA LOCALIDAD DE EMILIANO ZAPATA, MUNICIPIO DE SAN LUIS RIO COLORADO.</v>
      </c>
      <c r="E753" s="4" t="s">
        <v>1809</v>
      </c>
      <c r="F753" s="4"/>
      <c r="G753" s="4" t="str">
        <f>LOOKUP($E753,OBRAS!$D:$D,OBRAS!E:E)</f>
        <v>C-00052/0201</v>
      </c>
      <c r="H753" s="80" t="s">
        <v>23</v>
      </c>
      <c r="I753" s="6">
        <v>867432.28</v>
      </c>
      <c r="J753" s="6"/>
      <c r="K753" s="6"/>
      <c r="L753" s="6">
        <f t="shared" si="183"/>
        <v>867432.28</v>
      </c>
      <c r="M753" s="6">
        <f t="shared" si="191"/>
        <v>138789.16</v>
      </c>
      <c r="N753" s="6">
        <f t="shared" si="184"/>
        <v>1006221.44</v>
      </c>
      <c r="O753" s="6"/>
      <c r="P753" s="6">
        <f t="shared" si="185"/>
        <v>1006221.44</v>
      </c>
      <c r="Q753" s="4" t="str">
        <f>LOOKUP($E753,OBRAS!$D:$D,OBRAS!B:B)</f>
        <v>CONSTRUCCIONES Y TERRACERIAS MOVAKAR, S.A. DE C.V.</v>
      </c>
      <c r="R753" s="4" t="str">
        <f>LOOKUP($E753,OBRAS!$D:$D,OBRAS!A:A)</f>
        <v>S.L.R.C.</v>
      </c>
      <c r="S753" s="4" t="str">
        <f>LOOKUP($E753,OBRAS!$D:$D,OBRAS!F:F)</f>
        <v>11000002002201E202K05186A614202165FC01</v>
      </c>
      <c r="T753" s="4" t="str">
        <f>LOOKUP($E753,OBRAS!$D:$D,OBRAS!G:G)</f>
        <v>IO-926006995-E149-2016</v>
      </c>
      <c r="U753" s="4" t="s">
        <v>863</v>
      </c>
      <c r="V753" s="89">
        <v>42699</v>
      </c>
      <c r="W753" s="6">
        <f>LOOKUP($E753,OBRAS!$D:$D,OBRAS!K:K)</f>
        <v>3354071.51</v>
      </c>
      <c r="X753" s="109" t="str">
        <f t="shared" si="186"/>
        <v/>
      </c>
      <c r="Y753" s="109">
        <f t="shared" si="187"/>
        <v>0.2087</v>
      </c>
      <c r="Z753" s="109">
        <f t="shared" si="188"/>
        <v>0.4461</v>
      </c>
      <c r="AA753" s="4" t="str">
        <f>LOOKUP($E753,OBRAS!$D:$D,OBRAS!H:H)</f>
        <v>SH-NC-17-R-009</v>
      </c>
    </row>
    <row r="754" spans="1:27" ht="60" x14ac:dyDescent="0.25">
      <c r="A754" s="90">
        <v>42696</v>
      </c>
      <c r="B754" s="56">
        <v>5198</v>
      </c>
      <c r="C754" s="49">
        <v>753</v>
      </c>
      <c r="D754" s="4" t="str">
        <f>LOOKUP($E754,OBRAS!$D:$D,OBRAS!C:C)</f>
        <v>RECONSTRUCCION DE E.C. (CALLE 36 SUR) GRANJAS ACUICOLAS DEL KM 0+000 AL KM 12+660, EN VARIAS LOCALIDADES DEL MUNICIPIO DE HERMOSILLO.</v>
      </c>
      <c r="E754" s="4" t="s">
        <v>375</v>
      </c>
      <c r="F754" s="4"/>
      <c r="G754" s="4" t="str">
        <f>LOOKUP($E754,OBRAS!$D:$D,OBRAS!E:E)</f>
        <v>C-00054/0071</v>
      </c>
      <c r="H754" s="80" t="s">
        <v>55</v>
      </c>
      <c r="I754" s="6">
        <v>337443.91</v>
      </c>
      <c r="J754" s="6"/>
      <c r="K754" s="6">
        <f t="shared" ref="K754:K759" si="192">ROUND(I754*0.3,2)</f>
        <v>101233.17</v>
      </c>
      <c r="L754" s="6">
        <f t="shared" si="183"/>
        <v>236210.74</v>
      </c>
      <c r="M754" s="6">
        <f t="shared" si="191"/>
        <v>37793.72</v>
      </c>
      <c r="N754" s="6">
        <f t="shared" si="184"/>
        <v>274004.46000000002</v>
      </c>
      <c r="O754" s="6">
        <f t="shared" ref="O754:O759" si="193">+ROUND(I754*0.002,2)+ROUND(I754*0.0003,2)+ROUND(I754*0.0003,2)+ROUND(I754*0.0003,2)+ROUND(I754*0.002,2)</f>
        <v>1653.47</v>
      </c>
      <c r="P754" s="6">
        <f t="shared" si="185"/>
        <v>272350.99</v>
      </c>
      <c r="Q754" s="4" t="str">
        <f>LOOKUP($E754,OBRAS!$D:$D,OBRAS!B:B)</f>
        <v>RENTA, MOVIMIENTO DE CONSTRUCCION EQUIPEN, S.A. DE C.V.</v>
      </c>
      <c r="R754" s="4" t="str">
        <f>LOOKUP($E754,OBRAS!$D:$D,OBRAS!A:A)</f>
        <v>HERMOSILLO</v>
      </c>
      <c r="S754" s="4" t="str">
        <f>LOOKUP($E754,OBRAS!$D:$D,OBRAS!F:F)</f>
        <v>11000002003501E204K08063A625012162A207</v>
      </c>
      <c r="T754" s="4" t="str">
        <f>LOOKUP($E754,OBRAS!$D:$D,OBRAS!G:G)</f>
        <v>CE-926006995-E44-2016</v>
      </c>
      <c r="U754" s="4" t="s">
        <v>863</v>
      </c>
      <c r="V754" s="89">
        <v>42712</v>
      </c>
      <c r="W754" s="6">
        <f>LOOKUP($E754,OBRAS!$D:$D,OBRAS!K:K)</f>
        <v>22599852.190000001</v>
      </c>
      <c r="X754" s="109">
        <f t="shared" si="186"/>
        <v>1.7299999999999999E-2</v>
      </c>
      <c r="Y754" s="109">
        <f t="shared" si="187"/>
        <v>0.66990000000000005</v>
      </c>
      <c r="Z754" s="109">
        <f t="shared" si="188"/>
        <v>0.76890000000000003</v>
      </c>
      <c r="AA754" s="4" t="str">
        <f>LOOKUP($E754,OBRAS!$D:$D,OBRAS!H:H)</f>
        <v>SH-ED-17-R-004</v>
      </c>
    </row>
    <row r="755" spans="1:27" ht="60" x14ac:dyDescent="0.25">
      <c r="A755" s="90">
        <v>42696</v>
      </c>
      <c r="B755" s="56">
        <v>5199</v>
      </c>
      <c r="C755" s="49">
        <v>754</v>
      </c>
      <c r="D755" s="4" t="str">
        <f>LOOKUP($E755,OBRAS!$D:$D,OBRAS!C:C)</f>
        <v>RECONSTRUCCION DE E.C. (CALLE 36 SUR) GRANJAS ACUICOLAS DEL KM 0+000 AL KM 12+660, EN VARIAS LOCALIDADES DEL MUNICIPIO DE HERMOSILLO.</v>
      </c>
      <c r="E755" s="4" t="s">
        <v>375</v>
      </c>
      <c r="F755" s="4"/>
      <c r="G755" s="4" t="str">
        <f>LOOKUP($E755,OBRAS!$D:$D,OBRAS!E:E)</f>
        <v>C-00054/0071</v>
      </c>
      <c r="H755" s="80" t="s">
        <v>215</v>
      </c>
      <c r="I755" s="6">
        <v>746231.12</v>
      </c>
      <c r="J755" s="6"/>
      <c r="K755" s="6">
        <f t="shared" si="192"/>
        <v>223869.34</v>
      </c>
      <c r="L755" s="6">
        <f t="shared" si="183"/>
        <v>522361.78</v>
      </c>
      <c r="M755" s="6">
        <f t="shared" si="191"/>
        <v>83577.88</v>
      </c>
      <c r="N755" s="6">
        <f t="shared" si="184"/>
        <v>605939.66</v>
      </c>
      <c r="O755" s="6">
        <f t="shared" si="193"/>
        <v>3656.53</v>
      </c>
      <c r="P755" s="6">
        <f t="shared" si="185"/>
        <v>602283.13</v>
      </c>
      <c r="Q755" s="4" t="str">
        <f>LOOKUP($E755,OBRAS!$D:$D,OBRAS!B:B)</f>
        <v>RENTA, MOVIMIENTO DE CONSTRUCCION EQUIPEN, S.A. DE C.V.</v>
      </c>
      <c r="R755" s="4" t="str">
        <f>LOOKUP($E755,OBRAS!$D:$D,OBRAS!A:A)</f>
        <v>HERMOSILLO</v>
      </c>
      <c r="S755" s="4" t="str">
        <f>LOOKUP($E755,OBRAS!$D:$D,OBRAS!F:F)</f>
        <v>11000002003501E204K08063A625012162A207</v>
      </c>
      <c r="T755" s="4" t="str">
        <f>LOOKUP($E755,OBRAS!$D:$D,OBRAS!G:G)</f>
        <v>CE-926006995-E44-2016</v>
      </c>
      <c r="U755" s="4" t="s">
        <v>863</v>
      </c>
      <c r="V755" s="89">
        <v>42712</v>
      </c>
      <c r="W755" s="6">
        <f>LOOKUP($E755,OBRAS!$D:$D,OBRAS!K:K)</f>
        <v>22599852.190000001</v>
      </c>
      <c r="X755" s="109">
        <f t="shared" si="186"/>
        <v>3.8300000000000001E-2</v>
      </c>
      <c r="Y755" s="109">
        <f t="shared" si="187"/>
        <v>0.66990000000000005</v>
      </c>
      <c r="Z755" s="109">
        <f t="shared" si="188"/>
        <v>0.76890000000000003</v>
      </c>
      <c r="AA755" s="4" t="str">
        <f>LOOKUP($E755,OBRAS!$D:$D,OBRAS!H:H)</f>
        <v>SH-ED-17-R-004</v>
      </c>
    </row>
    <row r="756" spans="1:27" ht="60" x14ac:dyDescent="0.25">
      <c r="A756" s="90">
        <v>42696</v>
      </c>
      <c r="B756" s="56">
        <v>5200</v>
      </c>
      <c r="C756" s="49">
        <v>755</v>
      </c>
      <c r="D756" s="4" t="str">
        <f>LOOKUP($E756,OBRAS!$D:$D,OBRAS!C:C)</f>
        <v>RECONSTRUCCION DE E.C. (CALLE 36 SUR) GRANJAS ACUICOLAS DEL KM 0+000 AL KM 12+660, EN VARIAS LOCALIDADES DEL MUNICIPIO DE HERMOSILLO.</v>
      </c>
      <c r="E756" s="4" t="s">
        <v>375</v>
      </c>
      <c r="F756" s="4"/>
      <c r="G756" s="4" t="str">
        <f>LOOKUP($E756,OBRAS!$D:$D,OBRAS!E:E)</f>
        <v>C-00054/0071</v>
      </c>
      <c r="H756" s="80" t="s">
        <v>15</v>
      </c>
      <c r="I756" s="6">
        <v>563077.29</v>
      </c>
      <c r="J756" s="6"/>
      <c r="K756" s="6">
        <f t="shared" si="192"/>
        <v>168923.19</v>
      </c>
      <c r="L756" s="6">
        <f t="shared" si="183"/>
        <v>394154.1</v>
      </c>
      <c r="M756" s="6">
        <f t="shared" si="191"/>
        <v>63064.66</v>
      </c>
      <c r="N756" s="6">
        <f t="shared" si="184"/>
        <v>457218.76</v>
      </c>
      <c r="O756" s="6">
        <f t="shared" si="193"/>
        <v>2759.06</v>
      </c>
      <c r="P756" s="6">
        <f t="shared" si="185"/>
        <v>454459.7</v>
      </c>
      <c r="Q756" s="4" t="str">
        <f>LOOKUP($E756,OBRAS!$D:$D,OBRAS!B:B)</f>
        <v>RENTA, MOVIMIENTO DE CONSTRUCCION EQUIPEN, S.A. DE C.V.</v>
      </c>
      <c r="R756" s="4" t="str">
        <f>LOOKUP($E756,OBRAS!$D:$D,OBRAS!A:A)</f>
        <v>HERMOSILLO</v>
      </c>
      <c r="S756" s="4" t="str">
        <f>LOOKUP($E756,OBRAS!$D:$D,OBRAS!F:F)</f>
        <v>11000002003501E204K08063A625012162A207</v>
      </c>
      <c r="T756" s="4" t="str">
        <f>LOOKUP($E756,OBRAS!$D:$D,OBRAS!G:G)</f>
        <v>CE-926006995-E44-2016</v>
      </c>
      <c r="U756" s="4" t="s">
        <v>863</v>
      </c>
      <c r="V756" s="89">
        <v>42712</v>
      </c>
      <c r="W756" s="6">
        <f>LOOKUP($E756,OBRAS!$D:$D,OBRAS!K:K)</f>
        <v>22599852.190000001</v>
      </c>
      <c r="X756" s="109">
        <f t="shared" si="186"/>
        <v>2.8899999999999999E-2</v>
      </c>
      <c r="Y756" s="109">
        <f t="shared" si="187"/>
        <v>0.66990000000000005</v>
      </c>
      <c r="Z756" s="109">
        <f t="shared" si="188"/>
        <v>0.76890000000000003</v>
      </c>
      <c r="AA756" s="4" t="str">
        <f>LOOKUP($E756,OBRAS!$D:$D,OBRAS!H:H)</f>
        <v>SH-ED-17-R-004</v>
      </c>
    </row>
    <row r="757" spans="1:27" ht="60" x14ac:dyDescent="0.25">
      <c r="A757" s="90">
        <v>42696</v>
      </c>
      <c r="B757" s="56">
        <v>5201</v>
      </c>
      <c r="C757" s="49">
        <v>756</v>
      </c>
      <c r="D757" s="4" t="str">
        <f>LOOKUP($E757,OBRAS!$D:$D,OBRAS!C:C)</f>
        <v>RECONSTRUCCION DE E.C. (CALLE 36 SUR) GRANJAS ACUICOLAS DEL KM 0+000 AL KM 12+660, EN VARIAS LOCALIDADES DEL MUNICIPIO DE HERMOSILLO.</v>
      </c>
      <c r="E757" s="4" t="s">
        <v>375</v>
      </c>
      <c r="F757" s="4"/>
      <c r="G757" s="4" t="str">
        <f>LOOKUP($E757,OBRAS!$D:$D,OBRAS!E:E)</f>
        <v>C-00054/0071</v>
      </c>
      <c r="H757" s="80" t="s">
        <v>214</v>
      </c>
      <c r="I757" s="6">
        <v>574206.49</v>
      </c>
      <c r="J757" s="6"/>
      <c r="K757" s="6">
        <f t="shared" si="192"/>
        <v>172261.95</v>
      </c>
      <c r="L757" s="6">
        <f t="shared" si="183"/>
        <v>401944.54</v>
      </c>
      <c r="M757" s="6">
        <f t="shared" si="191"/>
        <v>64311.13</v>
      </c>
      <c r="N757" s="6">
        <f t="shared" si="184"/>
        <v>466255.67</v>
      </c>
      <c r="O757" s="6">
        <f t="shared" si="193"/>
        <v>2813.6</v>
      </c>
      <c r="P757" s="6">
        <f t="shared" si="185"/>
        <v>463442.07</v>
      </c>
      <c r="Q757" s="4" t="str">
        <f>LOOKUP($E757,OBRAS!$D:$D,OBRAS!B:B)</f>
        <v>RENTA, MOVIMIENTO DE CONSTRUCCION EQUIPEN, S.A. DE C.V.</v>
      </c>
      <c r="R757" s="4" t="str">
        <f>LOOKUP($E757,OBRAS!$D:$D,OBRAS!A:A)</f>
        <v>HERMOSILLO</v>
      </c>
      <c r="S757" s="4" t="str">
        <f>LOOKUP($E757,OBRAS!$D:$D,OBRAS!F:F)</f>
        <v>11000002003501E204K08063A625012162A207</v>
      </c>
      <c r="T757" s="4" t="str">
        <f>LOOKUP($E757,OBRAS!$D:$D,OBRAS!G:G)</f>
        <v>CE-926006995-E44-2016</v>
      </c>
      <c r="U757" s="4" t="s">
        <v>863</v>
      </c>
      <c r="V757" s="89">
        <v>42712</v>
      </c>
      <c r="W757" s="6">
        <f>LOOKUP($E757,OBRAS!$D:$D,OBRAS!K:K)</f>
        <v>22599852.190000001</v>
      </c>
      <c r="X757" s="109">
        <f t="shared" si="186"/>
        <v>2.9499999999999998E-2</v>
      </c>
      <c r="Y757" s="109">
        <f t="shared" si="187"/>
        <v>0.66990000000000005</v>
      </c>
      <c r="Z757" s="109">
        <f t="shared" si="188"/>
        <v>0.76890000000000003</v>
      </c>
      <c r="AA757" s="4" t="str">
        <f>LOOKUP($E757,OBRAS!$D:$D,OBRAS!H:H)</f>
        <v>SH-ED-17-R-004</v>
      </c>
    </row>
    <row r="758" spans="1:27" ht="45" x14ac:dyDescent="0.25">
      <c r="A758" s="90">
        <v>42696</v>
      </c>
      <c r="B758" s="56">
        <v>5202</v>
      </c>
      <c r="C758" s="51">
        <v>757</v>
      </c>
      <c r="D758" s="4" t="str">
        <f>LOOKUP($E758,OBRAS!$D:$D,OBRAS!C:C)</f>
        <v>CONCLUSION DE LA MODERNIZACION Y RECONSTRUCCION DEL TRAMO ESPERANZA - HORNOS (DEL KM 8 + 800 AL KM 17 + 400)</v>
      </c>
      <c r="E758" s="4" t="s">
        <v>597</v>
      </c>
      <c r="F758" s="4"/>
      <c r="G758" s="4" t="str">
        <f>LOOKUP($E758,OBRAS!$D:$D,OBRAS!E:E)</f>
        <v>C-00054/0053</v>
      </c>
      <c r="H758" s="80" t="s">
        <v>218</v>
      </c>
      <c r="I758" s="6">
        <v>5225719.83</v>
      </c>
      <c r="J758" s="6"/>
      <c r="K758" s="6">
        <f t="shared" si="192"/>
        <v>1567715.95</v>
      </c>
      <c r="L758" s="6">
        <f t="shared" si="183"/>
        <v>3658003.88</v>
      </c>
      <c r="M758" s="6">
        <f t="shared" si="191"/>
        <v>585280.62</v>
      </c>
      <c r="N758" s="6">
        <f t="shared" si="184"/>
        <v>4243284.5</v>
      </c>
      <c r="O758" s="6">
        <f t="shared" si="193"/>
        <v>25606.04</v>
      </c>
      <c r="P758" s="6">
        <f t="shared" si="185"/>
        <v>4217678.46</v>
      </c>
      <c r="Q758" s="4" t="str">
        <f>LOOKUP($E758,OBRAS!$D:$D,OBRAS!B:B)</f>
        <v>INGENIEROS CIVILES, S.A. DE C.V.</v>
      </c>
      <c r="R758" s="4" t="str">
        <f>LOOKUP($E758,OBRAS!$D:$D,OBRAS!A:A)</f>
        <v>VARIOS</v>
      </c>
      <c r="S758" s="4" t="str">
        <f>LOOKUP($E758,OBRAS!$D:$D,OBRAS!F:F)</f>
        <v>11000002003501E204K08063A625012162A213</v>
      </c>
      <c r="T758" s="4" t="str">
        <f>LOOKUP($E758,OBRAS!$D:$D,OBRAS!G:G)</f>
        <v>CE-966006995-E17-2016</v>
      </c>
      <c r="U758" s="4" t="s">
        <v>863</v>
      </c>
      <c r="V758" s="89">
        <v>42758</v>
      </c>
      <c r="W758" s="6">
        <f>LOOKUP($E758,OBRAS!$D:$D,OBRAS!K:K)</f>
        <v>79892690.269999996</v>
      </c>
      <c r="X758" s="109">
        <f t="shared" si="186"/>
        <v>7.5899999999999995E-2</v>
      </c>
      <c r="Y758" s="109">
        <f t="shared" si="187"/>
        <v>0.98319999999999996</v>
      </c>
      <c r="Z758" s="109">
        <f t="shared" si="188"/>
        <v>0.98309999999999997</v>
      </c>
      <c r="AA758" s="4" t="str">
        <f>LOOKUP($E758,OBRAS!$D:$D,OBRAS!H:H)</f>
        <v>SH-ED-17-R-013</v>
      </c>
    </row>
    <row r="759" spans="1:27" ht="30" x14ac:dyDescent="0.25">
      <c r="A759" s="90">
        <v>42696</v>
      </c>
      <c r="B759" s="56">
        <v>5203</v>
      </c>
      <c r="C759" s="51">
        <v>758</v>
      </c>
      <c r="D759" s="4" t="str">
        <f>LOOKUP($E759,OBRAS!$D:$D,OBRAS!C:C)</f>
        <v>RECONSTRUCCION DEL CAMINO CALLE 1900</v>
      </c>
      <c r="E759" s="4" t="s">
        <v>546</v>
      </c>
      <c r="F759" s="4"/>
      <c r="G759" s="4" t="str">
        <f>LOOKUP($E759,OBRAS!$D:$D,OBRAS!E:E)</f>
        <v>C-00054/0027</v>
      </c>
      <c r="H759" s="80" t="s">
        <v>215</v>
      </c>
      <c r="I759" s="6">
        <v>7145455.8600000003</v>
      </c>
      <c r="J759" s="6"/>
      <c r="K759" s="6">
        <f t="shared" si="192"/>
        <v>2143636.7599999998</v>
      </c>
      <c r="L759" s="6">
        <f t="shared" si="183"/>
        <v>5001819.0999999996</v>
      </c>
      <c r="M759" s="6">
        <f t="shared" si="191"/>
        <v>800291.06</v>
      </c>
      <c r="N759" s="6">
        <f t="shared" si="184"/>
        <v>5802110.1600000001</v>
      </c>
      <c r="O759" s="6">
        <f t="shared" si="193"/>
        <v>35012.74</v>
      </c>
      <c r="P759" s="6">
        <f t="shared" si="185"/>
        <v>5767097.4199999999</v>
      </c>
      <c r="Q759" s="4" t="str">
        <f>LOOKUP($E759,OBRAS!$D:$D,OBRAS!B:B)</f>
        <v>NA CONSTRUCCIONES DEL PACIFICO, S.A. DE C.V.</v>
      </c>
      <c r="R759" s="4" t="str">
        <f>LOOKUP($E759,OBRAS!$D:$D,OBRAS!A:A)</f>
        <v>CAJEME</v>
      </c>
      <c r="S759" s="4" t="str">
        <f>LOOKUP($E759,OBRAS!$D:$D,OBRAS!F:F)</f>
        <v>11000002003501E204K08063A625012162A211</v>
      </c>
      <c r="T759" s="4" t="str">
        <f>LOOKUP($E759,OBRAS!$D:$D,OBRAS!G:G)</f>
        <v>CE-926006995-E14-2016</v>
      </c>
      <c r="U759" s="4" t="s">
        <v>863</v>
      </c>
      <c r="V759" s="89">
        <v>42712</v>
      </c>
      <c r="W759" s="6">
        <f>LOOKUP($E759,OBRAS!$D:$D,OBRAS!K:K)</f>
        <v>24701108.239999998</v>
      </c>
      <c r="X759" s="109">
        <f t="shared" si="186"/>
        <v>0.33560000000000001</v>
      </c>
      <c r="Y759" s="109">
        <f t="shared" si="187"/>
        <v>1</v>
      </c>
      <c r="Z759" s="109">
        <f t="shared" si="188"/>
        <v>1</v>
      </c>
      <c r="AA759" s="4" t="str">
        <f>LOOKUP($E759,OBRAS!$D:$D,OBRAS!H:H)</f>
        <v>SH-ED-17-R-013</v>
      </c>
    </row>
    <row r="760" spans="1:27" ht="75" x14ac:dyDescent="0.25">
      <c r="A760" s="90">
        <v>42696</v>
      </c>
      <c r="B760" s="56">
        <v>5204</v>
      </c>
      <c r="C760" s="51">
        <v>759</v>
      </c>
      <c r="D760" s="4" t="str">
        <f>LOOKUP($E760,OBRAS!$D:$D,OBRAS!C:C)</f>
        <v>SUPERVISION Y CONTROL DE CALIDAD DE LA OBRA: RECONSTRUCCION DE E.C. (HERMOSILLO -  BAHIA DE KINO) - GRANJA ACUICOLA SAN NICOLAS DEL KM 0+000 AL KM 10+410 EN VARIAS LOCALIDADES DE HERMOSILLO, SONORA.</v>
      </c>
      <c r="E760" s="4" t="s">
        <v>848</v>
      </c>
      <c r="F760" s="4"/>
      <c r="G760" s="4" t="str">
        <f>LOOKUP($E760,OBRAS!$D:$D,OBRAS!E:E)</f>
        <v>C-00098/0022</v>
      </c>
      <c r="H760" s="80" t="s">
        <v>215</v>
      </c>
      <c r="I760" s="6">
        <v>82406.789999999994</v>
      </c>
      <c r="J760" s="6"/>
      <c r="K760" s="6">
        <v>0</v>
      </c>
      <c r="L760" s="6">
        <f t="shared" si="183"/>
        <v>82406.789999999994</v>
      </c>
      <c r="M760" s="6">
        <f t="shared" si="191"/>
        <v>13185.09</v>
      </c>
      <c r="N760" s="6">
        <f t="shared" si="184"/>
        <v>95591.88</v>
      </c>
      <c r="O760" s="6">
        <f>+ROUND(I760*0.002,2)+ROUND(I760*0.0003,2)+ROUND(I760*0.0003,2)+ROUND(I760*0.0003,2)</f>
        <v>238.97</v>
      </c>
      <c r="P760" s="6">
        <f t="shared" si="185"/>
        <v>95352.91</v>
      </c>
      <c r="Q760" s="4" t="str">
        <f>LOOKUP($E760,OBRAS!$D:$D,OBRAS!B:B)</f>
        <v>DAPCI, S.A. DE C.V.</v>
      </c>
      <c r="R760" s="4" t="str">
        <f>LOOKUP($E760,OBRAS!$D:$D,OBRAS!A:A)</f>
        <v>HERMOSILLO</v>
      </c>
      <c r="S760" s="4" t="str">
        <f>LOOKUP($E760,OBRAS!$D:$D,OBRAS!F:F)</f>
        <v>11000002002207E201K02104A622212161A013</v>
      </c>
      <c r="T760" s="4" t="str">
        <f>LOOKUP($E760,OBRAS!$D:$D,OBRAS!G:G)</f>
        <v>LICITACIÓN SIMPLIFICADA</v>
      </c>
      <c r="U760" s="4" t="s">
        <v>863</v>
      </c>
      <c r="V760" s="89">
        <v>42781</v>
      </c>
      <c r="W760" s="6">
        <f>LOOKUP($E760,OBRAS!$D:$D,OBRAS!K:K)</f>
        <v>573551.26</v>
      </c>
      <c r="X760" s="109">
        <f t="shared" si="186"/>
        <v>0.16669999999999999</v>
      </c>
      <c r="Y760" s="109">
        <f t="shared" si="187"/>
        <v>0.71</v>
      </c>
      <c r="Z760" s="109">
        <f t="shared" si="188"/>
        <v>0.70989999999999998</v>
      </c>
      <c r="AA760" s="4" t="str">
        <f>LOOKUP($E760,OBRAS!$D:$D,OBRAS!H:H)</f>
        <v>SH-ED-16-066</v>
      </c>
    </row>
    <row r="761" spans="1:27" ht="60" x14ac:dyDescent="0.25">
      <c r="A761" s="90">
        <v>42696</v>
      </c>
      <c r="B761" s="56">
        <v>5205</v>
      </c>
      <c r="C761" s="51">
        <v>760</v>
      </c>
      <c r="D761" s="4" t="str">
        <f>LOOKUP($E761,OBRAS!$D:$D,OBRAS!C:C)</f>
        <v>SUPERVISION EXTERNA Y CONTROL DE CALIDAD PARA LA OBRA RECONSTRUCCION DE CAMINO HORNOS - ROSARIO EN VARIAS LOCALIDADES DE VARIOS MUNICIPIOS DEL ESTADO DE SONORA.</v>
      </c>
      <c r="E761" s="4" t="s">
        <v>315</v>
      </c>
      <c r="F761" s="4"/>
      <c r="G761" s="4" t="str">
        <f>LOOKUP($E761,OBRAS!$D:$D,OBRAS!E:E)</f>
        <v>C-00098/0022</v>
      </c>
      <c r="H761" s="80" t="s">
        <v>214</v>
      </c>
      <c r="I761" s="6">
        <v>307572.47999999998</v>
      </c>
      <c r="J761" s="6"/>
      <c r="K761" s="6">
        <f>ROUND(I761*0.1,2)</f>
        <v>30757.25</v>
      </c>
      <c r="L761" s="6">
        <f t="shared" si="183"/>
        <v>276815.23</v>
      </c>
      <c r="M761" s="6">
        <f t="shared" si="191"/>
        <v>44290.44</v>
      </c>
      <c r="N761" s="6">
        <f t="shared" si="184"/>
        <v>321105.67</v>
      </c>
      <c r="O761" s="6">
        <f>+ROUND(I761*0.002,2)+ROUND(I761*0.0003,2)+ROUND(I761*0.0003,2)+ROUND(I761*0.0003,2)</f>
        <v>891.95</v>
      </c>
      <c r="P761" s="6">
        <f t="shared" si="185"/>
        <v>320213.71999999997</v>
      </c>
      <c r="Q761" s="4" t="str">
        <f>LOOKUP($E761,OBRAS!$D:$D,OBRAS!B:B)</f>
        <v>OESTEC DE MEXICO SA DE CV</v>
      </c>
      <c r="R761" s="4" t="str">
        <f>LOOKUP($E761,OBRAS!$D:$D,OBRAS!A:A)</f>
        <v>VARIOS</v>
      </c>
      <c r="S761" s="4" t="str">
        <f>LOOKUP($E761,OBRAS!$D:$D,OBRAS!F:F)</f>
        <v>11000002002207E201K02104A622212161A013</v>
      </c>
      <c r="T761" s="4" t="str">
        <f>LOOKUP($E761,OBRAS!$D:$D,OBRAS!G:G)</f>
        <v>CE-9260066995-E46-2016</v>
      </c>
      <c r="U761" s="4" t="s">
        <v>863</v>
      </c>
      <c r="V761" s="89">
        <v>42781</v>
      </c>
      <c r="W761" s="6">
        <f>LOOKUP($E761,OBRAS!$D:$D,OBRAS!K:K)</f>
        <v>2497488.54</v>
      </c>
      <c r="X761" s="109">
        <f t="shared" si="186"/>
        <v>0.1429</v>
      </c>
      <c r="Y761" s="109">
        <f t="shared" si="187"/>
        <v>1.0003</v>
      </c>
      <c r="Z761" s="109">
        <f t="shared" si="188"/>
        <v>1</v>
      </c>
      <c r="AA761" s="4" t="str">
        <f>LOOKUP($E761,OBRAS!$D:$D,OBRAS!H:H)</f>
        <v>SH-ED-16-028</v>
      </c>
    </row>
    <row r="762" spans="1:27" ht="60" x14ac:dyDescent="0.25">
      <c r="C762" s="51">
        <v>761</v>
      </c>
      <c r="D762" s="4" t="str">
        <f>LOOKUP($E762,OBRAS!$D:$D,OBRAS!C:C)</f>
        <v>REHABILITACION DE PAVIMENTOS A BASE DE RECARPETEO EN VARIAS CALLES Y AVENIDAS EN COLONIAS DE EL CENTRO DE LA CIUDAD HEROICA GUAYMAS</v>
      </c>
      <c r="E762" s="4" t="s">
        <v>1814</v>
      </c>
      <c r="F762" s="4"/>
      <c r="G762" s="4" t="str">
        <f>LOOKUP($E762,OBRAS!$D:$D,OBRAS!E:E)</f>
        <v>C-00052/0224</v>
      </c>
      <c r="H762" s="80" t="s">
        <v>23</v>
      </c>
      <c r="I762" s="6">
        <v>1600746.35</v>
      </c>
      <c r="J762" s="6"/>
      <c r="K762" s="6">
        <v>0</v>
      </c>
      <c r="L762" s="6">
        <f t="shared" si="183"/>
        <v>1600746.35</v>
      </c>
      <c r="M762" s="6">
        <f t="shared" si="191"/>
        <v>256119.42</v>
      </c>
      <c r="N762" s="6">
        <f t="shared" si="184"/>
        <v>1856865.77</v>
      </c>
      <c r="O762" s="6">
        <v>0</v>
      </c>
      <c r="P762" s="6">
        <f t="shared" si="185"/>
        <v>1856865.77</v>
      </c>
      <c r="Q762" s="4" t="str">
        <f>LOOKUP($E762,OBRAS!$D:$D,OBRAS!B:B)</f>
        <v>INMOBILIARIA SOCE, S.A. DE C.V.</v>
      </c>
      <c r="R762" s="4" t="str">
        <f>LOOKUP($E762,OBRAS!$D:$D,OBRAS!A:A)</f>
        <v>GUAYMAS</v>
      </c>
      <c r="S762" s="4" t="str">
        <f>LOOKUP($E762,OBRAS!$D:$D,OBRAS!F:F)</f>
        <v>11000002002201E202K05186A614202165FN10</v>
      </c>
      <c r="T762" s="4" t="str">
        <f>LOOKUP($E762,OBRAS!$D:$D,OBRAS!G:G)</f>
        <v>IO-926006995-E102-2016</v>
      </c>
      <c r="U762" s="4" t="s">
        <v>863</v>
      </c>
      <c r="V762" s="89">
        <v>42702</v>
      </c>
      <c r="W762" s="6">
        <f>LOOKUP($E762,OBRAS!$D:$D,OBRAS!K:K)</f>
        <v>6189552.5599999996</v>
      </c>
      <c r="X762" s="109" t="str">
        <f t="shared" si="186"/>
        <v/>
      </c>
      <c r="Y762" s="109">
        <f t="shared" si="187"/>
        <v>0.21490000000000001</v>
      </c>
      <c r="Z762" s="109">
        <f t="shared" si="188"/>
        <v>0.45050000000000001</v>
      </c>
      <c r="AA762" s="4" t="str">
        <f>LOOKUP($E762,OBRAS!$D:$D,OBRAS!H:H)</f>
        <v>SH-NC-17-R-005</v>
      </c>
    </row>
    <row r="763" spans="1:27" ht="60" x14ac:dyDescent="0.25">
      <c r="A763" s="90">
        <v>42696</v>
      </c>
      <c r="B763" s="56">
        <v>5197</v>
      </c>
      <c r="C763" s="51">
        <v>762</v>
      </c>
      <c r="D763" s="4" t="str">
        <f>LOOKUP($E763,OBRAS!$D:$D,OBRAS!C:C)</f>
        <v>SUPERVISION EXTERNA Y CONTROL DE CALIDAD DE LA RECONSTRUCCION DE CAMINO BACABACHI HUATABAMPO VARIOS TRAMOS DEL KM 5+600 AL KM 25+500</v>
      </c>
      <c r="E763" s="4" t="s">
        <v>476</v>
      </c>
      <c r="F763" s="4"/>
      <c r="G763" s="4" t="str">
        <f>LOOKUP($E763,OBRAS!$D:$D,OBRAS!E:E)</f>
        <v>C-00098/0020</v>
      </c>
      <c r="H763" s="80" t="s">
        <v>103</v>
      </c>
      <c r="I763" s="6">
        <v>94652.5</v>
      </c>
      <c r="J763" s="6"/>
      <c r="K763" s="6">
        <v>0</v>
      </c>
      <c r="L763" s="6">
        <f t="shared" si="183"/>
        <v>94652.5</v>
      </c>
      <c r="M763" s="6">
        <f t="shared" si="191"/>
        <v>15144.4</v>
      </c>
      <c r="N763" s="6">
        <f t="shared" si="184"/>
        <v>109796.9</v>
      </c>
      <c r="O763" s="6">
        <f>+ROUND(I763*0.002,2)+ROUND(I763*0.0003,2)+ROUND(I763*0.0003,2)+ROUND(I763*0.0003,2)</f>
        <v>274.51</v>
      </c>
      <c r="P763" s="6">
        <f t="shared" si="185"/>
        <v>109522.39</v>
      </c>
      <c r="Q763" s="4" t="str">
        <f>LOOKUP($E763,OBRAS!$D:$D,OBRAS!B:B)</f>
        <v>ING. IVAN MLADOSICH ESTRADA</v>
      </c>
      <c r="R763" s="4" t="str">
        <f>LOOKUP($E763,OBRAS!$D:$D,OBRAS!A:A)</f>
        <v>HUATABAMPO</v>
      </c>
      <c r="S763" s="4" t="str">
        <f>LOOKUP($E763,OBRAS!$D:$D,OBRAS!F:F)</f>
        <v>11000002003501E203K03203A625132161A013C</v>
      </c>
      <c r="T763" s="4">
        <f>LOOKUP($E763,OBRAS!$D:$D,OBRAS!G:G)</f>
        <v>0</v>
      </c>
      <c r="U763" s="4" t="s">
        <v>863</v>
      </c>
      <c r="V763" s="89">
        <v>42781</v>
      </c>
      <c r="W763" s="6">
        <f>LOOKUP($E763,OBRAS!$D:$D,OBRAS!K:K)</f>
        <v>439187.6</v>
      </c>
      <c r="X763" s="109">
        <f t="shared" si="186"/>
        <v>0.25</v>
      </c>
      <c r="Y763" s="109">
        <f t="shared" si="187"/>
        <v>1</v>
      </c>
      <c r="Z763" s="109">
        <f t="shared" si="188"/>
        <v>1</v>
      </c>
      <c r="AA763" s="4" t="str">
        <f>LOOKUP($E763,OBRAS!$D:$D,OBRAS!H:H)</f>
        <v>SH-ED-16-021</v>
      </c>
    </row>
    <row r="764" spans="1:27" ht="60" x14ac:dyDescent="0.25">
      <c r="A764" s="90">
        <v>42697</v>
      </c>
      <c r="B764" s="56">
        <v>5234</v>
      </c>
      <c r="C764" s="51">
        <v>763</v>
      </c>
      <c r="D764" s="4" t="str">
        <f>LOOKUP($E764,OBRAS!$D:$D,OBRAS!C:C)</f>
        <v>SUPERVISION EXTERNA Y CONTROL DE CALIDAD DE LA RECONSTRUCCION DE CAMINO BACABACHI HUATABAMPO VARIOS TRAMOS DEL KM 5+600 AL KM 25+500</v>
      </c>
      <c r="E764" s="4" t="s">
        <v>476</v>
      </c>
      <c r="F764" s="4"/>
      <c r="G764" s="4" t="str">
        <f>LOOKUP($E764,OBRAS!$D:$D,OBRAS!E:E)</f>
        <v>C-00098/0020</v>
      </c>
      <c r="H764" s="80" t="s">
        <v>221</v>
      </c>
      <c r="I764" s="6">
        <v>94652.5</v>
      </c>
      <c r="J764" s="6"/>
      <c r="K764" s="6">
        <v>0</v>
      </c>
      <c r="L764" s="6">
        <f t="shared" si="183"/>
        <v>94652.5</v>
      </c>
      <c r="M764" s="6">
        <f t="shared" si="191"/>
        <v>15144.4</v>
      </c>
      <c r="N764" s="6">
        <f t="shared" si="184"/>
        <v>109796.9</v>
      </c>
      <c r="O764" s="6">
        <f>+ROUND(I764*0.002,2)+ROUND(I764*0.0003,2)+ROUND(I764*0.0003,2)+ROUND(I764*0.0003,2)</f>
        <v>274.51</v>
      </c>
      <c r="P764" s="6">
        <f t="shared" si="185"/>
        <v>109522.39</v>
      </c>
      <c r="Q764" s="4" t="str">
        <f>LOOKUP($E764,OBRAS!$D:$D,OBRAS!B:B)</f>
        <v>ING. IVAN MLADOSICH ESTRADA</v>
      </c>
      <c r="R764" s="4" t="str">
        <f>LOOKUP($E764,OBRAS!$D:$D,OBRAS!A:A)</f>
        <v>HUATABAMPO</v>
      </c>
      <c r="S764" s="4" t="str">
        <f>LOOKUP($E764,OBRAS!$D:$D,OBRAS!F:F)</f>
        <v>11000002003501E203K03203A625132161A013C</v>
      </c>
      <c r="T764" s="4">
        <f>LOOKUP($E764,OBRAS!$D:$D,OBRAS!G:G)</f>
        <v>0</v>
      </c>
      <c r="U764" s="4" t="s">
        <v>863</v>
      </c>
      <c r="V764" s="89">
        <v>42781</v>
      </c>
      <c r="W764" s="6">
        <f>LOOKUP($E764,OBRAS!$D:$D,OBRAS!K:K)</f>
        <v>439187.6</v>
      </c>
      <c r="X764" s="109">
        <f t="shared" si="186"/>
        <v>0.25</v>
      </c>
      <c r="Y764" s="109">
        <f t="shared" si="187"/>
        <v>1</v>
      </c>
      <c r="Z764" s="109">
        <f t="shared" si="188"/>
        <v>1</v>
      </c>
      <c r="AA764" s="4" t="str">
        <f>LOOKUP($E764,OBRAS!$D:$D,OBRAS!H:H)</f>
        <v>SH-ED-16-021</v>
      </c>
    </row>
    <row r="765" spans="1:27" ht="60" x14ac:dyDescent="0.25">
      <c r="A765" s="90">
        <v>42697</v>
      </c>
      <c r="B765" s="56">
        <v>5235</v>
      </c>
      <c r="C765" s="51">
        <v>764</v>
      </c>
      <c r="D765" s="4" t="str">
        <f>LOOKUP($E765,OBRAS!$D:$D,OBRAS!C:C)</f>
        <v>SUPERVISION EXTERNA Y CONTROL DE CALIDAD DE LA RECONSTRUCCION DE CAMINO BACABACHI HUATABAMPO VARIOS TRAMOS DEL KM 5+600 AL KM 25+500</v>
      </c>
      <c r="E765" s="4" t="s">
        <v>476</v>
      </c>
      <c r="F765" s="4"/>
      <c r="G765" s="4" t="str">
        <f>LOOKUP($E765,OBRAS!$D:$D,OBRAS!E:E)</f>
        <v>C-00098/0020</v>
      </c>
      <c r="H765" s="80" t="s">
        <v>55</v>
      </c>
      <c r="I765" s="6">
        <v>94652.5</v>
      </c>
      <c r="J765" s="6"/>
      <c r="K765" s="6">
        <v>0</v>
      </c>
      <c r="L765" s="6">
        <f t="shared" si="183"/>
        <v>94652.5</v>
      </c>
      <c r="M765" s="6">
        <f t="shared" si="191"/>
        <v>15144.4</v>
      </c>
      <c r="N765" s="6">
        <f t="shared" si="184"/>
        <v>109796.9</v>
      </c>
      <c r="O765" s="6">
        <f>+ROUND(I765*0.002,2)+ROUND(I765*0.0003,2)+ROUND(I765*0.0003,2)+ROUND(I765*0.0003,2)</f>
        <v>274.51</v>
      </c>
      <c r="P765" s="6">
        <f t="shared" si="185"/>
        <v>109522.39</v>
      </c>
      <c r="Q765" s="4" t="str">
        <f>LOOKUP($E765,OBRAS!$D:$D,OBRAS!B:B)</f>
        <v>ING. IVAN MLADOSICH ESTRADA</v>
      </c>
      <c r="R765" s="4" t="str">
        <f>LOOKUP($E765,OBRAS!$D:$D,OBRAS!A:A)</f>
        <v>HUATABAMPO</v>
      </c>
      <c r="S765" s="4" t="str">
        <f>LOOKUP($E765,OBRAS!$D:$D,OBRAS!F:F)</f>
        <v>11000002003501E203K03203A625132161A013C</v>
      </c>
      <c r="T765" s="4">
        <f>LOOKUP($E765,OBRAS!$D:$D,OBRAS!G:G)</f>
        <v>0</v>
      </c>
      <c r="U765" s="4" t="s">
        <v>863</v>
      </c>
      <c r="V765" s="89">
        <v>42781</v>
      </c>
      <c r="W765" s="6">
        <f>LOOKUP($E765,OBRAS!$D:$D,OBRAS!K:K)</f>
        <v>439187.6</v>
      </c>
      <c r="X765" s="109">
        <f t="shared" si="186"/>
        <v>0.25</v>
      </c>
      <c r="Y765" s="109">
        <f t="shared" si="187"/>
        <v>1</v>
      </c>
      <c r="Z765" s="109">
        <f t="shared" si="188"/>
        <v>1</v>
      </c>
      <c r="AA765" s="4" t="str">
        <f>LOOKUP($E765,OBRAS!$D:$D,OBRAS!H:H)</f>
        <v>SH-ED-16-021</v>
      </c>
    </row>
    <row r="766" spans="1:27" ht="60" x14ac:dyDescent="0.25">
      <c r="A766" s="90">
        <v>42697</v>
      </c>
      <c r="B766" s="56">
        <v>5232</v>
      </c>
      <c r="C766" s="49">
        <v>765</v>
      </c>
      <c r="D766" s="4" t="str">
        <f>LOOKUP($E766,OBRAS!$D:$D,OBRAS!C:C)</f>
        <v>CONSERVACIÓN DEL TRAMO NOVILLO - BACANORA - SAHUARIPA -  SAN NICOLÁS EN VARIAS LOCALIDADES DE VARIOS MUNICIPIOS DEL ESTADO DE SONORA.</v>
      </c>
      <c r="E766" s="4" t="s">
        <v>554</v>
      </c>
      <c r="F766" s="4" t="s">
        <v>401</v>
      </c>
      <c r="G766" s="4" t="str">
        <f>LOOKUP($E766,OBRAS!$D:$D,OBRAS!E:E)</f>
        <v>C-00054/0055</v>
      </c>
      <c r="H766" s="80" t="s">
        <v>55</v>
      </c>
      <c r="I766" s="6">
        <v>7800469.54</v>
      </c>
      <c r="J766" s="6"/>
      <c r="K766" s="6">
        <f t="shared" ref="K766:K775" si="194">ROUND(I766*0.3,2)</f>
        <v>2340140.86</v>
      </c>
      <c r="L766" s="6">
        <f t="shared" si="183"/>
        <v>5460328.6799999997</v>
      </c>
      <c r="M766" s="6">
        <f t="shared" si="191"/>
        <v>873652.59</v>
      </c>
      <c r="N766" s="6">
        <f t="shared" si="184"/>
        <v>6333981.2699999996</v>
      </c>
      <c r="O766" s="6">
        <f>+ROUND(I766*0.002,2)+ROUND(I766*0.0003,2)+ROUND(I766*0.0003,2)+ROUND(I766*0.0003,2)+ROUND(I766*0.002,2)</f>
        <v>38222.300000000003</v>
      </c>
      <c r="P766" s="6">
        <f t="shared" si="185"/>
        <v>6295758.9699999997</v>
      </c>
      <c r="Q766" s="4" t="str">
        <f>LOOKUP($E766,OBRAS!$D:$D,OBRAS!B:B)</f>
        <v>CONSTRUCCIONES VILLA DE SERIS, S. A. DE C. V.</v>
      </c>
      <c r="R766" s="4" t="str">
        <f>LOOKUP($E766,OBRAS!$D:$D,OBRAS!A:A)</f>
        <v>VARIOS</v>
      </c>
      <c r="S766" s="4" t="str">
        <f>LOOKUP($E766,OBRAS!$D:$D,OBRAS!F:F)</f>
        <v>11000002003501E204K08063A625012162A213</v>
      </c>
      <c r="T766" s="4" t="str">
        <f>LOOKUP($E766,OBRAS!$D:$D,OBRAS!G:G)</f>
        <v>CE-926006995-E19-2016</v>
      </c>
      <c r="U766" s="4" t="s">
        <v>863</v>
      </c>
      <c r="V766" s="89">
        <v>42755</v>
      </c>
      <c r="W766" s="6">
        <f>LOOKUP($E766,OBRAS!$D:$D,OBRAS!K:K)</f>
        <v>112909841.56</v>
      </c>
      <c r="X766" s="109">
        <f t="shared" si="186"/>
        <v>8.0100000000000005E-2</v>
      </c>
      <c r="Y766" s="109">
        <f t="shared" si="187"/>
        <v>0.93110000000000004</v>
      </c>
      <c r="Z766" s="109">
        <f t="shared" si="188"/>
        <v>0.95179999999999998</v>
      </c>
      <c r="AA766" s="4" t="str">
        <f>LOOKUP($E766,OBRAS!$D:$D,OBRAS!H:H)</f>
        <v>SH-ED-17-R-004</v>
      </c>
    </row>
    <row r="767" spans="1:27" ht="60" x14ac:dyDescent="0.25">
      <c r="A767" s="90">
        <v>42697</v>
      </c>
      <c r="B767" s="56">
        <v>5236</v>
      </c>
      <c r="C767" s="51">
        <v>766</v>
      </c>
      <c r="D767" s="4" t="str">
        <f>LOOKUP($E767,OBRAS!$D:$D,OBRAS!C:C)</f>
        <v>CONSTRUCCION DE LINEA DE CONDUCCION DE POZO EXISTENTE A TANQUE DE ALMACENAMIENTO EN LA LOCALIDAD Y MUNICIPIO DE ALTAR.</v>
      </c>
      <c r="E767" s="4" t="s">
        <v>633</v>
      </c>
      <c r="F767" s="4"/>
      <c r="G767" s="4" t="str">
        <f>LOOKUP($E767,OBRAS!$D:$D,OBRAS!E:E)</f>
        <v>C-00050/0004</v>
      </c>
      <c r="H767" s="80" t="s">
        <v>221</v>
      </c>
      <c r="I767" s="6">
        <v>1459516.64</v>
      </c>
      <c r="J767" s="6"/>
      <c r="K767" s="6">
        <f t="shared" si="194"/>
        <v>437854.99</v>
      </c>
      <c r="L767" s="6">
        <f t="shared" si="183"/>
        <v>1021661.65</v>
      </c>
      <c r="M767" s="6">
        <f t="shared" si="191"/>
        <v>163465.85999999999</v>
      </c>
      <c r="N767" s="6">
        <f t="shared" si="184"/>
        <v>1185127.51</v>
      </c>
      <c r="O767" s="6">
        <f>+ROUND(I767*0.002,2)+ROUND(I767*0.0003,2)+ROUND(I767*0.0003,2)+ROUND(I767*0.0003,2)+ROUND(I767*0.002,2)</f>
        <v>7151.61</v>
      </c>
      <c r="P767" s="6">
        <f t="shared" si="185"/>
        <v>1177975.8999999999</v>
      </c>
      <c r="Q767" s="4" t="str">
        <f>LOOKUP($E767,OBRAS!$D:$D,OBRAS!B:B)</f>
        <v>BARREDA PROYECTO Y CONSTRUCCIONES, S.A. DE C.V.</v>
      </c>
      <c r="R767" s="4" t="str">
        <f>LOOKUP($E767,OBRAS!$D:$D,OBRAS!A:A)</f>
        <v>ALTAR</v>
      </c>
      <c r="S767" s="4" t="str">
        <f>LOOKUP($E767,OBRAS!$D:$D,OBRAS!F:F)</f>
        <v>11000002002203E208K13021A614082162A202</v>
      </c>
      <c r="T767" s="4" t="str">
        <f>LOOKUP($E767,OBRAS!$D:$D,OBRAS!G:G)</f>
        <v>CE-926006995-E70-2016</v>
      </c>
      <c r="U767" s="4" t="s">
        <v>863</v>
      </c>
      <c r="V767" s="89">
        <v>42762</v>
      </c>
      <c r="W767" s="6">
        <f>LOOKUP($E767,OBRAS!$D:$D,OBRAS!K:K)</f>
        <v>11695805.57</v>
      </c>
      <c r="X767" s="109">
        <f t="shared" si="186"/>
        <v>0.14480000000000001</v>
      </c>
      <c r="Y767" s="109">
        <f t="shared" si="187"/>
        <v>0.65290000000000004</v>
      </c>
      <c r="Z767" s="109">
        <f t="shared" si="188"/>
        <v>0.75700000000000001</v>
      </c>
      <c r="AA767" s="4" t="str">
        <f>LOOKUP($E767,OBRAS!$D:$D,OBRAS!H:H)</f>
        <v>SH-ED-17-R-004</v>
      </c>
    </row>
    <row r="768" spans="1:27" ht="60" x14ac:dyDescent="0.25">
      <c r="A768" s="90">
        <v>42697</v>
      </c>
      <c r="B768" s="56">
        <v>5237</v>
      </c>
      <c r="C768" s="51">
        <v>767</v>
      </c>
      <c r="D768" s="4" t="str">
        <f>LOOKUP($E768,OBRAS!$D:$D,OBRAS!C:C)</f>
        <v>SUPERVISION EXTERNA Y CONTROL DE CALIDAD DE LA OBRA: REMODELACION DEL PARQUE INFANTIL EN LA LOCALIDAD Y MUNICIPIO DE HERMOSILLO, SONORA.</v>
      </c>
      <c r="E768" s="4" t="s">
        <v>757</v>
      </c>
      <c r="F768" s="4" t="s">
        <v>225</v>
      </c>
      <c r="G768" s="4" t="str">
        <f>LOOKUP($E768,OBRAS!$D:$D,OBRAS!E:E)</f>
        <v>C-00093/0004</v>
      </c>
      <c r="H768" s="80" t="s">
        <v>15</v>
      </c>
      <c r="I768" s="6">
        <v>25806.17</v>
      </c>
      <c r="J768" s="6"/>
      <c r="K768" s="6">
        <f t="shared" si="194"/>
        <v>7741.85</v>
      </c>
      <c r="L768" s="6">
        <f t="shared" si="183"/>
        <v>18064.32</v>
      </c>
      <c r="M768" s="6">
        <f t="shared" si="191"/>
        <v>2890.29</v>
      </c>
      <c r="N768" s="6">
        <f t="shared" si="184"/>
        <v>20954.61</v>
      </c>
      <c r="O768" s="6">
        <f t="shared" ref="O768:O775" si="195">+ROUND(I768*0.005,2)</f>
        <v>129.03</v>
      </c>
      <c r="P768" s="6">
        <f t="shared" si="185"/>
        <v>20825.580000000002</v>
      </c>
      <c r="Q768" s="4" t="str">
        <f>LOOKUP($E768,OBRAS!$D:$D,OBRAS!B:B)</f>
        <v>ING. MARTIN GRAJEDA ARAGON</v>
      </c>
      <c r="R768" s="4" t="str">
        <f>LOOKUP($E768,OBRAS!$D:$D,OBRAS!A:A)</f>
        <v>HERMOSILLO</v>
      </c>
      <c r="S768" s="4" t="str">
        <f>LOOKUP($E768,OBRAS!$D:$D,OBRAS!F:F)</f>
        <v>11000002002202E406K17104A622202155GL07</v>
      </c>
      <c r="T768" s="4" t="str">
        <f>LOOKUP($E768,OBRAS!$D:$D,OBRAS!G:G)</f>
        <v>SO-926006995-N25-2015</v>
      </c>
      <c r="U768" s="4" t="s">
        <v>863</v>
      </c>
      <c r="V768" s="89">
        <v>42717</v>
      </c>
      <c r="W768" s="6">
        <f>LOOKUP($E768,OBRAS!$D:$D,OBRAS!K:K)</f>
        <v>514711.56</v>
      </c>
      <c r="X768" s="109">
        <f t="shared" si="186"/>
        <v>5.8200000000000002E-2</v>
      </c>
      <c r="Y768" s="109">
        <f t="shared" si="187"/>
        <v>1.0003</v>
      </c>
      <c r="Z768" s="109">
        <f t="shared" si="188"/>
        <v>0.7</v>
      </c>
      <c r="AA768" s="4" t="str">
        <f>LOOKUP($E768,OBRAS!$D:$D,OBRAS!H:H)</f>
        <v>SH-NC-16-R-003</v>
      </c>
    </row>
    <row r="769" spans="1:27" ht="60" x14ac:dyDescent="0.25">
      <c r="A769" s="90">
        <v>42697</v>
      </c>
      <c r="B769" s="56">
        <v>5238</v>
      </c>
      <c r="C769" s="51">
        <v>768</v>
      </c>
      <c r="D769" s="4" t="str">
        <f>LOOKUP($E769,OBRAS!$D:$D,OBRAS!C:C)</f>
        <v>SUPERVISION EXTERNA Y CONTROL DE CALIDAD DE LA OBRA: REMODELACION DEL PARQUE INFANTIL EN LA LOCALIDAD Y MUNICIPIO DE HERMOSILLO, SONORA.</v>
      </c>
      <c r="E769" s="4" t="s">
        <v>757</v>
      </c>
      <c r="F769" s="4" t="s">
        <v>225</v>
      </c>
      <c r="G769" s="4" t="str">
        <f>LOOKUP($E769,OBRAS!$D:$D,OBRAS!E:E)</f>
        <v>C-00093/0004</v>
      </c>
      <c r="H769" s="80" t="s">
        <v>214</v>
      </c>
      <c r="I769" s="6">
        <v>50611.4</v>
      </c>
      <c r="J769" s="6"/>
      <c r="K769" s="6">
        <f t="shared" si="194"/>
        <v>15183.42</v>
      </c>
      <c r="L769" s="6">
        <f t="shared" si="183"/>
        <v>35427.980000000003</v>
      </c>
      <c r="M769" s="6">
        <f t="shared" si="191"/>
        <v>5668.48</v>
      </c>
      <c r="N769" s="6">
        <f t="shared" si="184"/>
        <v>41096.46</v>
      </c>
      <c r="O769" s="6">
        <f t="shared" si="195"/>
        <v>253.06</v>
      </c>
      <c r="P769" s="6">
        <f t="shared" si="185"/>
        <v>40843.4</v>
      </c>
      <c r="Q769" s="4" t="str">
        <f>LOOKUP($E769,OBRAS!$D:$D,OBRAS!B:B)</f>
        <v>ING. MARTIN GRAJEDA ARAGON</v>
      </c>
      <c r="R769" s="4" t="str">
        <f>LOOKUP($E769,OBRAS!$D:$D,OBRAS!A:A)</f>
        <v>HERMOSILLO</v>
      </c>
      <c r="S769" s="4" t="str">
        <f>LOOKUP($E769,OBRAS!$D:$D,OBRAS!F:F)</f>
        <v>11000002002202E406K17104A622202155GL07</v>
      </c>
      <c r="T769" s="4" t="str">
        <f>LOOKUP($E769,OBRAS!$D:$D,OBRAS!G:G)</f>
        <v>SO-926006995-N25-2015</v>
      </c>
      <c r="U769" s="4" t="s">
        <v>863</v>
      </c>
      <c r="V769" s="89">
        <v>42717</v>
      </c>
      <c r="W769" s="6">
        <f>LOOKUP($E769,OBRAS!$D:$D,OBRAS!K:K)</f>
        <v>514711.56</v>
      </c>
      <c r="X769" s="109">
        <f t="shared" si="186"/>
        <v>0.11409999999999999</v>
      </c>
      <c r="Y769" s="109">
        <f t="shared" si="187"/>
        <v>1.0003</v>
      </c>
      <c r="Z769" s="109">
        <f t="shared" si="188"/>
        <v>0.7</v>
      </c>
      <c r="AA769" s="4" t="str">
        <f>LOOKUP($E769,OBRAS!$D:$D,OBRAS!H:H)</f>
        <v>SH-NC-16-R-003</v>
      </c>
    </row>
    <row r="770" spans="1:27" ht="60" x14ac:dyDescent="0.25">
      <c r="A770" s="90">
        <v>42697</v>
      </c>
      <c r="B770" s="56">
        <v>5239</v>
      </c>
      <c r="C770" s="51">
        <v>769</v>
      </c>
      <c r="D770" s="4" t="str">
        <f>LOOKUP($E770,OBRAS!$D:$D,OBRAS!C:C)</f>
        <v>SUPERVISION EXTERNA Y CONTROL DE CALIDAD DE LA OBRA: REMODELACION DEL PARQUE INFANTIL EN LA LOCALIDAD Y MUNICIPIO DE HERMOSILLO, SONORA.</v>
      </c>
      <c r="E770" s="4" t="s">
        <v>757</v>
      </c>
      <c r="F770" s="4" t="s">
        <v>225</v>
      </c>
      <c r="G770" s="4" t="str">
        <f>LOOKUP($E770,OBRAS!$D:$D,OBRAS!E:E)</f>
        <v>C-00093/0004</v>
      </c>
      <c r="H770" s="80" t="s">
        <v>218</v>
      </c>
      <c r="I770" s="6">
        <v>19147.099999999999</v>
      </c>
      <c r="J770" s="6"/>
      <c r="K770" s="6">
        <f t="shared" si="194"/>
        <v>5744.13</v>
      </c>
      <c r="L770" s="6">
        <f t="shared" si="183"/>
        <v>13402.97</v>
      </c>
      <c r="M770" s="6">
        <f t="shared" si="191"/>
        <v>2144.48</v>
      </c>
      <c r="N770" s="6">
        <f t="shared" si="184"/>
        <v>15547.45</v>
      </c>
      <c r="O770" s="6">
        <f t="shared" si="195"/>
        <v>95.74</v>
      </c>
      <c r="P770" s="6">
        <f t="shared" si="185"/>
        <v>15451.71</v>
      </c>
      <c r="Q770" s="4" t="str">
        <f>LOOKUP($E770,OBRAS!$D:$D,OBRAS!B:B)</f>
        <v>ING. MARTIN GRAJEDA ARAGON</v>
      </c>
      <c r="R770" s="4" t="str">
        <f>LOOKUP($E770,OBRAS!$D:$D,OBRAS!A:A)</f>
        <v>HERMOSILLO</v>
      </c>
      <c r="S770" s="4" t="str">
        <f>LOOKUP($E770,OBRAS!$D:$D,OBRAS!F:F)</f>
        <v>11000002002202E406K17104A622202155GL07</v>
      </c>
      <c r="T770" s="4" t="str">
        <f>LOOKUP($E770,OBRAS!$D:$D,OBRAS!G:G)</f>
        <v>SO-926006995-N25-2015</v>
      </c>
      <c r="U770" s="4" t="s">
        <v>863</v>
      </c>
      <c r="V770" s="89">
        <v>42717</v>
      </c>
      <c r="W770" s="6">
        <f>LOOKUP($E770,OBRAS!$D:$D,OBRAS!K:K)</f>
        <v>514711.56</v>
      </c>
      <c r="X770" s="109">
        <f t="shared" si="186"/>
        <v>4.3200000000000002E-2</v>
      </c>
      <c r="Y770" s="109">
        <f t="shared" si="187"/>
        <v>1.0003</v>
      </c>
      <c r="Z770" s="109">
        <f t="shared" si="188"/>
        <v>0.7</v>
      </c>
      <c r="AA770" s="4" t="str">
        <f>LOOKUP($E770,OBRAS!$D:$D,OBRAS!H:H)</f>
        <v>SH-NC-16-R-003</v>
      </c>
    </row>
    <row r="771" spans="1:27" ht="60" x14ac:dyDescent="0.25">
      <c r="A771" s="90">
        <v>42697</v>
      </c>
      <c r="B771" s="56">
        <v>5240</v>
      </c>
      <c r="C771" s="51">
        <v>770</v>
      </c>
      <c r="D771" s="4" t="str">
        <f>LOOKUP($E771,OBRAS!$D:$D,OBRAS!C:C)</f>
        <v>SUPERVISION EXTERNA Y CONTROL DE CALIDAD DE LA OBRA: REMODELACION DEL PARQUE INFANTIL EN LA LOCALIDAD Y MUNICIPIO DE HERMOSILLO, SONORA.</v>
      </c>
      <c r="E771" s="4" t="s">
        <v>757</v>
      </c>
      <c r="F771" s="4" t="s">
        <v>225</v>
      </c>
      <c r="G771" s="4" t="str">
        <f>LOOKUP($E771,OBRAS!$D:$D,OBRAS!E:E)</f>
        <v>C-00093/0004</v>
      </c>
      <c r="H771" s="80" t="s">
        <v>220</v>
      </c>
      <c r="I771" s="6">
        <v>37550.39</v>
      </c>
      <c r="J771" s="6"/>
      <c r="K771" s="6">
        <f t="shared" si="194"/>
        <v>11265.12</v>
      </c>
      <c r="L771" s="6">
        <f t="shared" si="183"/>
        <v>26285.27</v>
      </c>
      <c r="M771" s="6">
        <f t="shared" si="191"/>
        <v>4205.6400000000003</v>
      </c>
      <c r="N771" s="6">
        <f t="shared" si="184"/>
        <v>30490.91</v>
      </c>
      <c r="O771" s="6">
        <f t="shared" si="195"/>
        <v>187.75</v>
      </c>
      <c r="P771" s="6">
        <f t="shared" si="185"/>
        <v>30303.16</v>
      </c>
      <c r="Q771" s="4" t="str">
        <f>LOOKUP($E771,OBRAS!$D:$D,OBRAS!B:B)</f>
        <v>ING. MARTIN GRAJEDA ARAGON</v>
      </c>
      <c r="R771" s="4" t="str">
        <f>LOOKUP($E771,OBRAS!$D:$D,OBRAS!A:A)</f>
        <v>HERMOSILLO</v>
      </c>
      <c r="S771" s="4" t="str">
        <f>LOOKUP($E771,OBRAS!$D:$D,OBRAS!F:F)</f>
        <v>11000002002202E406K17104A622202155GL07</v>
      </c>
      <c r="T771" s="4" t="str">
        <f>LOOKUP($E771,OBRAS!$D:$D,OBRAS!G:G)</f>
        <v>SO-926006995-N25-2015</v>
      </c>
      <c r="U771" s="4" t="s">
        <v>863</v>
      </c>
      <c r="V771" s="89">
        <v>42717</v>
      </c>
      <c r="W771" s="6">
        <f>LOOKUP($E771,OBRAS!$D:$D,OBRAS!K:K)</f>
        <v>514711.56</v>
      </c>
      <c r="X771" s="109">
        <f t="shared" si="186"/>
        <v>8.4599999999999995E-2</v>
      </c>
      <c r="Y771" s="109">
        <f t="shared" si="187"/>
        <v>1.0003</v>
      </c>
      <c r="Z771" s="109">
        <f t="shared" si="188"/>
        <v>0.7</v>
      </c>
      <c r="AA771" s="4" t="str">
        <f>LOOKUP($E771,OBRAS!$D:$D,OBRAS!H:H)</f>
        <v>SH-NC-16-R-003</v>
      </c>
    </row>
    <row r="772" spans="1:27" ht="60" x14ac:dyDescent="0.25">
      <c r="A772" s="90">
        <v>42697</v>
      </c>
      <c r="B772" s="56">
        <v>5241</v>
      </c>
      <c r="C772" s="51">
        <v>771</v>
      </c>
      <c r="D772" s="4" t="str">
        <f>LOOKUP($E772,OBRAS!$D:$D,OBRAS!C:C)</f>
        <v>SUPERVISION EXTERNA Y CONTROL DE CALIDAD DE LA OBRA: REMODELACION DEL PARQUE INFANTIL EN LA LOCALIDAD Y MUNICIPIO DE HERMOSILLO, SONORA.</v>
      </c>
      <c r="E772" s="4" t="s">
        <v>757</v>
      </c>
      <c r="F772" s="4" t="s">
        <v>225</v>
      </c>
      <c r="G772" s="4" t="str">
        <f>LOOKUP($E772,OBRAS!$D:$D,OBRAS!E:E)</f>
        <v>C-00093/0004</v>
      </c>
      <c r="H772" s="80" t="s">
        <v>748</v>
      </c>
      <c r="I772" s="6">
        <v>25806.17</v>
      </c>
      <c r="J772" s="6"/>
      <c r="K772" s="6">
        <f t="shared" si="194"/>
        <v>7741.85</v>
      </c>
      <c r="L772" s="6">
        <f t="shared" si="183"/>
        <v>18064.32</v>
      </c>
      <c r="M772" s="6">
        <f t="shared" si="191"/>
        <v>2890.29</v>
      </c>
      <c r="N772" s="6">
        <f t="shared" si="184"/>
        <v>20954.61</v>
      </c>
      <c r="O772" s="6">
        <f t="shared" si="195"/>
        <v>129.03</v>
      </c>
      <c r="P772" s="6">
        <f t="shared" si="185"/>
        <v>20825.580000000002</v>
      </c>
      <c r="Q772" s="4" t="str">
        <f>LOOKUP($E772,OBRAS!$D:$D,OBRAS!B:B)</f>
        <v>ING. MARTIN GRAJEDA ARAGON</v>
      </c>
      <c r="R772" s="4" t="str">
        <f>LOOKUP($E772,OBRAS!$D:$D,OBRAS!A:A)</f>
        <v>HERMOSILLO</v>
      </c>
      <c r="S772" s="4" t="str">
        <f>LOOKUP($E772,OBRAS!$D:$D,OBRAS!F:F)</f>
        <v>11000002002202E406K17104A622202155GL07</v>
      </c>
      <c r="T772" s="4" t="str">
        <f>LOOKUP($E772,OBRAS!$D:$D,OBRAS!G:G)</f>
        <v>SO-926006995-N25-2015</v>
      </c>
      <c r="U772" s="4" t="s">
        <v>863</v>
      </c>
      <c r="V772" s="89">
        <v>42717</v>
      </c>
      <c r="W772" s="6">
        <f>LOOKUP($E772,OBRAS!$D:$D,OBRAS!K:K)</f>
        <v>514711.56</v>
      </c>
      <c r="X772" s="109">
        <f t="shared" si="186"/>
        <v>5.8200000000000002E-2</v>
      </c>
      <c r="Y772" s="109">
        <f t="shared" si="187"/>
        <v>1.0003</v>
      </c>
      <c r="Z772" s="109">
        <f t="shared" si="188"/>
        <v>0.7</v>
      </c>
      <c r="AA772" s="4" t="str">
        <f>LOOKUP($E772,OBRAS!$D:$D,OBRAS!H:H)</f>
        <v>SH-NC-16-R-003</v>
      </c>
    </row>
    <row r="773" spans="1:27" ht="60" x14ac:dyDescent="0.25">
      <c r="A773" s="90">
        <v>42697</v>
      </c>
      <c r="B773" s="56">
        <v>5242</v>
      </c>
      <c r="C773" s="51">
        <v>772</v>
      </c>
      <c r="D773" s="4" t="str">
        <f>LOOKUP($E773,OBRAS!$D:$D,OBRAS!C:C)</f>
        <v>SUPERVISION EXTERNA Y CONTROL DE CALIDAD DE LA OBRA: REMODELACION DEL PARQUE INFANTIL EN LA LOCALIDAD Y MUNICIPIO DE HERMOSILLO, SONORA.</v>
      </c>
      <c r="E773" s="4" t="s">
        <v>757</v>
      </c>
      <c r="F773" s="4" t="s">
        <v>225</v>
      </c>
      <c r="G773" s="4" t="str">
        <f>LOOKUP($E773,OBRAS!$D:$D,OBRAS!E:E)</f>
        <v>C-00093/0004</v>
      </c>
      <c r="H773" s="80" t="s">
        <v>249</v>
      </c>
      <c r="I773" s="6">
        <v>50611.4</v>
      </c>
      <c r="J773" s="6"/>
      <c r="K773" s="6">
        <f t="shared" si="194"/>
        <v>15183.42</v>
      </c>
      <c r="L773" s="6">
        <f t="shared" si="183"/>
        <v>35427.980000000003</v>
      </c>
      <c r="M773" s="6">
        <f t="shared" si="191"/>
        <v>5668.48</v>
      </c>
      <c r="N773" s="6">
        <f t="shared" si="184"/>
        <v>41096.46</v>
      </c>
      <c r="O773" s="6">
        <f t="shared" si="195"/>
        <v>253.06</v>
      </c>
      <c r="P773" s="6">
        <f t="shared" si="185"/>
        <v>40843.4</v>
      </c>
      <c r="Q773" s="4" t="str">
        <f>LOOKUP($E773,OBRAS!$D:$D,OBRAS!B:B)</f>
        <v>ING. MARTIN GRAJEDA ARAGON</v>
      </c>
      <c r="R773" s="4" t="str">
        <f>LOOKUP($E773,OBRAS!$D:$D,OBRAS!A:A)</f>
        <v>HERMOSILLO</v>
      </c>
      <c r="S773" s="4" t="str">
        <f>LOOKUP($E773,OBRAS!$D:$D,OBRAS!F:F)</f>
        <v>11000002002202E406K17104A622202155GL07</v>
      </c>
      <c r="T773" s="4" t="str">
        <f>LOOKUP($E773,OBRAS!$D:$D,OBRAS!G:G)</f>
        <v>SO-926006995-N25-2015</v>
      </c>
      <c r="U773" s="4" t="s">
        <v>863</v>
      </c>
      <c r="V773" s="89">
        <v>42717</v>
      </c>
      <c r="W773" s="6">
        <f>LOOKUP($E773,OBRAS!$D:$D,OBRAS!K:K)</f>
        <v>514711.56</v>
      </c>
      <c r="X773" s="109">
        <f t="shared" si="186"/>
        <v>0.11409999999999999</v>
      </c>
      <c r="Y773" s="109">
        <f t="shared" si="187"/>
        <v>1.0003</v>
      </c>
      <c r="Z773" s="109">
        <f t="shared" si="188"/>
        <v>0.7</v>
      </c>
      <c r="AA773" s="4" t="str">
        <f>LOOKUP($E773,OBRAS!$D:$D,OBRAS!H:H)</f>
        <v>SH-NC-16-R-003</v>
      </c>
    </row>
    <row r="774" spans="1:27" ht="60" x14ac:dyDescent="0.25">
      <c r="A774" s="90">
        <v>42697</v>
      </c>
      <c r="B774" s="56">
        <v>5243</v>
      </c>
      <c r="C774" s="51">
        <v>773</v>
      </c>
      <c r="D774" s="4" t="str">
        <f>LOOKUP($E774,OBRAS!$D:$D,OBRAS!C:C)</f>
        <v>SUPERVISION EXTERNA Y CONTROL DE CALIDAD DE LA OBRA: REMODELACION DEL PARQUE INFANTIL EN LA LOCALIDAD Y MUNICIPIO DE HERMOSILLO, SONORA.</v>
      </c>
      <c r="E774" s="4" t="s">
        <v>757</v>
      </c>
      <c r="F774" s="4" t="s">
        <v>225</v>
      </c>
      <c r="G774" s="4" t="str">
        <f>LOOKUP($E774,OBRAS!$D:$D,OBRAS!E:E)</f>
        <v>C-00093/0004</v>
      </c>
      <c r="H774" s="80" t="s">
        <v>264</v>
      </c>
      <c r="I774" s="6">
        <v>19147.099999999999</v>
      </c>
      <c r="J774" s="6"/>
      <c r="K774" s="6">
        <f t="shared" si="194"/>
        <v>5744.13</v>
      </c>
      <c r="L774" s="6">
        <f t="shared" si="183"/>
        <v>13402.97</v>
      </c>
      <c r="M774" s="6">
        <f t="shared" si="191"/>
        <v>2144.48</v>
      </c>
      <c r="N774" s="6">
        <f t="shared" si="184"/>
        <v>15547.45</v>
      </c>
      <c r="O774" s="6">
        <f t="shared" si="195"/>
        <v>95.74</v>
      </c>
      <c r="P774" s="6">
        <f t="shared" si="185"/>
        <v>15451.71</v>
      </c>
      <c r="Q774" s="4" t="str">
        <f>LOOKUP($E774,OBRAS!$D:$D,OBRAS!B:B)</f>
        <v>ING. MARTIN GRAJEDA ARAGON</v>
      </c>
      <c r="R774" s="4" t="str">
        <f>LOOKUP($E774,OBRAS!$D:$D,OBRAS!A:A)</f>
        <v>HERMOSILLO</v>
      </c>
      <c r="S774" s="4" t="str">
        <f>LOOKUP($E774,OBRAS!$D:$D,OBRAS!F:F)</f>
        <v>11000002002202E406K17104A622202155GL07</v>
      </c>
      <c r="T774" s="4" t="str">
        <f>LOOKUP($E774,OBRAS!$D:$D,OBRAS!G:G)</f>
        <v>SO-926006995-N25-2015</v>
      </c>
      <c r="U774" s="4" t="s">
        <v>863</v>
      </c>
      <c r="V774" s="89">
        <v>42717</v>
      </c>
      <c r="W774" s="6">
        <f>LOOKUP($E774,OBRAS!$D:$D,OBRAS!K:K)</f>
        <v>514711.56</v>
      </c>
      <c r="X774" s="109">
        <f t="shared" si="186"/>
        <v>4.3200000000000002E-2</v>
      </c>
      <c r="Y774" s="109">
        <f t="shared" si="187"/>
        <v>1.0003</v>
      </c>
      <c r="Z774" s="109">
        <f t="shared" si="188"/>
        <v>0.7</v>
      </c>
      <c r="AA774" s="4" t="str">
        <f>LOOKUP($E774,OBRAS!$D:$D,OBRAS!H:H)</f>
        <v>SH-NC-16-R-003</v>
      </c>
    </row>
    <row r="775" spans="1:27" ht="60" x14ac:dyDescent="0.25">
      <c r="A775" s="90">
        <v>42697</v>
      </c>
      <c r="B775" s="56">
        <v>5244</v>
      </c>
      <c r="C775" s="51">
        <v>774</v>
      </c>
      <c r="D775" s="4" t="str">
        <f>LOOKUP($E775,OBRAS!$D:$D,OBRAS!C:C)</f>
        <v>SUPERVISION EXTERNA Y CONTROL DE CALIDAD DE LA OBRA: REMODELACION DEL PARQUE INFANTIL EN LA LOCALIDAD Y MUNICIPIO DE HERMOSILLO, SONORA.</v>
      </c>
      <c r="E775" s="4" t="s">
        <v>757</v>
      </c>
      <c r="F775" s="4" t="s">
        <v>225</v>
      </c>
      <c r="G775" s="4" t="str">
        <f>LOOKUP($E775,OBRAS!$D:$D,OBRAS!E:E)</f>
        <v>C-00093/0004</v>
      </c>
      <c r="H775" s="80" t="s">
        <v>268</v>
      </c>
      <c r="I775" s="6">
        <v>37550.39</v>
      </c>
      <c r="J775" s="6"/>
      <c r="K775" s="6">
        <f t="shared" si="194"/>
        <v>11265.12</v>
      </c>
      <c r="L775" s="6">
        <f t="shared" si="183"/>
        <v>26285.27</v>
      </c>
      <c r="M775" s="6">
        <f t="shared" si="191"/>
        <v>4205.6400000000003</v>
      </c>
      <c r="N775" s="6">
        <f t="shared" si="184"/>
        <v>30490.91</v>
      </c>
      <c r="O775" s="6">
        <f t="shared" si="195"/>
        <v>187.75</v>
      </c>
      <c r="P775" s="6">
        <f t="shared" si="185"/>
        <v>30303.16</v>
      </c>
      <c r="Q775" s="4" t="str">
        <f>LOOKUP($E775,OBRAS!$D:$D,OBRAS!B:B)</f>
        <v>ING. MARTIN GRAJEDA ARAGON</v>
      </c>
      <c r="R775" s="4" t="str">
        <f>LOOKUP($E775,OBRAS!$D:$D,OBRAS!A:A)</f>
        <v>HERMOSILLO</v>
      </c>
      <c r="S775" s="4" t="str">
        <f>LOOKUP($E775,OBRAS!$D:$D,OBRAS!F:F)</f>
        <v>11000002002202E406K17104A622202155GL07</v>
      </c>
      <c r="T775" s="4" t="str">
        <f>LOOKUP($E775,OBRAS!$D:$D,OBRAS!G:G)</f>
        <v>SO-926006995-N25-2015</v>
      </c>
      <c r="U775" s="4" t="s">
        <v>863</v>
      </c>
      <c r="V775" s="89">
        <v>42717</v>
      </c>
      <c r="W775" s="6">
        <f>LOOKUP($E775,OBRAS!$D:$D,OBRAS!K:K)</f>
        <v>514711.56</v>
      </c>
      <c r="X775" s="109">
        <f t="shared" si="186"/>
        <v>8.4599999999999995E-2</v>
      </c>
      <c r="Y775" s="109">
        <f t="shared" si="187"/>
        <v>1.0003</v>
      </c>
      <c r="Z775" s="109">
        <f t="shared" si="188"/>
        <v>0.7</v>
      </c>
      <c r="AA775" s="4" t="str">
        <f>LOOKUP($E775,OBRAS!$D:$D,OBRAS!H:H)</f>
        <v>SH-NC-16-R-003</v>
      </c>
    </row>
    <row r="776" spans="1:27" ht="45" x14ac:dyDescent="0.25">
      <c r="A776" s="90">
        <v>42699</v>
      </c>
      <c r="B776" s="56">
        <v>5316</v>
      </c>
      <c r="C776" s="51">
        <v>775</v>
      </c>
      <c r="D776" s="4" t="str">
        <f>LOOKUP($E776,OBRAS!$D:$D,OBRAS!C:C)</f>
        <v>PAVIMENTACION CON CONCRETO HIDRAULICO DE CALLE LAZARO CARDENAS Y CALLE AQUILES SERDAN EN LA LOCALIDAD DE PUERTO LIBERTAD</v>
      </c>
      <c r="E776" s="4" t="s">
        <v>1819</v>
      </c>
      <c r="F776" s="4"/>
      <c r="G776" s="4" t="str">
        <f>LOOKUP($E776,OBRAS!$D:$D,OBRAS!E:E)</f>
        <v>C-00052/0192</v>
      </c>
      <c r="H776" s="80" t="s">
        <v>23</v>
      </c>
      <c r="I776" s="6">
        <v>711811.38</v>
      </c>
      <c r="J776" s="6"/>
      <c r="K776" s="6">
        <v>0</v>
      </c>
      <c r="L776" s="6">
        <f t="shared" si="183"/>
        <v>711811.38</v>
      </c>
      <c r="M776" s="6">
        <f t="shared" si="191"/>
        <v>113889.82</v>
      </c>
      <c r="N776" s="6">
        <f t="shared" si="184"/>
        <v>825701.2</v>
      </c>
      <c r="O776" s="6">
        <v>0</v>
      </c>
      <c r="P776" s="6">
        <f t="shared" si="185"/>
        <v>825701.2</v>
      </c>
      <c r="Q776" s="4" t="str">
        <f>LOOKUP($E776,OBRAS!$D:$D,OBRAS!B:B)</f>
        <v>CONSTRUCTORA E INMOBILIARIA VELIS, S.A. DE C.V.</v>
      </c>
      <c r="R776" s="4" t="str">
        <f>LOOKUP($E776,OBRAS!$D:$D,OBRAS!A:A)</f>
        <v>PITIQUITO</v>
      </c>
      <c r="S776" s="4" t="str">
        <f>LOOKUP($E776,OBRAS!$D:$D,OBRAS!F:F)</f>
        <v>11000002002201E202K05186A614202165FC02</v>
      </c>
      <c r="T776" s="4" t="str">
        <f>LOOKUP($E776,OBRAS!$D:$D,OBRAS!G:G)</f>
        <v>IO-926006995-E150-2016</v>
      </c>
      <c r="U776" s="4" t="s">
        <v>863</v>
      </c>
      <c r="V776" s="89">
        <v>42705</v>
      </c>
      <c r="W776" s="6">
        <f>LOOKUP($E776,OBRAS!$D:$D,OBRAS!K:K)</f>
        <v>2752337.34</v>
      </c>
      <c r="X776" s="109" t="str">
        <f t="shared" si="186"/>
        <v/>
      </c>
      <c r="Y776" s="109">
        <f t="shared" si="187"/>
        <v>0.2555</v>
      </c>
      <c r="Z776" s="109">
        <f t="shared" si="188"/>
        <v>0.4788</v>
      </c>
      <c r="AA776" s="4" t="str">
        <f>LOOKUP($E776,OBRAS!$D:$D,OBRAS!H:H)</f>
        <v>SH-NC-17-R-009</v>
      </c>
    </row>
    <row r="777" spans="1:27" ht="45" x14ac:dyDescent="0.25">
      <c r="A777" s="90">
        <v>42699</v>
      </c>
      <c r="B777" s="56">
        <v>5326</v>
      </c>
      <c r="C777" s="51">
        <v>776</v>
      </c>
      <c r="D777" s="4" t="str">
        <f>LOOKUP($E777,OBRAS!$D:$D,OBRAS!C:C)</f>
        <v>CONSTRUCCION DE PARQUE, PLAYA Y BALNEARIO "KINO MAGICO" (ETAPA 1) EN LA COMISARIA DE BAHIA DE KINO</v>
      </c>
      <c r="E777" s="4" t="s">
        <v>578</v>
      </c>
      <c r="F777" s="4"/>
      <c r="G777" s="4" t="str">
        <f>LOOKUP($E777,OBRAS!$D:$D,OBRAS!E:E)</f>
        <v>C-00053/0014</v>
      </c>
      <c r="H777" s="80" t="s">
        <v>55</v>
      </c>
      <c r="I777" s="6">
        <v>864052.95</v>
      </c>
      <c r="J777" s="6"/>
      <c r="K777" s="6">
        <f>ROUND(I777*0.3,2)</f>
        <v>259215.89</v>
      </c>
      <c r="L777" s="6">
        <f t="shared" si="183"/>
        <v>604837.06000000006</v>
      </c>
      <c r="M777" s="6">
        <f t="shared" ref="M777:M808" si="196">ROUND(L777*0.16,2)</f>
        <v>96773.93</v>
      </c>
      <c r="N777" s="6">
        <f t="shared" si="184"/>
        <v>701610.99</v>
      </c>
      <c r="O777" s="6">
        <f>+ROUND(I777*0.002,2)+ROUND(I777*0.0003,2)+ROUND(I777*0.0003,2)+ROUND(I777*0.0003,2)+ROUND(I777*0.002,2)</f>
        <v>4233.88</v>
      </c>
      <c r="P777" s="6">
        <f t="shared" si="185"/>
        <v>697377.11</v>
      </c>
      <c r="Q777" s="4" t="str">
        <f>LOOKUP($E777,OBRAS!$D:$D,OBRAS!B:B)</f>
        <v>PROMOTORA MAJERUS, S. DE R.L.</v>
      </c>
      <c r="R777" s="4" t="str">
        <f>LOOKUP($E777,OBRAS!$D:$D,OBRAS!A:A)</f>
        <v>HERMOSILLO</v>
      </c>
      <c r="S777" s="4" t="str">
        <f>LOOKUP($E777,OBRAS!$D:$D,OBRAS!F:F)</f>
        <v>11000002003701E305K07123A612092162A207</v>
      </c>
      <c r="T777" s="4" t="str">
        <f>LOOKUP($E777,OBRAS!$D:$D,OBRAS!G:G)</f>
        <v>CE-926006995-E33-2016</v>
      </c>
      <c r="U777" s="4" t="s">
        <v>863</v>
      </c>
      <c r="V777" s="89">
        <v>42724</v>
      </c>
      <c r="W777" s="6">
        <f>LOOKUP($E777,OBRAS!$D:$D,OBRAS!K:K)</f>
        <v>61862670.979999997</v>
      </c>
      <c r="X777" s="109">
        <f t="shared" si="186"/>
        <v>1.6199999999999999E-2</v>
      </c>
      <c r="Y777" s="109">
        <f t="shared" si="187"/>
        <v>0.32969999999999999</v>
      </c>
      <c r="Z777" s="109">
        <f t="shared" si="188"/>
        <v>0.52780000000000005</v>
      </c>
      <c r="AA777" s="4" t="str">
        <f>LOOKUP($E777,OBRAS!$D:$D,OBRAS!H:H)</f>
        <v>SH-ED-17-R-004</v>
      </c>
    </row>
    <row r="778" spans="1:27" ht="45" x14ac:dyDescent="0.25">
      <c r="A778" s="90">
        <v>42699</v>
      </c>
      <c r="B778" s="56">
        <v>5327</v>
      </c>
      <c r="C778" s="49">
        <v>777</v>
      </c>
      <c r="D778" s="4" t="str">
        <f>LOOKUP($E778,OBRAS!$D:$D,OBRAS!C:C)</f>
        <v>CONSTRUCCION DE PARQUE, PLAYA Y BALNEARIO "KINO MAGICO" (ETAPA 1) EN LA COMISARIA DE BAHIA DE KINO</v>
      </c>
      <c r="E778" s="4" t="s">
        <v>578</v>
      </c>
      <c r="F778" s="4"/>
      <c r="G778" s="4" t="str">
        <f>LOOKUP($E778,OBRAS!$D:$D,OBRAS!E:E)</f>
        <v>C-00053/0014</v>
      </c>
      <c r="H778" s="80" t="s">
        <v>215</v>
      </c>
      <c r="I778" s="6">
        <v>1596022.5</v>
      </c>
      <c r="J778" s="6"/>
      <c r="K778" s="6">
        <f>ROUND(I778*0.3,2)</f>
        <v>478806.75</v>
      </c>
      <c r="L778" s="6">
        <f t="shared" si="183"/>
        <v>1117215.75</v>
      </c>
      <c r="M778" s="6">
        <f t="shared" si="196"/>
        <v>178754.52</v>
      </c>
      <c r="N778" s="6">
        <f t="shared" si="184"/>
        <v>1295970.27</v>
      </c>
      <c r="O778" s="6">
        <f>+ROUND(I778*0.002,2)+ROUND(I778*0.0003,2)+ROUND(I778*0.0003,2)+ROUND(I778*0.0003,2)+ROUND(I778*0.002,2)</f>
        <v>7820.53</v>
      </c>
      <c r="P778" s="6">
        <f t="shared" si="185"/>
        <v>1288149.74</v>
      </c>
      <c r="Q778" s="4" t="str">
        <f>LOOKUP($E778,OBRAS!$D:$D,OBRAS!B:B)</f>
        <v>PROMOTORA MAJERUS, S. DE R.L.</v>
      </c>
      <c r="R778" s="4" t="str">
        <f>LOOKUP($E778,OBRAS!$D:$D,OBRAS!A:A)</f>
        <v>HERMOSILLO</v>
      </c>
      <c r="S778" s="4" t="str">
        <f>LOOKUP($E778,OBRAS!$D:$D,OBRAS!F:F)</f>
        <v>11000002003701E305K07123A612092162A207</v>
      </c>
      <c r="T778" s="4" t="str">
        <f>LOOKUP($E778,OBRAS!$D:$D,OBRAS!G:G)</f>
        <v>CE-926006995-E33-2016</v>
      </c>
      <c r="U778" s="4" t="s">
        <v>863</v>
      </c>
      <c r="V778" s="89">
        <v>42724</v>
      </c>
      <c r="W778" s="6">
        <f>LOOKUP($E778,OBRAS!$D:$D,OBRAS!K:K)</f>
        <v>61862670.979999997</v>
      </c>
      <c r="X778" s="109">
        <f t="shared" si="186"/>
        <v>2.9899999999999999E-2</v>
      </c>
      <c r="Y778" s="109">
        <f t="shared" si="187"/>
        <v>0.32969999999999999</v>
      </c>
      <c r="Z778" s="109">
        <f t="shared" si="188"/>
        <v>0.52780000000000005</v>
      </c>
      <c r="AA778" s="4" t="str">
        <f>LOOKUP($E778,OBRAS!$D:$D,OBRAS!H:H)</f>
        <v>SH-ED-17-R-004</v>
      </c>
    </row>
    <row r="779" spans="1:27" ht="45" x14ac:dyDescent="0.25">
      <c r="A779" s="90">
        <v>42699</v>
      </c>
      <c r="B779" s="56">
        <v>5330</v>
      </c>
      <c r="C779" s="49">
        <v>778</v>
      </c>
      <c r="D779" s="4" t="str">
        <f>LOOKUP($E779,OBRAS!$D:$D,OBRAS!C:C)</f>
        <v>CONSTRUCCION DE PARQUE, PLAYA Y BALNEARIO "KINO MAGICO" (ETAPA 1) EN LA COMISARIA DE BAHIA DE KINO</v>
      </c>
      <c r="E779" s="4" t="s">
        <v>578</v>
      </c>
      <c r="F779" s="4"/>
      <c r="G779" s="4" t="str">
        <f>LOOKUP($E779,OBRAS!$D:$D,OBRAS!E:E)</f>
        <v>C-00053/0014</v>
      </c>
      <c r="H779" s="80" t="s">
        <v>15</v>
      </c>
      <c r="I779" s="6">
        <v>3343344.29</v>
      </c>
      <c r="J779" s="6"/>
      <c r="K779" s="6">
        <f>ROUND(I779*0.3,2)</f>
        <v>1003003.29</v>
      </c>
      <c r="L779" s="6">
        <f t="shared" si="183"/>
        <v>2340341</v>
      </c>
      <c r="M779" s="6">
        <f t="shared" si="196"/>
        <v>374454.56</v>
      </c>
      <c r="N779" s="6">
        <f t="shared" si="184"/>
        <v>2714795.56</v>
      </c>
      <c r="O779" s="6">
        <f>+ROUND(I779*0.002,2)+ROUND(I779*0.0003,2)+ROUND(I779*0.0003,2)+ROUND(I779*0.0003,2)+ROUND(I779*0.002,2)</f>
        <v>16382.38</v>
      </c>
      <c r="P779" s="6">
        <f t="shared" si="185"/>
        <v>2698413.18</v>
      </c>
      <c r="Q779" s="4" t="str">
        <f>LOOKUP($E779,OBRAS!$D:$D,OBRAS!B:B)</f>
        <v>PROMOTORA MAJERUS, S. DE R.L.</v>
      </c>
      <c r="R779" s="4" t="str">
        <f>LOOKUP($E779,OBRAS!$D:$D,OBRAS!A:A)</f>
        <v>HERMOSILLO</v>
      </c>
      <c r="S779" s="4" t="str">
        <f>LOOKUP($E779,OBRAS!$D:$D,OBRAS!F:F)</f>
        <v>11000002003701E305K07123A612092162A207</v>
      </c>
      <c r="T779" s="4" t="str">
        <f>LOOKUP($E779,OBRAS!$D:$D,OBRAS!G:G)</f>
        <v>CE-926006995-E33-2016</v>
      </c>
      <c r="U779" s="4" t="s">
        <v>863</v>
      </c>
      <c r="V779" s="89">
        <v>42724</v>
      </c>
      <c r="W779" s="6">
        <f>LOOKUP($E779,OBRAS!$D:$D,OBRAS!K:K)</f>
        <v>61862670.979999997</v>
      </c>
      <c r="X779" s="109">
        <f t="shared" si="186"/>
        <v>6.2700000000000006E-2</v>
      </c>
      <c r="Y779" s="109">
        <f t="shared" si="187"/>
        <v>0.32969999999999999</v>
      </c>
      <c r="Z779" s="109">
        <f t="shared" si="188"/>
        <v>0.52780000000000005</v>
      </c>
      <c r="AA779" s="4" t="str">
        <f>LOOKUP($E779,OBRAS!$D:$D,OBRAS!H:H)</f>
        <v>SH-ED-17-R-004</v>
      </c>
    </row>
    <row r="780" spans="1:27" ht="60" x14ac:dyDescent="0.25">
      <c r="A780" s="90">
        <v>42699</v>
      </c>
      <c r="B780" s="56">
        <v>5328</v>
      </c>
      <c r="C780" s="51">
        <v>779</v>
      </c>
      <c r="D780" s="4" t="str">
        <f>LOOKUP($E780,OBRAS!$D:$D,OBRAS!C:C)</f>
        <v>SUPERVISION EXTERNA Y CONTROL DE CALIDAD CONCLUSION DE LA MODERNIZACION Y RECONSTRUCCION DEL TRAMO ESPERANZA - HORNOS (DEL KM 8 + 800 AL KM 17 + 400)</v>
      </c>
      <c r="E780" s="4" t="s">
        <v>291</v>
      </c>
      <c r="F780" s="4"/>
      <c r="G780" s="4" t="str">
        <f>LOOKUP($E780,OBRAS!$D:$D,OBRAS!E:E)</f>
        <v>C-00098/0021</v>
      </c>
      <c r="H780" s="80" t="s">
        <v>15</v>
      </c>
      <c r="I780" s="6">
        <v>351313.07</v>
      </c>
      <c r="J780" s="6"/>
      <c r="K780" s="6">
        <f>ROUND(I780*0.1,2)</f>
        <v>35131.31</v>
      </c>
      <c r="L780" s="6">
        <f t="shared" si="183"/>
        <v>316181.76000000001</v>
      </c>
      <c r="M780" s="6">
        <f t="shared" si="196"/>
        <v>50589.08</v>
      </c>
      <c r="N780" s="6">
        <f t="shared" si="184"/>
        <v>366770.84</v>
      </c>
      <c r="O780" s="6">
        <f>+ROUND(I780*0.002,2)+ROUND(I780*0.0003,2)+ROUND(I780*0.0003,2)+ROUND(I780*0.0003,2)</f>
        <v>1018.8</v>
      </c>
      <c r="P780" s="6">
        <f t="shared" si="185"/>
        <v>365752.04</v>
      </c>
      <c r="Q780" s="4" t="str">
        <f>LOOKUP($E780,OBRAS!$D:$D,OBRAS!B:B)</f>
        <v>OESTEC DE MEXICO SA DE CV</v>
      </c>
      <c r="R780" s="4" t="str">
        <f>LOOKUP($E780,OBRAS!$D:$D,OBRAS!A:A)</f>
        <v>VARIOS</v>
      </c>
      <c r="S780" s="4" t="str">
        <f>LOOKUP($E780,OBRAS!$D:$D,OBRAS!F:F)</f>
        <v>11000002003501E203K03203A625132161A013</v>
      </c>
      <c r="T780" s="4" t="str">
        <f>LOOKUP($E780,OBRAS!$D:$D,OBRAS!G:G)</f>
        <v>CE-926006995-E52-2016</v>
      </c>
      <c r="U780" s="4" t="s">
        <v>863</v>
      </c>
      <c r="V780" s="89">
        <v>42781</v>
      </c>
      <c r="W780" s="6">
        <f>LOOKUP($E780,OBRAS!$D:$D,OBRAS!K:K)</f>
        <v>2445138.9700000002</v>
      </c>
      <c r="X780" s="109">
        <f t="shared" si="186"/>
        <v>0.16669999999999999</v>
      </c>
      <c r="Y780" s="109">
        <f t="shared" si="187"/>
        <v>0.96409999999999996</v>
      </c>
      <c r="Z780" s="109">
        <f t="shared" si="188"/>
        <v>0.96760000000000002</v>
      </c>
      <c r="AA780" s="4" t="str">
        <f>LOOKUP($E780,OBRAS!$D:$D,OBRAS!H:H)</f>
        <v>SH-ED-16-040</v>
      </c>
    </row>
    <row r="781" spans="1:27" ht="45" x14ac:dyDescent="0.25">
      <c r="A781" s="90">
        <v>42699</v>
      </c>
      <c r="B781" s="56">
        <v>5329</v>
      </c>
      <c r="C781" s="134">
        <v>780</v>
      </c>
      <c r="D781" s="4" t="str">
        <f>LOOKUP($E781,OBRAS!$D:$D,OBRAS!C:C)</f>
        <v>CONSTRUCCION DE PARQUE, PLAYA Y BALNEARIO "KINO MAGICO" (ETAPA 1) EN LA COMISARIA DE BAHIA DE KINO</v>
      </c>
      <c r="E781" s="4" t="s">
        <v>578</v>
      </c>
      <c r="F781" s="4"/>
      <c r="G781" s="4" t="str">
        <f>LOOKUP($E781,OBRAS!$D:$D,OBRAS!E:E)</f>
        <v>C-00053/0014</v>
      </c>
      <c r="H781" s="80" t="s">
        <v>214</v>
      </c>
      <c r="I781" s="6">
        <v>4112480.82</v>
      </c>
      <c r="J781" s="6"/>
      <c r="K781" s="6">
        <f>ROUND(I781*0.3,2)</f>
        <v>1233744.25</v>
      </c>
      <c r="L781" s="6">
        <f t="shared" si="183"/>
        <v>2878736.57</v>
      </c>
      <c r="M781" s="6">
        <f t="shared" si="196"/>
        <v>460597.85</v>
      </c>
      <c r="N781" s="6">
        <f t="shared" si="184"/>
        <v>3339334.42</v>
      </c>
      <c r="O781" s="6">
        <f>+ROUND(I781*0.002,2)+ROUND(I781*0.0003,2)+ROUND(I781*0.0003,2)+ROUND(I781*0.0003,2)+ROUND(I781*0.002,2)</f>
        <v>20151.14</v>
      </c>
      <c r="P781" s="6">
        <f t="shared" si="185"/>
        <v>3319183.28</v>
      </c>
      <c r="Q781" s="4" t="str">
        <f>LOOKUP($E781,OBRAS!$D:$D,OBRAS!B:B)</f>
        <v>PROMOTORA MAJERUS, S. DE R.L.</v>
      </c>
      <c r="R781" s="4" t="str">
        <f>LOOKUP($E781,OBRAS!$D:$D,OBRAS!A:A)</f>
        <v>HERMOSILLO</v>
      </c>
      <c r="S781" s="4" t="str">
        <f>LOOKUP($E781,OBRAS!$D:$D,OBRAS!F:F)</f>
        <v>11000002003701E305K07123A612092162A207</v>
      </c>
      <c r="T781" s="4" t="str">
        <f>LOOKUP($E781,OBRAS!$D:$D,OBRAS!G:G)</f>
        <v>CE-926006995-E33-2016</v>
      </c>
      <c r="U781" s="4" t="s">
        <v>863</v>
      </c>
      <c r="V781" s="89">
        <v>42724</v>
      </c>
      <c r="W781" s="6">
        <f>LOOKUP($E781,OBRAS!$D:$D,OBRAS!K:K)</f>
        <v>61862670.979999997</v>
      </c>
      <c r="X781" s="109">
        <f t="shared" si="186"/>
        <v>7.7100000000000002E-2</v>
      </c>
      <c r="Y781" s="109">
        <f t="shared" si="187"/>
        <v>0.32969999999999999</v>
      </c>
      <c r="Z781" s="109">
        <f t="shared" si="188"/>
        <v>0.52780000000000005</v>
      </c>
      <c r="AA781" s="4" t="str">
        <f>LOOKUP($E781,OBRAS!$D:$D,OBRAS!H:H)</f>
        <v>SH-ED-17-R-004</v>
      </c>
    </row>
    <row r="782" spans="1:27" ht="60" x14ac:dyDescent="0.25">
      <c r="C782" s="51">
        <v>781</v>
      </c>
      <c r="D782" s="4" t="str">
        <f>LOOKUP($E782,OBRAS!$D:$D,OBRAS!C:C)</f>
        <v>SUPERVISION EXTERNA Y CONTROL DE CALIDAD DE LA OBRA: PAVIMENTACION CON CONCRETO HIDRAULICO DEL BOULEVARD LAZARO GUTIERREZ DE LARA</v>
      </c>
      <c r="E782" s="4" t="s">
        <v>1842</v>
      </c>
      <c r="F782" s="4"/>
      <c r="G782" s="4" t="str">
        <f>LOOKUP($E782,OBRAS!$D:$D,OBRAS!E:E)</f>
        <v>C-00052/0181</v>
      </c>
      <c r="H782" s="80" t="s">
        <v>23</v>
      </c>
      <c r="I782" s="6">
        <v>255040.62</v>
      </c>
      <c r="J782" s="6"/>
      <c r="K782" s="6">
        <v>0</v>
      </c>
      <c r="L782" s="6">
        <f t="shared" si="183"/>
        <v>255040.62</v>
      </c>
      <c r="M782" s="6">
        <f t="shared" si="196"/>
        <v>40806.5</v>
      </c>
      <c r="N782" s="6">
        <f t="shared" si="184"/>
        <v>295847.12</v>
      </c>
      <c r="O782" s="6">
        <v>0</v>
      </c>
      <c r="P782" s="6">
        <f t="shared" si="185"/>
        <v>295847.12</v>
      </c>
      <c r="Q782" s="4" t="str">
        <f>LOOKUP($E782,OBRAS!$D:$D,OBRAS!B:B)</f>
        <v>ESCOBO S.A. DE C.V.</v>
      </c>
      <c r="R782" s="4" t="str">
        <f>LOOKUP($E782,OBRAS!$D:$D,OBRAS!A:A)</f>
        <v>CANANEA</v>
      </c>
      <c r="S782" s="4" t="str">
        <f>LOOKUP($E782,OBRAS!$D:$D,OBRAS!F:F)</f>
        <v>11000002002207E201K02104A622212161A013</v>
      </c>
      <c r="T782" s="4" t="str">
        <f>LOOKUP($E782,OBRAS!$D:$D,OBRAS!G:G)</f>
        <v>CE-926006995-2016</v>
      </c>
      <c r="U782" s="4" t="s">
        <v>863</v>
      </c>
      <c r="V782" s="89">
        <v>42781</v>
      </c>
      <c r="W782" s="6">
        <f>LOOKUP($E782,OBRAS!$D:$D,OBRAS!K:K)</f>
        <v>986157.02</v>
      </c>
      <c r="X782" s="109" t="str">
        <f t="shared" si="186"/>
        <v/>
      </c>
      <c r="Y782" s="109">
        <f t="shared" si="187"/>
        <v>0.2326</v>
      </c>
      <c r="Z782" s="109">
        <f t="shared" si="188"/>
        <v>0.46279999999999999</v>
      </c>
      <c r="AA782" s="4" t="str">
        <f>LOOKUP($E782,OBRAS!$D:$D,OBRAS!H:H)</f>
        <v>SH-ED-16-123.</v>
      </c>
    </row>
    <row r="783" spans="1:27" ht="60" x14ac:dyDescent="0.25">
      <c r="A783" s="90">
        <v>42703</v>
      </c>
      <c r="B783" s="56">
        <v>5389</v>
      </c>
      <c r="C783" s="49">
        <v>782</v>
      </c>
      <c r="D783" s="4" t="str">
        <f>LOOKUP($E783,OBRAS!$D:$D,OBRAS!C:C)</f>
        <v>SUPERVISION EXTERNA Y CONTROL DE CALIDAD DE LA RECONSTRUCCION DE CAMINO BACABACHI HUATABAMPO VARIOS TRAMOS DEL KM 5+600 AL KM 25+500</v>
      </c>
      <c r="E783" s="4" t="s">
        <v>476</v>
      </c>
      <c r="F783" s="4"/>
      <c r="G783" s="4" t="str">
        <f>LOOKUP($E783,OBRAS!$D:$D,OBRAS!E:E)</f>
        <v>C-00098/0020</v>
      </c>
      <c r="H783" s="80" t="s">
        <v>215</v>
      </c>
      <c r="I783" s="6">
        <v>94652.5</v>
      </c>
      <c r="J783" s="6"/>
      <c r="K783" s="6">
        <v>0</v>
      </c>
      <c r="L783" s="6">
        <f t="shared" si="183"/>
        <v>94652.5</v>
      </c>
      <c r="M783" s="6">
        <f t="shared" si="196"/>
        <v>15144.4</v>
      </c>
      <c r="N783" s="6">
        <f t="shared" si="184"/>
        <v>109796.9</v>
      </c>
      <c r="O783" s="6">
        <f>+ROUND(I783*0.002,2)+ROUND(I783*0.0003,2)+ROUND(I783*0.0003,2)+ROUND(I783*0.0003,2)</f>
        <v>274.51</v>
      </c>
      <c r="P783" s="6">
        <f t="shared" si="185"/>
        <v>109522.39</v>
      </c>
      <c r="Q783" s="4" t="str">
        <f>LOOKUP($E783,OBRAS!$D:$D,OBRAS!B:B)</f>
        <v>ING. IVAN MLADOSICH ESTRADA</v>
      </c>
      <c r="R783" s="4" t="str">
        <f>LOOKUP($E783,OBRAS!$D:$D,OBRAS!A:A)</f>
        <v>HUATABAMPO</v>
      </c>
      <c r="S783" s="4" t="str">
        <f>LOOKUP($E783,OBRAS!$D:$D,OBRAS!F:F)</f>
        <v>11000002003501E203K03203A625132161A013C</v>
      </c>
      <c r="T783" s="4">
        <f>LOOKUP($E783,OBRAS!$D:$D,OBRAS!G:G)</f>
        <v>0</v>
      </c>
      <c r="U783" s="4" t="s">
        <v>863</v>
      </c>
      <c r="V783" s="89">
        <v>42781</v>
      </c>
      <c r="W783" s="6">
        <f>LOOKUP($E783,OBRAS!$D:$D,OBRAS!K:K)</f>
        <v>439187.6</v>
      </c>
      <c r="X783" s="109">
        <f t="shared" si="186"/>
        <v>0.25</v>
      </c>
      <c r="Y783" s="109">
        <f t="shared" si="187"/>
        <v>1</v>
      </c>
      <c r="Z783" s="109">
        <f t="shared" si="188"/>
        <v>1</v>
      </c>
      <c r="AA783" s="4" t="str">
        <f>LOOKUP($E783,OBRAS!$D:$D,OBRAS!H:H)</f>
        <v>SH-ED-16-021</v>
      </c>
    </row>
    <row r="784" spans="1:27" ht="30" x14ac:dyDescent="0.25">
      <c r="A784" s="90">
        <v>42703</v>
      </c>
      <c r="B784" s="56">
        <v>5390</v>
      </c>
      <c r="C784" s="49">
        <v>783</v>
      </c>
      <c r="D784" s="4" t="str">
        <f>LOOKUP($E784,OBRAS!$D:$D,OBRAS!C:C)</f>
        <v>MODERNIZACION Y RECONSTRUCCION DEL TRAMO ETCHOJOA-BACOBAMPO</v>
      </c>
      <c r="E784" s="4" t="s">
        <v>542</v>
      </c>
      <c r="F784" s="4" t="s">
        <v>1445</v>
      </c>
      <c r="G784" s="4" t="str">
        <f>LOOKUP($E784,OBRAS!$D:$D,OBRAS!E:E)</f>
        <v>C-00054/0054</v>
      </c>
      <c r="H784" s="80" t="s">
        <v>15</v>
      </c>
      <c r="I784" s="6">
        <v>4293713.29</v>
      </c>
      <c r="J784" s="6"/>
      <c r="K784" s="6">
        <f>ROUND(I784*0.3,2)</f>
        <v>1288113.99</v>
      </c>
      <c r="L784" s="6">
        <f t="shared" si="183"/>
        <v>3005599.3</v>
      </c>
      <c r="M784" s="6">
        <f t="shared" si="196"/>
        <v>480895.89</v>
      </c>
      <c r="N784" s="6">
        <f t="shared" si="184"/>
        <v>3486495.19</v>
      </c>
      <c r="O784" s="6">
        <f>+ROUND(I784*0.002,2)+ROUND(I784*0.0003,2)+ROUND(I784*0.0003,2)+ROUND(I784*0.0003,2)+ROUND(I784*0.002,2)</f>
        <v>21039.19</v>
      </c>
      <c r="P784" s="6">
        <f t="shared" si="185"/>
        <v>3465456</v>
      </c>
      <c r="Q784" s="4" t="str">
        <f>LOOKUP($E784,OBRAS!$D:$D,OBRAS!B:B)</f>
        <v>EDIFICACIONES BOZA S.A. DE C.V.</v>
      </c>
      <c r="R784" s="4" t="str">
        <f>LOOKUP($E784,OBRAS!$D:$D,OBRAS!A:A)</f>
        <v>ETCHOJOA</v>
      </c>
      <c r="S784" s="4" t="str">
        <f>LOOKUP($E784,OBRAS!$D:$D,OBRAS!F:F)</f>
        <v>11000002003501E204K08063A625012162A212</v>
      </c>
      <c r="T784" s="4" t="str">
        <f>LOOKUP($E784,OBRAS!$D:$D,OBRAS!G:G)</f>
        <v>CE-926006995-E18-2016</v>
      </c>
      <c r="U784" s="4" t="s">
        <v>863</v>
      </c>
      <c r="V784" s="89">
        <v>42734</v>
      </c>
      <c r="W784" s="6">
        <f>LOOKUP($E784,OBRAS!$D:$D,OBRAS!K:K)</f>
        <v>63672479.109999999</v>
      </c>
      <c r="X784" s="109">
        <f t="shared" si="186"/>
        <v>7.8200000000000006E-2</v>
      </c>
      <c r="Y784" s="109">
        <f t="shared" si="187"/>
        <v>0.95409999999999995</v>
      </c>
      <c r="Z784" s="109">
        <f t="shared" si="188"/>
        <v>0.96489999999999998</v>
      </c>
      <c r="AA784" s="4" t="str">
        <f>LOOKUP($E784,OBRAS!$D:$D,OBRAS!H:H)</f>
        <v>SH-ED-17-R-004</v>
      </c>
    </row>
    <row r="785" spans="1:27" ht="30" x14ac:dyDescent="0.25">
      <c r="A785" s="90">
        <v>42703</v>
      </c>
      <c r="B785" s="56">
        <v>5391</v>
      </c>
      <c r="C785" s="49">
        <v>784</v>
      </c>
      <c r="D785" s="4" t="str">
        <f>LOOKUP($E785,OBRAS!$D:$D,OBRAS!C:C)</f>
        <v>MODERNIZACION Y RECONSTRUCCION DEL TRAMO ETCHOJOA-BACOBAMPO</v>
      </c>
      <c r="E785" s="4" t="s">
        <v>542</v>
      </c>
      <c r="F785" s="4" t="s">
        <v>1445</v>
      </c>
      <c r="G785" s="4" t="str">
        <f>LOOKUP($E785,OBRAS!$D:$D,OBRAS!E:E)</f>
        <v>C-00054/0054</v>
      </c>
      <c r="H785" s="80" t="s">
        <v>215</v>
      </c>
      <c r="I785" s="6">
        <v>4386576.21</v>
      </c>
      <c r="J785" s="6"/>
      <c r="K785" s="6">
        <f>ROUND(I785*0.3,2)</f>
        <v>1315972.8600000001</v>
      </c>
      <c r="L785" s="6">
        <f t="shared" ref="L785:L848" si="197">I785-K785</f>
        <v>3070603.35</v>
      </c>
      <c r="M785" s="6">
        <f t="shared" si="196"/>
        <v>491296.54</v>
      </c>
      <c r="N785" s="6">
        <f t="shared" ref="N785:N848" si="198">M785+L785</f>
        <v>3561899.89</v>
      </c>
      <c r="O785" s="6">
        <f>+ROUND(I785*0.002,2)+ROUND(I785*0.0003,2)+ROUND(I785*0.0003,2)+ROUND(I785*0.0003,2)+ROUND(I785*0.002,2)</f>
        <v>21494.21</v>
      </c>
      <c r="P785" s="6">
        <f t="shared" ref="P785:P848" si="199">N785-O785</f>
        <v>3540405.68</v>
      </c>
      <c r="Q785" s="4" t="str">
        <f>LOOKUP($E785,OBRAS!$D:$D,OBRAS!B:B)</f>
        <v>EDIFICACIONES BOZA S.A. DE C.V.</v>
      </c>
      <c r="R785" s="4" t="str">
        <f>LOOKUP($E785,OBRAS!$D:$D,OBRAS!A:A)</f>
        <v>ETCHOJOA</v>
      </c>
      <c r="S785" s="4" t="str">
        <f>LOOKUP($E785,OBRAS!$D:$D,OBRAS!F:F)</f>
        <v>11000002003501E204K08063A625012162A212</v>
      </c>
      <c r="T785" s="4" t="str">
        <f>LOOKUP($E785,OBRAS!$D:$D,OBRAS!G:G)</f>
        <v>CE-926006995-E18-2016</v>
      </c>
      <c r="U785" s="4" t="s">
        <v>863</v>
      </c>
      <c r="V785" s="89">
        <v>42734</v>
      </c>
      <c r="W785" s="6">
        <f>LOOKUP($E785,OBRAS!$D:$D,OBRAS!K:K)</f>
        <v>63672479.109999999</v>
      </c>
      <c r="X785" s="109">
        <f t="shared" ref="X785:X848" si="200">IF(H785&lt;&gt;"ANTICIPO",I785/(W785/1.16),"")</f>
        <v>7.9899999999999999E-2</v>
      </c>
      <c r="Y785" s="109">
        <f t="shared" ref="Y785:Y848" si="201">SUMIF(E:E,E785,X:X)</f>
        <v>0.95409999999999995</v>
      </c>
      <c r="Z785" s="109">
        <f t="shared" ref="Z785:Z848" si="202">SUMIF(E:E,E785,N:N)/W785</f>
        <v>0.96489999999999998</v>
      </c>
      <c r="AA785" s="4" t="str">
        <f>LOOKUP($E785,OBRAS!$D:$D,OBRAS!H:H)</f>
        <v>SH-ED-17-R-004</v>
      </c>
    </row>
    <row r="786" spans="1:27" ht="30" x14ac:dyDescent="0.25">
      <c r="A786" s="90">
        <v>42703</v>
      </c>
      <c r="B786" s="56">
        <v>5392</v>
      </c>
      <c r="C786" s="49">
        <v>785</v>
      </c>
      <c r="D786" s="4" t="str">
        <f>LOOKUP($E786,OBRAS!$D:$D,OBRAS!C:C)</f>
        <v>MODERNIZACION Y RECONSTRUCCION DEL TRAMO ETCHOJOA-BACOBAMPO</v>
      </c>
      <c r="E786" s="4" t="s">
        <v>542</v>
      </c>
      <c r="F786" s="4" t="s">
        <v>1445</v>
      </c>
      <c r="G786" s="4" t="str">
        <f>LOOKUP($E786,OBRAS!$D:$D,OBRAS!E:E)</f>
        <v>C-00054/0054</v>
      </c>
      <c r="H786" s="80" t="s">
        <v>214</v>
      </c>
      <c r="I786" s="6">
        <v>8619663.3499999996</v>
      </c>
      <c r="J786" s="6"/>
      <c r="K786" s="6">
        <f>ROUND(I786*0.3,2)</f>
        <v>2585899.0099999998</v>
      </c>
      <c r="L786" s="6">
        <f t="shared" si="197"/>
        <v>6033764.3399999999</v>
      </c>
      <c r="M786" s="6">
        <f t="shared" si="196"/>
        <v>965402.29</v>
      </c>
      <c r="N786" s="6">
        <f t="shared" si="198"/>
        <v>6999166.6299999999</v>
      </c>
      <c r="O786" s="6">
        <f>+ROUND(I786*0.002,2)+ROUND(I786*0.0003,2)+ROUND(I786*0.0003,2)+ROUND(I786*0.0003,2)+ROUND(I786*0.002,2)</f>
        <v>42236.36</v>
      </c>
      <c r="P786" s="6">
        <f t="shared" si="199"/>
        <v>6956930.2699999996</v>
      </c>
      <c r="Q786" s="4" t="str">
        <f>LOOKUP($E786,OBRAS!$D:$D,OBRAS!B:B)</f>
        <v>EDIFICACIONES BOZA S.A. DE C.V.</v>
      </c>
      <c r="R786" s="4" t="str">
        <f>LOOKUP($E786,OBRAS!$D:$D,OBRAS!A:A)</f>
        <v>ETCHOJOA</v>
      </c>
      <c r="S786" s="4" t="str">
        <f>LOOKUP($E786,OBRAS!$D:$D,OBRAS!F:F)</f>
        <v>11000002003501E204K08063A625012162A212</v>
      </c>
      <c r="T786" s="4" t="str">
        <f>LOOKUP($E786,OBRAS!$D:$D,OBRAS!G:G)</f>
        <v>CE-926006995-E18-2016</v>
      </c>
      <c r="U786" s="4" t="s">
        <v>863</v>
      </c>
      <c r="V786" s="89">
        <v>42734</v>
      </c>
      <c r="W786" s="6">
        <f>LOOKUP($E786,OBRAS!$D:$D,OBRAS!K:K)</f>
        <v>63672479.109999999</v>
      </c>
      <c r="X786" s="109">
        <f t="shared" si="200"/>
        <v>0.157</v>
      </c>
      <c r="Y786" s="109">
        <f t="shared" si="201"/>
        <v>0.95409999999999995</v>
      </c>
      <c r="Z786" s="109">
        <f t="shared" si="202"/>
        <v>0.96489999999999998</v>
      </c>
      <c r="AA786" s="4" t="str">
        <f>LOOKUP($E786,OBRAS!$D:$D,OBRAS!H:H)</f>
        <v>SH-ED-17-R-004</v>
      </c>
    </row>
    <row r="787" spans="1:27" ht="60" x14ac:dyDescent="0.25">
      <c r="A787" s="90">
        <v>42703</v>
      </c>
      <c r="B787" s="56">
        <v>5394</v>
      </c>
      <c r="C787" s="49">
        <v>786</v>
      </c>
      <c r="D787" s="4" t="str">
        <f>LOOKUP($E787,OBRAS!$D:$D,OBRAS!C:C)</f>
        <v>CONSERVACIÓN DEL TRAMO NOVILLO - BACANORA - SAHUARIPA -  SAN NICOLÁS EN VARIAS LOCALIDADES DE VARIOS MUNICIPIOS DEL ESTADO DE SONORA.</v>
      </c>
      <c r="E787" s="4" t="s">
        <v>554</v>
      </c>
      <c r="F787" s="4"/>
      <c r="G787" s="4" t="str">
        <f>LOOKUP($E787,OBRAS!$D:$D,OBRAS!E:E)</f>
        <v>C-00054/0055</v>
      </c>
      <c r="H787" s="80" t="s">
        <v>215</v>
      </c>
      <c r="I787" s="6">
        <v>11075872.08</v>
      </c>
      <c r="J787" s="6"/>
      <c r="K787" s="6">
        <f>ROUND(I787*0.3,2)</f>
        <v>3322761.62</v>
      </c>
      <c r="L787" s="6">
        <f t="shared" si="197"/>
        <v>7753110.46</v>
      </c>
      <c r="M787" s="6">
        <f t="shared" si="196"/>
        <v>1240497.67</v>
      </c>
      <c r="N787" s="6">
        <f t="shared" si="198"/>
        <v>8993608.1300000008</v>
      </c>
      <c r="O787" s="6">
        <f>+ROUND(I787*0.002,2)+ROUND(I787*0.0003,2)+ROUND(I787*0.0003,2)+ROUND(I787*0.0003,2)+ROUND(I787*0.002,2)</f>
        <v>54271.76</v>
      </c>
      <c r="P787" s="6">
        <f t="shared" si="199"/>
        <v>8939336.3699999992</v>
      </c>
      <c r="Q787" s="4" t="str">
        <f>LOOKUP($E787,OBRAS!$D:$D,OBRAS!B:B)</f>
        <v>CONSTRUCCIONES VILLA DE SERIS, S. A. DE C. V.</v>
      </c>
      <c r="R787" s="4" t="str">
        <f>LOOKUP($E787,OBRAS!$D:$D,OBRAS!A:A)</f>
        <v>VARIOS</v>
      </c>
      <c r="S787" s="4" t="str">
        <f>LOOKUP($E787,OBRAS!$D:$D,OBRAS!F:F)</f>
        <v>11000002003501E204K08063A625012162A213</v>
      </c>
      <c r="T787" s="4" t="str">
        <f>LOOKUP($E787,OBRAS!$D:$D,OBRAS!G:G)</f>
        <v>CE-926006995-E19-2016</v>
      </c>
      <c r="U787" s="4" t="s">
        <v>863</v>
      </c>
      <c r="V787" s="89">
        <v>42755</v>
      </c>
      <c r="W787" s="6">
        <f>LOOKUP($E787,OBRAS!$D:$D,OBRAS!K:K)</f>
        <v>112909841.56</v>
      </c>
      <c r="X787" s="109">
        <f t="shared" si="200"/>
        <v>0.1138</v>
      </c>
      <c r="Y787" s="109">
        <f t="shared" si="201"/>
        <v>0.93110000000000004</v>
      </c>
      <c r="Z787" s="109">
        <f t="shared" si="202"/>
        <v>0.95179999999999998</v>
      </c>
      <c r="AA787" s="4" t="str">
        <f>LOOKUP($E787,OBRAS!$D:$D,OBRAS!H:H)</f>
        <v>SH-ED-17-R-004</v>
      </c>
    </row>
    <row r="788" spans="1:27" ht="45" x14ac:dyDescent="0.25">
      <c r="A788" s="90">
        <v>42705</v>
      </c>
      <c r="B788" s="56">
        <v>5454</v>
      </c>
      <c r="C788" s="49">
        <v>787</v>
      </c>
      <c r="D788" s="4" t="str">
        <f>LOOKUP($E788,OBRAS!$D:$D,OBRAS!C:C)</f>
        <v>SUPERVISION EXTERNA Y CONTROL DE CALIDAD PARA LA OBRA: RECONSTRUCCION DEL CAMINO E.C. FEDERAL 15-LAS BOCAS</v>
      </c>
      <c r="E788" s="4" t="s">
        <v>441</v>
      </c>
      <c r="F788" s="4"/>
      <c r="G788" s="4" t="str">
        <f>LOOKUP($E788,OBRAS!$D:$D,OBRAS!E:E)</f>
        <v>C-00098/0021</v>
      </c>
      <c r="H788" s="80" t="s">
        <v>215</v>
      </c>
      <c r="I788" s="6">
        <v>152329.66</v>
      </c>
      <c r="J788" s="6"/>
      <c r="K788" s="6">
        <f>ROUND(I788*0.1,2)</f>
        <v>15232.97</v>
      </c>
      <c r="L788" s="6">
        <f t="shared" si="197"/>
        <v>137096.69</v>
      </c>
      <c r="M788" s="6">
        <f t="shared" si="196"/>
        <v>21935.47</v>
      </c>
      <c r="N788" s="6">
        <f t="shared" si="198"/>
        <v>159032.16</v>
      </c>
      <c r="O788" s="6">
        <f>+ROUND(I788*0.002,2)+ROUND(I788*0.0003,2)+ROUND(I788*0.0003,2)+ROUND(I788*0.0003,2)</f>
        <v>441.76</v>
      </c>
      <c r="P788" s="6">
        <f t="shared" si="199"/>
        <v>158590.39999999999</v>
      </c>
      <c r="Q788" s="4" t="str">
        <f>LOOKUP($E788,OBRAS!$D:$D,OBRAS!B:B)</f>
        <v>ING. JOEL TOSAME IBARRA</v>
      </c>
      <c r="R788" s="4" t="str">
        <f>LOOKUP($E788,OBRAS!$D:$D,OBRAS!A:A)</f>
        <v>HUATABAMPO</v>
      </c>
      <c r="S788" s="4" t="str">
        <f>LOOKUP($E788,OBRAS!$D:$D,OBRAS!F:F)</f>
        <v>11000002003501E203K03203A625132161A013</v>
      </c>
      <c r="T788" s="4" t="str">
        <f>LOOKUP($E788,OBRAS!$D:$D,OBRAS!G:G)</f>
        <v>LICITACIÓN SIMPLIFICADA</v>
      </c>
      <c r="U788" s="4" t="s">
        <v>863</v>
      </c>
      <c r="V788" s="88">
        <v>42723</v>
      </c>
      <c r="W788" s="6">
        <f>LOOKUP($E788,OBRAS!$D:$D,OBRAS!K:K)</f>
        <v>706809.62</v>
      </c>
      <c r="X788" s="109">
        <f t="shared" si="200"/>
        <v>0.25</v>
      </c>
      <c r="Y788" s="109">
        <f t="shared" si="201"/>
        <v>1</v>
      </c>
      <c r="Z788" s="109">
        <f t="shared" si="202"/>
        <v>1</v>
      </c>
      <c r="AA788" s="4" t="str">
        <f>LOOKUP($E788,OBRAS!$D:$D,OBRAS!H:H)</f>
        <v>SH-ED-16-020</v>
      </c>
    </row>
    <row r="789" spans="1:27" ht="45" x14ac:dyDescent="0.25">
      <c r="A789" s="90">
        <v>42705</v>
      </c>
      <c r="B789" s="56">
        <v>5457</v>
      </c>
      <c r="C789" s="51">
        <v>788</v>
      </c>
      <c r="D789" s="4" t="str">
        <f>LOOKUP($E789,OBRAS!$D:$D,OBRAS!C:C)</f>
        <v>RECONSTRUCCION DE CALLE 26 DEL KM 70+000 AL 101+300 EN VARIAS LOCALIDADES DEL MUNICIPIO DE HERMOSILLO, SONORA</v>
      </c>
      <c r="E789" s="4" t="s">
        <v>386</v>
      </c>
      <c r="F789" s="4"/>
      <c r="G789" s="4" t="str">
        <f>LOOKUP($E789,OBRAS!$D:$D,OBRAS!E:E)</f>
        <v>C-00054/0073</v>
      </c>
      <c r="H789" s="80" t="s">
        <v>15</v>
      </c>
      <c r="I789" s="6">
        <v>1855565.8</v>
      </c>
      <c r="J789" s="6"/>
      <c r="K789" s="6">
        <f t="shared" ref="K789:K795" si="203">ROUND(I789*0.3,2)</f>
        <v>556669.74</v>
      </c>
      <c r="L789" s="6">
        <f t="shared" si="197"/>
        <v>1298896.06</v>
      </c>
      <c r="M789" s="6">
        <f t="shared" si="196"/>
        <v>207823.37</v>
      </c>
      <c r="N789" s="6">
        <f t="shared" si="198"/>
        <v>1506719.43</v>
      </c>
      <c r="O789" s="6">
        <f>+ROUND(I789*0.002,2)+ROUND(I789*0.0003,2)+ROUND(I789*0.0003,2)+ROUND(I789*0.0003,2)+ROUND(I789*0.002,2)</f>
        <v>9092.27</v>
      </c>
      <c r="P789" s="6">
        <f t="shared" si="199"/>
        <v>1497627.16</v>
      </c>
      <c r="Q789" s="4" t="str">
        <f>LOOKUP($E789,OBRAS!$D:$D,OBRAS!B:B)</f>
        <v>GYEMM INMOBILIARIA Y DISEÑOS EN INGENIERIA Y ARQUITECTURA, S.A. DE C.V.</v>
      </c>
      <c r="R789" s="4" t="str">
        <f>LOOKUP($E789,OBRAS!$D:$D,OBRAS!A:A)</f>
        <v>HERMOSILLO</v>
      </c>
      <c r="S789" s="4" t="str">
        <f>LOOKUP($E789,OBRAS!$D:$D,OBRAS!F:F)</f>
        <v>11000002003501E204K08063A625012162A207</v>
      </c>
      <c r="T789" s="4" t="str">
        <f>LOOKUP($E789,OBRAS!$D:$D,OBRAS!G:G)</f>
        <v>CE-926006995-E42-2016</v>
      </c>
      <c r="U789" s="4" t="s">
        <v>863</v>
      </c>
      <c r="V789" s="89">
        <v>42755</v>
      </c>
      <c r="W789" s="6">
        <f>LOOKUP($E789,OBRAS!$D:$D,OBRAS!K:K)</f>
        <v>45827894.390000001</v>
      </c>
      <c r="X789" s="109">
        <f t="shared" si="200"/>
        <v>4.7E-2</v>
      </c>
      <c r="Y789" s="109">
        <f t="shared" si="201"/>
        <v>0.50019999999999998</v>
      </c>
      <c r="Z789" s="109">
        <f t="shared" si="202"/>
        <v>0.65010000000000001</v>
      </c>
      <c r="AA789" s="4" t="str">
        <f>LOOKUP($E789,OBRAS!$D:$D,OBRAS!H:H)</f>
        <v>SH-ED-17-R-004</v>
      </c>
    </row>
    <row r="790" spans="1:27" ht="45" x14ac:dyDescent="0.25">
      <c r="A790" s="90">
        <v>42705</v>
      </c>
      <c r="B790" s="56">
        <v>5458</v>
      </c>
      <c r="C790" s="51">
        <v>789</v>
      </c>
      <c r="D790" s="4" t="str">
        <f>LOOKUP($E790,OBRAS!$D:$D,OBRAS!C:C)</f>
        <v>RECONSTRUCCION DE CALLE 28 NORTE, DEL KM 0 + 000 AL KM 10+160, Y DEL KM 17+210 AL 17+982, HERMOSILLO</v>
      </c>
      <c r="E790" s="4" t="s">
        <v>349</v>
      </c>
      <c r="F790" s="4" t="s">
        <v>285</v>
      </c>
      <c r="G790" s="4" t="str">
        <f>LOOKUP($E790,OBRAS!$D:$D,OBRAS!E:E)</f>
        <v>C-00054/0072</v>
      </c>
      <c r="H790" s="80" t="s">
        <v>55</v>
      </c>
      <c r="I790" s="6">
        <v>1312754.81</v>
      </c>
      <c r="J790" s="6"/>
      <c r="K790" s="6">
        <f t="shared" si="203"/>
        <v>393826.44</v>
      </c>
      <c r="L790" s="6">
        <f t="shared" si="197"/>
        <v>918928.37</v>
      </c>
      <c r="M790" s="6">
        <f t="shared" si="196"/>
        <v>147028.54</v>
      </c>
      <c r="N790" s="6">
        <f t="shared" si="198"/>
        <v>1065956.9099999999</v>
      </c>
      <c r="O790" s="6">
        <f>+ROUND(I790*0.002,2)+ROUND(I790*0.0003,2)+ROUND(I790*0.0003,2)+ROUND(I790*0.0003,2)+ROUND(I790*0.002,2)</f>
        <v>6432.51</v>
      </c>
      <c r="P790" s="6">
        <f t="shared" si="199"/>
        <v>1059524.3999999999</v>
      </c>
      <c r="Q790" s="4" t="str">
        <f>LOOKUP($E790,OBRAS!$D:$D,OBRAS!B:B)</f>
        <v>GRUPO EMPRESARIAL BABASAC, S. A. DE C. V.</v>
      </c>
      <c r="R790" s="4" t="str">
        <f>LOOKUP($E790,OBRAS!$D:$D,OBRAS!A:A)</f>
        <v>HERMOSILLO</v>
      </c>
      <c r="S790" s="4" t="str">
        <f>LOOKUP($E790,OBRAS!$D:$D,OBRAS!F:F)</f>
        <v>11000002003501E204K08063A625012162A207</v>
      </c>
      <c r="T790" s="4" t="str">
        <f>LOOKUP($E790,OBRAS!$D:$D,OBRAS!G:G)</f>
        <v>CE-926006995-E40-2016</v>
      </c>
      <c r="U790" s="4" t="s">
        <v>863</v>
      </c>
      <c r="V790" s="89">
        <v>42769</v>
      </c>
      <c r="W790" s="6">
        <f>LOOKUP($E790,OBRAS!$D:$D,OBRAS!K:K)</f>
        <v>20694418.350000001</v>
      </c>
      <c r="X790" s="109">
        <f t="shared" si="200"/>
        <v>7.3599999999999999E-2</v>
      </c>
      <c r="Y790" s="109">
        <f t="shared" si="201"/>
        <v>1</v>
      </c>
      <c r="Z790" s="109">
        <f t="shared" si="202"/>
        <v>1</v>
      </c>
      <c r="AA790" s="4" t="str">
        <f>LOOKUP($E790,OBRAS!$D:$D,OBRAS!H:H)</f>
        <v>SH-ED-17-R-004</v>
      </c>
    </row>
    <row r="791" spans="1:27" ht="75" x14ac:dyDescent="0.25">
      <c r="A791" s="90">
        <v>42705</v>
      </c>
      <c r="B791" s="56">
        <v>5456</v>
      </c>
      <c r="C791" s="51">
        <v>790</v>
      </c>
      <c r="D791" s="4" t="str">
        <f>LOOKUP($E791,OBRAS!$D:$D,OBRAS!C:C)</f>
        <v>REHABILITACIÓN DE PAVIMENTOS A BASE DE RECARPETEO EN BLVD. GARCIA MORALES ENTRE ANTONIO QUIROGA Y ACCESO AL AEROPUERTO EN LA LOCALIDAD Y MUNICIPIO DE HERMOSILLO, SONORA.</v>
      </c>
      <c r="E791" s="4" t="s">
        <v>835</v>
      </c>
      <c r="F791" s="4" t="s">
        <v>927</v>
      </c>
      <c r="G791" s="4" t="str">
        <f>LOOKUP($E791,OBRAS!$D:$D,OBRAS!E:E)</f>
        <v>C-00052/0179</v>
      </c>
      <c r="H791" s="80" t="s">
        <v>103</v>
      </c>
      <c r="I791" s="6">
        <v>3711847.6</v>
      </c>
      <c r="J791" s="6"/>
      <c r="K791" s="6">
        <f t="shared" si="203"/>
        <v>1113554.28</v>
      </c>
      <c r="L791" s="6">
        <f t="shared" si="197"/>
        <v>2598293.3199999998</v>
      </c>
      <c r="M791" s="6">
        <f t="shared" si="196"/>
        <v>415726.93</v>
      </c>
      <c r="N791" s="6">
        <f t="shared" si="198"/>
        <v>3014020.25</v>
      </c>
      <c r="O791" s="6">
        <f>+ROUND(I791*0.005,2)</f>
        <v>18559.240000000002</v>
      </c>
      <c r="P791" s="6">
        <f t="shared" si="199"/>
        <v>2995461.01</v>
      </c>
      <c r="Q791" s="4" t="str">
        <f>LOOKUP($E791,OBRAS!$D:$D,OBRAS!B:B)</f>
        <v>CONSTRUCCIONES EL LLANO, S.A. DE C.V.</v>
      </c>
      <c r="R791" s="4" t="str">
        <f>LOOKUP($E791,OBRAS!$D:$D,OBRAS!A:A)</f>
        <v>HERMOSILLO</v>
      </c>
      <c r="S791" s="4" t="str">
        <f>LOOKUP($E791,OBRAS!$D:$D,OBRAS!F:F)</f>
        <v>11000002002201E202K05186A614202165CN07</v>
      </c>
      <c r="T791" s="4" t="str">
        <f>LOOKUP($E791,OBRAS!$D:$D,OBRAS!G:G)</f>
        <v>LO-956006995-E87-2016</v>
      </c>
      <c r="U791" s="4" t="s">
        <v>863</v>
      </c>
      <c r="V791" s="89">
        <v>42734</v>
      </c>
      <c r="W791" s="6">
        <f>LOOKUP($E791,OBRAS!$D:$D,OBRAS!K:K)</f>
        <v>19069990.460000001</v>
      </c>
      <c r="X791" s="109">
        <f t="shared" si="200"/>
        <v>0.2258</v>
      </c>
      <c r="Y791" s="109">
        <f t="shared" si="201"/>
        <v>0.97560000000000002</v>
      </c>
      <c r="Z791" s="109">
        <f t="shared" si="202"/>
        <v>0.98280000000000001</v>
      </c>
      <c r="AA791" s="4" t="str">
        <f>LOOKUP($E791,OBRAS!$D:$D,OBRAS!H:H)</f>
        <v>SH-NC-17-R-004</v>
      </c>
    </row>
    <row r="792" spans="1:27" ht="60" x14ac:dyDescent="0.25">
      <c r="A792" s="90">
        <v>42705</v>
      </c>
      <c r="B792" s="56">
        <v>5459</v>
      </c>
      <c r="C792" s="51">
        <v>791</v>
      </c>
      <c r="D792" s="4" t="str">
        <f>LOOKUP($E792,OBRAS!$D:$D,OBRAS!C:C)</f>
        <v>PAVIMENTACION CON CONCRETO HIDRAULICO DE 15 CMS DE ESPESOR EN LAS CALLES JOSE A. LUNA Y VICENTE GUERRERO EN LA LOCALIDAD Y MUNICIPIO DE ACONCHI, SONORA</v>
      </c>
      <c r="E792" s="4" t="s">
        <v>924</v>
      </c>
      <c r="F792" s="4" t="s">
        <v>927</v>
      </c>
      <c r="G792" s="4" t="str">
        <f>LOOKUP($E792,OBRAS!$D:$D,OBRAS!E:E)</f>
        <v>C-00052/0214</v>
      </c>
      <c r="H792" s="80" t="s">
        <v>103</v>
      </c>
      <c r="I792" s="6">
        <v>72793.240000000005</v>
      </c>
      <c r="J792" s="6"/>
      <c r="K792" s="6">
        <f t="shared" si="203"/>
        <v>21837.97</v>
      </c>
      <c r="L792" s="6">
        <f t="shared" si="197"/>
        <v>50955.27</v>
      </c>
      <c r="M792" s="6">
        <f t="shared" si="196"/>
        <v>8152.84</v>
      </c>
      <c r="N792" s="6">
        <f t="shared" si="198"/>
        <v>59108.11</v>
      </c>
      <c r="O792" s="6">
        <f>+ROUND(I792*0.005,2)</f>
        <v>363.97</v>
      </c>
      <c r="P792" s="6">
        <f t="shared" si="199"/>
        <v>58744.14</v>
      </c>
      <c r="Q792" s="4" t="str">
        <f>LOOKUP($E792,OBRAS!$D:$D,OBRAS!B:B)</f>
        <v>ORTOPLAN CONSULTORES S. A. DE C. V.</v>
      </c>
      <c r="R792" s="4" t="str">
        <f>LOOKUP($E792,OBRAS!$D:$D,OBRAS!A:A)</f>
        <v>ACONCHI</v>
      </c>
      <c r="S792" s="4" t="str">
        <f>LOOKUP($E792,OBRAS!$D:$D,OBRAS!F:F)</f>
        <v>11000002002201E202K05186A614202165FN05</v>
      </c>
      <c r="T792" s="4" t="str">
        <f>LOOKUP($E792,OBRAS!$D:$D,OBRAS!G:G)</f>
        <v>10-926006995-E106-2016</v>
      </c>
      <c r="U792" s="4" t="s">
        <v>863</v>
      </c>
      <c r="V792" s="89">
        <v>42734</v>
      </c>
      <c r="W792" s="6">
        <f>LOOKUP($E792,OBRAS!$D:$D,OBRAS!K:K)</f>
        <v>2595924.5299999998</v>
      </c>
      <c r="X792" s="109">
        <f t="shared" si="200"/>
        <v>3.2500000000000001E-2</v>
      </c>
      <c r="Y792" s="109">
        <f t="shared" si="201"/>
        <v>0.81279999999999997</v>
      </c>
      <c r="Z792" s="109">
        <f t="shared" si="202"/>
        <v>0.86899999999999999</v>
      </c>
      <c r="AA792" s="4" t="str">
        <f>LOOKUP($E792,OBRAS!$D:$D,OBRAS!H:H)</f>
        <v>SH-NC-17-R-005</v>
      </c>
    </row>
    <row r="793" spans="1:27" ht="45" x14ac:dyDescent="0.25">
      <c r="A793" s="90">
        <v>42705</v>
      </c>
      <c r="B793" s="56">
        <v>5455</v>
      </c>
      <c r="C793" s="51">
        <v>792</v>
      </c>
      <c r="D793" s="4" t="str">
        <f>LOOKUP($E793,OBRAS!$D:$D,OBRAS!C:C)</f>
        <v>PAVIMENTACION CON CONCRETO HIDRAULICO EN LA CALLE AGUSTIN FIGUEROA EN LA LOCALIDAD DE BANAMICHI, SONORA</v>
      </c>
      <c r="E793" s="4" t="s">
        <v>919</v>
      </c>
      <c r="F793" s="4" t="s">
        <v>927</v>
      </c>
      <c r="G793" s="4" t="str">
        <f>LOOKUP($E793,OBRAS!$D:$D,OBRAS!E:E)</f>
        <v>C-00052/0204</v>
      </c>
      <c r="H793" s="80" t="s">
        <v>103</v>
      </c>
      <c r="I793" s="6">
        <v>887886.88</v>
      </c>
      <c r="J793" s="6"/>
      <c r="K793" s="6">
        <f t="shared" si="203"/>
        <v>266366.06</v>
      </c>
      <c r="L793" s="6">
        <f t="shared" si="197"/>
        <v>621520.81999999995</v>
      </c>
      <c r="M793" s="6">
        <f t="shared" si="196"/>
        <v>99443.33</v>
      </c>
      <c r="N793" s="6">
        <f t="shared" si="198"/>
        <v>720964.15</v>
      </c>
      <c r="O793" s="6">
        <f>+ROUND(I793*0.005,2)</f>
        <v>4439.43</v>
      </c>
      <c r="P793" s="6">
        <f t="shared" si="199"/>
        <v>716524.72</v>
      </c>
      <c r="Q793" s="4" t="str">
        <f>LOOKUP($E793,OBRAS!$D:$D,OBRAS!B:B)</f>
        <v>ORTOPLAN CONSULTORES S. A. DE C. V.</v>
      </c>
      <c r="R793" s="4" t="str">
        <f>LOOKUP($E793,OBRAS!$D:$D,OBRAS!A:A)</f>
        <v>BANAMICHI</v>
      </c>
      <c r="S793" s="4" t="str">
        <f>LOOKUP($E793,OBRAS!$D:$D,OBRAS!F:F)</f>
        <v>11000002002201E202K05186A614202165FN05</v>
      </c>
      <c r="T793" s="4" t="str">
        <f>LOOKUP($E793,OBRAS!$D:$D,OBRAS!G:G)</f>
        <v>10-926006995-E105-2016</v>
      </c>
      <c r="U793" s="4" t="s">
        <v>863</v>
      </c>
      <c r="V793" s="89">
        <v>42733</v>
      </c>
      <c r="W793" s="6">
        <f>LOOKUP($E793,OBRAS!$D:$D,OBRAS!K:K)</f>
        <v>1890844.29</v>
      </c>
      <c r="X793" s="109">
        <f t="shared" si="200"/>
        <v>0.54469999999999996</v>
      </c>
      <c r="Y793" s="109">
        <f t="shared" si="201"/>
        <v>0.93669999999999998</v>
      </c>
      <c r="Z793" s="109">
        <f t="shared" si="202"/>
        <v>0.95569999999999999</v>
      </c>
      <c r="AA793" s="4" t="str">
        <f>LOOKUP($E793,OBRAS!$D:$D,OBRAS!H:H)</f>
        <v>SH-NC-17-R-005</v>
      </c>
    </row>
    <row r="794" spans="1:27" ht="30" x14ac:dyDescent="0.25">
      <c r="A794" s="90">
        <v>42705</v>
      </c>
      <c r="B794" s="56">
        <v>5483</v>
      </c>
      <c r="C794" s="49">
        <v>793</v>
      </c>
      <c r="D794" s="4" t="str">
        <f>LOOKUP($E794,OBRAS!$D:$D,OBRAS!C:C)</f>
        <v>REHABILITACION DE COLECTOR DE AGUAS RESIDUALES</v>
      </c>
      <c r="E794" s="4" t="s">
        <v>1739</v>
      </c>
      <c r="F794" s="4"/>
      <c r="G794" s="4" t="str">
        <f>LOOKUP($E794,OBRAS!$D:$D,OBRAS!E:E)</f>
        <v>C-00051/0003</v>
      </c>
      <c r="H794" s="80" t="s">
        <v>103</v>
      </c>
      <c r="I794" s="6">
        <v>555488.88</v>
      </c>
      <c r="J794" s="6"/>
      <c r="K794" s="6">
        <f t="shared" si="203"/>
        <v>166646.66</v>
      </c>
      <c r="L794" s="6">
        <f t="shared" si="197"/>
        <v>388842.22</v>
      </c>
      <c r="M794" s="6">
        <f t="shared" si="196"/>
        <v>62214.76</v>
      </c>
      <c r="N794" s="6">
        <f t="shared" si="198"/>
        <v>451056.98</v>
      </c>
      <c r="O794" s="6">
        <f>+ROUND(I794*0.002,2)+ROUND(I794*0.0003,2)+ROUND(I794*0.0003,2)+ROUND(I794*0.0003,2)+ROUND(I794*0.002,2)</f>
        <v>2721.91</v>
      </c>
      <c r="P794" s="6">
        <f t="shared" si="199"/>
        <v>448335.07</v>
      </c>
      <c r="Q794" s="4" t="str">
        <f>LOOKUP($E794,OBRAS!$D:$D,OBRAS!B:B)</f>
        <v>CONSTRUCTORA MIRAMAR, S.A. DE C.V.</v>
      </c>
      <c r="R794" s="4" t="str">
        <f>LOOKUP($E794,OBRAS!$D:$D,OBRAS!A:A)</f>
        <v>PITIQUITO</v>
      </c>
      <c r="S794" s="4" t="str">
        <f>LOOKUP($E794,OBRAS!$D:$D,OBRAS!F:F)</f>
        <v>11000002002103E202K06023A614092162A202</v>
      </c>
      <c r="T794" s="4" t="str">
        <f>LOOKUP($E794,OBRAS!$D:$D,OBRAS!G:G)</f>
        <v>LICITACIÓN SIMPLIFICADA</v>
      </c>
      <c r="U794" s="4" t="s">
        <v>863</v>
      </c>
      <c r="V794" s="89">
        <v>42780</v>
      </c>
      <c r="W794" s="6">
        <f>LOOKUP($E794,OBRAS!$D:$D,OBRAS!K:K)</f>
        <v>1284585.54</v>
      </c>
      <c r="X794" s="109">
        <f t="shared" si="200"/>
        <v>0.50160000000000005</v>
      </c>
      <c r="Y794" s="109">
        <f t="shared" si="201"/>
        <v>0.99370000000000003</v>
      </c>
      <c r="Z794" s="109">
        <f t="shared" si="202"/>
        <v>0.99370000000000003</v>
      </c>
      <c r="AA794" s="4" t="str">
        <f>LOOKUP($E794,OBRAS!$D:$D,OBRAS!H:H)</f>
        <v>SH-ED-17-R-013</v>
      </c>
    </row>
    <row r="795" spans="1:27" ht="45" x14ac:dyDescent="0.25">
      <c r="A795" s="90">
        <v>42706</v>
      </c>
      <c r="B795" s="56">
        <v>5519</v>
      </c>
      <c r="C795" s="136">
        <v>794</v>
      </c>
      <c r="D795" s="4" t="str">
        <f>LOOKUP($E795,OBRAS!$D:$D,OBRAS!C:C)</f>
        <v>RECONSTRUCCION DE CALLE 26 DEL KM 70+000 AL 101+300 EN VARIAS LOCALIDADES DEL MUNICIPIO DE HERMOSILLO, SONORA</v>
      </c>
      <c r="E795" s="4" t="s">
        <v>386</v>
      </c>
      <c r="F795" s="4"/>
      <c r="G795" s="4" t="str">
        <f>LOOKUP($E795,OBRAS!$D:$D,OBRAS!E:E)</f>
        <v>C-00054/0073</v>
      </c>
      <c r="H795" s="80" t="s">
        <v>215</v>
      </c>
      <c r="I795" s="6">
        <v>2338333.65</v>
      </c>
      <c r="J795" s="6"/>
      <c r="K795" s="6">
        <f t="shared" si="203"/>
        <v>701500.1</v>
      </c>
      <c r="L795" s="6">
        <f t="shared" si="197"/>
        <v>1636833.55</v>
      </c>
      <c r="M795" s="6">
        <f t="shared" si="196"/>
        <v>261893.37</v>
      </c>
      <c r="N795" s="6">
        <f t="shared" si="198"/>
        <v>1898726.92</v>
      </c>
      <c r="O795" s="6">
        <f>+ROUND(I795*0.002,2)+ROUND(I795*0.0003,2)+ROUND(I795*0.0003,2)+ROUND(I795*0.0003,2)+ROUND(I795*0.002,2)</f>
        <v>11457.84</v>
      </c>
      <c r="P795" s="6">
        <f t="shared" si="199"/>
        <v>1887269.08</v>
      </c>
      <c r="Q795" s="4" t="str">
        <f>LOOKUP($E795,OBRAS!$D:$D,OBRAS!B:B)</f>
        <v>GYEMM INMOBILIARIA Y DISEÑOS EN INGENIERIA Y ARQUITECTURA, S.A. DE C.V.</v>
      </c>
      <c r="R795" s="4" t="str">
        <f>LOOKUP($E795,OBRAS!$D:$D,OBRAS!A:A)</f>
        <v>HERMOSILLO</v>
      </c>
      <c r="S795" s="4" t="str">
        <f>LOOKUP($E795,OBRAS!$D:$D,OBRAS!F:F)</f>
        <v>11000002003501E204K08063A625012162A207</v>
      </c>
      <c r="T795" s="4" t="str">
        <f>LOOKUP($E795,OBRAS!$D:$D,OBRAS!G:G)</f>
        <v>CE-926006995-E42-2016</v>
      </c>
      <c r="U795" s="4" t="s">
        <v>863</v>
      </c>
      <c r="V795" s="89">
        <v>42755</v>
      </c>
      <c r="W795" s="6">
        <f>LOOKUP($E795,OBRAS!$D:$D,OBRAS!K:K)</f>
        <v>45827894.390000001</v>
      </c>
      <c r="X795" s="109">
        <f t="shared" si="200"/>
        <v>5.9200000000000003E-2</v>
      </c>
      <c r="Y795" s="109">
        <f t="shared" si="201"/>
        <v>0.50019999999999998</v>
      </c>
      <c r="Z795" s="109">
        <f t="shared" si="202"/>
        <v>0.65010000000000001</v>
      </c>
      <c r="AA795" s="4" t="str">
        <f>LOOKUP($E795,OBRAS!$D:$D,OBRAS!H:H)</f>
        <v>SH-ED-17-R-004</v>
      </c>
    </row>
    <row r="796" spans="1:27" ht="75" x14ac:dyDescent="0.25">
      <c r="A796" s="90">
        <v>42706</v>
      </c>
      <c r="B796" s="56">
        <v>5520</v>
      </c>
      <c r="C796" s="49">
        <v>795</v>
      </c>
      <c r="D796" s="4" t="str">
        <f>LOOKUP($E796,OBRAS!$D:$D,OBRAS!C:C)</f>
        <v>SUPERVISION EXTERNA Y CONTROL DE CALIDAD DE LA OBRA: RECONSTRUCCION DE LA CALLE GUERRERO DEL KM 0+000 AL 6+020 EN VARIAS LOCALIDADES DEL MUNICIPIO DE HERMOSILLO, SONORA.</v>
      </c>
      <c r="E796" s="4" t="s">
        <v>797</v>
      </c>
      <c r="F796" s="4"/>
      <c r="G796" s="4" t="str">
        <f>LOOKUP($E796,OBRAS!$D:$D,OBRAS!E:E)</f>
        <v>C-00098/0022</v>
      </c>
      <c r="H796" s="80" t="s">
        <v>55</v>
      </c>
      <c r="I796" s="6">
        <v>79929.72</v>
      </c>
      <c r="J796" s="6"/>
      <c r="K796" s="6">
        <v>0</v>
      </c>
      <c r="L796" s="6">
        <f t="shared" si="197"/>
        <v>79929.72</v>
      </c>
      <c r="M796" s="6">
        <f t="shared" si="196"/>
        <v>12788.76</v>
      </c>
      <c r="N796" s="6">
        <f t="shared" si="198"/>
        <v>92718.48</v>
      </c>
      <c r="O796" s="6">
        <f t="shared" ref="O796:O803" si="204">+ROUND(I796*0.002,2)+ROUND(I796*0.0003,2)+ROUND(I796*0.0003,2)+ROUND(I796*0.0003,2)</f>
        <v>231.8</v>
      </c>
      <c r="P796" s="6">
        <f t="shared" si="199"/>
        <v>92486.68</v>
      </c>
      <c r="Q796" s="4" t="str">
        <f>LOOKUP($E796,OBRAS!$D:$D,OBRAS!B:B)</f>
        <v>ALCCON SIGLO XXI, S.A. DE C.V.</v>
      </c>
      <c r="R796" s="4" t="str">
        <f>LOOKUP($E796,OBRAS!$D:$D,OBRAS!A:A)</f>
        <v>HERMOSILLO</v>
      </c>
      <c r="S796" s="4" t="str">
        <f>LOOKUP($E796,OBRAS!$D:$D,OBRAS!F:F)</f>
        <v>11000002002207E201K02104A622212161A013</v>
      </c>
      <c r="T796" s="4" t="str">
        <f>LOOKUP($E796,OBRAS!$D:$D,OBRAS!G:G)</f>
        <v>LICITACIÓN SIMPLIFICADA</v>
      </c>
      <c r="U796" s="4" t="s">
        <v>863</v>
      </c>
      <c r="V796" s="89">
        <v>42781</v>
      </c>
      <c r="W796" s="6">
        <f>LOOKUP($E796,OBRAS!$D:$D,OBRAS!K:K)</f>
        <v>529215.07999999996</v>
      </c>
      <c r="X796" s="109">
        <f t="shared" si="200"/>
        <v>0.17519999999999999</v>
      </c>
      <c r="Y796" s="109">
        <f t="shared" si="201"/>
        <v>1</v>
      </c>
      <c r="Z796" s="109">
        <f t="shared" si="202"/>
        <v>1</v>
      </c>
      <c r="AA796" s="4" t="str">
        <f>LOOKUP($E796,OBRAS!$D:$D,OBRAS!H:H)</f>
        <v>SH-ED-16-066</v>
      </c>
    </row>
    <row r="797" spans="1:27" ht="75" x14ac:dyDescent="0.25">
      <c r="A797" s="90">
        <v>42706</v>
      </c>
      <c r="B797" s="56">
        <v>5521</v>
      </c>
      <c r="C797" s="136">
        <v>796</v>
      </c>
      <c r="D797" s="4" t="str">
        <f>LOOKUP($E797,OBRAS!$D:$D,OBRAS!C:C)</f>
        <v>SUPERVISION EXTERNA Y CONTROL DE CALIDAD DE LA OBRA: RECONSTRUCCION DE LA CALLE GUERRERO DEL KM 0+000 AL 6+020 EN VARIAS LOCALIDADES DEL MUNICIPIO DE HERMOSILLO, SONORA.</v>
      </c>
      <c r="E797" s="4" t="s">
        <v>797</v>
      </c>
      <c r="F797" s="4"/>
      <c r="G797" s="4" t="str">
        <f>LOOKUP($E797,OBRAS!$D:$D,OBRAS!E:E)</f>
        <v>C-00098/0022</v>
      </c>
      <c r="H797" s="80" t="s">
        <v>215</v>
      </c>
      <c r="I797" s="6">
        <v>76736.179999999993</v>
      </c>
      <c r="J797" s="6"/>
      <c r="K797" s="6">
        <v>0</v>
      </c>
      <c r="L797" s="6">
        <f t="shared" si="197"/>
        <v>76736.179999999993</v>
      </c>
      <c r="M797" s="6">
        <f t="shared" si="196"/>
        <v>12277.79</v>
      </c>
      <c r="N797" s="6">
        <f t="shared" si="198"/>
        <v>89013.97</v>
      </c>
      <c r="O797" s="6">
        <f t="shared" si="204"/>
        <v>222.53</v>
      </c>
      <c r="P797" s="6">
        <f t="shared" si="199"/>
        <v>88791.44</v>
      </c>
      <c r="Q797" s="4" t="str">
        <f>LOOKUP($E797,OBRAS!$D:$D,OBRAS!B:B)</f>
        <v>ALCCON SIGLO XXI, S.A. DE C.V.</v>
      </c>
      <c r="R797" s="4" t="str">
        <f>LOOKUP($E797,OBRAS!$D:$D,OBRAS!A:A)</f>
        <v>HERMOSILLO</v>
      </c>
      <c r="S797" s="4" t="str">
        <f>LOOKUP($E797,OBRAS!$D:$D,OBRAS!F:F)</f>
        <v>11000002002207E201K02104A622212161A013</v>
      </c>
      <c r="T797" s="4" t="str">
        <f>LOOKUP($E797,OBRAS!$D:$D,OBRAS!G:G)</f>
        <v>LICITACIÓN SIMPLIFICADA</v>
      </c>
      <c r="U797" s="4" t="s">
        <v>863</v>
      </c>
      <c r="V797" s="89">
        <v>42781</v>
      </c>
      <c r="W797" s="6">
        <f>LOOKUP($E797,OBRAS!$D:$D,OBRAS!K:K)</f>
        <v>529215.07999999996</v>
      </c>
      <c r="X797" s="109">
        <f t="shared" si="200"/>
        <v>0.16819999999999999</v>
      </c>
      <c r="Y797" s="109">
        <f t="shared" si="201"/>
        <v>1</v>
      </c>
      <c r="Z797" s="109">
        <f t="shared" si="202"/>
        <v>1</v>
      </c>
      <c r="AA797" s="4" t="str">
        <f>LOOKUP($E797,OBRAS!$D:$D,OBRAS!H:H)</f>
        <v>SH-ED-16-066</v>
      </c>
    </row>
    <row r="798" spans="1:27" ht="75" x14ac:dyDescent="0.25">
      <c r="A798" s="90">
        <v>42706</v>
      </c>
      <c r="B798" s="56">
        <v>5522</v>
      </c>
      <c r="C798" s="136">
        <v>797</v>
      </c>
      <c r="D798" s="4" t="str">
        <f>LOOKUP($E798,OBRAS!$D:$D,OBRAS!C:C)</f>
        <v>SUPERVISION EXTERNA Y CONTROL DE CALIDAD DE LA OBRA: RECONSTRUCCION DE LA CALLE GUERRERO DEL KM 0+000 AL 6+020 EN VARIAS LOCALIDADES DEL MUNICIPIO DE HERMOSILLO, SONORA.</v>
      </c>
      <c r="E798" s="4" t="s">
        <v>797</v>
      </c>
      <c r="F798" s="4"/>
      <c r="G798" s="4" t="str">
        <f>LOOKUP($E798,OBRAS!$D:$D,OBRAS!E:E)</f>
        <v>C-00098/0022</v>
      </c>
      <c r="H798" s="80" t="s">
        <v>15</v>
      </c>
      <c r="I798" s="6">
        <v>75139.42</v>
      </c>
      <c r="J798" s="6"/>
      <c r="K798" s="6">
        <v>0</v>
      </c>
      <c r="L798" s="6">
        <f t="shared" si="197"/>
        <v>75139.42</v>
      </c>
      <c r="M798" s="6">
        <f t="shared" si="196"/>
        <v>12022.31</v>
      </c>
      <c r="N798" s="6">
        <f t="shared" si="198"/>
        <v>87161.73</v>
      </c>
      <c r="O798" s="6">
        <f t="shared" si="204"/>
        <v>217.9</v>
      </c>
      <c r="P798" s="6">
        <f t="shared" si="199"/>
        <v>86943.83</v>
      </c>
      <c r="Q798" s="4" t="str">
        <f>LOOKUP($E798,OBRAS!$D:$D,OBRAS!B:B)</f>
        <v>ALCCON SIGLO XXI, S.A. DE C.V.</v>
      </c>
      <c r="R798" s="4" t="str">
        <f>LOOKUP($E798,OBRAS!$D:$D,OBRAS!A:A)</f>
        <v>HERMOSILLO</v>
      </c>
      <c r="S798" s="4" t="str">
        <f>LOOKUP($E798,OBRAS!$D:$D,OBRAS!F:F)</f>
        <v>11000002002207E201K02104A622212161A013</v>
      </c>
      <c r="T798" s="4" t="str">
        <f>LOOKUP($E798,OBRAS!$D:$D,OBRAS!G:G)</f>
        <v>LICITACIÓN SIMPLIFICADA</v>
      </c>
      <c r="U798" s="4" t="s">
        <v>863</v>
      </c>
      <c r="V798" s="89">
        <v>42781</v>
      </c>
      <c r="W798" s="6">
        <f>LOOKUP($E798,OBRAS!$D:$D,OBRAS!K:K)</f>
        <v>529215.07999999996</v>
      </c>
      <c r="X798" s="109">
        <f t="shared" si="200"/>
        <v>0.16470000000000001</v>
      </c>
      <c r="Y798" s="109">
        <f t="shared" si="201"/>
        <v>1</v>
      </c>
      <c r="Z798" s="109">
        <f t="shared" si="202"/>
        <v>1</v>
      </c>
      <c r="AA798" s="4" t="str">
        <f>LOOKUP($E798,OBRAS!$D:$D,OBRAS!H:H)</f>
        <v>SH-ED-16-066</v>
      </c>
    </row>
    <row r="799" spans="1:27" ht="75" x14ac:dyDescent="0.25">
      <c r="A799" s="90">
        <v>42706</v>
      </c>
      <c r="B799" s="56">
        <v>5523</v>
      </c>
      <c r="C799" s="49">
        <v>798</v>
      </c>
      <c r="D799" s="4" t="str">
        <f>LOOKUP($E799,OBRAS!$D:$D,OBRAS!C:C)</f>
        <v>SUPERVISION EXTERNA Y CONTROL DE CALIDAD DE LA OBRA: RECONSTRUCCION DE LA CALLE GUERRERO DEL KM 0+000 AL 6+020 EN VARIAS LOCALIDADES DEL MUNICIPIO DE HERMOSILLO, SONORA.</v>
      </c>
      <c r="E799" s="4" t="s">
        <v>797</v>
      </c>
      <c r="F799" s="4"/>
      <c r="G799" s="4" t="str">
        <f>LOOKUP($E799,OBRAS!$D:$D,OBRAS!E:E)</f>
        <v>C-00098/0022</v>
      </c>
      <c r="H799" s="80" t="s">
        <v>214</v>
      </c>
      <c r="I799" s="6">
        <v>76736.179999999993</v>
      </c>
      <c r="J799" s="6"/>
      <c r="K799" s="6">
        <v>0</v>
      </c>
      <c r="L799" s="6">
        <f t="shared" si="197"/>
        <v>76736.179999999993</v>
      </c>
      <c r="M799" s="6">
        <f t="shared" si="196"/>
        <v>12277.79</v>
      </c>
      <c r="N799" s="6">
        <f t="shared" si="198"/>
        <v>89013.97</v>
      </c>
      <c r="O799" s="6">
        <f t="shared" si="204"/>
        <v>222.53</v>
      </c>
      <c r="P799" s="6">
        <f t="shared" si="199"/>
        <v>88791.44</v>
      </c>
      <c r="Q799" s="4" t="str">
        <f>LOOKUP($E799,OBRAS!$D:$D,OBRAS!B:B)</f>
        <v>ALCCON SIGLO XXI, S.A. DE C.V.</v>
      </c>
      <c r="R799" s="4" t="str">
        <f>LOOKUP($E799,OBRAS!$D:$D,OBRAS!A:A)</f>
        <v>HERMOSILLO</v>
      </c>
      <c r="S799" s="4" t="str">
        <f>LOOKUP($E799,OBRAS!$D:$D,OBRAS!F:F)</f>
        <v>11000002002207E201K02104A622212161A013</v>
      </c>
      <c r="T799" s="4" t="str">
        <f>LOOKUP($E799,OBRAS!$D:$D,OBRAS!G:G)</f>
        <v>LICITACIÓN SIMPLIFICADA</v>
      </c>
      <c r="U799" s="4" t="s">
        <v>863</v>
      </c>
      <c r="V799" s="89">
        <v>42781</v>
      </c>
      <c r="W799" s="6">
        <f>LOOKUP($E799,OBRAS!$D:$D,OBRAS!K:K)</f>
        <v>529215.07999999996</v>
      </c>
      <c r="X799" s="109">
        <f t="shared" si="200"/>
        <v>0.16819999999999999</v>
      </c>
      <c r="Y799" s="109">
        <f t="shared" si="201"/>
        <v>1</v>
      </c>
      <c r="Z799" s="109">
        <f t="shared" si="202"/>
        <v>1</v>
      </c>
      <c r="AA799" s="4" t="str">
        <f>LOOKUP($E799,OBRAS!$D:$D,OBRAS!H:H)</f>
        <v>SH-ED-16-066</v>
      </c>
    </row>
    <row r="800" spans="1:27" ht="75" x14ac:dyDescent="0.25">
      <c r="A800" s="90">
        <v>42706</v>
      </c>
      <c r="B800" s="56">
        <v>5524</v>
      </c>
      <c r="C800" s="136">
        <v>799</v>
      </c>
      <c r="D800" s="4" t="str">
        <f>LOOKUP($E800,OBRAS!$D:$D,OBRAS!C:C)</f>
        <v>SUPERVISION EXTERNA Y CONTROL DE CALIDAD DE LA OBRA: RECONSTRUCCION DE LA CALLE GUERRERO DEL KM 0+000 AL 6+020 EN VARIAS LOCALIDADES DEL MUNICIPIO DE HERMOSILLO, SONORA.</v>
      </c>
      <c r="E800" s="4" t="s">
        <v>797</v>
      </c>
      <c r="F800" s="4"/>
      <c r="G800" s="4" t="str">
        <f>LOOKUP($E800,OBRAS!$D:$D,OBRAS!E:E)</f>
        <v>C-00098/0022</v>
      </c>
      <c r="H800" s="80" t="s">
        <v>218</v>
      </c>
      <c r="I800" s="6">
        <v>41561.64</v>
      </c>
      <c r="J800" s="6"/>
      <c r="K800" s="6">
        <v>0</v>
      </c>
      <c r="L800" s="6">
        <f t="shared" si="197"/>
        <v>41561.64</v>
      </c>
      <c r="M800" s="6">
        <f t="shared" si="196"/>
        <v>6649.86</v>
      </c>
      <c r="N800" s="6">
        <f t="shared" si="198"/>
        <v>48211.5</v>
      </c>
      <c r="O800" s="6">
        <f t="shared" si="204"/>
        <v>120.53</v>
      </c>
      <c r="P800" s="6">
        <f t="shared" si="199"/>
        <v>48090.97</v>
      </c>
      <c r="Q800" s="4" t="str">
        <f>LOOKUP($E800,OBRAS!$D:$D,OBRAS!B:B)</f>
        <v>ALCCON SIGLO XXI, S.A. DE C.V.</v>
      </c>
      <c r="R800" s="4" t="str">
        <f>LOOKUP($E800,OBRAS!$D:$D,OBRAS!A:A)</f>
        <v>HERMOSILLO</v>
      </c>
      <c r="S800" s="4" t="str">
        <f>LOOKUP($E800,OBRAS!$D:$D,OBRAS!F:F)</f>
        <v>11000002002207E201K02104A622212161A013</v>
      </c>
      <c r="T800" s="4" t="str">
        <f>LOOKUP($E800,OBRAS!$D:$D,OBRAS!G:G)</f>
        <v>LICITACIÓN SIMPLIFICADA</v>
      </c>
      <c r="U800" s="4" t="s">
        <v>2238</v>
      </c>
      <c r="V800" s="89">
        <v>42734</v>
      </c>
      <c r="W800" s="6">
        <f>LOOKUP($E800,OBRAS!$D:$D,OBRAS!K:K)</f>
        <v>529215.07999999996</v>
      </c>
      <c r="X800" s="109">
        <f t="shared" si="200"/>
        <v>9.11E-2</v>
      </c>
      <c r="Y800" s="109">
        <f t="shared" si="201"/>
        <v>1</v>
      </c>
      <c r="Z800" s="109">
        <f t="shared" si="202"/>
        <v>1</v>
      </c>
      <c r="AA800" s="4" t="str">
        <f>LOOKUP($E800,OBRAS!$D:$D,OBRAS!H:H)</f>
        <v>SH-ED-16-066</v>
      </c>
    </row>
    <row r="801" spans="1:27" ht="60" x14ac:dyDescent="0.25">
      <c r="A801" s="90">
        <v>42706</v>
      </c>
      <c r="B801" s="56">
        <v>5525</v>
      </c>
      <c r="C801" s="51">
        <v>800</v>
      </c>
      <c r="D801" s="4" t="str">
        <f>LOOKUP($E801,OBRAS!$D:$D,OBRAS!C:C)</f>
        <v>SUPERVISION EXTERNA Y CONTROL DE CALIDAD DE LA RECONSTRUCCION DE CALLE 28 NORTE, DEL KM 0 + 000 AL KM 10+160, Y DEL KM 17+210 AL 17+982, HERMOSILLO</v>
      </c>
      <c r="E801" s="4" t="s">
        <v>675</v>
      </c>
      <c r="F801" s="4"/>
      <c r="G801" s="4" t="str">
        <f>LOOKUP($E801,OBRAS!$D:$D,OBRAS!E:E)</f>
        <v>C-00098/0022</v>
      </c>
      <c r="H801" s="80" t="s">
        <v>15</v>
      </c>
      <c r="I801" s="6">
        <v>87424.21</v>
      </c>
      <c r="J801" s="6"/>
      <c r="K801" s="6">
        <f>ROUND(I801*0.1,2)</f>
        <v>8742.42</v>
      </c>
      <c r="L801" s="6">
        <f t="shared" si="197"/>
        <v>78681.789999999994</v>
      </c>
      <c r="M801" s="6">
        <f t="shared" si="196"/>
        <v>12589.09</v>
      </c>
      <c r="N801" s="6">
        <f t="shared" si="198"/>
        <v>91270.88</v>
      </c>
      <c r="O801" s="6">
        <f t="shared" si="204"/>
        <v>253.54</v>
      </c>
      <c r="P801" s="6">
        <f t="shared" si="199"/>
        <v>91017.34</v>
      </c>
      <c r="Q801" s="4" t="str">
        <f>LOOKUP($E801,OBRAS!$D:$D,OBRAS!B:B)</f>
        <v>SATI CONSTRUCCIONES Y POYECTOS S.A. DE C.V.</v>
      </c>
      <c r="R801" s="4" t="str">
        <f>LOOKUP($E801,OBRAS!$D:$D,OBRAS!A:A)</f>
        <v>HERMOSILLO</v>
      </c>
      <c r="S801" s="4" t="str">
        <f>LOOKUP($E801,OBRAS!$D:$D,OBRAS!F:F)</f>
        <v>11000002002207E201K02104A622212161A013</v>
      </c>
      <c r="T801" s="4" t="str">
        <f>LOOKUP($E801,OBRAS!$D:$D,OBRAS!G:G)</f>
        <v>LICITACIÓN SIMPLIFICADA</v>
      </c>
      <c r="U801" s="4" t="s">
        <v>863</v>
      </c>
      <c r="V801" s="89">
        <v>42781</v>
      </c>
      <c r="W801" s="6">
        <f>LOOKUP($E801,OBRAS!$D:$D,OBRAS!K:K)</f>
        <v>608472.5</v>
      </c>
      <c r="X801" s="109">
        <f t="shared" si="200"/>
        <v>0.16669999999999999</v>
      </c>
      <c r="Y801" s="109">
        <f t="shared" si="201"/>
        <v>0.77780000000000005</v>
      </c>
      <c r="Z801" s="109">
        <f t="shared" si="202"/>
        <v>0.8</v>
      </c>
      <c r="AA801" s="4" t="str">
        <f>LOOKUP($E801,OBRAS!$D:$D,OBRAS!H:H)</f>
        <v>SH-ED-16-066</v>
      </c>
    </row>
    <row r="802" spans="1:27" ht="75" x14ac:dyDescent="0.25">
      <c r="A802" s="90">
        <v>42706</v>
      </c>
      <c r="B802" s="56">
        <v>5526</v>
      </c>
      <c r="C802" s="51">
        <v>801</v>
      </c>
      <c r="D802" s="4" t="str">
        <f>LOOKUP($E802,OBRAS!$D:$D,OBRAS!C:C)</f>
        <v>SUPERVISION EXTERNA Y CONTROL DE CALIDAD DE LA OBRA: CONSERVACION Y RECONSTRUCCION DEL TRAMO MAZATAN - HERMOSILLO EN VARIAS LOCALIDADES DE VARIOS MUNICIPIOS DEL ESTADO DE SONORA.</v>
      </c>
      <c r="E802" s="4" t="s">
        <v>431</v>
      </c>
      <c r="F802" s="4"/>
      <c r="G802" s="4" t="str">
        <f>LOOKUP($E802,OBRAS!$D:$D,OBRAS!E:E)</f>
        <v>C-00098/0021</v>
      </c>
      <c r="H802" s="80" t="s">
        <v>221</v>
      </c>
      <c r="I802" s="6">
        <v>223877.65</v>
      </c>
      <c r="J802" s="6"/>
      <c r="K802" s="6">
        <f>ROUND(I802*0.1,2)</f>
        <v>22387.77</v>
      </c>
      <c r="L802" s="6">
        <f t="shared" si="197"/>
        <v>201489.88</v>
      </c>
      <c r="M802" s="6">
        <f t="shared" si="196"/>
        <v>32238.38</v>
      </c>
      <c r="N802" s="6">
        <f t="shared" si="198"/>
        <v>233728.26</v>
      </c>
      <c r="O802" s="6">
        <f t="shared" si="204"/>
        <v>649.24</v>
      </c>
      <c r="P802" s="6">
        <f t="shared" si="199"/>
        <v>233079.02</v>
      </c>
      <c r="Q802" s="4" t="str">
        <f>LOOKUP($E802,OBRAS!$D:$D,OBRAS!B:B)</f>
        <v>LABORATORIO, ESTUDIOS Y SERVICIOS PROFESIONALES DE INGENIERIA, S.A. DE C.V.</v>
      </c>
      <c r="R802" s="4" t="str">
        <f>LOOKUP($E802,OBRAS!$D:$D,OBRAS!A:A)</f>
        <v>VARIOS</v>
      </c>
      <c r="S802" s="4" t="str">
        <f>LOOKUP($E802,OBRAS!$D:$D,OBRAS!F:F)</f>
        <v>11000002003501E203K03203A625132161A013</v>
      </c>
      <c r="T802" s="4" t="str">
        <f>LOOKUP($E802,OBRAS!$D:$D,OBRAS!G:G)</f>
        <v>LICITACIÓN SIMPLIFICADA</v>
      </c>
      <c r="U802" s="4" t="s">
        <v>863</v>
      </c>
      <c r="V802" s="89">
        <v>42781</v>
      </c>
      <c r="W802" s="6">
        <f>LOOKUP($E802,OBRAS!$D:$D,OBRAS!K:K)</f>
        <v>779094.22</v>
      </c>
      <c r="X802" s="109">
        <f t="shared" si="200"/>
        <v>0.33329999999999999</v>
      </c>
      <c r="Y802" s="109">
        <f t="shared" si="201"/>
        <v>0.99990000000000001</v>
      </c>
      <c r="Z802" s="109">
        <f t="shared" si="202"/>
        <v>1</v>
      </c>
      <c r="AA802" s="4" t="str">
        <f>LOOKUP($E802,OBRAS!$D:$D,OBRAS!H:H)</f>
        <v>SH-ED-16-051</v>
      </c>
    </row>
    <row r="803" spans="1:27" ht="90" x14ac:dyDescent="0.25">
      <c r="A803" s="90">
        <v>42706</v>
      </c>
      <c r="B803" s="56">
        <v>5530</v>
      </c>
      <c r="C803" s="51">
        <v>802</v>
      </c>
      <c r="D803" s="4" t="str">
        <f>LOOKUP($E803,OBRAS!$D:$D,OBRAS!C:C)</f>
        <v>SUPERVISION EXTERNA Y CONTROL DE CALIDAD PARA LA OBRA: CONSERVACIÓN Y RECONSTRUCCION DEL TRAMO MAZATÁN-VILLA PESQUEIRA-SAN PEDRO DE LA CUEVA EN LA REGION DE LA SIERRA EN VARIAS LOCALIDADES DE VARIOS MUNICIPIOS EN SONORA.</v>
      </c>
      <c r="E803" s="4" t="s">
        <v>437</v>
      </c>
      <c r="F803" s="4"/>
      <c r="G803" s="4" t="str">
        <f>LOOKUP($E803,OBRAS!$D:$D,OBRAS!E:E)</f>
        <v>C-00098/0021</v>
      </c>
      <c r="H803" s="80" t="s">
        <v>221</v>
      </c>
      <c r="I803" s="6">
        <v>147843.44</v>
      </c>
      <c r="J803" s="6"/>
      <c r="K803" s="6">
        <f>ROUND(I803*0.1,2)</f>
        <v>14784.34</v>
      </c>
      <c r="L803" s="6">
        <f t="shared" si="197"/>
        <v>133059.1</v>
      </c>
      <c r="M803" s="6">
        <f t="shared" si="196"/>
        <v>21289.46</v>
      </c>
      <c r="N803" s="6">
        <f t="shared" si="198"/>
        <v>154348.56</v>
      </c>
      <c r="O803" s="6">
        <f t="shared" si="204"/>
        <v>428.74</v>
      </c>
      <c r="P803" s="6">
        <f t="shared" si="199"/>
        <v>153919.82</v>
      </c>
      <c r="Q803" s="4" t="str">
        <f>LOOKUP($E803,OBRAS!$D:$D,OBRAS!B:B)</f>
        <v>LABORATORIO, ESTUDIOS Y SERVICIOS PROFESIONALES DE INGENIERIA, S.A. DE C.V.</v>
      </c>
      <c r="R803" s="4" t="str">
        <f>LOOKUP($E803,OBRAS!$D:$D,OBRAS!A:A)</f>
        <v>VARIOS</v>
      </c>
      <c r="S803" s="4" t="str">
        <f>LOOKUP($E803,OBRAS!$D:$D,OBRAS!F:F)</f>
        <v>11000002003501E203K03203A625132161A013</v>
      </c>
      <c r="T803" s="4" t="str">
        <f>LOOKUP($E803,OBRAS!$D:$D,OBRAS!G:G)</f>
        <v>CE-926006995-E58-2016</v>
      </c>
      <c r="U803" s="4" t="s">
        <v>863</v>
      </c>
      <c r="V803" s="89">
        <v>42781</v>
      </c>
      <c r="W803" s="6">
        <f>LOOKUP($E803,OBRAS!$D:$D,OBRAS!K:K)</f>
        <v>1028990.34</v>
      </c>
      <c r="X803" s="109">
        <f t="shared" si="200"/>
        <v>0.16669999999999999</v>
      </c>
      <c r="Y803" s="109">
        <f t="shared" si="201"/>
        <v>0.50009999999999999</v>
      </c>
      <c r="Z803" s="109">
        <f t="shared" si="202"/>
        <v>0.55000000000000004</v>
      </c>
      <c r="AA803" s="4" t="str">
        <f>LOOKUP($E803,OBRAS!$D:$D,OBRAS!H:H)</f>
        <v>SH-ED-16-051</v>
      </c>
    </row>
    <row r="804" spans="1:27" ht="30" x14ac:dyDescent="0.25">
      <c r="A804" s="90">
        <v>42706</v>
      </c>
      <c r="B804" s="56">
        <v>5531</v>
      </c>
      <c r="C804" s="51">
        <v>803</v>
      </c>
      <c r="D804" s="4" t="str">
        <f>LOOKUP($E804,OBRAS!$D:$D,OBRAS!C:C)</f>
        <v>CONSERVACION Y RECONSTRUCCION DEL TRAMO MAZATAN-HERMOSILLO</v>
      </c>
      <c r="E804" s="4" t="s">
        <v>600</v>
      </c>
      <c r="F804" s="4"/>
      <c r="G804" s="4" t="str">
        <f>LOOKUP($E804,OBRAS!$D:$D,OBRAS!E:E)</f>
        <v>C-00054/0062</v>
      </c>
      <c r="H804" s="80" t="s">
        <v>55</v>
      </c>
      <c r="I804" s="6">
        <v>4245976.1399999997</v>
      </c>
      <c r="J804" s="6"/>
      <c r="K804" s="6">
        <f>ROUND(I804*0.3,2)</f>
        <v>1273792.8400000001</v>
      </c>
      <c r="L804" s="6">
        <f t="shared" si="197"/>
        <v>2972183.3</v>
      </c>
      <c r="M804" s="6">
        <f t="shared" si="196"/>
        <v>475549.33</v>
      </c>
      <c r="N804" s="6">
        <f t="shared" si="198"/>
        <v>3447732.63</v>
      </c>
      <c r="O804" s="6">
        <f>+ROUND(I804*0.002,2)+ROUND(I804*0.0003,2)+ROUND(I804*0.0003,2)+ROUND(I804*0.0003,2)+ROUND(I804*0.002,2)</f>
        <v>20805.27</v>
      </c>
      <c r="P804" s="6">
        <f t="shared" si="199"/>
        <v>3426927.36</v>
      </c>
      <c r="Q804" s="4" t="str">
        <f>LOOKUP($E804,OBRAS!$D:$D,OBRAS!B:B)</f>
        <v>TECNOASFALTOS Y TERRACERIAS, S.A. DE C.V.</v>
      </c>
      <c r="R804" s="4" t="str">
        <f>LOOKUP($E804,OBRAS!$D:$D,OBRAS!A:A)</f>
        <v>VARIOS</v>
      </c>
      <c r="S804" s="4" t="str">
        <f>LOOKUP($E804,OBRAS!$D:$D,OBRAS!F:F)</f>
        <v>11000002003501E203K03203A625012162A213</v>
      </c>
      <c r="T804" s="4" t="str">
        <f>LOOKUP($E804,OBRAS!$D:$D,OBRAS!G:G)</f>
        <v>CE-926006995-E26-2016</v>
      </c>
      <c r="U804" s="4" t="s">
        <v>863</v>
      </c>
      <c r="V804" s="89">
        <v>42762</v>
      </c>
      <c r="W804" s="6">
        <f>LOOKUP($E804,OBRAS!$D:$D,OBRAS!K:K)</f>
        <v>25694303.850000001</v>
      </c>
      <c r="X804" s="109">
        <f t="shared" si="200"/>
        <v>0.19170000000000001</v>
      </c>
      <c r="Y804" s="109">
        <f t="shared" si="201"/>
        <v>1</v>
      </c>
      <c r="Z804" s="109">
        <f t="shared" si="202"/>
        <v>1</v>
      </c>
      <c r="AA804" s="4" t="str">
        <f>LOOKUP($E804,OBRAS!$D:$D,OBRAS!H:H)</f>
        <v>SH-ED-16-023</v>
      </c>
    </row>
    <row r="805" spans="1:27" ht="30" x14ac:dyDescent="0.25">
      <c r="C805" s="138">
        <v>804</v>
      </c>
      <c r="D805" s="4" t="str">
        <f>LOOKUP($E805,OBRAS!$D:$D,OBRAS!C:C)</f>
        <v>CANCHA DE FUTBOL DE PASTO SINTETICO PARA LA ESCUELA PRIMARIA ESTHER QUIJADA DOMINGUEZ</v>
      </c>
      <c r="E805" s="4" t="s">
        <v>843</v>
      </c>
      <c r="F805" s="4" t="s">
        <v>1858</v>
      </c>
      <c r="G805" s="4">
        <f>LOOKUP($E805,OBRAS!$D:$D,OBRAS!E:E)</f>
        <v>0</v>
      </c>
      <c r="H805" s="80" t="s">
        <v>218</v>
      </c>
      <c r="I805" s="6">
        <v>50669.8</v>
      </c>
      <c r="J805" s="6"/>
      <c r="K805" s="6">
        <v>0</v>
      </c>
      <c r="L805" s="6">
        <f t="shared" si="197"/>
        <v>50669.8</v>
      </c>
      <c r="M805" s="6">
        <f t="shared" si="196"/>
        <v>8107.17</v>
      </c>
      <c r="N805" s="6">
        <f t="shared" si="198"/>
        <v>58776.97</v>
      </c>
      <c r="O805" s="6">
        <f>+ROUND(I805*0.005,2)</f>
        <v>253.35</v>
      </c>
      <c r="P805" s="6">
        <f t="shared" si="199"/>
        <v>58523.62</v>
      </c>
      <c r="Q805" s="4" t="str">
        <f>LOOKUP($E805,OBRAS!$D:$D,OBRAS!B:B)</f>
        <v>GRUPO DESARROLLO CONGRUUS SA DE CV</v>
      </c>
      <c r="R805" s="4" t="str">
        <f>LOOKUP($E805,OBRAS!$D:$D,OBRAS!A:A)</f>
        <v>S.L.R.C.</v>
      </c>
      <c r="S805" s="4">
        <f>LOOKUP($E805,OBRAS!$D:$D,OBRAS!F:F)</f>
        <v>0</v>
      </c>
      <c r="T805" s="4">
        <f>LOOKUP($E805,OBRAS!$D:$D,OBRAS!G:G)</f>
        <v>0</v>
      </c>
      <c r="U805" s="4" t="s">
        <v>863</v>
      </c>
      <c r="V805" s="89">
        <v>42709</v>
      </c>
      <c r="W805" s="6">
        <f>LOOKUP($E805,OBRAS!$D:$D,OBRAS!K:K)</f>
        <v>1959188.77</v>
      </c>
      <c r="X805" s="109">
        <f t="shared" si="200"/>
        <v>0.03</v>
      </c>
      <c r="Y805" s="109">
        <f t="shared" si="201"/>
        <v>0.89500000000000002</v>
      </c>
      <c r="Z805" s="109">
        <f t="shared" si="202"/>
        <v>0.89510000000000001</v>
      </c>
      <c r="AA805" s="4" t="str">
        <f>LOOKUP($E805,OBRAS!$D:$D,OBRAS!H:H)</f>
        <v>SH-NC-16-R-002</v>
      </c>
    </row>
    <row r="806" spans="1:27" ht="30" x14ac:dyDescent="0.25">
      <c r="A806" s="90">
        <v>42709</v>
      </c>
      <c r="B806" s="56">
        <v>5555</v>
      </c>
      <c r="C806" s="49">
        <v>805</v>
      </c>
      <c r="D806" s="4" t="str">
        <f>LOOKUP($E806,OBRAS!$D:$D,OBRAS!C:C)</f>
        <v>MODERNIZACION DEL PERIFERICO PONIENTE (1 ETAPA), NAVOJOA</v>
      </c>
      <c r="E806" s="4" t="s">
        <v>536</v>
      </c>
      <c r="F806" s="4" t="s">
        <v>927</v>
      </c>
      <c r="G806" s="4" t="str">
        <f>LOOKUP($E806,OBRAS!$D:$D,OBRAS!E:E)</f>
        <v>C-00052/0171</v>
      </c>
      <c r="H806" s="80" t="s">
        <v>15</v>
      </c>
      <c r="I806" s="6">
        <v>29008122.329999998</v>
      </c>
      <c r="J806" s="6"/>
      <c r="K806" s="6">
        <f>ROUND(I806*0.3,2)</f>
        <v>8702436.6999999993</v>
      </c>
      <c r="L806" s="6">
        <f t="shared" si="197"/>
        <v>20305685.629999999</v>
      </c>
      <c r="M806" s="6">
        <f t="shared" si="196"/>
        <v>3248909.7</v>
      </c>
      <c r="N806" s="6">
        <f t="shared" si="198"/>
        <v>23554595.329999998</v>
      </c>
      <c r="O806" s="6">
        <f>+ROUND(I806*0.002,2)+ROUND(I806*0.0003,2)+ROUND(I806*0.0003,2)+ROUND(I806*0.0003,2)+ROUND(I806*0.002,2)</f>
        <v>142139.79999999999</v>
      </c>
      <c r="P806" s="6">
        <f t="shared" si="199"/>
        <v>23412455.530000001</v>
      </c>
      <c r="Q806" s="4" t="str">
        <f>LOOKUP($E806,OBRAS!$D:$D,OBRAS!B:B)</f>
        <v>LC PROYECTOS Y CONSTRUCCIONES S.A. DE C.V.</v>
      </c>
      <c r="R806" s="4" t="str">
        <f>LOOKUP($E806,OBRAS!$D:$D,OBRAS!A:A)</f>
        <v>NAVOJOA</v>
      </c>
      <c r="S806" s="4" t="str">
        <f>LOOKUP($E806,OBRAS!$D:$D,OBRAS!F:F)</f>
        <v>11000002002201E202K05186A614202162A212</v>
      </c>
      <c r="T806" s="4" t="str">
        <f>LOOKUP($E806,OBRAS!$D:$D,OBRAS!G:G)</f>
        <v>CE-926006995-E15-2016</v>
      </c>
      <c r="U806" s="4" t="s">
        <v>863</v>
      </c>
      <c r="V806" s="89">
        <v>42718</v>
      </c>
      <c r="W806" s="6">
        <f>LOOKUP($E806,OBRAS!$D:$D,OBRAS!K:K)</f>
        <v>154846331.36000001</v>
      </c>
      <c r="X806" s="109">
        <f t="shared" si="200"/>
        <v>0.21729999999999999</v>
      </c>
      <c r="Y806" s="109">
        <f t="shared" si="201"/>
        <v>0.83420000000000005</v>
      </c>
      <c r="Z806" s="109">
        <f t="shared" si="202"/>
        <v>0.88400000000000001</v>
      </c>
      <c r="AA806" s="4" t="str">
        <f>LOOKUP($E806,OBRAS!$D:$D,OBRAS!H:H)</f>
        <v>SH-ED-17-R-004</v>
      </c>
    </row>
    <row r="807" spans="1:27" ht="75" x14ac:dyDescent="0.25">
      <c r="A807" s="90"/>
      <c r="C807" s="51">
        <v>806</v>
      </c>
      <c r="D807" s="4" t="str">
        <f>LOOKUP($E807,OBRAS!$D:$D,OBRAS!C:C)</f>
        <v>PRIMERA ETAPA DE LA CONSTRUCCION DE COMPLEJO INTEGRAL DE PROCURACION DE JUSTICIA (CIUDAD DE LA JUSTICIA) EN LA LOCALIDAD Y MUNICIPIO DE HERMOSILLO, SONORA</v>
      </c>
      <c r="E807" s="4" t="s">
        <v>1859</v>
      </c>
      <c r="F807" s="4"/>
      <c r="G807" s="4" t="str">
        <f>LOOKUP($E807,OBRAS!$D:$D,OBRAS!E:E)</f>
        <v>C-00129/0002</v>
      </c>
      <c r="H807" s="80" t="s">
        <v>23</v>
      </c>
      <c r="I807" s="6">
        <v>4861550.93</v>
      </c>
      <c r="J807" s="6"/>
      <c r="K807" s="6">
        <v>0</v>
      </c>
      <c r="L807" s="6">
        <f t="shared" si="197"/>
        <v>4861550.93</v>
      </c>
      <c r="M807" s="6">
        <f t="shared" si="196"/>
        <v>777848.15</v>
      </c>
      <c r="N807" s="6">
        <f t="shared" si="198"/>
        <v>5639399.0800000001</v>
      </c>
      <c r="O807" s="6">
        <v>0</v>
      </c>
      <c r="P807" s="6">
        <f t="shared" si="199"/>
        <v>5639399.0800000001</v>
      </c>
      <c r="Q807" s="4" t="str">
        <f>LOOKUP($E807,OBRAS!$D:$D,OBRAS!B:B)</f>
        <v>BEJIM, PLANEA Y CONSTRUYE, S.A. DE C.V.</v>
      </c>
      <c r="R807" s="4" t="str">
        <f>LOOKUP($E807,OBRAS!$D:$D,OBRAS!A:A)</f>
        <v>HERMOSILLO</v>
      </c>
      <c r="S807" s="4" t="str">
        <f>LOOKUP($E807,OBRAS!$D:$D,OBRAS!F:F)</f>
        <v>11000002001202E105K13204A622012172A207</v>
      </c>
      <c r="T807" s="4" t="str">
        <f>LOOKUP($E807,OBRAS!$D:$D,OBRAS!G:G)</f>
        <v>CE-926006995-E157-2016</v>
      </c>
      <c r="U807" s="4" t="s">
        <v>865</v>
      </c>
      <c r="V807" s="89">
        <v>42816</v>
      </c>
      <c r="W807" s="6">
        <f>LOOKUP($E807,OBRAS!$D:$D,OBRAS!K:K)</f>
        <v>18797996.920000002</v>
      </c>
      <c r="X807" s="109" t="str">
        <f t="shared" si="200"/>
        <v/>
      </c>
      <c r="Y807" s="109">
        <f t="shared" si="201"/>
        <v>0</v>
      </c>
      <c r="Z807" s="109">
        <f t="shared" si="202"/>
        <v>0.3</v>
      </c>
      <c r="AA807" s="4" t="str">
        <f>LOOKUP($E807,OBRAS!$D:$D,OBRAS!H:H)</f>
        <v>SH-ED-17-027</v>
      </c>
    </row>
    <row r="808" spans="1:27" ht="45" x14ac:dyDescent="0.25">
      <c r="A808" s="90">
        <v>42710</v>
      </c>
      <c r="B808" s="56">
        <v>5582</v>
      </c>
      <c r="C808" s="49">
        <v>807</v>
      </c>
      <c r="D808" s="4" t="str">
        <f>LOOKUP($E808,OBRAS!$D:$D,OBRAS!C:C)</f>
        <v>PAVIMENTACION CON CONCRETO HIDRAULICO DE VARIAS CALLES Y AVENIDAS EN LA LOCALIDAD DE ARIZPE</v>
      </c>
      <c r="E808" s="4" t="s">
        <v>981</v>
      </c>
      <c r="F808" s="4" t="s">
        <v>927</v>
      </c>
      <c r="G808" s="4" t="str">
        <f>LOOKUP($E808,OBRAS!$D:$D,OBRAS!E:E)</f>
        <v>C-00052/0193</v>
      </c>
      <c r="H808" s="80" t="s">
        <v>103</v>
      </c>
      <c r="I808" s="6">
        <v>397936.65</v>
      </c>
      <c r="J808" s="6"/>
      <c r="K808" s="6">
        <f>ROUND(I808*0.3,2)</f>
        <v>119381</v>
      </c>
      <c r="L808" s="6">
        <f t="shared" si="197"/>
        <v>278555.65000000002</v>
      </c>
      <c r="M808" s="6">
        <f t="shared" si="196"/>
        <v>44568.9</v>
      </c>
      <c r="N808" s="6">
        <f t="shared" si="198"/>
        <v>323124.55</v>
      </c>
      <c r="O808" s="6">
        <f>+ROUND(I808*0.005,2)</f>
        <v>1989.68</v>
      </c>
      <c r="P808" s="6">
        <f t="shared" si="199"/>
        <v>321134.87</v>
      </c>
      <c r="Q808" s="4" t="str">
        <f>LOOKUP($E808,OBRAS!$D:$D,OBRAS!B:B)</f>
        <v>GRUPO MERCLA S.A DE C. V.</v>
      </c>
      <c r="R808" s="4" t="str">
        <f>LOOKUP($E808,OBRAS!$D:$D,OBRAS!A:A)</f>
        <v>ARIZPE</v>
      </c>
      <c r="S808" s="4" t="str">
        <f>LOOKUP($E808,OBRAS!$D:$D,OBRAS!F:F)</f>
        <v>11000002002201E202K05186A614202165FC05</v>
      </c>
      <c r="T808" s="4" t="str">
        <f>LOOKUP($E808,OBRAS!$D:$D,OBRAS!G:G)</f>
        <v>IO-926006995-E121-2016</v>
      </c>
      <c r="U808" s="4" t="s">
        <v>863</v>
      </c>
      <c r="V808" s="89">
        <v>42734</v>
      </c>
      <c r="W808" s="6">
        <f>LOOKUP($E808,OBRAS!$D:$D,OBRAS!K:K)</f>
        <v>1971899.46</v>
      </c>
      <c r="X808" s="109">
        <f t="shared" si="200"/>
        <v>0.2341</v>
      </c>
      <c r="Y808" s="109">
        <f t="shared" si="201"/>
        <v>0.60099999999999998</v>
      </c>
      <c r="Z808" s="109">
        <f t="shared" si="202"/>
        <v>0.72070000000000001</v>
      </c>
      <c r="AA808" s="4" t="str">
        <f>LOOKUP($E808,OBRAS!$D:$D,OBRAS!H:H)</f>
        <v>SH-NC-17-R-009</v>
      </c>
    </row>
    <row r="809" spans="1:27" ht="45" x14ac:dyDescent="0.25">
      <c r="A809" s="90">
        <v>42717</v>
      </c>
      <c r="B809" s="56">
        <v>5769</v>
      </c>
      <c r="C809" s="49">
        <v>808</v>
      </c>
      <c r="D809" s="4" t="str">
        <f>LOOKUP($E809,OBRAS!$D:$D,OBRAS!C:C)</f>
        <v>REMODELACION DEL PARQUE INFANTIL EN LA LOCALIDAD Y MUNICIPIO DE HERMOSILLO, SONORA</v>
      </c>
      <c r="E809" s="4" t="s">
        <v>45</v>
      </c>
      <c r="F809" s="4" t="s">
        <v>1875</v>
      </c>
      <c r="G809" s="4" t="str">
        <f>LOOKUP($E809,OBRAS!$D:$D,OBRAS!E:E)</f>
        <v>C-00093/0004</v>
      </c>
      <c r="H809" s="80" t="s">
        <v>1866</v>
      </c>
      <c r="I809" s="6">
        <v>2485496.7000000002</v>
      </c>
      <c r="J809" s="6"/>
      <c r="K809" s="6">
        <v>0</v>
      </c>
      <c r="L809" s="6">
        <f t="shared" si="197"/>
        <v>2485496.7000000002</v>
      </c>
      <c r="M809" s="6">
        <f t="shared" ref="M809:M840" si="205">ROUND(L809*0.16,2)</f>
        <v>397679.47</v>
      </c>
      <c r="N809" s="6">
        <f t="shared" si="198"/>
        <v>2883176.17</v>
      </c>
      <c r="O809" s="6">
        <f>+ROUND(I809*0.005,2)</f>
        <v>12427.48</v>
      </c>
      <c r="P809" s="6">
        <f t="shared" si="199"/>
        <v>2870748.69</v>
      </c>
      <c r="Q809" s="4" t="str">
        <f>LOOKUP($E809,OBRAS!$D:$D,OBRAS!B:B)</f>
        <v>GYCR SOLUCIONES INTEGRALES PARA LA CONSTRUCCION, S.A. DE C.V.</v>
      </c>
      <c r="R809" s="4" t="str">
        <f>LOOKUP($E809,OBRAS!$D:$D,OBRAS!A:A)</f>
        <v>HERMOSILLO</v>
      </c>
      <c r="S809" s="4" t="str">
        <f>LOOKUP($E809,OBRAS!$D:$D,OBRAS!F:F)</f>
        <v>11000002002202E406K17104A622202155GL07</v>
      </c>
      <c r="T809" s="4" t="str">
        <f>LOOKUP($E809,OBRAS!$D:$D,OBRAS!G:G)</f>
        <v>LO-926006995-N12-2015</v>
      </c>
      <c r="U809" s="4" t="s">
        <v>863</v>
      </c>
      <c r="V809" s="89">
        <v>42727</v>
      </c>
      <c r="W809" s="6">
        <f>LOOKUP($E809,OBRAS!$D:$D,OBRAS!K:K)</f>
        <v>53569288.82</v>
      </c>
      <c r="X809" s="109">
        <f t="shared" si="200"/>
        <v>5.3800000000000001E-2</v>
      </c>
      <c r="Y809" s="109">
        <f t="shared" si="201"/>
        <v>0.85470000000000002</v>
      </c>
      <c r="Z809" s="109">
        <f t="shared" si="202"/>
        <v>0.55269999999999997</v>
      </c>
      <c r="AA809" s="4" t="str">
        <f>LOOKUP($E809,OBRAS!$D:$D,OBRAS!H:H)</f>
        <v>SH-NC-16-R-003</v>
      </c>
    </row>
    <row r="810" spans="1:27" ht="60" x14ac:dyDescent="0.25">
      <c r="C810" s="51">
        <v>809</v>
      </c>
      <c r="D810" s="4" t="str">
        <f>LOOKUP($E810,OBRAS!$D:$D,OBRAS!C:C)</f>
        <v>REHABILITACION DE PAVIMENTOS A BASE DE RECARPETEO EN CALLE OBREGON ENTRE ABELARDO L. RODRIGUEZ Y HACIA EL ESTE EN EL POBLADO DE SANTA CLARA.</v>
      </c>
      <c r="E810" s="4" t="s">
        <v>1868</v>
      </c>
      <c r="F810" s="4"/>
      <c r="G810" s="4" t="str">
        <f>LOOKUP($E810,OBRAS!$D:$D,OBRAS!E:E)</f>
        <v>C-00052/0227</v>
      </c>
      <c r="H810" s="80" t="s">
        <v>23</v>
      </c>
      <c r="I810" s="6">
        <v>101629.06</v>
      </c>
      <c r="J810" s="6"/>
      <c r="K810" s="6">
        <v>0</v>
      </c>
      <c r="L810" s="6">
        <f t="shared" si="197"/>
        <v>101629.06</v>
      </c>
      <c r="M810" s="6">
        <f t="shared" si="205"/>
        <v>16260.65</v>
      </c>
      <c r="N810" s="6">
        <f t="shared" si="198"/>
        <v>117889.71</v>
      </c>
      <c r="O810" s="6">
        <v>0</v>
      </c>
      <c r="P810" s="6">
        <f t="shared" si="199"/>
        <v>117889.71</v>
      </c>
      <c r="Q810" s="4" t="str">
        <f>LOOKUP($E810,OBRAS!$D:$D,OBRAS!B:B)</f>
        <v>BARREDA PROYECTO Y CONSTRUCCIONES, S.A. DE C.V.</v>
      </c>
      <c r="R810" s="4" t="str">
        <f>LOOKUP($E810,OBRAS!$D:$D,OBRAS!A:A)</f>
        <v>S.L.R.C.</v>
      </c>
      <c r="S810" s="4" t="str">
        <f>LOOKUP($E810,OBRAS!$D:$D,OBRAS!F:F)</f>
        <v>11000002002201E202K05186A614202165FN01</v>
      </c>
      <c r="T810" s="4" t="str">
        <f>LOOKUP($E810,OBRAS!$D:$D,OBRAS!G:G)</f>
        <v>AO-926006995-E123-2016</v>
      </c>
      <c r="U810" s="4" t="s">
        <v>863</v>
      </c>
      <c r="V810" s="89">
        <v>42725</v>
      </c>
      <c r="W810" s="6">
        <f>LOOKUP($E810,OBRAS!$D:$D,OBRAS!K:K)</f>
        <v>392965.69</v>
      </c>
      <c r="X810" s="109" t="str">
        <f t="shared" si="200"/>
        <v/>
      </c>
      <c r="Y810" s="109">
        <f t="shared" si="201"/>
        <v>1</v>
      </c>
      <c r="Z810" s="109">
        <f t="shared" si="202"/>
        <v>1</v>
      </c>
      <c r="AA810" s="4" t="str">
        <f>LOOKUP($E810,OBRAS!$D:$D,OBRAS!H:H)</f>
        <v>SH-NC-17-R-005</v>
      </c>
    </row>
    <row r="811" spans="1:27" ht="45" x14ac:dyDescent="0.25">
      <c r="A811" s="90">
        <v>42710</v>
      </c>
      <c r="B811" s="56">
        <v>5591</v>
      </c>
      <c r="C811" s="49">
        <v>810</v>
      </c>
      <c r="D811" s="4" t="str">
        <f>LOOKUP($E811,OBRAS!$D:$D,OBRAS!C:C)</f>
        <v>REHABILITACION DE PAVIMENTOS EN 12 CALLES DE CD. OBREGON NORTE EN LA LOCALIDAD DE CD. OBREGON MUNICIPIO DE CAJEME, SONORA.</v>
      </c>
      <c r="E811" s="4" t="s">
        <v>930</v>
      </c>
      <c r="F811" s="4" t="s">
        <v>927</v>
      </c>
      <c r="G811" s="4" t="str">
        <f>LOOKUP($E811,OBRAS!$D:$D,OBRAS!E:E)</f>
        <v>C-00052/0219</v>
      </c>
      <c r="H811" s="80" t="s">
        <v>103</v>
      </c>
      <c r="I811" s="6">
        <v>1977562.77</v>
      </c>
      <c r="J811" s="6"/>
      <c r="K811" s="6">
        <f>ROUND(I811*0.3,2)</f>
        <v>593268.82999999996</v>
      </c>
      <c r="L811" s="6">
        <f t="shared" si="197"/>
        <v>1384293.94</v>
      </c>
      <c r="M811" s="6">
        <f t="shared" si="205"/>
        <v>221487.03</v>
      </c>
      <c r="N811" s="6">
        <f t="shared" si="198"/>
        <v>1605780.97</v>
      </c>
      <c r="O811" s="6">
        <f>+ROUND(I811*0.005,2)</f>
        <v>9887.81</v>
      </c>
      <c r="P811" s="6">
        <f t="shared" si="199"/>
        <v>1595893.16</v>
      </c>
      <c r="Q811" s="4" t="str">
        <f>LOOKUP($E811,OBRAS!$D:$D,OBRAS!B:B)</f>
        <v>EDIFICACION INTEGRAL DEL NOROESTE S. A. DE C. V.</v>
      </c>
      <c r="R811" s="4" t="str">
        <f>LOOKUP($E811,OBRAS!$D:$D,OBRAS!A:A)</f>
        <v>CAJEME</v>
      </c>
      <c r="S811" s="4" t="str">
        <f>LOOKUP($E811,OBRAS!$D:$D,OBRAS!F:F)</f>
        <v>11000002002201E202K05186A614202165FN11</v>
      </c>
      <c r="T811" s="4" t="str">
        <f>LOOKUP($E811,OBRAS!$D:$D,OBRAS!G:G)</f>
        <v>LO-926006995-E97-2016</v>
      </c>
      <c r="U811" s="4" t="s">
        <v>863</v>
      </c>
      <c r="V811" s="89">
        <v>42758</v>
      </c>
      <c r="W811" s="6">
        <f>LOOKUP($E811,OBRAS!$D:$D,OBRAS!K:K)</f>
        <v>15642799.039999999</v>
      </c>
      <c r="X811" s="109">
        <f t="shared" si="200"/>
        <v>0.14660000000000001</v>
      </c>
      <c r="Y811" s="109">
        <f t="shared" si="201"/>
        <v>0.6623</v>
      </c>
      <c r="Z811" s="109">
        <f t="shared" si="202"/>
        <v>0.76370000000000005</v>
      </c>
      <c r="AA811" s="4" t="str">
        <f>LOOKUP($E811,OBRAS!$D:$D,OBRAS!H:H)</f>
        <v>SH-NC-17-R-005</v>
      </c>
    </row>
    <row r="812" spans="1:27" ht="45" x14ac:dyDescent="0.25">
      <c r="A812" s="90">
        <v>42710</v>
      </c>
      <c r="B812" s="56">
        <v>5592</v>
      </c>
      <c r="C812" s="51">
        <v>811</v>
      </c>
      <c r="D812" s="4" t="str">
        <f>LOOKUP($E812,OBRAS!$D:$D,OBRAS!C:C)</f>
        <v>CONSTRUCCION DE CONSERVATORIO DE MUSICA FRAY IVO TONECK EN LA LOCALIDAD Y MUNICIPIO DE GUAYMAS, SONORA</v>
      </c>
      <c r="E812" s="4" t="s">
        <v>147</v>
      </c>
      <c r="F812" s="4" t="s">
        <v>927</v>
      </c>
      <c r="G812" s="4" t="str">
        <f>LOOKUP($E812,OBRAS!$D:$D,OBRAS!E:E)</f>
        <v>C-00093/0009</v>
      </c>
      <c r="H812" s="80" t="s">
        <v>214</v>
      </c>
      <c r="I812" s="6">
        <v>2408445.71</v>
      </c>
      <c r="J812" s="6"/>
      <c r="K812" s="6">
        <v>963378.28</v>
      </c>
      <c r="L812" s="6">
        <f t="shared" si="197"/>
        <v>1445067.43</v>
      </c>
      <c r="M812" s="6">
        <f t="shared" si="205"/>
        <v>231210.79</v>
      </c>
      <c r="N812" s="6">
        <f t="shared" si="198"/>
        <v>1676278.22</v>
      </c>
      <c r="O812" s="6">
        <f>+ROUND(I812*0.005,2)</f>
        <v>12042.23</v>
      </c>
      <c r="P812" s="6">
        <f t="shared" si="199"/>
        <v>1664235.99</v>
      </c>
      <c r="Q812" s="4" t="str">
        <f>LOOKUP($E812,OBRAS!$D:$D,OBRAS!B:B)</f>
        <v>EDIFICADORA CABO HARO, S.A. DE C.V.</v>
      </c>
      <c r="R812" s="4" t="str">
        <f>LOOKUP($E812,OBRAS!$D:$D,OBRAS!A:A)</f>
        <v>GUAYMAS</v>
      </c>
      <c r="S812" s="4" t="str">
        <f>LOOKUP($E812,OBRAS!$D:$D,OBRAS!F:F)</f>
        <v>11000002002402E406K06106A612012155GL10</v>
      </c>
      <c r="T812" s="4" t="str">
        <f>LOOKUP($E812,OBRAS!$D:$D,OBRAS!G:G)</f>
        <v>LO-926006995-N14-2015</v>
      </c>
      <c r="U812" s="4" t="s">
        <v>863</v>
      </c>
      <c r="V812" s="89">
        <v>42727</v>
      </c>
      <c r="W812" s="6">
        <f>LOOKUP($E812,OBRAS!$D:$D,OBRAS!K:K)</f>
        <v>17439154.870000001</v>
      </c>
      <c r="X812" s="109">
        <f t="shared" si="200"/>
        <v>0.16020000000000001</v>
      </c>
      <c r="Y812" s="109">
        <f t="shared" si="201"/>
        <v>1.1156999999999999</v>
      </c>
      <c r="Z812" s="109">
        <f t="shared" si="202"/>
        <v>0.7198</v>
      </c>
      <c r="AA812" s="4" t="str">
        <f>LOOKUP($E812,OBRAS!$D:$D,OBRAS!H:H)</f>
        <v>SH-NC-16-R-007</v>
      </c>
    </row>
    <row r="813" spans="1:27" ht="60" x14ac:dyDescent="0.25">
      <c r="A813" s="90">
        <v>42710</v>
      </c>
      <c r="B813" s="56">
        <v>5593</v>
      </c>
      <c r="C813" s="51">
        <v>812</v>
      </c>
      <c r="D813" s="4" t="str">
        <f>LOOKUP($E813,OBRAS!$D:$D,OBRAS!C:C)</f>
        <v>SUPERVISION EXTERNA Y CONTROL DE CALIDAD DE LA OBRA: CONSTRUCCION DE CONSERVATORIO DE MUSICA FRAY IVO TONECK, EN LA LOCALIDAD Y MUNICIPIO DE GUAYMAS, SONORA.</v>
      </c>
      <c r="E813" s="4" t="s">
        <v>501</v>
      </c>
      <c r="F813" s="4" t="s">
        <v>927</v>
      </c>
      <c r="G813" s="4" t="str">
        <f>LOOKUP($E813,OBRAS!$D:$D,OBRAS!E:E)</f>
        <v>C-00093/0009</v>
      </c>
      <c r="H813" s="80" t="s">
        <v>748</v>
      </c>
      <c r="I813" s="6">
        <v>19584.43</v>
      </c>
      <c r="J813" s="6"/>
      <c r="K813" s="6">
        <f>ROUND(I813*0.3,2)</f>
        <v>5875.33</v>
      </c>
      <c r="L813" s="6">
        <f t="shared" si="197"/>
        <v>13709.1</v>
      </c>
      <c r="M813" s="6">
        <f t="shared" si="205"/>
        <v>2193.46</v>
      </c>
      <c r="N813" s="6">
        <f t="shared" si="198"/>
        <v>15902.56</v>
      </c>
      <c r="O813" s="6">
        <f>+ROUND(I813*0.005,2)</f>
        <v>97.92</v>
      </c>
      <c r="P813" s="6">
        <f t="shared" si="199"/>
        <v>15804.64</v>
      </c>
      <c r="Q813" s="4" t="str">
        <f>LOOKUP($E813,OBRAS!$D:$D,OBRAS!B:B)</f>
        <v>ING. MARTIN GRAJEDA ARAGON</v>
      </c>
      <c r="R813" s="4" t="str">
        <f>LOOKUP($E813,OBRAS!$D:$D,OBRAS!A:A)</f>
        <v>GUAYMAS</v>
      </c>
      <c r="S813" s="4" t="str">
        <f>LOOKUP($E813,OBRAS!$D:$D,OBRAS!F:F)</f>
        <v>11000002002402E406K06106A612222155GL10</v>
      </c>
      <c r="T813" s="4" t="str">
        <f>LOOKUP($E813,OBRAS!$D:$D,OBRAS!G:G)</f>
        <v>ADJUDICACIÓN DIRECTA</v>
      </c>
      <c r="U813" s="4" t="s">
        <v>863</v>
      </c>
      <c r="V813" s="89">
        <v>42731</v>
      </c>
      <c r="W813" s="6">
        <f>LOOKUP($E813,OBRAS!$D:$D,OBRAS!K:K)</f>
        <v>343063.19</v>
      </c>
      <c r="X813" s="109">
        <f t="shared" si="200"/>
        <v>6.6199999999999995E-2</v>
      </c>
      <c r="Y813" s="109">
        <f t="shared" si="201"/>
        <v>1</v>
      </c>
      <c r="Z813" s="109">
        <f t="shared" si="202"/>
        <v>0.7</v>
      </c>
      <c r="AA813" s="4" t="str">
        <f>LOOKUP($E813,OBRAS!$D:$D,OBRAS!H:H)</f>
        <v>SH-NC-16-R-007.</v>
      </c>
    </row>
    <row r="814" spans="1:27" ht="60" x14ac:dyDescent="0.25">
      <c r="A814" s="90">
        <v>42710</v>
      </c>
      <c r="B814" s="56">
        <v>5594</v>
      </c>
      <c r="C814" s="51">
        <v>813</v>
      </c>
      <c r="D814" s="4" t="str">
        <f>LOOKUP($E814,OBRAS!$D:$D,OBRAS!C:C)</f>
        <v>SUPERVISION EXTERNA Y CONTROL DE CALIDAD DE LA OBRA: CONSTRUCCION DE CONSERVATORIO DE MUSICA FRAY IVO TONECK, EN LA LOCALIDAD Y MUNICIPIO DE GUAYMAS, SONORA.</v>
      </c>
      <c r="E814" s="4" t="s">
        <v>501</v>
      </c>
      <c r="F814" s="4" t="s">
        <v>927</v>
      </c>
      <c r="G814" s="4" t="str">
        <f>LOOKUP($E814,OBRAS!$D:$D,OBRAS!E:E)</f>
        <v>C-00093/0009</v>
      </c>
      <c r="H814" s="80" t="s">
        <v>249</v>
      </c>
      <c r="I814" s="6">
        <v>9989.98</v>
      </c>
      <c r="J814" s="6"/>
      <c r="K814" s="6">
        <f>ROUND(I814*0.3,2)</f>
        <v>2996.99</v>
      </c>
      <c r="L814" s="6">
        <f t="shared" si="197"/>
        <v>6992.99</v>
      </c>
      <c r="M814" s="6">
        <f t="shared" si="205"/>
        <v>1118.8800000000001</v>
      </c>
      <c r="N814" s="6">
        <f t="shared" si="198"/>
        <v>8111.87</v>
      </c>
      <c r="O814" s="6">
        <f>+ROUND(I814*0.005,2)</f>
        <v>49.95</v>
      </c>
      <c r="P814" s="6">
        <f t="shared" si="199"/>
        <v>8061.92</v>
      </c>
      <c r="Q814" s="4" t="str">
        <f>LOOKUP($E814,OBRAS!$D:$D,OBRAS!B:B)</f>
        <v>ING. MARTIN GRAJEDA ARAGON</v>
      </c>
      <c r="R814" s="4" t="str">
        <f>LOOKUP($E814,OBRAS!$D:$D,OBRAS!A:A)</f>
        <v>GUAYMAS</v>
      </c>
      <c r="S814" s="4" t="str">
        <f>LOOKUP($E814,OBRAS!$D:$D,OBRAS!F:F)</f>
        <v>11000002002402E406K06106A612222155GL10</v>
      </c>
      <c r="T814" s="4" t="str">
        <f>LOOKUP($E814,OBRAS!$D:$D,OBRAS!G:G)</f>
        <v>ADJUDICACIÓN DIRECTA</v>
      </c>
      <c r="U814" s="4" t="s">
        <v>863</v>
      </c>
      <c r="V814" s="89">
        <v>42731</v>
      </c>
      <c r="W814" s="6">
        <f>LOOKUP($E814,OBRAS!$D:$D,OBRAS!K:K)</f>
        <v>343063.19</v>
      </c>
      <c r="X814" s="109">
        <f t="shared" si="200"/>
        <v>3.3799999999999997E-2</v>
      </c>
      <c r="Y814" s="109">
        <f t="shared" si="201"/>
        <v>1</v>
      </c>
      <c r="Z814" s="109">
        <f t="shared" si="202"/>
        <v>0.7</v>
      </c>
      <c r="AA814" s="4" t="str">
        <f>LOOKUP($E814,OBRAS!$D:$D,OBRAS!H:H)</f>
        <v>SH-NC-16-R-007.</v>
      </c>
    </row>
    <row r="815" spans="1:27" ht="45" x14ac:dyDescent="0.25">
      <c r="A815" s="90">
        <v>42723</v>
      </c>
      <c r="B815" s="56">
        <v>5655</v>
      </c>
      <c r="C815" s="49">
        <v>814</v>
      </c>
      <c r="D815" s="4" t="str">
        <f>LOOKUP($E815,OBRAS!$D:$D,OBRAS!C:C)</f>
        <v>SUPERVISOR EXTERNA Y CONTROL CALIDAD DE RECARPETEO CON MICROCARPETA ASFALTICA DE 3.0 CM DE ESPESOR EN VARIAS CALLES Y AVENIDAS</v>
      </c>
      <c r="E815" s="4" t="s">
        <v>466</v>
      </c>
      <c r="F815" s="4"/>
      <c r="G815" s="4" t="str">
        <f>LOOKUP($E815,OBRAS!$D:$D,OBRAS!E:E)</f>
        <v>C-00098/0022</v>
      </c>
      <c r="H815" s="80" t="s">
        <v>15</v>
      </c>
      <c r="I815" s="6">
        <v>156048.17000000001</v>
      </c>
      <c r="J815" s="6"/>
      <c r="K815" s="6">
        <f>ROUND(I815*0.1,2)</f>
        <v>15604.82</v>
      </c>
      <c r="L815" s="6">
        <f t="shared" si="197"/>
        <v>140443.35</v>
      </c>
      <c r="M815" s="6">
        <f t="shared" si="205"/>
        <v>22470.94</v>
      </c>
      <c r="N815" s="6">
        <f t="shared" si="198"/>
        <v>162914.29</v>
      </c>
      <c r="O815" s="6">
        <f>+ROUND(I815*0.002,2)+ROUND(I815*0.0003,2)+ROUND(I815*0.0003,2)+ROUND(I815*0.0003,2)</f>
        <v>452.53</v>
      </c>
      <c r="P815" s="6">
        <f t="shared" si="199"/>
        <v>162461.76000000001</v>
      </c>
      <c r="Q815" s="4" t="str">
        <f>LOOKUP($E815,OBRAS!$D:$D,OBRAS!B:B)</f>
        <v>PROMOTORES ADMINISTRATIVOS ASOCIADOS, S.C.</v>
      </c>
      <c r="R815" s="4" t="str">
        <f>LOOKUP($E815,OBRAS!$D:$D,OBRAS!A:A)</f>
        <v>CABORCA</v>
      </c>
      <c r="S815" s="4" t="str">
        <f>LOOKUP($E815,OBRAS!$D:$D,OBRAS!F:F)</f>
        <v>11000002002207E201K02104A622212161A013</v>
      </c>
      <c r="T815" s="4" t="str">
        <f>LOOKUP($E815,OBRAS!$D:$D,OBRAS!G:G)</f>
        <v>LICITACIÓN SIMPLIFICADA</v>
      </c>
      <c r="U815" s="4" t="s">
        <v>863</v>
      </c>
      <c r="V815" s="89">
        <v>42781</v>
      </c>
      <c r="W815" s="6">
        <f>LOOKUP($E815,OBRAS!$D:$D,OBRAS!K:K)</f>
        <v>878717.92</v>
      </c>
      <c r="X815" s="109">
        <f t="shared" si="200"/>
        <v>0.20599999999999999</v>
      </c>
      <c r="Y815" s="109">
        <f t="shared" si="201"/>
        <v>0.998</v>
      </c>
      <c r="Z815" s="109">
        <f t="shared" si="202"/>
        <v>0.998</v>
      </c>
      <c r="AA815" s="4" t="str">
        <f>LOOKUP($E815,OBRAS!$D:$D,OBRAS!H:H)</f>
        <v>SH-ED-16-028</v>
      </c>
    </row>
    <row r="816" spans="1:27" ht="45" x14ac:dyDescent="0.25">
      <c r="A816" s="90">
        <v>42723</v>
      </c>
      <c r="B816" s="56">
        <v>5656</v>
      </c>
      <c r="C816" s="51">
        <v>815</v>
      </c>
      <c r="D816" s="4" t="str">
        <f>LOOKUP($E816,OBRAS!$D:$D,OBRAS!C:C)</f>
        <v>SUPERVISOR EXTERNA Y CONTROL CALIDAD DE RECARPETEO CON MICROCARPETA ASFALTICA DE 3.0 CM DE ESPESOR EN VARIAS CALLES Y AVENIDAS</v>
      </c>
      <c r="E816" s="4" t="s">
        <v>466</v>
      </c>
      <c r="F816" s="4"/>
      <c r="G816" s="4" t="str">
        <f>LOOKUP($E816,OBRAS!$D:$D,OBRAS!E:E)</f>
        <v>C-00098/0022</v>
      </c>
      <c r="H816" s="80" t="s">
        <v>214</v>
      </c>
      <c r="I816" s="6">
        <v>65146.31</v>
      </c>
      <c r="J816" s="6"/>
      <c r="K816" s="6">
        <v>6666.1</v>
      </c>
      <c r="L816" s="6">
        <f t="shared" si="197"/>
        <v>58480.21</v>
      </c>
      <c r="M816" s="6">
        <f t="shared" si="205"/>
        <v>9356.83</v>
      </c>
      <c r="N816" s="6">
        <f t="shared" si="198"/>
        <v>67837.039999999994</v>
      </c>
      <c r="O816" s="6">
        <f>+ROUND(I816*0.002,2)+ROUND(I816*0.0003,2)+ROUND(I816*0.0003,2)+ROUND(I816*0.0003,2)</f>
        <v>188.91</v>
      </c>
      <c r="P816" s="6">
        <f t="shared" si="199"/>
        <v>67648.13</v>
      </c>
      <c r="Q816" s="4" t="str">
        <f>LOOKUP($E816,OBRAS!$D:$D,OBRAS!B:B)</f>
        <v>PROMOTORES ADMINISTRATIVOS ASOCIADOS, S.C.</v>
      </c>
      <c r="R816" s="4" t="str">
        <f>LOOKUP($E816,OBRAS!$D:$D,OBRAS!A:A)</f>
        <v>CABORCA</v>
      </c>
      <c r="S816" s="4" t="str">
        <f>LOOKUP($E816,OBRAS!$D:$D,OBRAS!F:F)</f>
        <v>11000002002207E201K02104A622212161A013</v>
      </c>
      <c r="T816" s="4" t="str">
        <f>LOOKUP($E816,OBRAS!$D:$D,OBRAS!G:G)</f>
        <v>LICITACIÓN SIMPLIFICADA</v>
      </c>
      <c r="U816" s="4" t="s">
        <v>863</v>
      </c>
      <c r="V816" s="89">
        <v>42781</v>
      </c>
      <c r="W816" s="6">
        <f>LOOKUP($E816,OBRAS!$D:$D,OBRAS!K:K)</f>
        <v>878717.92</v>
      </c>
      <c r="X816" s="109">
        <f t="shared" si="200"/>
        <v>8.5999999999999993E-2</v>
      </c>
      <c r="Y816" s="109">
        <f t="shared" si="201"/>
        <v>0.998</v>
      </c>
      <c r="Z816" s="109">
        <f t="shared" si="202"/>
        <v>0.998</v>
      </c>
      <c r="AA816" s="4" t="str">
        <f>LOOKUP($E816,OBRAS!$D:$D,OBRAS!H:H)</f>
        <v>SH-ED-16-028</v>
      </c>
    </row>
    <row r="817" spans="1:27" ht="30" x14ac:dyDescent="0.25">
      <c r="A817" s="90">
        <v>42711</v>
      </c>
      <c r="B817" s="56">
        <v>5516</v>
      </c>
      <c r="C817" s="49">
        <v>816</v>
      </c>
      <c r="D817" s="4" t="str">
        <f>LOOKUP($E817,OBRAS!$D:$D,OBRAS!C:C)</f>
        <v>RECARPETEO CON MICROCARPETA ASFALTICA DE 3.0 CM DE ESPESOR EN VARIAS CALLES Y AVENIDAS</v>
      </c>
      <c r="E817" s="4" t="s">
        <v>528</v>
      </c>
      <c r="F817" s="4" t="s">
        <v>927</v>
      </c>
      <c r="G817" s="4" t="str">
        <f>LOOKUP($E817,OBRAS!$D:$D,OBRAS!E:E)</f>
        <v>C-00052/0170</v>
      </c>
      <c r="H817" s="80" t="s">
        <v>214</v>
      </c>
      <c r="I817" s="6">
        <v>1201400.31</v>
      </c>
      <c r="J817" s="6"/>
      <c r="K817" s="6">
        <v>0</v>
      </c>
      <c r="L817" s="6">
        <f t="shared" si="197"/>
        <v>1201400.31</v>
      </c>
      <c r="M817" s="6">
        <f t="shared" si="205"/>
        <v>192224.05</v>
      </c>
      <c r="N817" s="6">
        <f t="shared" si="198"/>
        <v>1393624.36</v>
      </c>
      <c r="O817" s="6">
        <f>+ROUND(I817*0.002,2)+ROUND(I817*0.0003,2)+ROUND(I817*0.0003,2)+ROUND(I817*0.0003,2)+ROUND(I817*0.002,2)</f>
        <v>5886.86</v>
      </c>
      <c r="P817" s="6">
        <f t="shared" si="199"/>
        <v>1387737.5</v>
      </c>
      <c r="Q817" s="4" t="str">
        <f>LOOKUP($E817,OBRAS!$D:$D,OBRAS!B:B)</f>
        <v>D'MARSELLA TERRACERIAS, S.A. DE C.V.</v>
      </c>
      <c r="R817" s="4" t="str">
        <f>LOOKUP($E817,OBRAS!$D:$D,OBRAS!A:A)</f>
        <v>CABORCA</v>
      </c>
      <c r="S817" s="4" t="str">
        <f>LOOKUP($E817,OBRAS!$D:$D,OBRAS!F:F)</f>
        <v>11000002002201E202K05186A614202162A203</v>
      </c>
      <c r="T817" s="4" t="str">
        <f>LOOKUP($E817,OBRAS!$D:$D,OBRAS!G:G)</f>
        <v>CE-926006995-E8-2016</v>
      </c>
      <c r="U817" s="4" t="s">
        <v>863</v>
      </c>
      <c r="V817" s="89">
        <v>42780</v>
      </c>
      <c r="W817" s="6">
        <f>LOOKUP($E817,OBRAS!$D:$D,OBRAS!K:K)</f>
        <v>28542774.780000001</v>
      </c>
      <c r="X817" s="109">
        <f t="shared" si="200"/>
        <v>4.8800000000000003E-2</v>
      </c>
      <c r="Y817" s="109">
        <f t="shared" si="201"/>
        <v>0.84140000000000004</v>
      </c>
      <c r="Z817" s="109">
        <f t="shared" si="202"/>
        <v>0.84140000000000004</v>
      </c>
      <c r="AA817" s="4" t="str">
        <f>LOOKUP($E817,OBRAS!$D:$D,OBRAS!H:H)</f>
        <v>SH-ED-17-R-013</v>
      </c>
    </row>
    <row r="818" spans="1:27" ht="60" x14ac:dyDescent="0.25">
      <c r="A818" s="90">
        <v>42768</v>
      </c>
      <c r="B818" s="56">
        <v>543</v>
      </c>
      <c r="C818" s="136">
        <v>817</v>
      </c>
      <c r="D818" s="4" t="str">
        <f>LOOKUP($E818,OBRAS!$D:$D,OBRAS!C:C)</f>
        <v>REHABILITACION DE PAVIMENTOS A BASE DE RECARPETEO EN CALLE MONTEVERDE ENTRE BLVD. PROGRESO Y VERACRUZ EN LA LOCALIDAD Y MUNICIPIO DE HERMOSILLO, SONORA</v>
      </c>
      <c r="E818" s="4" t="s">
        <v>777</v>
      </c>
      <c r="F818" s="4" t="s">
        <v>225</v>
      </c>
      <c r="G818" s="4" t="str">
        <f>LOOKUP($E818,OBRAS!$D:$D,OBRAS!E:E)</f>
        <v>C-00052/0175</v>
      </c>
      <c r="H818" s="80" t="s">
        <v>55</v>
      </c>
      <c r="I818" s="6">
        <v>6415887.5199999996</v>
      </c>
      <c r="J818" s="6"/>
      <c r="K818" s="6">
        <f>ROUND(I818*0.3,2)</f>
        <v>1924766.26</v>
      </c>
      <c r="L818" s="6">
        <f t="shared" si="197"/>
        <v>4491121.26</v>
      </c>
      <c r="M818" s="6">
        <f t="shared" si="205"/>
        <v>718579.4</v>
      </c>
      <c r="N818" s="6">
        <f t="shared" si="198"/>
        <v>5209700.66</v>
      </c>
      <c r="O818" s="6">
        <f>+ROUND(I818*0.005,2)</f>
        <v>32079.439999999999</v>
      </c>
      <c r="P818" s="6">
        <f t="shared" si="199"/>
        <v>5177621.22</v>
      </c>
      <c r="Q818" s="4" t="str">
        <f>LOOKUP($E818,OBRAS!$D:$D,OBRAS!B:B)</f>
        <v>PROYECTOS Y CONSTRUCCIONES VIRGO, S. A. DE C. V.</v>
      </c>
      <c r="R818" s="4" t="str">
        <f>LOOKUP($E818,OBRAS!$D:$D,OBRAS!A:A)</f>
        <v>HERMOSILLO</v>
      </c>
      <c r="S818" s="4" t="str">
        <f>LOOKUP($E818,OBRAS!$D:$D,OBRAS!F:F)</f>
        <v>11000002002201E202K05186A614202165CN07</v>
      </c>
      <c r="T818" s="4" t="str">
        <f>LOOKUP($E818,OBRAS!$D:$D,OBRAS!G:G)</f>
        <v>LO-926006995-E84-2016</v>
      </c>
      <c r="U818" s="4" t="s">
        <v>864</v>
      </c>
      <c r="V818" s="89">
        <v>42811</v>
      </c>
      <c r="W818" s="6">
        <f>LOOKUP($E818,OBRAS!$D:$D,OBRAS!K:K)</f>
        <v>19539418.57</v>
      </c>
      <c r="X818" s="109">
        <f t="shared" si="200"/>
        <v>0.38090000000000002</v>
      </c>
      <c r="Y818" s="109">
        <f t="shared" si="201"/>
        <v>0.97240000000000004</v>
      </c>
      <c r="Z818" s="109">
        <f t="shared" si="202"/>
        <v>0.98070000000000002</v>
      </c>
      <c r="AA818" s="4" t="str">
        <f>LOOKUP($E818,OBRAS!$D:$D,OBRAS!H:H)</f>
        <v>SH-NC-17-R-004</v>
      </c>
    </row>
    <row r="819" spans="1:27" ht="75" x14ac:dyDescent="0.25">
      <c r="A819" s="90">
        <v>42711</v>
      </c>
      <c r="B819" s="56">
        <v>5518</v>
      </c>
      <c r="C819" s="49">
        <v>818</v>
      </c>
      <c r="D819" s="4" t="str">
        <f>LOOKUP($E819,OBRAS!$D:$D,OBRAS!C:C)</f>
        <v>REHABILITACION DE PAVIMIENTOS A BASE DE RECARPETEO EN CALLE REFORMA EN LOS TRAMOS DE PROGRESO Y AVE 13 DE JOSE CARMELO A AVE 8 Y DE BLVD SERNA A BLVD LUIS ENCINAS EN LA LOCALIDAD Y MUNICIPIO DE HERMOSILLO, SON</v>
      </c>
      <c r="E819" s="4" t="s">
        <v>824</v>
      </c>
      <c r="F819" s="4" t="s">
        <v>927</v>
      </c>
      <c r="G819" s="4" t="str">
        <f>LOOKUP($E819,OBRAS!$D:$D,OBRAS!E:E)</f>
        <v>C-00052/0177</v>
      </c>
      <c r="H819" s="80" t="s">
        <v>103</v>
      </c>
      <c r="I819" s="6">
        <v>1750005.15</v>
      </c>
      <c r="J819" s="6"/>
      <c r="K819" s="6">
        <f>ROUND(I819*0.3,2)</f>
        <v>525001.55000000005</v>
      </c>
      <c r="L819" s="6">
        <f t="shared" si="197"/>
        <v>1225003.6000000001</v>
      </c>
      <c r="M819" s="6">
        <f t="shared" si="205"/>
        <v>196000.58</v>
      </c>
      <c r="N819" s="6">
        <f t="shared" si="198"/>
        <v>1421004.18</v>
      </c>
      <c r="O819" s="6">
        <f>+ROUND(I819*0.005,2)</f>
        <v>8750.0300000000007</v>
      </c>
      <c r="P819" s="6">
        <f t="shared" si="199"/>
        <v>1412254.15</v>
      </c>
      <c r="Q819" s="4" t="str">
        <f>LOOKUP($E819,OBRAS!$D:$D,OBRAS!B:B)</f>
        <v>CONSTRUPIMA, S.A. DE C.V.</v>
      </c>
      <c r="R819" s="4" t="str">
        <f>LOOKUP($E819,OBRAS!$D:$D,OBRAS!A:A)</f>
        <v>HERMOSILLO</v>
      </c>
      <c r="S819" s="4" t="str">
        <f>LOOKUP($E819,OBRAS!$D:$D,OBRAS!F:F)</f>
        <v>11000002002201E202K05186A614202165CN07</v>
      </c>
      <c r="T819" s="4" t="str">
        <f>LOOKUP($E819,OBRAS!$D:$D,OBRAS!G:G)</f>
        <v>LO-956006995-E85-2016</v>
      </c>
      <c r="U819" s="4" t="s">
        <v>863</v>
      </c>
      <c r="V819" s="89">
        <v>42727</v>
      </c>
      <c r="W819" s="6">
        <f>LOOKUP($E819,OBRAS!$D:$D,OBRAS!K:K)</f>
        <v>22873151.760000002</v>
      </c>
      <c r="X819" s="109">
        <f t="shared" si="200"/>
        <v>8.8800000000000004E-2</v>
      </c>
      <c r="Y819" s="109">
        <f t="shared" si="201"/>
        <v>0.87480000000000002</v>
      </c>
      <c r="Z819" s="109">
        <f t="shared" si="202"/>
        <v>0.9123</v>
      </c>
      <c r="AA819" s="4" t="str">
        <f>LOOKUP($E819,OBRAS!$D:$D,OBRAS!H:H)</f>
        <v>SH-NC-17-R-004</v>
      </c>
    </row>
    <row r="820" spans="1:27" ht="60" x14ac:dyDescent="0.25">
      <c r="A820" s="90">
        <v>42711</v>
      </c>
      <c r="B820" s="56">
        <v>5620</v>
      </c>
      <c r="C820" s="49">
        <v>819</v>
      </c>
      <c r="D820" s="4" t="str">
        <f>LOOKUP($E820,OBRAS!$D:$D,OBRAS!C:C)</f>
        <v>SUPERVISION EXTERNA Y CONTROL DE CALIDAD DE LA REHABILITACION DE RED DE CARRETERAS ALIMENTADORAS EN LA REGION DEL RIO SONORA; SUBTRAMO KM 75+000 AL KM 149+000</v>
      </c>
      <c r="E820" s="4" t="s">
        <v>749</v>
      </c>
      <c r="F820" s="4"/>
      <c r="G820" s="4" t="str">
        <f>LOOKUP($E820,OBRAS!$D:$D,OBRAS!E:E)</f>
        <v>C-00098/0021</v>
      </c>
      <c r="H820" s="80" t="s">
        <v>15</v>
      </c>
      <c r="I820" s="6">
        <v>73054.66</v>
      </c>
      <c r="J820" s="6"/>
      <c r="K820" s="6">
        <v>0</v>
      </c>
      <c r="L820" s="6">
        <f t="shared" si="197"/>
        <v>73054.66</v>
      </c>
      <c r="M820" s="6">
        <f t="shared" si="205"/>
        <v>11688.75</v>
      </c>
      <c r="N820" s="6">
        <f t="shared" si="198"/>
        <v>84743.41</v>
      </c>
      <c r="O820" s="6">
        <f>+ROUND(I820*0.002,2)+ROUND(I820*0.0003,2)+ROUND(I820*0.0003,2)+ROUND(I820*0.0003,2)</f>
        <v>211.87</v>
      </c>
      <c r="P820" s="6">
        <f t="shared" si="199"/>
        <v>84531.54</v>
      </c>
      <c r="Q820" s="4" t="str">
        <f>LOOKUP($E820,OBRAS!$D:$D,OBRAS!B:B)</f>
        <v>ESCOBO S.A. DE C.V.</v>
      </c>
      <c r="R820" s="4" t="str">
        <f>LOOKUP($E820,OBRAS!$D:$D,OBRAS!A:A)</f>
        <v>VARIOS</v>
      </c>
      <c r="S820" s="4" t="str">
        <f>LOOKUP($E820,OBRAS!$D:$D,OBRAS!F:F)</f>
        <v>11000002003501E203K03203A625132161A013</v>
      </c>
      <c r="T820" s="4" t="str">
        <f>LOOKUP($E820,OBRAS!$D:$D,OBRAS!G:G)</f>
        <v>CE-966006995-E68-2016</v>
      </c>
      <c r="U820" s="4" t="s">
        <v>863</v>
      </c>
      <c r="V820" s="89">
        <v>42781</v>
      </c>
      <c r="W820" s="6">
        <f>LOOKUP($E820,OBRAS!$D:$D,OBRAS!K:K)</f>
        <v>2346107.56</v>
      </c>
      <c r="X820" s="109">
        <f t="shared" si="200"/>
        <v>3.61E-2</v>
      </c>
      <c r="Y820" s="109">
        <f t="shared" si="201"/>
        <v>0.78280000000000005</v>
      </c>
      <c r="Z820" s="109">
        <f t="shared" si="202"/>
        <v>0.78280000000000005</v>
      </c>
      <c r="AA820" s="4" t="str">
        <f>LOOKUP($E820,OBRAS!$D:$D,OBRAS!H:H)</f>
        <v>SH-ED-16-060</v>
      </c>
    </row>
    <row r="821" spans="1:27" ht="30" x14ac:dyDescent="0.25">
      <c r="A821" s="90">
        <v>42711</v>
      </c>
      <c r="B821" s="56">
        <v>5621</v>
      </c>
      <c r="C821" s="49">
        <v>820</v>
      </c>
      <c r="D821" s="4" t="str">
        <f>LOOKUP($E821,OBRAS!$D:$D,OBRAS!C:C)</f>
        <v>RECONSTRUCCION DEL CAMINO CALLE 1900</v>
      </c>
      <c r="E821" s="4" t="s">
        <v>546</v>
      </c>
      <c r="F821" s="4" t="s">
        <v>285</v>
      </c>
      <c r="G821" s="4" t="str">
        <f>LOOKUP($E821,OBRAS!$D:$D,OBRAS!E:E)</f>
        <v>C-00054/0027</v>
      </c>
      <c r="H821" s="80" t="s">
        <v>15</v>
      </c>
      <c r="I821" s="6">
        <v>4399453.9000000004</v>
      </c>
      <c r="J821" s="6"/>
      <c r="K821" s="6">
        <f>ROUND(I821*0.3,2)</f>
        <v>1319836.17</v>
      </c>
      <c r="L821" s="6">
        <f t="shared" si="197"/>
        <v>3079617.73</v>
      </c>
      <c r="M821" s="6">
        <f t="shared" si="205"/>
        <v>492738.84</v>
      </c>
      <c r="N821" s="6">
        <f t="shared" si="198"/>
        <v>3572356.57</v>
      </c>
      <c r="O821" s="6">
        <f>+ROUND(I821*0.002,2)+ROUND(I821*0.0003,2)+ROUND(I821*0.0003,2)+ROUND(I821*0.0003,2)+ROUND(I821*0.002,2)</f>
        <v>21557.34</v>
      </c>
      <c r="P821" s="6">
        <f t="shared" si="199"/>
        <v>3550799.23</v>
      </c>
      <c r="Q821" s="4" t="str">
        <f>LOOKUP($E821,OBRAS!$D:$D,OBRAS!B:B)</f>
        <v>NA CONSTRUCCIONES DEL PACIFICO, S.A. DE C.V.</v>
      </c>
      <c r="R821" s="4" t="str">
        <f>LOOKUP($E821,OBRAS!$D:$D,OBRAS!A:A)</f>
        <v>CAJEME</v>
      </c>
      <c r="S821" s="4" t="str">
        <f>LOOKUP($E821,OBRAS!$D:$D,OBRAS!F:F)</f>
        <v>11000002003501E204K08063A625012162A211</v>
      </c>
      <c r="T821" s="4" t="str">
        <f>LOOKUP($E821,OBRAS!$D:$D,OBRAS!G:G)</f>
        <v>CE-926006995-E14-2016</v>
      </c>
      <c r="U821" s="4" t="s">
        <v>863</v>
      </c>
      <c r="V821" s="89">
        <v>42755</v>
      </c>
      <c r="W821" s="6">
        <f>LOOKUP($E821,OBRAS!$D:$D,OBRAS!K:K)</f>
        <v>24701108.239999998</v>
      </c>
      <c r="X821" s="109">
        <f t="shared" si="200"/>
        <v>0.20660000000000001</v>
      </c>
      <c r="Y821" s="109">
        <f t="shared" si="201"/>
        <v>1</v>
      </c>
      <c r="Z821" s="109">
        <f t="shared" si="202"/>
        <v>1</v>
      </c>
      <c r="AA821" s="4" t="str">
        <f>LOOKUP($E821,OBRAS!$D:$D,OBRAS!H:H)</f>
        <v>SH-ED-17-R-013</v>
      </c>
    </row>
    <row r="822" spans="1:27" ht="60" x14ac:dyDescent="0.25">
      <c r="A822" s="90">
        <v>42711</v>
      </c>
      <c r="B822" s="56">
        <v>5622</v>
      </c>
      <c r="C822" s="49">
        <v>821</v>
      </c>
      <c r="D822" s="4" t="str">
        <f>LOOKUP($E822,OBRAS!$D:$D,OBRAS!C:C)</f>
        <v>CONSTRUCCION DE LA CARRETERA E.C. 4 SUR (ALFREDO V. BONFIL) TRAMO DEL KM 1+700 AL KM 5+600 EN VARIAS LOCALIDADES DEL MUNICIPIO DE HERMOSILLO</v>
      </c>
      <c r="E822" s="4" t="s">
        <v>364</v>
      </c>
      <c r="F822" s="4"/>
      <c r="G822" s="4" t="str">
        <f>LOOKUP($E822,OBRAS!$D:$D,OBRAS!E:E)</f>
        <v>C-00054/0066</v>
      </c>
      <c r="H822" s="80" t="s">
        <v>55</v>
      </c>
      <c r="I822" s="6">
        <v>488837.55</v>
      </c>
      <c r="J822" s="6"/>
      <c r="K822" s="6">
        <f>ROUND(I822*0.3,2)</f>
        <v>146651.26999999999</v>
      </c>
      <c r="L822" s="6">
        <f t="shared" si="197"/>
        <v>342186.28</v>
      </c>
      <c r="M822" s="6">
        <f t="shared" si="205"/>
        <v>54749.8</v>
      </c>
      <c r="N822" s="6">
        <f t="shared" si="198"/>
        <v>396936.08</v>
      </c>
      <c r="O822" s="6">
        <f>+ROUND(I822*0.002,2)+ROUND(I822*0.0003,2)+ROUND(I822*0.0003,2)+ROUND(I822*0.0003,2)+ROUND(I822*0.002,2)</f>
        <v>2395.31</v>
      </c>
      <c r="P822" s="6">
        <f t="shared" si="199"/>
        <v>394540.77</v>
      </c>
      <c r="Q822" s="4" t="str">
        <f>LOOKUP($E822,OBRAS!$D:$D,OBRAS!B:B)</f>
        <v>EDIFICACIONES Y PROYECTOS MOCELIK, S.A. DE C.V.</v>
      </c>
      <c r="R822" s="4" t="str">
        <f>LOOKUP($E822,OBRAS!$D:$D,OBRAS!A:A)</f>
        <v>HERMOSILLO</v>
      </c>
      <c r="S822" s="4" t="str">
        <f>LOOKUP($E822,OBRAS!$D:$D,OBRAS!F:F)</f>
        <v>11000002003501E204K08063A625012162A213</v>
      </c>
      <c r="T822" s="4" t="str">
        <f>LOOKUP($E822,OBRAS!$D:$D,OBRAS!G:G)</f>
        <v>CE-926006995-E34-2016</v>
      </c>
      <c r="U822" s="4" t="s">
        <v>863</v>
      </c>
      <c r="V822" s="89">
        <v>42762</v>
      </c>
      <c r="W822" s="6">
        <f>LOOKUP($E822,OBRAS!$D:$D,OBRAS!K:K)</f>
        <v>23895598.399999999</v>
      </c>
      <c r="X822" s="109">
        <f t="shared" si="200"/>
        <v>2.3699999999999999E-2</v>
      </c>
      <c r="Y822" s="109">
        <f t="shared" si="201"/>
        <v>0.98550000000000004</v>
      </c>
      <c r="Z822" s="109">
        <f t="shared" si="202"/>
        <v>0.98980000000000001</v>
      </c>
      <c r="AA822" s="4" t="str">
        <f>LOOKUP($E822,OBRAS!$D:$D,OBRAS!H:H)</f>
        <v>SH-ED-17-R-013</v>
      </c>
    </row>
    <row r="823" spans="1:27" ht="45" x14ac:dyDescent="0.25">
      <c r="A823" s="90">
        <v>42711</v>
      </c>
      <c r="B823" s="56">
        <v>5626</v>
      </c>
      <c r="C823" s="49">
        <v>822</v>
      </c>
      <c r="D823" s="4" t="str">
        <f>LOOKUP($E823,OBRAS!$D:$D,OBRAS!C:C)</f>
        <v>CONCLUSION DE LA MODERNIZACION Y RECONSTRUCCION DEL TRAMO ESPERANZA - HORNOS (DEL KM 8 + 800 AL KM 17 + 400)</v>
      </c>
      <c r="E823" s="4" t="s">
        <v>597</v>
      </c>
      <c r="F823" s="4" t="s">
        <v>285</v>
      </c>
      <c r="G823" s="4" t="str">
        <f>LOOKUP($E823,OBRAS!$D:$D,OBRAS!E:E)</f>
        <v>C-00054/0053</v>
      </c>
      <c r="H823" s="80" t="s">
        <v>220</v>
      </c>
      <c r="I823" s="6">
        <v>3071220.49</v>
      </c>
      <c r="J823" s="6"/>
      <c r="K823" s="6">
        <f>ROUND(I823*0.3,2)</f>
        <v>921366.15</v>
      </c>
      <c r="L823" s="6">
        <f t="shared" si="197"/>
        <v>2149854.34</v>
      </c>
      <c r="M823" s="6">
        <f t="shared" si="205"/>
        <v>343976.69</v>
      </c>
      <c r="N823" s="6">
        <f t="shared" si="198"/>
        <v>2493831.0299999998</v>
      </c>
      <c r="O823" s="6">
        <f>+ROUND(I823*0.002,2)+ROUND(I823*0.0003,2)+ROUND(I823*0.0003,2)+ROUND(I823*0.0003,2)+ROUND(I823*0.002,2)</f>
        <v>15048.99</v>
      </c>
      <c r="P823" s="6">
        <f t="shared" si="199"/>
        <v>2478782.04</v>
      </c>
      <c r="Q823" s="4" t="str">
        <f>LOOKUP($E823,OBRAS!$D:$D,OBRAS!B:B)</f>
        <v>INGENIEROS CIVILES, S.A. DE C.V.</v>
      </c>
      <c r="R823" s="4" t="str">
        <f>LOOKUP($E823,OBRAS!$D:$D,OBRAS!A:A)</f>
        <v>VARIOS</v>
      </c>
      <c r="S823" s="4" t="str">
        <f>LOOKUP($E823,OBRAS!$D:$D,OBRAS!F:F)</f>
        <v>11000002003501E204K08063A625012162A213</v>
      </c>
      <c r="T823" s="4" t="str">
        <f>LOOKUP($E823,OBRAS!$D:$D,OBRAS!G:G)</f>
        <v>CE-966006995-E17-2016</v>
      </c>
      <c r="U823" s="4" t="s">
        <v>863</v>
      </c>
      <c r="V823" s="89">
        <v>42760</v>
      </c>
      <c r="W823" s="6">
        <f>LOOKUP($E823,OBRAS!$D:$D,OBRAS!K:K)</f>
        <v>79892690.269999996</v>
      </c>
      <c r="X823" s="109">
        <f t="shared" si="200"/>
        <v>4.4600000000000001E-2</v>
      </c>
      <c r="Y823" s="109">
        <f t="shared" si="201"/>
        <v>0.98319999999999996</v>
      </c>
      <c r="Z823" s="109">
        <f t="shared" si="202"/>
        <v>0.98309999999999997</v>
      </c>
      <c r="AA823" s="4" t="str">
        <f>LOOKUP($E823,OBRAS!$D:$D,OBRAS!H:H)</f>
        <v>SH-ED-17-R-013</v>
      </c>
    </row>
    <row r="824" spans="1:27" ht="60" x14ac:dyDescent="0.25">
      <c r="A824" s="90">
        <v>42711</v>
      </c>
      <c r="B824" s="56">
        <v>5627</v>
      </c>
      <c r="C824" s="49">
        <v>823</v>
      </c>
      <c r="D824" s="4" t="str">
        <f>LOOKUP($E824,OBRAS!$D:$D,OBRAS!C:C)</f>
        <v>SUPERVISION EXTERNA Y CONTROL DE CALIDAD DE LA OBRA: RECONSTRUCCION  DEL CAMINO  CALLE 1900 EN VARIAS LOCALIDADES DEL MUNICIPIO DE CAJEME, SONORA.</v>
      </c>
      <c r="E824" s="4" t="s">
        <v>424</v>
      </c>
      <c r="F824" s="4" t="s">
        <v>927</v>
      </c>
      <c r="G824" s="4" t="str">
        <f>LOOKUP($E824,OBRAS!$D:$D,OBRAS!E:E)</f>
        <v>C-00098/0021</v>
      </c>
      <c r="H824" s="80" t="s">
        <v>215</v>
      </c>
      <c r="I824" s="6">
        <v>148776.88</v>
      </c>
      <c r="J824" s="6"/>
      <c r="K824" s="6">
        <f>ROUND(I824*0.1,2)</f>
        <v>14877.69</v>
      </c>
      <c r="L824" s="6">
        <f t="shared" si="197"/>
        <v>133899.19</v>
      </c>
      <c r="M824" s="6">
        <f t="shared" si="205"/>
        <v>21423.87</v>
      </c>
      <c r="N824" s="6">
        <f t="shared" si="198"/>
        <v>155323.06</v>
      </c>
      <c r="O824" s="6">
        <f>+ROUND(I824*0.002,2)+ROUND(I824*0.0003,2)+ROUND(I824*0.0003,2)+ROUND(I824*0.0003,2)</f>
        <v>431.44</v>
      </c>
      <c r="P824" s="6">
        <f t="shared" si="199"/>
        <v>154891.62</v>
      </c>
      <c r="Q824" s="4" t="str">
        <f>LOOKUP($E824,OBRAS!$D:$D,OBRAS!B:B)</f>
        <v>SEI TETRA, S. A. DE C. V.</v>
      </c>
      <c r="R824" s="4" t="str">
        <f>LOOKUP($E824,OBRAS!$D:$D,OBRAS!A:A)</f>
        <v>CAJEME</v>
      </c>
      <c r="S824" s="4" t="str">
        <f>LOOKUP($E824,OBRAS!$D:$D,OBRAS!F:F)</f>
        <v>11000002003501E203K03203A625132161A013</v>
      </c>
      <c r="T824" s="4" t="str">
        <f>LOOKUP($E824,OBRAS!$D:$D,OBRAS!G:G)</f>
        <v>LICITACIÓN SIMPLIFICADA</v>
      </c>
      <c r="U824" s="4" t="s">
        <v>863</v>
      </c>
      <c r="V824" s="89">
        <v>42781</v>
      </c>
      <c r="W824" s="6">
        <f>LOOKUP($E824,OBRAS!$D:$D,OBRAS!K:K)</f>
        <v>739633.54</v>
      </c>
      <c r="X824" s="109">
        <f t="shared" si="200"/>
        <v>0.23330000000000001</v>
      </c>
      <c r="Y824" s="109">
        <f t="shared" si="201"/>
        <v>1</v>
      </c>
      <c r="Z824" s="109">
        <f t="shared" si="202"/>
        <v>1</v>
      </c>
      <c r="AA824" s="4" t="str">
        <f>LOOKUP($E824,OBRAS!$D:$D,OBRAS!H:H)</f>
        <v>SH-ED-16-051</v>
      </c>
    </row>
    <row r="825" spans="1:27" ht="60" x14ac:dyDescent="0.25">
      <c r="A825" s="90">
        <v>42711</v>
      </c>
      <c r="B825" s="56">
        <v>5628</v>
      </c>
      <c r="C825" s="49">
        <v>824</v>
      </c>
      <c r="D825" s="4" t="str">
        <f>LOOKUP($E825,OBRAS!$D:$D,OBRAS!C:C)</f>
        <v>CONSERVACION Y RECONSTRUCCION DE CARRETERAS ALIMENTADORAS REGION GUAYMAS-EMPALME, TRAMO: URSULO GALVAN-JUNELANCAHUI, DEL KM 0+000 AL KM 5+600</v>
      </c>
      <c r="E825" s="4" t="s">
        <v>550</v>
      </c>
      <c r="F825" s="4" t="s">
        <v>306</v>
      </c>
      <c r="G825" s="4" t="str">
        <f>LOOKUP($E825,OBRAS!$D:$D,OBRAS!E:E)</f>
        <v>C-00054/0060</v>
      </c>
      <c r="H825" s="80" t="s">
        <v>55</v>
      </c>
      <c r="I825" s="6">
        <v>943375.41</v>
      </c>
      <c r="J825" s="6"/>
      <c r="K825" s="6">
        <f>ROUND(I825*0.3,2)</f>
        <v>283012.62</v>
      </c>
      <c r="L825" s="6">
        <f t="shared" si="197"/>
        <v>660362.79</v>
      </c>
      <c r="M825" s="6">
        <f t="shared" si="205"/>
        <v>105658.05</v>
      </c>
      <c r="N825" s="6">
        <f t="shared" si="198"/>
        <v>766020.84</v>
      </c>
      <c r="O825" s="6">
        <f>+ROUND(I825*0.002,2)+ROUND(I825*0.0003,2)+ROUND(I825*0.0003,2)+ROUND(I825*0.0003,2)+ROUND(I825*0.002,2)</f>
        <v>4622.53</v>
      </c>
      <c r="P825" s="6">
        <f t="shared" si="199"/>
        <v>761398.31</v>
      </c>
      <c r="Q825" s="4" t="str">
        <f>LOOKUP($E825,OBRAS!$D:$D,OBRAS!B:B)</f>
        <v>ACQUA  DREN  INGENIERIA S.A. DE C.V.</v>
      </c>
      <c r="R825" s="4" t="str">
        <f>LOOKUP($E825,OBRAS!$D:$D,OBRAS!A:A)</f>
        <v>VARIOS</v>
      </c>
      <c r="S825" s="4" t="str">
        <f>LOOKUP($E825,OBRAS!$D:$D,OBRAS!F:F)</f>
        <v>11000002003501E204K08063A625012162A213</v>
      </c>
      <c r="T825" s="4" t="str">
        <f>LOOKUP($E825,OBRAS!$D:$D,OBRAS!G:G)</f>
        <v>CE-926006995-E24-2016</v>
      </c>
      <c r="U825" s="4" t="s">
        <v>863</v>
      </c>
      <c r="V825" s="89">
        <v>42762</v>
      </c>
      <c r="W825" s="6">
        <f>LOOKUP($E825,OBRAS!$D:$D,OBRAS!K:K)</f>
        <v>14898875.880000001</v>
      </c>
      <c r="X825" s="109">
        <f t="shared" si="200"/>
        <v>7.3400000000000007E-2</v>
      </c>
      <c r="Y825" s="109">
        <f t="shared" si="201"/>
        <v>0.60219999999999996</v>
      </c>
      <c r="Z825" s="109">
        <f t="shared" si="202"/>
        <v>0.72150000000000003</v>
      </c>
      <c r="AA825" s="4" t="str">
        <f>LOOKUP($E825,OBRAS!$D:$D,OBRAS!H:H)</f>
        <v>SH-ED-17-R-013</v>
      </c>
    </row>
    <row r="826" spans="1:27" ht="60" x14ac:dyDescent="0.25">
      <c r="A826" s="90">
        <v>42712</v>
      </c>
      <c r="B826" s="56">
        <v>5651</v>
      </c>
      <c r="C826" s="51">
        <v>825</v>
      </c>
      <c r="D826" s="4" t="str">
        <f>LOOKUP($E826,OBRAS!$D:$D,OBRAS!C:C)</f>
        <v>SUPERVISION EXTERNA Y CONTROL DE CALIDAD DE LA OBRA: RECONSTRUCCION  DEL CAMINO  CALLE 1900 EN VARIAS LOCALIDADES DEL MUNICIPIO DE CAJEME, SONORA.</v>
      </c>
      <c r="E826" s="4" t="s">
        <v>424</v>
      </c>
      <c r="F826" s="4" t="s">
        <v>927</v>
      </c>
      <c r="G826" s="4" t="str">
        <f>LOOKUP($E826,OBRAS!$D:$D,OBRAS!E:E)</f>
        <v>C-00098/0021</v>
      </c>
      <c r="H826" s="80" t="s">
        <v>15</v>
      </c>
      <c r="I826" s="6">
        <v>10626.9</v>
      </c>
      <c r="J826" s="6"/>
      <c r="K826" s="6">
        <v>1062.69</v>
      </c>
      <c r="L826" s="6">
        <f t="shared" si="197"/>
        <v>9564.2099999999991</v>
      </c>
      <c r="M826" s="6">
        <f t="shared" si="205"/>
        <v>1530.27</v>
      </c>
      <c r="N826" s="6">
        <f t="shared" si="198"/>
        <v>11094.48</v>
      </c>
      <c r="O826" s="6">
        <f>+ROUND(I826*0.002,2)+ROUND(I826*0.0003,2)+ROUND(I826*0.0003,2)+ROUND(I826*0.0003,2)</f>
        <v>30.82</v>
      </c>
      <c r="P826" s="6">
        <f t="shared" si="199"/>
        <v>11063.66</v>
      </c>
      <c r="Q826" s="4" t="str">
        <f>LOOKUP($E826,OBRAS!$D:$D,OBRAS!B:B)</f>
        <v>SEI TETRA, S. A. DE C. V.</v>
      </c>
      <c r="R826" s="4" t="str">
        <f>LOOKUP($E826,OBRAS!$D:$D,OBRAS!A:A)</f>
        <v>CAJEME</v>
      </c>
      <c r="S826" s="4" t="str">
        <f>LOOKUP($E826,OBRAS!$D:$D,OBRAS!F:F)</f>
        <v>11000002003501E203K03203A625132161A013</v>
      </c>
      <c r="T826" s="4" t="str">
        <f>LOOKUP($E826,OBRAS!$D:$D,OBRAS!G:G)</f>
        <v>LICITACIÓN SIMPLIFICADA</v>
      </c>
      <c r="U826" s="4" t="s">
        <v>863</v>
      </c>
      <c r="V826" s="89">
        <v>42781</v>
      </c>
      <c r="W826" s="6">
        <f>LOOKUP($E826,OBRAS!$D:$D,OBRAS!K:K)</f>
        <v>739633.54</v>
      </c>
      <c r="X826" s="109">
        <f t="shared" si="200"/>
        <v>1.67E-2</v>
      </c>
      <c r="Y826" s="109">
        <f t="shared" si="201"/>
        <v>1</v>
      </c>
      <c r="Z826" s="109">
        <f t="shared" si="202"/>
        <v>1</v>
      </c>
      <c r="AA826" s="4" t="str">
        <f>LOOKUP($E826,OBRAS!$D:$D,OBRAS!H:H)</f>
        <v>SH-ED-16-051</v>
      </c>
    </row>
    <row r="827" spans="1:27" ht="60" x14ac:dyDescent="0.25">
      <c r="A827" s="90">
        <v>42712</v>
      </c>
      <c r="B827" s="56">
        <v>5654</v>
      </c>
      <c r="C827" s="51">
        <v>826</v>
      </c>
      <c r="D827" s="4" t="str">
        <f>LOOKUP($E827,OBRAS!$D:$D,OBRAS!C:C)</f>
        <v>RECONSTRUCCION DE E.C. (CALLE 36 SUR) GRANJAS ACUICOLAS DEL KM 0+000 AL KM 12+660, EN VARIAS LOCALIDADES DEL MUNICIPIO DE HERMOSILLO.</v>
      </c>
      <c r="E827" s="4" t="s">
        <v>375</v>
      </c>
      <c r="F827" s="4"/>
      <c r="G827" s="4" t="str">
        <f>LOOKUP($E827,OBRAS!$D:$D,OBRAS!E:E)</f>
        <v>C-00054/0071</v>
      </c>
      <c r="H827" s="80" t="s">
        <v>218</v>
      </c>
      <c r="I827" s="6">
        <v>1159193.95</v>
      </c>
      <c r="J827" s="6"/>
      <c r="K827" s="6">
        <f>ROUND(I827*0.3,2)</f>
        <v>347758.19</v>
      </c>
      <c r="L827" s="6">
        <f t="shared" si="197"/>
        <v>811435.76</v>
      </c>
      <c r="M827" s="6">
        <f t="shared" si="205"/>
        <v>129829.72</v>
      </c>
      <c r="N827" s="6">
        <f t="shared" si="198"/>
        <v>941265.48</v>
      </c>
      <c r="O827" s="6">
        <f>+ROUND(I827*0.002,2)+ROUND(I827*0.0003,2)+ROUND(I827*0.0003,2)+ROUND(I827*0.0003,2)+ROUND(I827*0.002,2)</f>
        <v>5680.06</v>
      </c>
      <c r="P827" s="6">
        <f t="shared" si="199"/>
        <v>935585.42</v>
      </c>
      <c r="Q827" s="4" t="str">
        <f>LOOKUP($E827,OBRAS!$D:$D,OBRAS!B:B)</f>
        <v>RENTA, MOVIMIENTO DE CONSTRUCCION EQUIPEN, S.A. DE C.V.</v>
      </c>
      <c r="R827" s="4" t="str">
        <f>LOOKUP($E827,OBRAS!$D:$D,OBRAS!A:A)</f>
        <v>HERMOSILLO</v>
      </c>
      <c r="S827" s="4" t="str">
        <f>LOOKUP($E827,OBRAS!$D:$D,OBRAS!F:F)</f>
        <v>11000002003501E204K08063A625012162A207</v>
      </c>
      <c r="T827" s="4" t="str">
        <f>LOOKUP($E827,OBRAS!$D:$D,OBRAS!G:G)</f>
        <v>CE-926006995-E44-2016</v>
      </c>
      <c r="U827" s="4" t="s">
        <v>863</v>
      </c>
      <c r="V827" s="89">
        <v>42755</v>
      </c>
      <c r="W827" s="6">
        <f>LOOKUP($E827,OBRAS!$D:$D,OBRAS!K:K)</f>
        <v>22599852.190000001</v>
      </c>
      <c r="X827" s="109">
        <f t="shared" si="200"/>
        <v>5.9499999999999997E-2</v>
      </c>
      <c r="Y827" s="109">
        <f t="shared" si="201"/>
        <v>0.66990000000000005</v>
      </c>
      <c r="Z827" s="109">
        <f t="shared" si="202"/>
        <v>0.76890000000000003</v>
      </c>
      <c r="AA827" s="4" t="str">
        <f>LOOKUP($E827,OBRAS!$D:$D,OBRAS!H:H)</f>
        <v>SH-ED-17-R-004</v>
      </c>
    </row>
    <row r="828" spans="1:27" ht="45" x14ac:dyDescent="0.25">
      <c r="A828" s="90">
        <v>42712</v>
      </c>
      <c r="B828" s="56">
        <v>5657</v>
      </c>
      <c r="C828" s="51">
        <v>827</v>
      </c>
      <c r="D828" s="4" t="str">
        <f>LOOKUP($E828,OBRAS!$D:$D,OBRAS!C:C)</f>
        <v>SUPERVISION EXTERNA Y CONTROL DE CALIDAD DE LA RECONSTRUCCION DE CALLE 26, DEL KM 70+000 AL KM 101+300, HERMOSILLO</v>
      </c>
      <c r="E828" s="4" t="s">
        <v>678</v>
      </c>
      <c r="F828" s="4"/>
      <c r="G828" s="4" t="str">
        <f>LOOKUP($E828,OBRAS!$D:$D,OBRAS!E:E)</f>
        <v>C-00098/0022</v>
      </c>
      <c r="H828" s="80" t="s">
        <v>15</v>
      </c>
      <c r="I828" s="6">
        <v>196759.69</v>
      </c>
      <c r="J828" s="6"/>
      <c r="K828" s="6">
        <f>ROUND(I828*0.1,2)</f>
        <v>19675.97</v>
      </c>
      <c r="L828" s="6">
        <f t="shared" si="197"/>
        <v>177083.72</v>
      </c>
      <c r="M828" s="6">
        <f t="shared" si="205"/>
        <v>28333.4</v>
      </c>
      <c r="N828" s="6">
        <f t="shared" si="198"/>
        <v>205417.12</v>
      </c>
      <c r="O828" s="6">
        <f>+ROUND(I828*0.002,2)+ROUND(I828*0.0003,2)+ROUND(I828*0.0003,2)+ROUND(I828*0.0003,2)</f>
        <v>570.61</v>
      </c>
      <c r="P828" s="6">
        <f t="shared" si="199"/>
        <v>204846.51</v>
      </c>
      <c r="Q828" s="4" t="str">
        <f>LOOKUP($E828,OBRAS!$D:$D,OBRAS!B:B)</f>
        <v>GM3 INGENIERIA Y SERVICIOS, S. DE R.L. DE C.V.</v>
      </c>
      <c r="R828" s="4" t="str">
        <f>LOOKUP($E828,OBRAS!$D:$D,OBRAS!A:A)</f>
        <v>HERMOSILLO</v>
      </c>
      <c r="S828" s="4" t="str">
        <f>LOOKUP($E828,OBRAS!$D:$D,OBRAS!F:F)</f>
        <v>11000002002207E201K02104A622212161A013</v>
      </c>
      <c r="T828" s="4" t="str">
        <f>LOOKUP($E828,OBRAS!$D:$D,OBRAS!G:G)</f>
        <v>CE-926006995-E69-2016</v>
      </c>
      <c r="U828" s="4" t="s">
        <v>863</v>
      </c>
      <c r="V828" s="89">
        <v>42781</v>
      </c>
      <c r="W828" s="6">
        <f>LOOKUP($E828,OBRAS!$D:$D,OBRAS!K:K)</f>
        <v>1369447.44</v>
      </c>
      <c r="X828" s="109">
        <f t="shared" si="200"/>
        <v>0.16669999999999999</v>
      </c>
      <c r="Y828" s="109">
        <f t="shared" si="201"/>
        <v>1.0639000000000001</v>
      </c>
      <c r="Z828" s="109">
        <f t="shared" si="202"/>
        <v>1.0638000000000001</v>
      </c>
      <c r="AA828" s="4" t="str">
        <f>LOOKUP($E828,OBRAS!$D:$D,OBRAS!H:H)</f>
        <v>SH-ED-16-066</v>
      </c>
    </row>
    <row r="829" spans="1:27" ht="45" x14ac:dyDescent="0.25">
      <c r="C829" s="51">
        <v>828</v>
      </c>
      <c r="D829" s="4" t="str">
        <f>LOOKUP($E829,OBRAS!$D:$D,OBRAS!C:C)</f>
        <v>PAVIMENTACION CON CONCRETO HIDRAULICO DE 16CM DE ESPESOR EN LA CALLE RUBEN POMPA ENTRE AVE. RODOLFO GODINEZ Y AVE. FRESNO</v>
      </c>
      <c r="E829" s="4" t="s">
        <v>1872</v>
      </c>
      <c r="F829" s="4"/>
      <c r="G829" s="4" t="str">
        <f>LOOKUP($E829,OBRAS!$D:$D,OBRAS!E:E)</f>
        <v>C-00052/0212</v>
      </c>
      <c r="H829" s="80" t="s">
        <v>23</v>
      </c>
      <c r="I829" s="6">
        <v>1456027.89</v>
      </c>
      <c r="J829" s="6"/>
      <c r="K829" s="6">
        <v>0</v>
      </c>
      <c r="L829" s="6">
        <f t="shared" si="197"/>
        <v>1456027.89</v>
      </c>
      <c r="M829" s="6">
        <f t="shared" si="205"/>
        <v>232964.46</v>
      </c>
      <c r="N829" s="6">
        <f t="shared" si="198"/>
        <v>1688992.35</v>
      </c>
      <c r="O829" s="6">
        <v>0</v>
      </c>
      <c r="P829" s="6">
        <f t="shared" si="199"/>
        <v>1688992.35</v>
      </c>
      <c r="Q829" s="4" t="str">
        <f>LOOKUP($E829,OBRAS!$D:$D,OBRAS!B:B)</f>
        <v>RENTA, MOVIMIENTO DE CONTRUCCION EQUIPEN, S.A. DE C.V.</v>
      </c>
      <c r="R829" s="4" t="str">
        <f>LOOKUP($E829,OBRAS!$D:$D,OBRAS!A:A)</f>
        <v>ALTAR</v>
      </c>
      <c r="S829" s="4" t="str">
        <f>LOOKUP($E829,OBRAS!$D:$D,OBRAS!F:F)</f>
        <v>11000002002201E202K05186A614202165FN02</v>
      </c>
      <c r="T829" s="4" t="str">
        <f>LOOKUP($E829,OBRAS!$D:$D,OBRAS!G:G)</f>
        <v>IO-926006995-E151-E2016</v>
      </c>
      <c r="U829" s="4" t="s">
        <v>863</v>
      </c>
      <c r="V829" s="89">
        <v>42731</v>
      </c>
      <c r="W829" s="6">
        <f>LOOKUP($E829,OBRAS!$D:$D,OBRAS!K:K)</f>
        <v>5629974.5099999998</v>
      </c>
      <c r="X829" s="109" t="str">
        <f t="shared" si="200"/>
        <v/>
      </c>
      <c r="Y829" s="109">
        <f t="shared" si="201"/>
        <v>0</v>
      </c>
      <c r="Z829" s="109">
        <f t="shared" si="202"/>
        <v>0.3</v>
      </c>
      <c r="AA829" s="4" t="str">
        <f>LOOKUP($E829,OBRAS!$D:$D,OBRAS!H:H)</f>
        <v>SH-NC-17-R-005</v>
      </c>
    </row>
    <row r="830" spans="1:27" ht="60" x14ac:dyDescent="0.25">
      <c r="A830" s="90">
        <v>42712</v>
      </c>
      <c r="B830" s="56">
        <v>5672</v>
      </c>
      <c r="C830" s="51">
        <v>829</v>
      </c>
      <c r="D830" s="4" t="str">
        <f>LOOKUP($E830,OBRAS!$D:$D,OBRAS!C:C)</f>
        <v>SUPERVISION EXTERNA Y CONTROL DE CALIDAD DE LA MODERNIZACION Y RECONSTRUCCION DEL PERIFERICO EN NAVOJOA (E.C. MEXICO 15-TETANCHOPO DEL KM 7+031 AL KM 13+326</v>
      </c>
      <c r="E830" s="4" t="s">
        <v>499</v>
      </c>
      <c r="F830" s="4"/>
      <c r="G830" s="4" t="str">
        <f>LOOKUP($E830,OBRAS!$D:$D,OBRAS!E:E)</f>
        <v>C-00098/0022</v>
      </c>
      <c r="H830" s="80" t="s">
        <v>15</v>
      </c>
      <c r="I830" s="6">
        <v>464702.09</v>
      </c>
      <c r="J830" s="6"/>
      <c r="K830" s="6">
        <f>ROUND(I830*0.1,2)</f>
        <v>46470.21</v>
      </c>
      <c r="L830" s="6">
        <f t="shared" si="197"/>
        <v>418231.88</v>
      </c>
      <c r="M830" s="6">
        <f t="shared" si="205"/>
        <v>66917.100000000006</v>
      </c>
      <c r="N830" s="6">
        <f t="shared" si="198"/>
        <v>485148.98</v>
      </c>
      <c r="O830" s="6">
        <f>+ROUND(I830*0.002,2)+ROUND(I830*0.0003,2)+ROUND(I830*0.0003,2)+ROUND(I830*0.0003,2)</f>
        <v>1347.63</v>
      </c>
      <c r="P830" s="6">
        <f t="shared" si="199"/>
        <v>483801.35</v>
      </c>
      <c r="Q830" s="4" t="str">
        <f>LOOKUP($E830,OBRAS!$D:$D,OBRAS!B:B)</f>
        <v>UNIVERSO ROJO, S.A. DE C.V.</v>
      </c>
      <c r="R830" s="4" t="str">
        <f>LOOKUP($E830,OBRAS!$D:$D,OBRAS!A:A)</f>
        <v>NAVOJOA</v>
      </c>
      <c r="S830" s="4" t="str">
        <f>LOOKUP($E830,OBRAS!$D:$D,OBRAS!F:F)</f>
        <v>11000002002207E201K02104A622212161A013</v>
      </c>
      <c r="T830" s="4" t="str">
        <f>LOOKUP($E830,OBRAS!$D:$D,OBRAS!G:G)</f>
        <v>CE-926006995-E66-2016</v>
      </c>
      <c r="U830" s="4" t="s">
        <v>863</v>
      </c>
      <c r="V830" s="89">
        <v>42781</v>
      </c>
      <c r="W830" s="6">
        <f>LOOKUP($E830,OBRAS!$D:$D,OBRAS!K:K)</f>
        <v>2706741.39</v>
      </c>
      <c r="X830" s="109">
        <f t="shared" si="200"/>
        <v>0.19919999999999999</v>
      </c>
      <c r="Y830" s="109">
        <f t="shared" si="201"/>
        <v>0.91539999999999999</v>
      </c>
      <c r="Z830" s="109">
        <f t="shared" si="202"/>
        <v>0.92369999999999997</v>
      </c>
      <c r="AA830" s="4" t="str">
        <f>LOOKUP($E830,OBRAS!$D:$D,OBRAS!H:H)</f>
        <v>SH-ED-16-061</v>
      </c>
    </row>
    <row r="831" spans="1:27" ht="60" x14ac:dyDescent="0.25">
      <c r="A831" s="90">
        <v>42712</v>
      </c>
      <c r="B831" s="56">
        <v>5669</v>
      </c>
      <c r="C831" s="51">
        <v>830</v>
      </c>
      <c r="D831" s="4" t="str">
        <f>LOOKUP($E831,OBRAS!$D:$D,OBRAS!C:C)</f>
        <v>SUPERVISION EXTERNA Y CONTROL DE CALIDAD DE LA RECONSTRUCCION DE CALLE 28 NORTE, DEL KM 0 + 000 AL KM 10+160, Y DEL KM 17+210 AL 17+982, HERMOSILLO</v>
      </c>
      <c r="E831" s="4" t="s">
        <v>675</v>
      </c>
      <c r="F831" s="4"/>
      <c r="G831" s="4" t="str">
        <f>LOOKUP($E831,OBRAS!$D:$D,OBRAS!E:E)</f>
        <v>C-00098/0022</v>
      </c>
      <c r="H831" s="80" t="s">
        <v>214</v>
      </c>
      <c r="I831" s="6">
        <v>43712.13</v>
      </c>
      <c r="J831" s="6"/>
      <c r="K831" s="6">
        <f>ROUND(I831*0.1,2)</f>
        <v>4371.21</v>
      </c>
      <c r="L831" s="6">
        <f t="shared" si="197"/>
        <v>39340.92</v>
      </c>
      <c r="M831" s="6">
        <f t="shared" si="205"/>
        <v>6294.55</v>
      </c>
      <c r="N831" s="6">
        <f t="shared" si="198"/>
        <v>45635.47</v>
      </c>
      <c r="O831" s="6">
        <f>+ROUND(I831*0.002,2)+ROUND(I831*0.0003,2)+ROUND(I831*0.0003,2)+ROUND(I831*0.0003,2)</f>
        <v>126.75</v>
      </c>
      <c r="P831" s="6">
        <f t="shared" si="199"/>
        <v>45508.72</v>
      </c>
      <c r="Q831" s="4" t="str">
        <f>LOOKUP($E831,OBRAS!$D:$D,OBRAS!B:B)</f>
        <v>SATI CONSTRUCCIONES Y POYECTOS S.A. DE C.V.</v>
      </c>
      <c r="R831" s="4" t="str">
        <f>LOOKUP($E831,OBRAS!$D:$D,OBRAS!A:A)</f>
        <v>HERMOSILLO</v>
      </c>
      <c r="S831" s="4" t="str">
        <f>LOOKUP($E831,OBRAS!$D:$D,OBRAS!F:F)</f>
        <v>11000002002207E201K02104A622212161A013</v>
      </c>
      <c r="T831" s="4" t="str">
        <f>LOOKUP($E831,OBRAS!$D:$D,OBRAS!G:G)</f>
        <v>LICITACIÓN SIMPLIFICADA</v>
      </c>
      <c r="U831" s="4" t="s">
        <v>863</v>
      </c>
      <c r="V831" s="89">
        <v>42781</v>
      </c>
      <c r="W831" s="6">
        <f>LOOKUP($E831,OBRAS!$D:$D,OBRAS!K:K)</f>
        <v>608472.5</v>
      </c>
      <c r="X831" s="109">
        <f t="shared" si="200"/>
        <v>8.3299999999999999E-2</v>
      </c>
      <c r="Y831" s="109">
        <f t="shared" si="201"/>
        <v>0.77780000000000005</v>
      </c>
      <c r="Z831" s="109">
        <f t="shared" si="202"/>
        <v>0.8</v>
      </c>
      <c r="AA831" s="4" t="str">
        <f>LOOKUP($E831,OBRAS!$D:$D,OBRAS!H:H)</f>
        <v>SH-ED-16-066</v>
      </c>
    </row>
    <row r="832" spans="1:27" ht="45" x14ac:dyDescent="0.25">
      <c r="A832" s="139">
        <v>42713</v>
      </c>
      <c r="B832" s="56">
        <v>5694</v>
      </c>
      <c r="C832" s="51">
        <v>831</v>
      </c>
      <c r="D832" s="4" t="str">
        <f>LOOKUP($E832,OBRAS!$D:$D,OBRAS!C:C)</f>
        <v>SUPERVISION EXTERNA Y CONTROL DE CALIDAD PARA LA OBRA: RECONSTRUCCIÓN DEL CAMINO CALLE 12 SUR, HERMOSILLO, SONORA.</v>
      </c>
      <c r="E832" s="4" t="s">
        <v>419</v>
      </c>
      <c r="F832" s="4" t="s">
        <v>927</v>
      </c>
      <c r="G832" s="4" t="str">
        <f>LOOKUP($E832,OBRAS!$D:$D,OBRAS!E:E)</f>
        <v>C-00098/0022</v>
      </c>
      <c r="H832" s="80" t="s">
        <v>214</v>
      </c>
      <c r="I832" s="6">
        <v>16630.59</v>
      </c>
      <c r="J832" s="6"/>
      <c r="K832" s="6">
        <f>ROUND(I832*0.1,2)</f>
        <v>1663.06</v>
      </c>
      <c r="L832" s="6">
        <f t="shared" si="197"/>
        <v>14967.53</v>
      </c>
      <c r="M832" s="6">
        <f t="shared" si="205"/>
        <v>2394.8000000000002</v>
      </c>
      <c r="N832" s="6">
        <f t="shared" si="198"/>
        <v>17362.330000000002</v>
      </c>
      <c r="O832" s="6">
        <f>+ROUND(I832*0.002,2)+ROUND(I832*0.0003,2)+ROUND(I832*0.0003,2)+ROUND(I832*0.0003,2)</f>
        <v>48.23</v>
      </c>
      <c r="P832" s="6">
        <f t="shared" si="199"/>
        <v>17314.099999999999</v>
      </c>
      <c r="Q832" s="4" t="str">
        <f>LOOKUP($E832,OBRAS!$D:$D,OBRAS!B:B)</f>
        <v>SEI TETRA, S. A. DE C. V.</v>
      </c>
      <c r="R832" s="4" t="str">
        <f>LOOKUP($E832,OBRAS!$D:$D,OBRAS!A:A)</f>
        <v>HERMOSILLO</v>
      </c>
      <c r="S832" s="4" t="str">
        <f>LOOKUP($E832,OBRAS!$D:$D,OBRAS!F:F)</f>
        <v>11000002002207E201K02104A622212161A013</v>
      </c>
      <c r="T832" s="4" t="str">
        <f>LOOKUP($E832,OBRAS!$D:$D,OBRAS!G:G)</f>
        <v>LICITACIÓN SIMPLIFICADA</v>
      </c>
      <c r="U832" s="4" t="s">
        <v>2238</v>
      </c>
      <c r="V832" s="89">
        <v>42713</v>
      </c>
      <c r="W832" s="6">
        <f>LOOKUP($E832,OBRAS!$D:$D,OBRAS!K:K)</f>
        <v>703223.55</v>
      </c>
      <c r="X832" s="109">
        <f t="shared" si="200"/>
        <v>2.7400000000000001E-2</v>
      </c>
      <c r="Y832" s="109">
        <f t="shared" si="201"/>
        <v>1</v>
      </c>
      <c r="Z832" s="109">
        <f t="shared" si="202"/>
        <v>1</v>
      </c>
      <c r="AA832" s="4" t="str">
        <f>LOOKUP($E832,OBRAS!$D:$D,OBRAS!H:H)</f>
        <v>SH-ED-16-028</v>
      </c>
    </row>
    <row r="833" spans="1:27" ht="60" x14ac:dyDescent="0.25">
      <c r="A833" s="90">
        <v>42713</v>
      </c>
      <c r="B833" s="56">
        <v>5698</v>
      </c>
      <c r="C833" s="51">
        <v>832</v>
      </c>
      <c r="D833" s="4" t="str">
        <f>LOOKUP($E833,OBRAS!$D:$D,OBRAS!C:C)</f>
        <v>SUPERVISION EXTERNA Y CONTROL DE CALIDAD DE LA CONSTRUCCION DE LA CARRETERA E.C. CALLE 4 SUR- (ALFREDO V. BONFIL) TRAMO DEL KM 1+700 AL KM 5+000</v>
      </c>
      <c r="E833" s="4" t="s">
        <v>809</v>
      </c>
      <c r="F833" s="4" t="s">
        <v>306</v>
      </c>
      <c r="G833" s="4" t="str">
        <f>LOOKUP($E833,OBRAS!$D:$D,OBRAS!E:E)</f>
        <v>C-00098/0021</v>
      </c>
      <c r="H833" s="80" t="s">
        <v>15</v>
      </c>
      <c r="I833" s="6">
        <v>5303.45</v>
      </c>
      <c r="J833" s="6"/>
      <c r="K833" s="6">
        <v>530.34</v>
      </c>
      <c r="L833" s="6">
        <f t="shared" si="197"/>
        <v>4773.1099999999997</v>
      </c>
      <c r="M833" s="6">
        <f t="shared" si="205"/>
        <v>763.7</v>
      </c>
      <c r="N833" s="6">
        <f t="shared" si="198"/>
        <v>5536.81</v>
      </c>
      <c r="O833" s="6">
        <f>+ROUND(I833*0.002,2)+ROUND(I833*0.0003,2)+ROUND(I833*0.0003,2)+ROUND(I833*0.0003,2)</f>
        <v>15.38</v>
      </c>
      <c r="P833" s="6">
        <f t="shared" si="199"/>
        <v>5521.43</v>
      </c>
      <c r="Q833" s="4" t="str">
        <f>LOOKUP($E833,OBRAS!$D:$D,OBRAS!B:B)</f>
        <v>SEI TETRA, S. A. DE C. V.</v>
      </c>
      <c r="R833" s="4" t="str">
        <f>LOOKUP($E833,OBRAS!$D:$D,OBRAS!A:A)</f>
        <v>VARIOS</v>
      </c>
      <c r="S833" s="4" t="str">
        <f>LOOKUP($E833,OBRAS!$D:$D,OBRAS!F:F)</f>
        <v>11000002003501E203K03203A625132161A013</v>
      </c>
      <c r="T833" s="4" t="str">
        <f>LOOKUP($E833,OBRAS!$D:$D,OBRAS!G:G)</f>
        <v>LICITACIÓN SIMPLIFICADA</v>
      </c>
      <c r="U833" s="4" t="s">
        <v>2238</v>
      </c>
      <c r="V833" s="89">
        <v>42713</v>
      </c>
      <c r="W833" s="6">
        <f>LOOKUP($E833,OBRAS!$D:$D,OBRAS!K:K)</f>
        <v>790968.61</v>
      </c>
      <c r="X833" s="109">
        <f t="shared" si="200"/>
        <v>7.7999999999999996E-3</v>
      </c>
      <c r="Y833" s="109">
        <f>ROUND(SUMIF(E:E,E833,X:X),2)</f>
        <v>1</v>
      </c>
      <c r="Z833" s="109">
        <f t="shared" si="202"/>
        <v>1</v>
      </c>
      <c r="AA833" s="4" t="str">
        <f>LOOKUP($E833,OBRAS!$D:$D,OBRAS!H:H)</f>
        <v>SH-ED-16-051</v>
      </c>
    </row>
    <row r="834" spans="1:27" ht="105" x14ac:dyDescent="0.25">
      <c r="A834" s="90">
        <v>42713</v>
      </c>
      <c r="B834" s="56">
        <v>5699</v>
      </c>
      <c r="C834" s="51">
        <v>833</v>
      </c>
      <c r="D834" s="4" t="str">
        <f>LOOKUP($E834,OBRAS!$D:$D,OBRAS!C:C)</f>
        <v>CONSTRUCCION DE MURO A BASE DE BLOCK SOBRE BARDAS PERIMETRALES EXISTENTES Y SUSTITUCION DE CERCOS DE MALLA CICLONICA POR BARDAS DE BLOCK APARENTE PARA INCREMENTAR LA SEGURIDAD DEL CENTRO UNACARI, EN LA LOCALIDAD Y MUNICIPIO DE HERMOSILLO, SONORA.</v>
      </c>
      <c r="E834" s="4" t="s">
        <v>18</v>
      </c>
      <c r="F834" s="4" t="s">
        <v>306</v>
      </c>
      <c r="G834" s="4" t="str">
        <f>LOOKUP($E834,OBRAS!$D:$D,OBRAS!E:E)</f>
        <v>C-00061/0012</v>
      </c>
      <c r="H834" s="80" t="s">
        <v>55</v>
      </c>
      <c r="I834" s="6">
        <v>156490.5</v>
      </c>
      <c r="J834" s="6"/>
      <c r="K834" s="6">
        <v>56991.54</v>
      </c>
      <c r="L834" s="6">
        <f t="shared" si="197"/>
        <v>99498.96</v>
      </c>
      <c r="M834" s="6">
        <f t="shared" si="205"/>
        <v>15919.83</v>
      </c>
      <c r="N834" s="6">
        <f t="shared" si="198"/>
        <v>115418.79</v>
      </c>
      <c r="O834" s="6">
        <f>+ROUND(I834*0.002,2)+ROUND(I834*0.0003,2)+ROUND(I834*0.0003,2)+ROUND(I834*0.0003,2)+ROUND(I834*0.002,2)</f>
        <v>766.81</v>
      </c>
      <c r="P834" s="6">
        <f t="shared" si="199"/>
        <v>114651.98</v>
      </c>
      <c r="Q834" s="4" t="str">
        <f>LOOKUP($E834,OBRAS!$D:$D,OBRAS!B:B)</f>
        <v>COTISA DESARROLLOS E INFRAESTRUCTURA, S.A. DE C.V.</v>
      </c>
      <c r="R834" s="4" t="str">
        <f>LOOKUP($E834,OBRAS!$D:$D,OBRAS!A:A)</f>
        <v>HERMOSILLO</v>
      </c>
      <c r="S834" s="4" t="str">
        <f>LOOKUP($E834,OBRAS!$D:$D,OBRAS!F:F)</f>
        <v>11000002002202E402K17105A612012155DM07</v>
      </c>
      <c r="T834" s="4" t="str">
        <f>LOOKUP($E834,OBRAS!$D:$D,OBRAS!G:G)</f>
        <v>ADJUDICACIÓN DIRECTA</v>
      </c>
      <c r="U834" s="4" t="s">
        <v>863</v>
      </c>
      <c r="V834" s="89">
        <v>42732</v>
      </c>
      <c r="W834" s="6">
        <f>LOOKUP($E834,OBRAS!$D:$D,OBRAS!K:K)</f>
        <v>389750.66</v>
      </c>
      <c r="X834" s="109">
        <f t="shared" si="200"/>
        <v>0.46579999999999999</v>
      </c>
      <c r="Y834" s="109">
        <f t="shared" si="201"/>
        <v>0.90039999999999998</v>
      </c>
      <c r="Z834" s="109">
        <f t="shared" si="202"/>
        <v>0.90039999999999998</v>
      </c>
      <c r="AA834" s="4" t="str">
        <f>LOOKUP($E834,OBRAS!$D:$D,OBRAS!H:H)</f>
        <v>SH-FAFEF-16-R-002</v>
      </c>
    </row>
    <row r="835" spans="1:27" ht="75" x14ac:dyDescent="0.25">
      <c r="A835" s="90">
        <v>42713</v>
      </c>
      <c r="B835" s="56">
        <v>5702</v>
      </c>
      <c r="C835" s="132">
        <v>834</v>
      </c>
      <c r="D835" s="4" t="str">
        <f>LOOKUP($E835,OBRAS!$D:$D,OBRAS!C:C)</f>
        <v>CONSERVACION Y RECONSTRUCCION DE CARRETERAS ALIMENTADORAS REGION GUAYMAS-EMPALME, TRAMO: MI PATRIA ES PRIMERO DEL KM 0+000 AL 3+400 Y TRAMO BARCENAS-MAYTORENA, DEL KM 0+000 AL 3+400</v>
      </c>
      <c r="E835" s="4" t="s">
        <v>574</v>
      </c>
      <c r="F835" s="4" t="s">
        <v>1445</v>
      </c>
      <c r="G835" s="4" t="str">
        <f>LOOKUP($E835,OBRAS!$D:$D,OBRAS!E:E)</f>
        <v>C-00054/0059</v>
      </c>
      <c r="H835" s="80" t="s">
        <v>215</v>
      </c>
      <c r="I835" s="6">
        <v>2091790.03</v>
      </c>
      <c r="J835" s="6"/>
      <c r="K835" s="6">
        <f>ROUND(I835*0.3,2)</f>
        <v>627537.01</v>
      </c>
      <c r="L835" s="6">
        <f t="shared" si="197"/>
        <v>1464253.02</v>
      </c>
      <c r="M835" s="6">
        <f t="shared" si="205"/>
        <v>234280.48</v>
      </c>
      <c r="N835" s="6">
        <f t="shared" si="198"/>
        <v>1698533.5</v>
      </c>
      <c r="O835" s="6">
        <f>+ROUND(I835*0.002,2)+ROUND(I835*0.0003,2)+ROUND(I835*0.0003,2)+ROUND(I835*0.0003,2)+ROUND(I835*0.002,2)</f>
        <v>10249.780000000001</v>
      </c>
      <c r="P835" s="6">
        <f t="shared" si="199"/>
        <v>1688283.72</v>
      </c>
      <c r="Q835" s="4" t="str">
        <f>LOOKUP($E835,OBRAS!$D:$D,OBRAS!B:B)</f>
        <v>DESARROLLOS TIBURCIO, S.A. DE C.V.</v>
      </c>
      <c r="R835" s="4" t="str">
        <f>LOOKUP($E835,OBRAS!$D:$D,OBRAS!A:A)</f>
        <v>VARIOS</v>
      </c>
      <c r="S835" s="4" t="str">
        <f>LOOKUP($E835,OBRAS!$D:$D,OBRAS!F:F)</f>
        <v>11000002003501E204K08063A625012162A213</v>
      </c>
      <c r="T835" s="4" t="str">
        <f>LOOKUP($E835,OBRAS!$D:$D,OBRAS!G:G)</f>
        <v>CE-926006995-C23-2016</v>
      </c>
      <c r="U835" s="4" t="s">
        <v>863</v>
      </c>
      <c r="V835" s="89">
        <v>42762</v>
      </c>
      <c r="W835" s="6">
        <f>LOOKUP($E835,OBRAS!$D:$D,OBRAS!K:K)</f>
        <v>11799981.390000001</v>
      </c>
      <c r="X835" s="109">
        <f t="shared" si="200"/>
        <v>0.2056</v>
      </c>
      <c r="Y835" s="109">
        <f t="shared" si="201"/>
        <v>0.99529999999999996</v>
      </c>
      <c r="Z835" s="109">
        <f t="shared" si="202"/>
        <v>0.99670000000000003</v>
      </c>
      <c r="AA835" s="4" t="str">
        <f>LOOKUP($E835,OBRAS!$D:$D,OBRAS!H:H)</f>
        <v>SH-ED-17-R-013</v>
      </c>
    </row>
    <row r="836" spans="1:27" ht="45" x14ac:dyDescent="0.25">
      <c r="A836" s="90">
        <v>42713</v>
      </c>
      <c r="B836" s="56">
        <v>5703</v>
      </c>
      <c r="C836" s="51">
        <v>835</v>
      </c>
      <c r="D836" s="4" t="str">
        <f>LOOKUP($E836,OBRAS!$D:$D,OBRAS!C:C)</f>
        <v>SUPERVISION Y CONTROL DE CALIDAD DE LA CONSERVACION Y RECONSTRUCCION DE LA CARRETERA SAN IGNACIO-JUPATAHUECA</v>
      </c>
      <c r="E836" s="4" t="s">
        <v>683</v>
      </c>
      <c r="F836" s="4"/>
      <c r="G836" s="4" t="str">
        <f>LOOKUP($E836,OBRAS!$D:$D,OBRAS!E:E)</f>
        <v>C-00098/0021</v>
      </c>
      <c r="H836" s="80" t="s">
        <v>55</v>
      </c>
      <c r="I836" s="6">
        <v>197556.02</v>
      </c>
      <c r="J836" s="6"/>
      <c r="K836" s="6">
        <f>ROUND(I836*0.1,2)</f>
        <v>19755.599999999999</v>
      </c>
      <c r="L836" s="6">
        <f t="shared" si="197"/>
        <v>177800.42</v>
      </c>
      <c r="M836" s="6">
        <f t="shared" si="205"/>
        <v>28448.07</v>
      </c>
      <c r="N836" s="6">
        <f t="shared" si="198"/>
        <v>206248.49</v>
      </c>
      <c r="O836" s="6">
        <f>+ROUND(I836*0.002,2)+ROUND(I836*0.0003,2)+ROUND(I836*0.0003,2)+ROUND(I836*0.0003,2)</f>
        <v>572.91999999999996</v>
      </c>
      <c r="P836" s="6">
        <f t="shared" si="199"/>
        <v>205675.57</v>
      </c>
      <c r="Q836" s="4" t="str">
        <f>LOOKUP($E836,OBRAS!$D:$D,OBRAS!B:B)</f>
        <v>ACSA CONSTRUCTORES S.A. DE C.V.</v>
      </c>
      <c r="R836" s="4" t="str">
        <f>LOOKUP($E836,OBRAS!$D:$D,OBRAS!A:A)</f>
        <v>VARIOS</v>
      </c>
      <c r="S836" s="4" t="str">
        <f>LOOKUP($E836,OBRAS!$D:$D,OBRAS!F:F)</f>
        <v>11000002003501E203K03203A625132161A013</v>
      </c>
      <c r="T836" s="4" t="str">
        <f>LOOKUP($E836,OBRAS!$D:$D,OBRAS!G:G)</f>
        <v>LICITACIÓN SIMPLIFICADA</v>
      </c>
      <c r="U836" s="4" t="s">
        <v>863</v>
      </c>
      <c r="V836" s="89">
        <v>42781</v>
      </c>
      <c r="W836" s="6">
        <f>LOOKUP($E836,OBRAS!$D:$D,OBRAS!K:K)</f>
        <v>674014.68</v>
      </c>
      <c r="X836" s="109">
        <f t="shared" si="200"/>
        <v>0.34</v>
      </c>
      <c r="Y836" s="109">
        <f t="shared" si="201"/>
        <v>1</v>
      </c>
      <c r="Z836" s="109">
        <f t="shared" si="202"/>
        <v>1</v>
      </c>
      <c r="AA836" s="4" t="str">
        <f>LOOKUP($E836,OBRAS!$D:$D,OBRAS!H:H)</f>
        <v>SH-ED-16-051</v>
      </c>
    </row>
    <row r="837" spans="1:27" ht="75" x14ac:dyDescent="0.25">
      <c r="A837" s="90">
        <v>42796</v>
      </c>
      <c r="B837" s="56">
        <v>1266</v>
      </c>
      <c r="C837" s="132">
        <v>836</v>
      </c>
      <c r="D837" s="4" t="str">
        <f>LOOKUP($E837,OBRAS!$D:$D,OBRAS!C:C)</f>
        <v>CONSERVACION Y RECONSTRUCCION DE CARRETERAS ALIMENTADORAS REGION GUAYMAS-EMPALME, TRAMO: MI PATRIA ES PRIMERO DEL KM 0+000 AL 3+400 Y TRAMO BARCENAS-MAYTORENA, DEL KM 0+000 AL 3+400</v>
      </c>
      <c r="E837" s="4" t="s">
        <v>574</v>
      </c>
      <c r="F837" s="4" t="s">
        <v>400</v>
      </c>
      <c r="G837" s="4" t="str">
        <f>LOOKUP($E837,OBRAS!$D:$D,OBRAS!E:E)</f>
        <v>C-00054/0059</v>
      </c>
      <c r="H837" s="80" t="s">
        <v>15</v>
      </c>
      <c r="I837" s="6">
        <v>433600.45</v>
      </c>
      <c r="J837" s="6"/>
      <c r="K837" s="6">
        <f>ROUND(I837*0.3,2)</f>
        <v>130080.14</v>
      </c>
      <c r="L837" s="6">
        <f t="shared" si="197"/>
        <v>303520.31</v>
      </c>
      <c r="M837" s="6">
        <f t="shared" si="205"/>
        <v>48563.25</v>
      </c>
      <c r="N837" s="6">
        <f t="shared" si="198"/>
        <v>352083.56</v>
      </c>
      <c r="O837" s="6">
        <f>+ROUND(I837*0.002,2)+ROUND(I837*0.0003,2)+ROUND(I837*0.0003,2)+ROUND(I837*0.0003,2)+ROUND(I837*0.002,2)</f>
        <v>2124.64</v>
      </c>
      <c r="P837" s="6">
        <f t="shared" si="199"/>
        <v>349958.92</v>
      </c>
      <c r="Q837" s="4" t="str">
        <f>LOOKUP($E837,OBRAS!$D:$D,OBRAS!B:B)</f>
        <v>DESARROLLOS TIBURCIO, S.A. DE C.V.</v>
      </c>
      <c r="R837" s="4" t="str">
        <f>LOOKUP($E837,OBRAS!$D:$D,OBRAS!A:A)</f>
        <v>VARIOS</v>
      </c>
      <c r="S837" s="4" t="str">
        <f>LOOKUP($E837,OBRAS!$D:$D,OBRAS!F:F)</f>
        <v>11000002003501E204K08063A625012162A213</v>
      </c>
      <c r="T837" s="4" t="str">
        <f>LOOKUP($E837,OBRAS!$D:$D,OBRAS!G:G)</f>
        <v>CE-926006995-C23-2016</v>
      </c>
      <c r="U837" s="4" t="s">
        <v>866</v>
      </c>
      <c r="V837" s="89">
        <v>42811</v>
      </c>
      <c r="W837" s="6">
        <f>LOOKUP($E837,OBRAS!$D:$D,OBRAS!K:K)</f>
        <v>11799981.390000001</v>
      </c>
      <c r="X837" s="109">
        <f t="shared" si="200"/>
        <v>4.2599999999999999E-2</v>
      </c>
      <c r="Y837" s="109">
        <f t="shared" si="201"/>
        <v>0.99529999999999996</v>
      </c>
      <c r="Z837" s="109">
        <f t="shared" si="202"/>
        <v>0.99670000000000003</v>
      </c>
      <c r="AA837" s="4" t="str">
        <f>LOOKUP($E837,OBRAS!$D:$D,OBRAS!H:H)</f>
        <v>SH-ED-17-R-013</v>
      </c>
    </row>
    <row r="838" spans="1:27" ht="75" x14ac:dyDescent="0.25">
      <c r="A838" s="90">
        <v>42713</v>
      </c>
      <c r="B838" s="56">
        <v>5705</v>
      </c>
      <c r="C838" s="51">
        <v>837</v>
      </c>
      <c r="D838" s="4" t="str">
        <f>LOOKUP($E838,OBRAS!$D:$D,OBRAS!C:C)</f>
        <v>SUPERVISION Y CONTROL DE CALIDAD DE LA OBRA: RECONSTRUCCION DE E.C. (HERMOSILLO -  BAHIA DE KINO) - GRANJA ACUICOLA SAN NICOLAS DEL KM 0+000 AL KM 10+410 EN VARIAS LOCALIDADES DE HERMOSILLO, SONORA.</v>
      </c>
      <c r="E838" s="4" t="s">
        <v>848</v>
      </c>
      <c r="F838" s="4"/>
      <c r="G838" s="4" t="str">
        <f>LOOKUP($E838,OBRAS!$D:$D,OBRAS!E:E)</f>
        <v>C-00098/0022</v>
      </c>
      <c r="H838" s="80" t="s">
        <v>15</v>
      </c>
      <c r="I838" s="6">
        <v>82406.789999999994</v>
      </c>
      <c r="J838" s="6"/>
      <c r="K838" s="6">
        <v>0</v>
      </c>
      <c r="L838" s="6">
        <f t="shared" si="197"/>
        <v>82406.789999999994</v>
      </c>
      <c r="M838" s="6">
        <f t="shared" si="205"/>
        <v>13185.09</v>
      </c>
      <c r="N838" s="6">
        <f t="shared" si="198"/>
        <v>95591.88</v>
      </c>
      <c r="O838" s="6">
        <f>+ROUND(I838*0.002,2)+ROUND(I838*0.0003,2)+ROUND(I838*0.0003,2)+ROUND(I838*0.0003,2)</f>
        <v>238.97</v>
      </c>
      <c r="P838" s="6">
        <f t="shared" si="199"/>
        <v>95352.91</v>
      </c>
      <c r="Q838" s="4" t="str">
        <f>LOOKUP($E838,OBRAS!$D:$D,OBRAS!B:B)</f>
        <v>DAPCI, S.A. DE C.V.</v>
      </c>
      <c r="R838" s="4" t="str">
        <f>LOOKUP($E838,OBRAS!$D:$D,OBRAS!A:A)</f>
        <v>HERMOSILLO</v>
      </c>
      <c r="S838" s="4" t="str">
        <f>LOOKUP($E838,OBRAS!$D:$D,OBRAS!F:F)</f>
        <v>11000002002207E201K02104A622212161A013</v>
      </c>
      <c r="T838" s="4" t="str">
        <f>LOOKUP($E838,OBRAS!$D:$D,OBRAS!G:G)</f>
        <v>LICITACIÓN SIMPLIFICADA</v>
      </c>
      <c r="U838" s="4" t="s">
        <v>2238</v>
      </c>
      <c r="V838" s="89">
        <v>42723</v>
      </c>
      <c r="W838" s="6">
        <f>LOOKUP($E838,OBRAS!$D:$D,OBRAS!K:K)</f>
        <v>573551.26</v>
      </c>
      <c r="X838" s="109">
        <f t="shared" si="200"/>
        <v>0.16669999999999999</v>
      </c>
      <c r="Y838" s="109">
        <f t="shared" si="201"/>
        <v>0.71</v>
      </c>
      <c r="Z838" s="109">
        <f t="shared" si="202"/>
        <v>0.70989999999999998</v>
      </c>
      <c r="AA838" s="4" t="str">
        <f>LOOKUP($E838,OBRAS!$D:$D,OBRAS!H:H)</f>
        <v>SH-ED-16-066</v>
      </c>
    </row>
    <row r="839" spans="1:27" ht="45" x14ac:dyDescent="0.25">
      <c r="A839" s="90">
        <v>42713</v>
      </c>
      <c r="B839" s="56">
        <v>5711</v>
      </c>
      <c r="C839" s="51">
        <v>838</v>
      </c>
      <c r="D839" s="4" t="str">
        <f>LOOKUP($E839,OBRAS!$D:$D,OBRAS!C:C)</f>
        <v>PAVIMENTACION DEL BOULEVARD FRANCISCO HIGUERA PADILLA, ENTRE AVENIDA CONSTITUCION Y AVENIDA PUERTO ENSENADA</v>
      </c>
      <c r="E839" s="4" t="s">
        <v>1876</v>
      </c>
      <c r="F839" s="4" t="s">
        <v>927</v>
      </c>
      <c r="G839" s="4" t="str">
        <f>LOOKUP($E839,OBRAS!$D:$D,OBRAS!E:E)</f>
        <v>C-00093/0022</v>
      </c>
      <c r="H839" s="80" t="s">
        <v>221</v>
      </c>
      <c r="I839" s="6">
        <v>182621.57</v>
      </c>
      <c r="J839" s="6"/>
      <c r="K839" s="6">
        <v>131046.15</v>
      </c>
      <c r="L839" s="6">
        <f t="shared" si="197"/>
        <v>51575.42</v>
      </c>
      <c r="M839" s="6">
        <f t="shared" si="205"/>
        <v>8252.07</v>
      </c>
      <c r="N839" s="6">
        <f t="shared" si="198"/>
        <v>59827.49</v>
      </c>
      <c r="O839" s="6">
        <f>+ROUND(I839*0.005,2)</f>
        <v>913.11</v>
      </c>
      <c r="P839" s="6">
        <f t="shared" si="199"/>
        <v>58914.38</v>
      </c>
      <c r="Q839" s="4" t="str">
        <f>LOOKUP($E839,OBRAS!$D:$D,OBRAS!B:B)</f>
        <v>CONSTRUCTORA OSAL, S.A. DE C.V.</v>
      </c>
      <c r="R839" s="4" t="str">
        <f>LOOKUP($E839,OBRAS!$D:$D,OBRAS!A:A)</f>
        <v>PUERTO PEÑASCO</v>
      </c>
      <c r="S839" s="4" t="str">
        <f>LOOKUP($E839,OBRAS!$D:$D,OBRAS!F:F)</f>
        <v>11000002002201E201K02203A614202155GL01</v>
      </c>
      <c r="T839" s="4" t="str">
        <f>LOOKUP($E839,OBRAS!$D:$D,OBRAS!G:G)</f>
        <v>IO-926006995-N30-2015</v>
      </c>
      <c r="U839" s="4" t="s">
        <v>868</v>
      </c>
      <c r="V839" s="89">
        <v>42744</v>
      </c>
      <c r="W839" s="6">
        <f>LOOKUP($E839,OBRAS!$D:$D,OBRAS!K:K)</f>
        <v>7074445.54</v>
      </c>
      <c r="X839" s="109">
        <f t="shared" si="200"/>
        <v>2.9899999999999999E-2</v>
      </c>
      <c r="Y839" s="109">
        <f t="shared" si="201"/>
        <v>2.9899999999999999E-2</v>
      </c>
      <c r="Z839" s="109">
        <f t="shared" si="202"/>
        <v>8.5000000000000006E-3</v>
      </c>
      <c r="AA839" s="4" t="str">
        <f>LOOKUP($E839,OBRAS!$D:$D,OBRAS!H:H)</f>
        <v>SH-NC-16-R-007.</v>
      </c>
    </row>
    <row r="840" spans="1:27" ht="60" x14ac:dyDescent="0.25">
      <c r="A840" s="90">
        <v>42713</v>
      </c>
      <c r="B840" s="56">
        <v>5713</v>
      </c>
      <c r="C840" s="51">
        <v>839</v>
      </c>
      <c r="D840" s="4" t="str">
        <f>LOOKUP($E840,OBRAS!$D:$D,OBRAS!C:C)</f>
        <v>SUPERVISION EXTERNA Y CONTROL DE CALIDADES DE LA RECONSTRUCCION DE E.C. (CALLE 36 SUR) - GRANJAS ACUICOLAS, DEL KM. 0 + 000 AL KM 12 + 660, HERMOSILLO</v>
      </c>
      <c r="E840" s="4" t="s">
        <v>687</v>
      </c>
      <c r="F840" s="4"/>
      <c r="G840" s="4" t="str">
        <f>LOOKUP($E840,OBRAS!$D:$D,OBRAS!E:E)</f>
        <v>C-00098/0022</v>
      </c>
      <c r="H840" s="80" t="s">
        <v>103</v>
      </c>
      <c r="I840" s="6">
        <v>37930.86</v>
      </c>
      <c r="J840" s="6"/>
      <c r="K840" s="6">
        <f>ROUND(I840*0.1,2)</f>
        <v>3793.09</v>
      </c>
      <c r="L840" s="6">
        <f t="shared" si="197"/>
        <v>34137.769999999997</v>
      </c>
      <c r="M840" s="6">
        <f t="shared" si="205"/>
        <v>5462.04</v>
      </c>
      <c r="N840" s="6">
        <f t="shared" si="198"/>
        <v>39599.81</v>
      </c>
      <c r="O840" s="6">
        <f>+ROUND(I840*0.002,2)+ROUND(I840*0.0003,2)+ROUND(I840*0.0003,2)+ROUND(I840*0.0003,2)</f>
        <v>110</v>
      </c>
      <c r="P840" s="6">
        <f t="shared" si="199"/>
        <v>39489.81</v>
      </c>
      <c r="Q840" s="4" t="str">
        <f>LOOKUP($E840,OBRAS!$D:$D,OBRAS!B:B)</f>
        <v>ALAMOS INGENIERIA, SA DE CV</v>
      </c>
      <c r="R840" s="4" t="str">
        <f>LOOKUP($E840,OBRAS!$D:$D,OBRAS!A:A)</f>
        <v>HERMOSILLO</v>
      </c>
      <c r="S840" s="4" t="str">
        <f>LOOKUP($E840,OBRAS!$D:$D,OBRAS!F:F)</f>
        <v>11000002002207E201K02104A622212161A013</v>
      </c>
      <c r="T840" s="4" t="str">
        <f>LOOKUP($E840,OBRAS!$D:$D,OBRAS!G:G)</f>
        <v>LICITACIÓN SIMPLIFICADA</v>
      </c>
      <c r="U840" s="4" t="s">
        <v>2238</v>
      </c>
      <c r="V840" s="89">
        <v>42741</v>
      </c>
      <c r="W840" s="6">
        <f>LOOKUP($E840,OBRAS!$D:$D,OBRAS!K:K)</f>
        <v>659996.81999999995</v>
      </c>
      <c r="X840" s="109">
        <f t="shared" si="200"/>
        <v>6.6699999999999995E-2</v>
      </c>
      <c r="Y840" s="109">
        <f t="shared" si="201"/>
        <v>0.49259999999999998</v>
      </c>
      <c r="Z840" s="109">
        <f t="shared" si="202"/>
        <v>0.54339999999999999</v>
      </c>
      <c r="AA840" s="4" t="str">
        <f>LOOKUP($E840,OBRAS!$D:$D,OBRAS!H:H)</f>
        <v>SH-ED-16-066</v>
      </c>
    </row>
    <row r="841" spans="1:27" ht="60" x14ac:dyDescent="0.25">
      <c r="A841" s="90">
        <v>42713</v>
      </c>
      <c r="B841" s="56">
        <v>5714</v>
      </c>
      <c r="C841" s="51">
        <v>840</v>
      </c>
      <c r="D841" s="4" t="str">
        <f>LOOKUP($E841,OBRAS!$D:$D,OBRAS!C:C)</f>
        <v>SUPERVISION EXTERNA Y CONTROL DE CALIDADES DE LA RECONSTRUCCION DE E.C. (CALLE 36 SUR) - GRANJAS ACUICOLAS, DEL KM. 0 + 000 AL KM 12 + 660, HERMOSILLO</v>
      </c>
      <c r="E841" s="4" t="s">
        <v>687</v>
      </c>
      <c r="F841" s="4"/>
      <c r="G841" s="4" t="str">
        <f>LOOKUP($E841,OBRAS!$D:$D,OBRAS!E:E)</f>
        <v>C-00098/0022</v>
      </c>
      <c r="H841" s="80" t="s">
        <v>221</v>
      </c>
      <c r="I841" s="6">
        <v>93828.97</v>
      </c>
      <c r="J841" s="6"/>
      <c r="K841" s="6">
        <f>ROUND(I841*0.1,2)</f>
        <v>9382.9</v>
      </c>
      <c r="L841" s="6">
        <f t="shared" si="197"/>
        <v>84446.07</v>
      </c>
      <c r="M841" s="6">
        <f t="shared" ref="M841:M872" si="206">ROUND(L841*0.16,2)</f>
        <v>13511.37</v>
      </c>
      <c r="N841" s="6">
        <f t="shared" si="198"/>
        <v>97957.440000000002</v>
      </c>
      <c r="O841" s="6">
        <f>+ROUND(I841*0.002,2)+ROUND(I841*0.0003,2)+ROUND(I841*0.0003,2)+ROUND(I841*0.0003,2)</f>
        <v>272.11</v>
      </c>
      <c r="P841" s="6">
        <f t="shared" si="199"/>
        <v>97685.33</v>
      </c>
      <c r="Q841" s="4" t="str">
        <f>LOOKUP($E841,OBRAS!$D:$D,OBRAS!B:B)</f>
        <v>ALAMOS INGENIERIA, SA DE CV</v>
      </c>
      <c r="R841" s="4" t="str">
        <f>LOOKUP($E841,OBRAS!$D:$D,OBRAS!A:A)</f>
        <v>HERMOSILLO</v>
      </c>
      <c r="S841" s="4" t="str">
        <f>LOOKUP($E841,OBRAS!$D:$D,OBRAS!F:F)</f>
        <v>11000002002207E201K02104A622212161A013</v>
      </c>
      <c r="T841" s="4" t="str">
        <f>LOOKUP($E841,OBRAS!$D:$D,OBRAS!G:G)</f>
        <v>LICITACIÓN SIMPLIFICADA</v>
      </c>
      <c r="U841" s="4" t="s">
        <v>2238</v>
      </c>
      <c r="V841" s="89">
        <v>42741</v>
      </c>
      <c r="W841" s="6">
        <f>LOOKUP($E841,OBRAS!$D:$D,OBRAS!K:K)</f>
        <v>659996.81999999995</v>
      </c>
      <c r="X841" s="109">
        <f t="shared" si="200"/>
        <v>0.16489999999999999</v>
      </c>
      <c r="Y841" s="109">
        <f t="shared" si="201"/>
        <v>0.49259999999999998</v>
      </c>
      <c r="Z841" s="109">
        <f t="shared" si="202"/>
        <v>0.54339999999999999</v>
      </c>
      <c r="AA841" s="4" t="str">
        <f>LOOKUP($E841,OBRAS!$D:$D,OBRAS!H:H)</f>
        <v>SH-ED-16-066</v>
      </c>
    </row>
    <row r="842" spans="1:27" ht="60" x14ac:dyDescent="0.25">
      <c r="A842" s="90">
        <v>42713</v>
      </c>
      <c r="B842" s="56">
        <v>5715</v>
      </c>
      <c r="C842" s="51">
        <v>841</v>
      </c>
      <c r="D842" s="4" t="str">
        <f>LOOKUP($E842,OBRAS!$D:$D,OBRAS!C:C)</f>
        <v>SUPERVISION EXTERNA Y CONTROL DE CALIDADES DE LA RECONSTRUCCION DE E.C. (CALLE 36 SUR) - GRANJAS ACUICOLAS, DEL KM. 0 + 000 AL KM 12 + 660, HERMOSILLO</v>
      </c>
      <c r="E842" s="4" t="s">
        <v>687</v>
      </c>
      <c r="F842" s="4"/>
      <c r="G842" s="4" t="str">
        <f>LOOKUP($E842,OBRAS!$D:$D,OBRAS!E:E)</f>
        <v>C-00098/0022</v>
      </c>
      <c r="H842" s="80" t="s">
        <v>55</v>
      </c>
      <c r="I842" s="6">
        <v>99818.02</v>
      </c>
      <c r="J842" s="6"/>
      <c r="K842" s="6">
        <f>ROUND(I842*0.1,2)</f>
        <v>9981.7999999999993</v>
      </c>
      <c r="L842" s="6">
        <f t="shared" si="197"/>
        <v>89836.22</v>
      </c>
      <c r="M842" s="6">
        <f t="shared" si="206"/>
        <v>14373.8</v>
      </c>
      <c r="N842" s="6">
        <f t="shared" si="198"/>
        <v>104210.02</v>
      </c>
      <c r="O842" s="6">
        <f>+ROUND(I842*0.002,2)+ROUND(I842*0.0003,2)+ROUND(I842*0.0003,2)+ROUND(I842*0.0003,2)</f>
        <v>289.49</v>
      </c>
      <c r="P842" s="6">
        <f t="shared" si="199"/>
        <v>103920.53</v>
      </c>
      <c r="Q842" s="4" t="str">
        <f>LOOKUP($E842,OBRAS!$D:$D,OBRAS!B:B)</f>
        <v>ALAMOS INGENIERIA, SA DE CV</v>
      </c>
      <c r="R842" s="4" t="str">
        <f>LOOKUP($E842,OBRAS!$D:$D,OBRAS!A:A)</f>
        <v>HERMOSILLO</v>
      </c>
      <c r="S842" s="4" t="str">
        <f>LOOKUP($E842,OBRAS!$D:$D,OBRAS!F:F)</f>
        <v>11000002002207E201K02104A622212161A013</v>
      </c>
      <c r="T842" s="4" t="str">
        <f>LOOKUP($E842,OBRAS!$D:$D,OBRAS!G:G)</f>
        <v>LICITACIÓN SIMPLIFICADA</v>
      </c>
      <c r="U842" s="4" t="s">
        <v>2238</v>
      </c>
      <c r="V842" s="89">
        <v>42741</v>
      </c>
      <c r="W842" s="6">
        <f>LOOKUP($E842,OBRAS!$D:$D,OBRAS!K:K)</f>
        <v>659996.81999999995</v>
      </c>
      <c r="X842" s="109">
        <f t="shared" si="200"/>
        <v>0.1754</v>
      </c>
      <c r="Y842" s="109">
        <f t="shared" si="201"/>
        <v>0.49259999999999998</v>
      </c>
      <c r="Z842" s="109">
        <f t="shared" si="202"/>
        <v>0.54339999999999999</v>
      </c>
      <c r="AA842" s="4" t="str">
        <f>LOOKUP($E842,OBRAS!$D:$D,OBRAS!H:H)</f>
        <v>SH-ED-16-066</v>
      </c>
    </row>
    <row r="843" spans="1:27" ht="60" x14ac:dyDescent="0.25">
      <c r="A843" s="90">
        <v>42713</v>
      </c>
      <c r="B843" s="56">
        <v>5716</v>
      </c>
      <c r="C843" s="49">
        <v>842</v>
      </c>
      <c r="D843" s="4" t="str">
        <f>LOOKUP($E843,OBRAS!$D:$D,OBRAS!C:C)</f>
        <v>SUPERVISION EXTERNA Y CONTROL DE CALIDAD DE LA OBRA: REMODELACION DEL PARQUE INFANTIL EN LA LOCALIDAD Y MUNICIPIO DE HERMOSILLO, SONORA.</v>
      </c>
      <c r="E843" s="4" t="s">
        <v>757</v>
      </c>
      <c r="F843" s="4" t="s">
        <v>314</v>
      </c>
      <c r="G843" s="4" t="str">
        <f>LOOKUP($E843,OBRAS!$D:$D,OBRAS!E:E)</f>
        <v>C-00093/0004</v>
      </c>
      <c r="H843" s="80" t="s">
        <v>276</v>
      </c>
      <c r="I843" s="6">
        <v>14984.42</v>
      </c>
      <c r="J843" s="6"/>
      <c r="K843" s="6">
        <f t="shared" ref="K843:K851" si="207">ROUND(I843*0.3,2)</f>
        <v>4495.33</v>
      </c>
      <c r="L843" s="6">
        <f t="shared" si="197"/>
        <v>10489.09</v>
      </c>
      <c r="M843" s="6">
        <f t="shared" si="206"/>
        <v>1678.25</v>
      </c>
      <c r="N843" s="6">
        <f t="shared" si="198"/>
        <v>12167.34</v>
      </c>
      <c r="O843" s="6">
        <f>+ROUND(I843*0.005,2)</f>
        <v>74.92</v>
      </c>
      <c r="P843" s="6">
        <f t="shared" si="199"/>
        <v>12092.42</v>
      </c>
      <c r="Q843" s="4" t="str">
        <f>LOOKUP($E843,OBRAS!$D:$D,OBRAS!B:B)</f>
        <v>ING. MARTIN GRAJEDA ARAGON</v>
      </c>
      <c r="R843" s="4" t="str">
        <f>LOOKUP($E843,OBRAS!$D:$D,OBRAS!A:A)</f>
        <v>HERMOSILLO</v>
      </c>
      <c r="S843" s="4" t="str">
        <f>LOOKUP($E843,OBRAS!$D:$D,OBRAS!F:F)</f>
        <v>11000002002202E406K17104A622202155GL07</v>
      </c>
      <c r="T843" s="4" t="str">
        <f>LOOKUP($E843,OBRAS!$D:$D,OBRAS!G:G)</f>
        <v>SO-926006995-N25-2015</v>
      </c>
      <c r="U843" s="4" t="s">
        <v>863</v>
      </c>
      <c r="V843" s="89">
        <v>42733</v>
      </c>
      <c r="W843" s="6">
        <f>LOOKUP($E843,OBRAS!$D:$D,OBRAS!K:K)</f>
        <v>514711.56</v>
      </c>
      <c r="X843" s="109">
        <f t="shared" si="200"/>
        <v>3.3799999999999997E-2</v>
      </c>
      <c r="Y843" s="109">
        <f t="shared" si="201"/>
        <v>1.0003</v>
      </c>
      <c r="Z843" s="109">
        <f t="shared" si="202"/>
        <v>0.7</v>
      </c>
      <c r="AA843" s="4" t="str">
        <f>LOOKUP($E843,OBRAS!$D:$D,OBRAS!H:H)</f>
        <v>SH-NC-16-R-003</v>
      </c>
    </row>
    <row r="844" spans="1:27" ht="60" x14ac:dyDescent="0.25">
      <c r="A844" s="90">
        <v>42713</v>
      </c>
      <c r="B844" s="56">
        <v>5717</v>
      </c>
      <c r="C844" s="49">
        <v>843</v>
      </c>
      <c r="D844" s="4" t="str">
        <f>LOOKUP($E844,OBRAS!$D:$D,OBRAS!C:C)</f>
        <v>SUPERVISION EXTERNA Y CONTROL DE CALIDAD DE LA OBRA: REMODELACION DEL PARQUE INFANTIL EN LA LOCALIDAD Y MUNICIPIO DE HERMOSILLO, SONORA.</v>
      </c>
      <c r="E844" s="4" t="s">
        <v>757</v>
      </c>
      <c r="F844" s="4" t="s">
        <v>314</v>
      </c>
      <c r="G844" s="4" t="str">
        <f>LOOKUP($E844,OBRAS!$D:$D,OBRAS!E:E)</f>
        <v>C-00093/0004</v>
      </c>
      <c r="H844" s="80" t="s">
        <v>277</v>
      </c>
      <c r="I844" s="6">
        <v>29387.24</v>
      </c>
      <c r="J844" s="6"/>
      <c r="K844" s="6">
        <f t="shared" si="207"/>
        <v>8816.17</v>
      </c>
      <c r="L844" s="6">
        <f t="shared" si="197"/>
        <v>20571.07</v>
      </c>
      <c r="M844" s="6">
        <f t="shared" si="206"/>
        <v>3291.37</v>
      </c>
      <c r="N844" s="6">
        <f t="shared" si="198"/>
        <v>23862.44</v>
      </c>
      <c r="O844" s="6">
        <f>+ROUND(I844*0.005,2)</f>
        <v>146.94</v>
      </c>
      <c r="P844" s="6">
        <f t="shared" si="199"/>
        <v>23715.5</v>
      </c>
      <c r="Q844" s="4" t="str">
        <f>LOOKUP($E844,OBRAS!$D:$D,OBRAS!B:B)</f>
        <v>ING. MARTIN GRAJEDA ARAGON</v>
      </c>
      <c r="R844" s="4" t="str">
        <f>LOOKUP($E844,OBRAS!$D:$D,OBRAS!A:A)</f>
        <v>HERMOSILLO</v>
      </c>
      <c r="S844" s="4" t="str">
        <f>LOOKUP($E844,OBRAS!$D:$D,OBRAS!F:F)</f>
        <v>11000002002202E406K17104A622202155GL07</v>
      </c>
      <c r="T844" s="4" t="str">
        <f>LOOKUP($E844,OBRAS!$D:$D,OBRAS!G:G)</f>
        <v>SO-926006995-N25-2015</v>
      </c>
      <c r="U844" s="4" t="s">
        <v>863</v>
      </c>
      <c r="V844" s="89">
        <v>42733</v>
      </c>
      <c r="W844" s="6">
        <f>LOOKUP($E844,OBRAS!$D:$D,OBRAS!K:K)</f>
        <v>514711.56</v>
      </c>
      <c r="X844" s="109">
        <f t="shared" si="200"/>
        <v>6.6199999999999995E-2</v>
      </c>
      <c r="Y844" s="109">
        <f t="shared" si="201"/>
        <v>1.0003</v>
      </c>
      <c r="Z844" s="109">
        <f t="shared" si="202"/>
        <v>0.7</v>
      </c>
      <c r="AA844" s="4" t="str">
        <f>LOOKUP($E844,OBRAS!$D:$D,OBRAS!H:H)</f>
        <v>SH-NC-16-R-003</v>
      </c>
    </row>
    <row r="845" spans="1:27" ht="75" x14ac:dyDescent="0.25">
      <c r="A845" s="90">
        <v>42794</v>
      </c>
      <c r="B845" s="56">
        <v>1129</v>
      </c>
      <c r="C845" s="51">
        <v>844</v>
      </c>
      <c r="D845" s="4" t="str">
        <f>LOOKUP($E845,OBRAS!$D:$D,OBRAS!C:C)</f>
        <v>CONSTRUCCION DE PASO A DESNIVEL DENOMINADO "PUENTE UNIVERSITARIO", UBICADO SOBRE LA INTERNACIONAL 15 (UNISON, UTN, ACCESO AL HOSPITAL NUEVO IMSS) EN LA LOCALIDAD Y MUNICIPIO DE NOGALES, SONORA.</v>
      </c>
      <c r="E845" s="4" t="s">
        <v>712</v>
      </c>
      <c r="F845" s="4" t="s">
        <v>217</v>
      </c>
      <c r="G845" s="4" t="str">
        <f>LOOKUP($E845,OBRAS!$D:$D,OBRAS!E:E)</f>
        <v>C-00052/0173</v>
      </c>
      <c r="H845" s="80" t="s">
        <v>221</v>
      </c>
      <c r="I845" s="6">
        <v>11174164.140000001</v>
      </c>
      <c r="J845" s="6"/>
      <c r="K845" s="6">
        <f t="shared" si="207"/>
        <v>3352249.24</v>
      </c>
      <c r="L845" s="6">
        <f t="shared" si="197"/>
        <v>7821914.9000000004</v>
      </c>
      <c r="M845" s="6">
        <f t="shared" si="206"/>
        <v>1251506.3799999999</v>
      </c>
      <c r="N845" s="6">
        <f t="shared" si="198"/>
        <v>9073421.2799999993</v>
      </c>
      <c r="O845" s="6">
        <f>+ROUND(I845*0.002,2)+ROUND(I845*0.0003,2)+ROUND(I845*0.0003,2)+ROUND(I845*0.0003,2)+ROUND(I845*0.002,2)</f>
        <v>54753.41</v>
      </c>
      <c r="P845" s="6">
        <f t="shared" si="199"/>
        <v>9018667.8699999992</v>
      </c>
      <c r="Q845" s="4" t="str">
        <f>LOOKUP($E845,OBRAS!$D:$D,OBRAS!B:B)</f>
        <v>CONSTRUCTORA MIRAMAR, S.A. DE C.V.</v>
      </c>
      <c r="R845" s="4" t="str">
        <f>LOOKUP($E845,OBRAS!$D:$D,OBRAS!A:A)</f>
        <v>NOGALES</v>
      </c>
      <c r="S845" s="4" t="str">
        <f>LOOKUP($E845,OBRAS!$D:$D,OBRAS!F:F)</f>
        <v>11000002002201E202K05250A614202162A203</v>
      </c>
      <c r="T845" s="4" t="str">
        <f>LOOKUP($E845,OBRAS!$D:$D,OBRAS!G:G)</f>
        <v>CE-926006995-E72-2016</v>
      </c>
      <c r="U845" s="4" t="s">
        <v>863</v>
      </c>
      <c r="V845" s="89">
        <v>42803</v>
      </c>
      <c r="W845" s="6">
        <f>LOOKUP($E845,OBRAS!$D:$D,OBRAS!K:K)</f>
        <v>87577216.609999999</v>
      </c>
      <c r="X845" s="109">
        <f t="shared" si="200"/>
        <v>0.14799999999999999</v>
      </c>
      <c r="Y845" s="109">
        <f t="shared" si="201"/>
        <v>0.19359999999999999</v>
      </c>
      <c r="Z845" s="109">
        <f t="shared" si="202"/>
        <v>0.4355</v>
      </c>
      <c r="AA845" s="4" t="str">
        <f>LOOKUP($E845,OBRAS!$D:$D,OBRAS!H:H)</f>
        <v>SH-ED-17-R-004</v>
      </c>
    </row>
    <row r="846" spans="1:27" ht="45" x14ac:dyDescent="0.25">
      <c r="A846" s="90">
        <v>42716</v>
      </c>
      <c r="B846" s="56">
        <v>5738</v>
      </c>
      <c r="C846" s="51">
        <v>845</v>
      </c>
      <c r="D846" s="4" t="str">
        <f>LOOKUP($E846,OBRAS!$D:$D,OBRAS!C:C)</f>
        <v>REHABILITACION DE PAVIMENTOS A BASE DE RECARPETEO EN AVE JOSE S. HEALY, AVE JOSE CARMELO Y PERIMETRAL NORTE</v>
      </c>
      <c r="E846" s="4" t="s">
        <v>872</v>
      </c>
      <c r="F846" s="4" t="s">
        <v>224</v>
      </c>
      <c r="G846" s="4" t="str">
        <f>LOOKUP($E846,OBRAS!$D:$D,OBRAS!E:E)</f>
        <v>C-00052/0178</v>
      </c>
      <c r="H846" s="80" t="s">
        <v>103</v>
      </c>
      <c r="I846" s="6">
        <v>2637165.36</v>
      </c>
      <c r="J846" s="6"/>
      <c r="K846" s="6">
        <f t="shared" si="207"/>
        <v>791149.61</v>
      </c>
      <c r="L846" s="6">
        <f t="shared" si="197"/>
        <v>1846015.75</v>
      </c>
      <c r="M846" s="6">
        <f t="shared" si="206"/>
        <v>295362.52</v>
      </c>
      <c r="N846" s="6">
        <f t="shared" si="198"/>
        <v>2141378.27</v>
      </c>
      <c r="O846" s="6">
        <f>+ROUND(I846*0.005,2)</f>
        <v>13185.83</v>
      </c>
      <c r="P846" s="6">
        <f t="shared" si="199"/>
        <v>2128192.44</v>
      </c>
      <c r="Q846" s="4" t="str">
        <f>LOOKUP($E846,OBRAS!$D:$D,OBRAS!B:B)</f>
        <v>GRUPO CONSTRUCCIONES PLANIFICADAS, SA DE CV</v>
      </c>
      <c r="R846" s="4" t="str">
        <f>LOOKUP($E846,OBRAS!$D:$D,OBRAS!A:A)</f>
        <v>HERMOSILLO</v>
      </c>
      <c r="S846" s="4" t="str">
        <f>LOOKUP($E846,OBRAS!$D:$D,OBRAS!F:F)</f>
        <v>11000002002201E202K05186A614202165CN07</v>
      </c>
      <c r="T846" s="4" t="str">
        <f>LOOKUP($E846,OBRAS!$D:$D,OBRAS!G:G)</f>
        <v>LO-926006995-E86-2016</v>
      </c>
      <c r="U846" s="4" t="s">
        <v>863</v>
      </c>
      <c r="V846" s="89">
        <v>42733</v>
      </c>
      <c r="W846" s="6">
        <f>LOOKUP($E846,OBRAS!$D:$D,OBRAS!K:K)</f>
        <v>26153970.379999999</v>
      </c>
      <c r="X846" s="109">
        <f t="shared" si="200"/>
        <v>0.11700000000000001</v>
      </c>
      <c r="Y846" s="109">
        <f t="shared" si="201"/>
        <v>0.94479999999999997</v>
      </c>
      <c r="Z846" s="109">
        <f t="shared" si="202"/>
        <v>0.96140000000000003</v>
      </c>
      <c r="AA846" s="4" t="str">
        <f>LOOKUP($E846,OBRAS!$D:$D,OBRAS!H:H)</f>
        <v>SH-NC-17-R-004</v>
      </c>
    </row>
    <row r="847" spans="1:27" ht="60" x14ac:dyDescent="0.25">
      <c r="A847" s="90">
        <v>42716</v>
      </c>
      <c r="B847" s="56">
        <v>5739</v>
      </c>
      <c r="C847" s="51">
        <v>846</v>
      </c>
      <c r="D847" s="4" t="str">
        <f>LOOKUP($E847,OBRAS!$D:$D,OBRAS!C:C)</f>
        <v>CONSERVACION Y RECONSTRUCCION DE CARRETERAS ALIMENTADORAS REGION GUAYMAS-EMPALME, TRAMO: E.C. (PROVIDENCIA-ORTIZ)-LA MISA</v>
      </c>
      <c r="E847" s="4" t="s">
        <v>582</v>
      </c>
      <c r="F847" s="4" t="s">
        <v>895</v>
      </c>
      <c r="G847" s="4" t="str">
        <f>LOOKUP($E847,OBRAS!$D:$D,OBRAS!E:E)</f>
        <v>C-00054/0065</v>
      </c>
      <c r="H847" s="80" t="s">
        <v>218</v>
      </c>
      <c r="I847" s="6">
        <v>2248161.87</v>
      </c>
      <c r="J847" s="6"/>
      <c r="K847" s="6">
        <f t="shared" si="207"/>
        <v>674448.56</v>
      </c>
      <c r="L847" s="6">
        <f t="shared" si="197"/>
        <v>1573713.31</v>
      </c>
      <c r="M847" s="6">
        <f t="shared" si="206"/>
        <v>251794.13</v>
      </c>
      <c r="N847" s="6">
        <f t="shared" si="198"/>
        <v>1825507.44</v>
      </c>
      <c r="O847" s="6">
        <f>+ROUND(I847*0.002,2)+ROUND(I847*0.0003,2)+ROUND(I847*0.0003,2)+ROUND(I847*0.0003,2)+ROUND(I847*0.002,2)</f>
        <v>11015.99</v>
      </c>
      <c r="P847" s="6">
        <f t="shared" si="199"/>
        <v>1814491.45</v>
      </c>
      <c r="Q847" s="4" t="str">
        <f>LOOKUP($E847,OBRAS!$D:$D,OBRAS!B:B)</f>
        <v>GILA MINAS Y DESARROLLOS SA DE CV</v>
      </c>
      <c r="R847" s="4" t="str">
        <f>LOOKUP($E847,OBRAS!$D:$D,OBRAS!A:A)</f>
        <v>VARIOS</v>
      </c>
      <c r="S847" s="4" t="str">
        <f>LOOKUP($E847,OBRAS!$D:$D,OBRAS!F:F)</f>
        <v>11000002003501E204K08063A625012162213</v>
      </c>
      <c r="T847" s="4" t="str">
        <f>LOOKUP($E847,OBRAS!$D:$D,OBRAS!G:G)</f>
        <v>CE-926006995-E29-2016</v>
      </c>
      <c r="U847" s="4" t="s">
        <v>863</v>
      </c>
      <c r="V847" s="89">
        <v>42768</v>
      </c>
      <c r="W847" s="6">
        <f>LOOKUP($E847,OBRAS!$D:$D,OBRAS!K:K)</f>
        <v>31555491.960000001</v>
      </c>
      <c r="X847" s="109">
        <f t="shared" si="200"/>
        <v>8.2600000000000007E-2</v>
      </c>
      <c r="Y847" s="109">
        <f t="shared" si="201"/>
        <v>0.9194</v>
      </c>
      <c r="Z847" s="109">
        <f t="shared" si="202"/>
        <v>0.9194</v>
      </c>
      <c r="AA847" s="4" t="str">
        <f>LOOKUP($E847,OBRAS!$D:$D,OBRAS!H:H)</f>
        <v>SH-ED-17-R-013</v>
      </c>
    </row>
    <row r="848" spans="1:27" ht="30" x14ac:dyDescent="0.25">
      <c r="A848" s="90">
        <v>42717</v>
      </c>
      <c r="B848" s="56">
        <v>5762</v>
      </c>
      <c r="C848" s="49">
        <v>847</v>
      </c>
      <c r="D848" s="4" t="str">
        <f>LOOKUP($E848,OBRAS!$D:$D,OBRAS!C:C)</f>
        <v>MODERNIZACION Y RECONSTRUCCION DEL TRAMO ETCHOJOA-BACOBAMPO</v>
      </c>
      <c r="E848" s="4" t="s">
        <v>542</v>
      </c>
      <c r="F848" s="4" t="s">
        <v>1913</v>
      </c>
      <c r="G848" s="4" t="str">
        <f>LOOKUP($E848,OBRAS!$D:$D,OBRAS!E:E)</f>
        <v>C-00054/0054</v>
      </c>
      <c r="H848" s="80" t="s">
        <v>218</v>
      </c>
      <c r="I848" s="6">
        <v>13110185.99</v>
      </c>
      <c r="J848" s="6"/>
      <c r="K848" s="6">
        <f t="shared" si="207"/>
        <v>3933055.8</v>
      </c>
      <c r="L848" s="6">
        <f t="shared" si="197"/>
        <v>9177130.1899999995</v>
      </c>
      <c r="M848" s="6">
        <f t="shared" si="206"/>
        <v>1468340.83</v>
      </c>
      <c r="N848" s="6">
        <f t="shared" si="198"/>
        <v>10645471.02</v>
      </c>
      <c r="O848" s="6">
        <f>+ROUND(I848*0.002,2)+ROUND(I848*0.0003,2)+ROUND(I848*0.0003,2)+ROUND(I848*0.0003,2)+ROUND(I848*0.002,2)</f>
        <v>64239.92</v>
      </c>
      <c r="P848" s="6">
        <f t="shared" si="199"/>
        <v>10581231.1</v>
      </c>
      <c r="Q848" s="4" t="str">
        <f>LOOKUP($E848,OBRAS!$D:$D,OBRAS!B:B)</f>
        <v>EDIFICACIONES BOZA S.A. DE C.V.</v>
      </c>
      <c r="R848" s="4" t="str">
        <f>LOOKUP($E848,OBRAS!$D:$D,OBRAS!A:A)</f>
        <v>ETCHOJOA</v>
      </c>
      <c r="S848" s="4" t="str">
        <f>LOOKUP($E848,OBRAS!$D:$D,OBRAS!F:F)</f>
        <v>11000002003501E204K08063A625012162A212</v>
      </c>
      <c r="T848" s="4" t="str">
        <f>LOOKUP($E848,OBRAS!$D:$D,OBRAS!G:G)</f>
        <v>CE-926006995-E18-2016</v>
      </c>
      <c r="U848" s="4" t="s">
        <v>863</v>
      </c>
      <c r="V848" s="89">
        <v>42762</v>
      </c>
      <c r="W848" s="6">
        <f>LOOKUP($E848,OBRAS!$D:$D,OBRAS!K:K)</f>
        <v>63672479.109999999</v>
      </c>
      <c r="X848" s="109">
        <f t="shared" si="200"/>
        <v>0.23880000000000001</v>
      </c>
      <c r="Y848" s="109">
        <f t="shared" si="201"/>
        <v>0.95409999999999995</v>
      </c>
      <c r="Z848" s="109">
        <f t="shared" si="202"/>
        <v>0.96489999999999998</v>
      </c>
      <c r="AA848" s="4" t="str">
        <f>LOOKUP($E848,OBRAS!$D:$D,OBRAS!H:H)</f>
        <v>SH-ED-17-R-004</v>
      </c>
    </row>
    <row r="849" spans="1:27" ht="75" x14ac:dyDescent="0.25">
      <c r="A849" s="90">
        <v>42717</v>
      </c>
      <c r="B849" s="56">
        <v>5763</v>
      </c>
      <c r="C849" s="51">
        <v>848</v>
      </c>
      <c r="D849" s="4" t="str">
        <f>LOOKUP($E849,OBRAS!$D:$D,OBRAS!C:C)</f>
        <v>CONSERVACIÓN Y RECONSTRUCCION DEL TRAMO MAZATÁN-VILLA PESQUEIRA-SAN PEDRO DE LA CUEVA EN LA REGION DE LA SIERRA EN VARIAS LOCALIDADES DE VARIOS MUNICIPIOS EN SONORA.</v>
      </c>
      <c r="E849" s="4" t="s">
        <v>590</v>
      </c>
      <c r="F849" s="4" t="s">
        <v>306</v>
      </c>
      <c r="G849" s="4" t="str">
        <f>LOOKUP($E849,OBRAS!$D:$D,OBRAS!E:E)</f>
        <v>C-00054/0057</v>
      </c>
      <c r="H849" s="80" t="s">
        <v>55</v>
      </c>
      <c r="I849" s="6">
        <v>8395780.3200000003</v>
      </c>
      <c r="J849" s="6"/>
      <c r="K849" s="6">
        <f t="shared" si="207"/>
        <v>2518734.1</v>
      </c>
      <c r="L849" s="6">
        <f t="shared" ref="L849:L910" si="208">I849-K849</f>
        <v>5877046.2199999997</v>
      </c>
      <c r="M849" s="6">
        <f t="shared" si="206"/>
        <v>940327.4</v>
      </c>
      <c r="N849" s="6">
        <f t="shared" ref="N849:N912" si="209">M849+L849</f>
        <v>6817373.6200000001</v>
      </c>
      <c r="O849" s="6">
        <f>+ROUND(I849*0.002,2)+ROUND(I849*0.0003,2)+ROUND(I849*0.0003,2)+ROUND(I849*0.0003,2)+ROUND(I849*0.002,2)</f>
        <v>41139.31</v>
      </c>
      <c r="P849" s="6">
        <f t="shared" ref="P849:P912" si="210">N849-O849</f>
        <v>6776234.3099999996</v>
      </c>
      <c r="Q849" s="4" t="str">
        <f>LOOKUP($E849,OBRAS!$D:$D,OBRAS!B:B)</f>
        <v>GRUPO EMPRESARIAL BABASAC, S. A. DE C. V.</v>
      </c>
      <c r="R849" s="4" t="str">
        <f>LOOKUP($E849,OBRAS!$D:$D,OBRAS!A:A)</f>
        <v>VARIOS</v>
      </c>
      <c r="S849" s="4" t="str">
        <f>LOOKUP($E849,OBRAS!$D:$D,OBRAS!F:F)</f>
        <v>1100002003501E204K08063A625012162A213</v>
      </c>
      <c r="T849" s="4" t="str">
        <f>LOOKUP($E849,OBRAS!$D:$D,OBRAS!G:G)</f>
        <v>CE-926006995-E21-2016</v>
      </c>
      <c r="U849" s="4" t="s">
        <v>863</v>
      </c>
      <c r="V849" s="89">
        <v>42769</v>
      </c>
      <c r="W849" s="6">
        <f>LOOKUP($E849,OBRAS!$D:$D,OBRAS!K:K)</f>
        <v>33809827.159999996</v>
      </c>
      <c r="X849" s="109">
        <f t="shared" ref="X849:X912" si="211">IF(H849&lt;&gt;"ANTICIPO",I849/(W849/1.16),"")</f>
        <v>0.28810000000000002</v>
      </c>
      <c r="Y849" s="109">
        <f t="shared" ref="Y849:Y912" si="212">SUMIF(E:E,E849,X:X)</f>
        <v>0.89859999999999995</v>
      </c>
      <c r="Z849" s="109">
        <f t="shared" ref="Z849:Z912" si="213">SUMIF(E:E,E849,N:N)/W849</f>
        <v>0.92900000000000005</v>
      </c>
      <c r="AA849" s="4" t="str">
        <f>LOOKUP($E849,OBRAS!$D:$D,OBRAS!H:H)</f>
        <v>SH-ED-17-R-013</v>
      </c>
    </row>
    <row r="850" spans="1:27" ht="75" x14ac:dyDescent="0.25">
      <c r="A850" s="90">
        <v>42717</v>
      </c>
      <c r="B850" s="56">
        <v>5764</v>
      </c>
      <c r="C850" s="51">
        <v>849</v>
      </c>
      <c r="D850" s="4" t="str">
        <f>LOOKUP($E850,OBRAS!$D:$D,OBRAS!C:C)</f>
        <v>REHABILITACIÓN DE PAVIMENTOS A BASE DE RECARPETEO EN BLVD. GARCIA MORALES ENTRE ANTONIO QUIROGA Y ACCESO AL AEROPUERTO EN LA LOCALIDAD Y MUNICIPIO DE HERMOSILLO, SONORA.</v>
      </c>
      <c r="E850" s="4" t="s">
        <v>835</v>
      </c>
      <c r="F850" s="4" t="s">
        <v>927</v>
      </c>
      <c r="G850" s="4" t="str">
        <f>LOOKUP($E850,OBRAS!$D:$D,OBRAS!E:E)</f>
        <v>C-00052/0179</v>
      </c>
      <c r="H850" s="80" t="s">
        <v>221</v>
      </c>
      <c r="I850" s="6">
        <v>2951752.83</v>
      </c>
      <c r="J850" s="6"/>
      <c r="K850" s="6">
        <f t="shared" si="207"/>
        <v>885525.85</v>
      </c>
      <c r="L850" s="6">
        <f t="shared" si="208"/>
        <v>2066226.98</v>
      </c>
      <c r="M850" s="6">
        <f t="shared" si="206"/>
        <v>330596.32</v>
      </c>
      <c r="N850" s="6">
        <f t="shared" si="209"/>
        <v>2396823.2999999998</v>
      </c>
      <c r="O850" s="6">
        <f>+ROUND(I850*0.005,2)</f>
        <v>14758.76</v>
      </c>
      <c r="P850" s="6">
        <f t="shared" si="210"/>
        <v>2382064.54</v>
      </c>
      <c r="Q850" s="4" t="str">
        <f>LOOKUP($E850,OBRAS!$D:$D,OBRAS!B:B)</f>
        <v>CONSTRUCCIONES EL LLANO, S.A. DE C.V.</v>
      </c>
      <c r="R850" s="4" t="str">
        <f>LOOKUP($E850,OBRAS!$D:$D,OBRAS!A:A)</f>
        <v>HERMOSILLO</v>
      </c>
      <c r="S850" s="4" t="str">
        <f>LOOKUP($E850,OBRAS!$D:$D,OBRAS!F:F)</f>
        <v>11000002002201E202K05186A614202165CN07</v>
      </c>
      <c r="T850" s="4" t="str">
        <f>LOOKUP($E850,OBRAS!$D:$D,OBRAS!G:G)</f>
        <v>LO-956006995-E87-2016</v>
      </c>
      <c r="U850" s="4" t="s">
        <v>863</v>
      </c>
      <c r="V850" s="89">
        <v>42734</v>
      </c>
      <c r="W850" s="6">
        <f>LOOKUP($E850,OBRAS!$D:$D,OBRAS!K:K)</f>
        <v>19069990.460000001</v>
      </c>
      <c r="X850" s="109">
        <f t="shared" si="211"/>
        <v>0.17960000000000001</v>
      </c>
      <c r="Y850" s="109">
        <f t="shared" si="212"/>
        <v>0.97560000000000002</v>
      </c>
      <c r="Z850" s="109">
        <f t="shared" si="213"/>
        <v>0.98280000000000001</v>
      </c>
      <c r="AA850" s="4" t="str">
        <f>LOOKUP($E850,OBRAS!$D:$D,OBRAS!H:H)</f>
        <v>SH-NC-17-R-004</v>
      </c>
    </row>
    <row r="851" spans="1:27" ht="45" x14ac:dyDescent="0.25">
      <c r="A851" s="90">
        <v>42717</v>
      </c>
      <c r="B851" s="56">
        <v>5765</v>
      </c>
      <c r="C851" s="51">
        <v>850</v>
      </c>
      <c r="D851" s="4" t="str">
        <f>LOOKUP($E851,OBRAS!$D:$D,OBRAS!C:C)</f>
        <v>REHABILITACION DE PAVIMENTOS A BASE DE RECARPETEO EN AVE JOSE S. HEALY, AVE JOSE CARMELO Y PERIMETRAL NORTE</v>
      </c>
      <c r="E851" s="4" t="s">
        <v>872</v>
      </c>
      <c r="F851" s="4" t="s">
        <v>927</v>
      </c>
      <c r="G851" s="4" t="str">
        <f>LOOKUP($E851,OBRAS!$D:$D,OBRAS!E:E)</f>
        <v>C-00052/0178</v>
      </c>
      <c r="H851" s="80" t="s">
        <v>221</v>
      </c>
      <c r="I851" s="6">
        <v>4423670.53</v>
      </c>
      <c r="J851" s="6"/>
      <c r="K851" s="6">
        <f t="shared" si="207"/>
        <v>1327101.1599999999</v>
      </c>
      <c r="L851" s="6">
        <f t="shared" si="208"/>
        <v>3096569.37</v>
      </c>
      <c r="M851" s="6">
        <f t="shared" si="206"/>
        <v>495451.1</v>
      </c>
      <c r="N851" s="6">
        <f t="shared" si="209"/>
        <v>3592020.47</v>
      </c>
      <c r="O851" s="6">
        <f>+ROUND(I851*0.005,2)</f>
        <v>22118.35</v>
      </c>
      <c r="P851" s="6">
        <f t="shared" si="210"/>
        <v>3569902.12</v>
      </c>
      <c r="Q851" s="4" t="str">
        <f>LOOKUP($E851,OBRAS!$D:$D,OBRAS!B:B)</f>
        <v>GRUPO CONSTRUCCIONES PLANIFICADAS, SA DE CV</v>
      </c>
      <c r="R851" s="4" t="str">
        <f>LOOKUP($E851,OBRAS!$D:$D,OBRAS!A:A)</f>
        <v>HERMOSILLO</v>
      </c>
      <c r="S851" s="4" t="str">
        <f>LOOKUP($E851,OBRAS!$D:$D,OBRAS!F:F)</f>
        <v>11000002002201E202K05186A614202165CN07</v>
      </c>
      <c r="T851" s="4" t="str">
        <f>LOOKUP($E851,OBRAS!$D:$D,OBRAS!G:G)</f>
        <v>LO-926006995-E86-2016</v>
      </c>
      <c r="U851" s="4" t="s">
        <v>863</v>
      </c>
      <c r="V851" s="89">
        <v>42733</v>
      </c>
      <c r="W851" s="6">
        <f>LOOKUP($E851,OBRAS!$D:$D,OBRAS!K:K)</f>
        <v>26153970.379999999</v>
      </c>
      <c r="X851" s="109">
        <f t="shared" si="211"/>
        <v>0.19620000000000001</v>
      </c>
      <c r="Y851" s="109">
        <f t="shared" si="212"/>
        <v>0.94479999999999997</v>
      </c>
      <c r="Z851" s="109">
        <f t="shared" si="213"/>
        <v>0.96140000000000003</v>
      </c>
      <c r="AA851" s="4" t="str">
        <f>LOOKUP($E851,OBRAS!$D:$D,OBRAS!H:H)</f>
        <v>SH-NC-17-R-004</v>
      </c>
    </row>
    <row r="852" spans="1:27" ht="75" x14ac:dyDescent="0.25">
      <c r="A852" s="90">
        <v>42717</v>
      </c>
      <c r="B852" s="56">
        <v>5766</v>
      </c>
      <c r="C852" s="51">
        <v>851</v>
      </c>
      <c r="D852" s="4" t="str">
        <f>LOOKUP($E852,OBRAS!$D:$D,OBRAS!C:C)</f>
        <v>CONTROL DE CALIDAD DE LA OBRA: REHABILITACION DE PAVIMENTOS A BASE DE RECARPETEO EN AVE JOSE S. HEALY, AVE JOSE CARMELO Y PERIMETRAL NORTE ENTRE BLVD. SOLIDARIDAD Y LÁZARO MERCADO</v>
      </c>
      <c r="E852" s="4" t="s">
        <v>1914</v>
      </c>
      <c r="F852" s="4"/>
      <c r="G852" s="4" t="str">
        <f>LOOKUP($E852,OBRAS!$D:$D,OBRAS!E:E)</f>
        <v>C-00052/0178</v>
      </c>
      <c r="H852" s="80" t="s">
        <v>103</v>
      </c>
      <c r="I852" s="6">
        <v>107782.82</v>
      </c>
      <c r="J852" s="6"/>
      <c r="K852" s="6">
        <v>0</v>
      </c>
      <c r="L852" s="6">
        <f t="shared" si="208"/>
        <v>107782.82</v>
      </c>
      <c r="M852" s="6">
        <f t="shared" si="206"/>
        <v>17245.25</v>
      </c>
      <c r="N852" s="6">
        <f t="shared" si="209"/>
        <v>125028.07</v>
      </c>
      <c r="O852" s="6">
        <f>+ROUND(I852*0.005,2)</f>
        <v>538.91</v>
      </c>
      <c r="P852" s="6">
        <f t="shared" si="210"/>
        <v>124489.16</v>
      </c>
      <c r="Q852" s="4" t="str">
        <f>LOOKUP($E852,OBRAS!$D:$D,OBRAS!B:B)</f>
        <v>ALCCON SIGLO XXI, S.A. DE C.V.</v>
      </c>
      <c r="R852" s="4" t="str">
        <f>LOOKUP($E852,OBRAS!$D:$D,OBRAS!A:A)</f>
        <v>HERMOSILLO</v>
      </c>
      <c r="S852" s="4" t="str">
        <f>LOOKUP($E852,OBRAS!$D:$D,OBRAS!F:F)</f>
        <v>11000002002201E202K05186A614202165CN07</v>
      </c>
      <c r="T852" s="4" t="str">
        <f>LOOKUP($E852,OBRAS!$D:$D,OBRAS!G:G)</f>
        <v>AO-926006995-E116-2016</v>
      </c>
      <c r="U852" s="4" t="s">
        <v>863</v>
      </c>
      <c r="V852" s="89">
        <v>42733</v>
      </c>
      <c r="W852" s="6">
        <f>LOOKUP($E852,OBRAS!$D:$D,OBRAS!K:K)</f>
        <v>500112.28</v>
      </c>
      <c r="X852" s="109">
        <f t="shared" si="211"/>
        <v>0.25</v>
      </c>
      <c r="Y852" s="109">
        <f t="shared" si="212"/>
        <v>1</v>
      </c>
      <c r="Z852" s="109">
        <f t="shared" si="213"/>
        <v>1</v>
      </c>
      <c r="AA852" s="4" t="str">
        <f>LOOKUP($E852,OBRAS!$D:$D,OBRAS!H:H)</f>
        <v>SH-NC-17-R-004</v>
      </c>
    </row>
    <row r="853" spans="1:27" ht="60" x14ac:dyDescent="0.25">
      <c r="A853" s="90">
        <v>42717</v>
      </c>
      <c r="B853" s="56">
        <v>5767</v>
      </c>
      <c r="C853" s="51">
        <v>852</v>
      </c>
      <c r="D853" s="4" t="str">
        <f>LOOKUP($E853,OBRAS!$D:$D,OBRAS!C:C)</f>
        <v>CONTROL DE CALIDAD DE LA OBRA: REHABILITACION DE PAVIMENTOS A BASE DE RECARPETEO EN BLVD. GARCIA MORALES ENTRE BLVD. QUIROGA Y ACCESO AL AEROPUERTO</v>
      </c>
      <c r="E853" s="4" t="s">
        <v>1916</v>
      </c>
      <c r="F853" s="4"/>
      <c r="G853" s="4" t="str">
        <f>LOOKUP($E853,OBRAS!$D:$D,OBRAS!E:E)</f>
        <v>C-00052/0179</v>
      </c>
      <c r="H853" s="80" t="s">
        <v>103</v>
      </c>
      <c r="I853" s="6">
        <v>78833.47</v>
      </c>
      <c r="J853" s="6"/>
      <c r="K853" s="6">
        <v>0</v>
      </c>
      <c r="L853" s="6">
        <f t="shared" si="208"/>
        <v>78833.47</v>
      </c>
      <c r="M853" s="6">
        <f t="shared" si="206"/>
        <v>12613.36</v>
      </c>
      <c r="N853" s="6">
        <f t="shared" si="209"/>
        <v>91446.83</v>
      </c>
      <c r="O853" s="6">
        <f>+ROUND(I853*0.005,2)</f>
        <v>394.17</v>
      </c>
      <c r="P853" s="6">
        <f t="shared" si="210"/>
        <v>91052.66</v>
      </c>
      <c r="Q853" s="4" t="str">
        <f>LOOKUP($E853,OBRAS!$D:$D,OBRAS!B:B)</f>
        <v>ALCCON SIGLO XXI, S.A. DE C.V.</v>
      </c>
      <c r="R853" s="4" t="str">
        <f>LOOKUP($E853,OBRAS!$D:$D,OBRAS!A:A)</f>
        <v>HERMOSILLO</v>
      </c>
      <c r="S853" s="4" t="str">
        <f>LOOKUP($E853,OBRAS!$D:$D,OBRAS!F:F)</f>
        <v>11000002002201E202K05186A614242165CN07</v>
      </c>
      <c r="T853" s="4" t="str">
        <f>LOOKUP($E853,OBRAS!$D:$D,OBRAS!G:G)</f>
        <v>AO-926006995-E118-2016</v>
      </c>
      <c r="U853" s="4" t="s">
        <v>863</v>
      </c>
      <c r="V853" s="89">
        <v>42734</v>
      </c>
      <c r="W853" s="6">
        <f>LOOKUP($E853,OBRAS!$D:$D,OBRAS!K:K)</f>
        <v>365787.3</v>
      </c>
      <c r="X853" s="109">
        <f t="shared" si="211"/>
        <v>0.25</v>
      </c>
      <c r="Y853" s="109">
        <f t="shared" si="212"/>
        <v>1.1416999999999999</v>
      </c>
      <c r="Z853" s="109">
        <f t="shared" si="213"/>
        <v>1.1416999999999999</v>
      </c>
      <c r="AA853" s="4" t="str">
        <f>LOOKUP($E853,OBRAS!$D:$D,OBRAS!H:H)</f>
        <v>SH-NC-17-R-004</v>
      </c>
    </row>
    <row r="854" spans="1:27" ht="45" x14ac:dyDescent="0.25">
      <c r="A854" s="90">
        <v>42717</v>
      </c>
      <c r="B854" s="56">
        <v>5783</v>
      </c>
      <c r="C854" s="51">
        <v>853</v>
      </c>
      <c r="D854" s="4" t="str">
        <f>LOOKUP($E854,OBRAS!$D:$D,OBRAS!C:C)</f>
        <v>REMODELACION DEL PARQUE INFANTIL EN LA LOCALIDAD Y MUNICIPIO DE HERMOSILLO, SONORA</v>
      </c>
      <c r="E854" s="4" t="s">
        <v>45</v>
      </c>
      <c r="F854" s="4" t="s">
        <v>1920</v>
      </c>
      <c r="G854" s="4" t="str">
        <f>LOOKUP($E854,OBRAS!$D:$D,OBRAS!E:E)</f>
        <v>C-00093/0004</v>
      </c>
      <c r="H854" s="80" t="s">
        <v>1919</v>
      </c>
      <c r="I854" s="6">
        <v>2111882.0299999998</v>
      </c>
      <c r="J854" s="6"/>
      <c r="K854" s="6">
        <v>0</v>
      </c>
      <c r="L854" s="6">
        <f t="shared" si="208"/>
        <v>2111882.0299999998</v>
      </c>
      <c r="M854" s="6">
        <f t="shared" si="206"/>
        <v>337901.12</v>
      </c>
      <c r="N854" s="6">
        <f t="shared" si="209"/>
        <v>2449783.15</v>
      </c>
      <c r="O854" s="6">
        <f>+ROUND(I854*0.005,2)+38488.88</f>
        <v>49048.29</v>
      </c>
      <c r="P854" s="6">
        <f t="shared" si="210"/>
        <v>2400734.86</v>
      </c>
      <c r="Q854" s="4" t="str">
        <f>LOOKUP($E854,OBRAS!$D:$D,OBRAS!B:B)</f>
        <v>GYCR SOLUCIONES INTEGRALES PARA LA CONSTRUCCION, S.A. DE C.V.</v>
      </c>
      <c r="R854" s="4" t="str">
        <f>LOOKUP($E854,OBRAS!$D:$D,OBRAS!A:A)</f>
        <v>HERMOSILLO</v>
      </c>
      <c r="S854" s="4" t="str">
        <f>LOOKUP($E854,OBRAS!$D:$D,OBRAS!F:F)</f>
        <v>11000002002202E406K17104A622202155GL07</v>
      </c>
      <c r="T854" s="4" t="str">
        <f>LOOKUP($E854,OBRAS!$D:$D,OBRAS!G:G)</f>
        <v>LO-926006995-N12-2015</v>
      </c>
      <c r="U854" s="4" t="s">
        <v>863</v>
      </c>
      <c r="V854" s="89">
        <v>42734</v>
      </c>
      <c r="W854" s="6">
        <f>LOOKUP($E854,OBRAS!$D:$D,OBRAS!K:K)</f>
        <v>53569288.82</v>
      </c>
      <c r="X854" s="109">
        <f t="shared" si="211"/>
        <v>4.5699999999999998E-2</v>
      </c>
      <c r="Y854" s="109">
        <f t="shared" si="212"/>
        <v>0.85470000000000002</v>
      </c>
      <c r="Z854" s="109">
        <f t="shared" si="213"/>
        <v>0.55269999999999997</v>
      </c>
      <c r="AA854" s="4" t="str">
        <f>LOOKUP($E854,OBRAS!$D:$D,OBRAS!H:H)</f>
        <v>SH-NC-16-R-003</v>
      </c>
    </row>
    <row r="855" spans="1:27" ht="75" x14ac:dyDescent="0.25">
      <c r="A855" s="90">
        <v>42717</v>
      </c>
      <c r="B855" s="56">
        <v>5784</v>
      </c>
      <c r="C855" s="51">
        <v>854</v>
      </c>
      <c r="D855" s="4" t="str">
        <f>LOOKUP($E855,OBRAS!$D:$D,OBRAS!C:C)</f>
        <v>REHABILITACION DE EDIFICIO PARA ALBERGAR JUZGADO DE ORALIDAD PENAL DEL DISTRITO JUDICIAL CON SEDE EN HERMOSILLO 2DA ETAPA (SEGUNDO NIVEL) EN LA LOCALIDAD Y MUNICIPIO DE HERMOSILLO, SONORA.</v>
      </c>
      <c r="E855" s="4" t="s">
        <v>707</v>
      </c>
      <c r="F855" s="4" t="s">
        <v>224</v>
      </c>
      <c r="G855" s="4" t="str">
        <f>LOOKUP($E855,OBRAS!$D:$D,OBRAS!E:E)</f>
        <v>C-00058/0010</v>
      </c>
      <c r="H855" s="80" t="s">
        <v>221</v>
      </c>
      <c r="I855" s="6">
        <v>209562.6</v>
      </c>
      <c r="J855" s="6"/>
      <c r="K855" s="6">
        <f>ROUND(I855*0.3,2)</f>
        <v>62868.78</v>
      </c>
      <c r="L855" s="6">
        <f t="shared" si="208"/>
        <v>146693.82</v>
      </c>
      <c r="M855" s="6">
        <f t="shared" si="206"/>
        <v>23471.01</v>
      </c>
      <c r="N855" s="6">
        <f t="shared" si="209"/>
        <v>170164.83</v>
      </c>
      <c r="O855" s="6">
        <f>+ROUND(I855*0.002,2)+ROUND(I855*0.0003,2)+ROUND(I855*0.0003,2)+ROUND(I855*0.0003,2)+ROUND(I855*0.002,2)</f>
        <v>1026.8699999999999</v>
      </c>
      <c r="P855" s="6">
        <f t="shared" si="210"/>
        <v>169137.96</v>
      </c>
      <c r="Q855" s="4" t="str">
        <f>LOOKUP($E855,OBRAS!$D:$D,OBRAS!B:B)</f>
        <v>INMOBILIARIA TIERRAS DEL DESIERTO, S.A. DE C.V.</v>
      </c>
      <c r="R855" s="4" t="str">
        <f>LOOKUP($E855,OBRAS!$D:$D,OBRAS!A:A)</f>
        <v>HERMOSILLO</v>
      </c>
      <c r="S855" s="4" t="str">
        <f>LOOKUP($E855,OBRAS!$D:$D,OBRAS!F:F)</f>
        <v>11000002001202E105K13041A622032165DM07</v>
      </c>
      <c r="T855" s="4" t="str">
        <f>LOOKUP($E855,OBRAS!$D:$D,OBRAS!G:G)</f>
        <v>LICITACIÓN SIMPLIFICADA</v>
      </c>
      <c r="U855" s="4" t="s">
        <v>863</v>
      </c>
      <c r="V855" s="89">
        <v>42734</v>
      </c>
      <c r="W855" s="6">
        <f>LOOKUP($E855,OBRAS!$D:$D,OBRAS!K:K)</f>
        <v>2145846.29</v>
      </c>
      <c r="X855" s="109">
        <f t="shared" si="211"/>
        <v>0.1133</v>
      </c>
      <c r="Y855" s="109">
        <f t="shared" si="212"/>
        <v>1.1404000000000001</v>
      </c>
      <c r="Z855" s="109">
        <f t="shared" si="213"/>
        <v>1.0005999999999999</v>
      </c>
      <c r="AA855" s="4" t="str">
        <f>LOOKUP($E855,OBRAS!$D:$D,OBRAS!H:H)</f>
        <v>SH-FAFEF-17-R-002</v>
      </c>
    </row>
    <row r="856" spans="1:27" ht="30" x14ac:dyDescent="0.25">
      <c r="A856" s="90">
        <v>42723</v>
      </c>
      <c r="B856" s="56">
        <v>5785</v>
      </c>
      <c r="C856" s="51">
        <v>855</v>
      </c>
      <c r="D856" s="4" t="str">
        <f>LOOKUP($E856,OBRAS!$D:$D,OBRAS!C:C)</f>
        <v>RECONSTRUCCION DE LA CALLE GUERRERO DEL KM 0+000 AL KM 6+020</v>
      </c>
      <c r="E856" s="4" t="s">
        <v>300</v>
      </c>
      <c r="F856" s="4"/>
      <c r="G856" s="4" t="str">
        <f>LOOKUP($E856,OBRAS!$D:$D,OBRAS!E:E)</f>
        <v>C-00054/0074</v>
      </c>
      <c r="H856" s="80" t="s">
        <v>15</v>
      </c>
      <c r="I856" s="6">
        <v>5136512.5999999996</v>
      </c>
      <c r="J856" s="6"/>
      <c r="K856" s="6">
        <f>ROUND(I856*0.3,2)</f>
        <v>1540953.78</v>
      </c>
      <c r="L856" s="6">
        <f t="shared" si="208"/>
        <v>3595558.82</v>
      </c>
      <c r="M856" s="6">
        <f t="shared" si="206"/>
        <v>575289.41</v>
      </c>
      <c r="N856" s="6">
        <f t="shared" si="209"/>
        <v>4170848.23</v>
      </c>
      <c r="O856" s="6">
        <f>+ROUND(I856*0.002,2)+ROUND(I856*0.0003,2)+ROUND(I856*0.0003,2)+ROUND(I856*0.0003,2)+ROUND(I856*0.002,2)</f>
        <v>25168.91</v>
      </c>
      <c r="P856" s="6">
        <f t="shared" si="210"/>
        <v>4145679.32</v>
      </c>
      <c r="Q856" s="4" t="str">
        <f>LOOKUP($E856,OBRAS!$D:$D,OBRAS!B:B)</f>
        <v>ZERO EDIFICACIONES,S.A. DE C.V.</v>
      </c>
      <c r="R856" s="4" t="str">
        <f>LOOKUP($E856,OBRAS!$D:$D,OBRAS!A:A)</f>
        <v>HERMOSILLO</v>
      </c>
      <c r="S856" s="4" t="str">
        <f>LOOKUP($E856,OBRAS!$D:$D,OBRAS!F:F)</f>
        <v>11000002003501E204K08063A625012162A207</v>
      </c>
      <c r="T856" s="4" t="str">
        <f>LOOKUP($E856,OBRAS!$D:$D,OBRAS!G:G)</f>
        <v>CE-926006995-E41-2016</v>
      </c>
      <c r="U856" s="4" t="s">
        <v>863</v>
      </c>
      <c r="V856" s="89">
        <v>42762</v>
      </c>
      <c r="W856" s="6">
        <f>LOOKUP($E856,OBRAS!$D:$D,OBRAS!K:K)</f>
        <v>18289741.390000001</v>
      </c>
      <c r="X856" s="109">
        <f t="shared" si="211"/>
        <v>0.32579999999999998</v>
      </c>
      <c r="Y856" s="109">
        <f t="shared" si="212"/>
        <v>1</v>
      </c>
      <c r="Z856" s="109">
        <f t="shared" si="213"/>
        <v>1</v>
      </c>
      <c r="AA856" s="4" t="str">
        <f>LOOKUP($E856,OBRAS!$D:$D,OBRAS!H:H)</f>
        <v>SH-ED-17-R-013</v>
      </c>
    </row>
    <row r="857" spans="1:27" ht="30" x14ac:dyDescent="0.25">
      <c r="A857" s="90">
        <v>42796</v>
      </c>
      <c r="B857" s="56">
        <v>1267</v>
      </c>
      <c r="C857" s="51">
        <v>856</v>
      </c>
      <c r="D857" s="4" t="str">
        <f>LOOKUP($E857,OBRAS!$D:$D,OBRAS!C:C)</f>
        <v>RECONSTRUCCION DE LA CALLE GUERRERO DEL KM 0+000 AL KM 6+020</v>
      </c>
      <c r="E857" s="4" t="s">
        <v>300</v>
      </c>
      <c r="F857" s="4" t="s">
        <v>248</v>
      </c>
      <c r="G857" s="4" t="str">
        <f>LOOKUP($E857,OBRAS!$D:$D,OBRAS!E:E)</f>
        <v>C-00054/0074</v>
      </c>
      <c r="H857" s="80" t="s">
        <v>214</v>
      </c>
      <c r="I857" s="6">
        <v>47257.11</v>
      </c>
      <c r="J857" s="6"/>
      <c r="K857" s="6">
        <v>14177.13</v>
      </c>
      <c r="L857" s="6">
        <f t="shared" si="208"/>
        <v>33079.980000000003</v>
      </c>
      <c r="M857" s="6">
        <f t="shared" si="206"/>
        <v>5292.8</v>
      </c>
      <c r="N857" s="6">
        <f t="shared" si="209"/>
        <v>38372.78</v>
      </c>
      <c r="O857" s="6">
        <f>+ROUND(I857*0.002,2)+ROUND(I857*0.0003,2)+ROUND(I857*0.0003,2)+ROUND(I857*0.0003,2)+ROUND(I857*0.002,2)</f>
        <v>231.56</v>
      </c>
      <c r="P857" s="6">
        <f t="shared" si="210"/>
        <v>38141.22</v>
      </c>
      <c r="Q857" s="4" t="str">
        <f>LOOKUP($E857,OBRAS!$D:$D,OBRAS!B:B)</f>
        <v>ZERO EDIFICACIONES,S.A. DE C.V.</v>
      </c>
      <c r="R857" s="4" t="str">
        <f>LOOKUP($E857,OBRAS!$D:$D,OBRAS!A:A)</f>
        <v>HERMOSILLO</v>
      </c>
      <c r="S857" s="4" t="str">
        <f>LOOKUP($E857,OBRAS!$D:$D,OBRAS!F:F)</f>
        <v>11000002003501E204K08063A625012162A207</v>
      </c>
      <c r="T857" s="4" t="str">
        <f>LOOKUP($E857,OBRAS!$D:$D,OBRAS!G:G)</f>
        <v>CE-926006995-E41-2016</v>
      </c>
      <c r="U857" s="4" t="s">
        <v>866</v>
      </c>
      <c r="V857" s="89">
        <v>42801</v>
      </c>
      <c r="W857" s="6">
        <f>LOOKUP($E857,OBRAS!$D:$D,OBRAS!K:K)</f>
        <v>18289741.390000001</v>
      </c>
      <c r="X857" s="109">
        <f t="shared" si="211"/>
        <v>3.0000000000000001E-3</v>
      </c>
      <c r="Y857" s="109">
        <f t="shared" si="212"/>
        <v>1</v>
      </c>
      <c r="Z857" s="109">
        <f t="shared" si="213"/>
        <v>1</v>
      </c>
      <c r="AA857" s="4" t="str">
        <f>LOOKUP($E857,OBRAS!$D:$D,OBRAS!H:H)</f>
        <v>SH-ED-17-R-013</v>
      </c>
    </row>
    <row r="858" spans="1:27" ht="30" x14ac:dyDescent="0.25">
      <c r="A858" s="90">
        <v>42717</v>
      </c>
      <c r="B858" s="56">
        <v>5787</v>
      </c>
      <c r="C858" s="51">
        <v>857</v>
      </c>
      <c r="D858" s="4" t="str">
        <f>LOOKUP($E858,OBRAS!$D:$D,OBRAS!C:C)</f>
        <v>CONSTRUCCION DE PUENTE VEHICULAR SOBRE RIO MAYO, EN EL PERIFERICO PONIENTE EN NAVOJOA</v>
      </c>
      <c r="E858" s="4" t="s">
        <v>776</v>
      </c>
      <c r="F858" s="4" t="s">
        <v>927</v>
      </c>
      <c r="G858" s="4" t="str">
        <f>LOOKUP($E858,OBRAS!$D:$D,OBRAS!E:E)</f>
        <v>C-00052/0174</v>
      </c>
      <c r="H858" s="80" t="s">
        <v>221</v>
      </c>
      <c r="I858" s="6">
        <v>12351694.529999999</v>
      </c>
      <c r="J858" s="6">
        <f>I858*1.16</f>
        <v>14327965.65</v>
      </c>
      <c r="K858" s="6">
        <f>ROUND(I858*0.3,2)</f>
        <v>3705508.36</v>
      </c>
      <c r="L858" s="6">
        <f t="shared" si="208"/>
        <v>8646186.1699999999</v>
      </c>
      <c r="M858" s="6">
        <f t="shared" si="206"/>
        <v>1383389.79</v>
      </c>
      <c r="N858" s="6">
        <f t="shared" si="209"/>
        <v>10029575.960000001</v>
      </c>
      <c r="O858" s="6">
        <f>+ROUND(I858*0.002,2)+ROUND(I858*0.0003,2)+ROUND(I858*0.0003,2)+ROUND(I858*0.0003,2)+ROUND(I858*0.002,2)</f>
        <v>60523.31</v>
      </c>
      <c r="P858" s="6">
        <f t="shared" si="210"/>
        <v>9969052.6500000004</v>
      </c>
      <c r="Q858" s="4" t="str">
        <f>LOOKUP($E858,OBRAS!$D:$D,OBRAS!B:B)</f>
        <v>ING. LUIS EDUARDO GUERRA ESQUIVEL</v>
      </c>
      <c r="R858" s="4" t="str">
        <f>LOOKUP($E858,OBRAS!$D:$D,OBRAS!A:A)</f>
        <v>NAVOJOA</v>
      </c>
      <c r="S858" s="4" t="str">
        <f>LOOKUP($E858,OBRAS!$D:$D,OBRAS!F:F)</f>
        <v>11000002002201E202K05250A615122162A212</v>
      </c>
      <c r="T858" s="4">
        <f>LOOKUP($E858,OBRAS!$D:$D,OBRAS!G:G)</f>
        <v>0</v>
      </c>
      <c r="U858" s="4" t="s">
        <v>863</v>
      </c>
      <c r="V858" s="89">
        <v>42755</v>
      </c>
      <c r="W858" s="6">
        <f>LOOKUP($E858,OBRAS!$D:$D,OBRAS!K:K)</f>
        <v>82488388.799999997</v>
      </c>
      <c r="X858" s="109">
        <f t="shared" si="211"/>
        <v>0.17369999999999999</v>
      </c>
      <c r="Y858" s="109">
        <f t="shared" si="212"/>
        <v>0.64639999999999997</v>
      </c>
      <c r="Z858" s="109">
        <f t="shared" si="213"/>
        <v>0.75249999999999995</v>
      </c>
      <c r="AA858" s="4" t="str">
        <f>LOOKUP($E858,OBRAS!$D:$D,OBRAS!H:H)</f>
        <v>SH-ED-17-R-004</v>
      </c>
    </row>
    <row r="859" spans="1:27" ht="30" x14ac:dyDescent="0.25">
      <c r="A859" s="90">
        <v>42717</v>
      </c>
      <c r="B859" s="56">
        <v>5788</v>
      </c>
      <c r="C859" s="51">
        <v>858</v>
      </c>
      <c r="D859" s="4" t="str">
        <f>LOOKUP($E859,OBRAS!$D:$D,OBRAS!C:C)</f>
        <v>PAVIMENTACION CON CONCRETO HIDRAULICO DEL BLVD. LAZARO GUTIERREZ DE LARA</v>
      </c>
      <c r="E859" s="4" t="s">
        <v>804</v>
      </c>
      <c r="F859" s="4"/>
      <c r="G859" s="4" t="str">
        <f>LOOKUP($E859,OBRAS!$D:$D,OBRAS!E:E)</f>
        <v>C-00052/0181</v>
      </c>
      <c r="H859" s="80" t="s">
        <v>103</v>
      </c>
      <c r="I859" s="6">
        <v>709349.96</v>
      </c>
      <c r="J859" s="6"/>
      <c r="K859" s="6">
        <f>ROUND(I859*0.3,2)</f>
        <v>212804.99</v>
      </c>
      <c r="L859" s="6">
        <f t="shared" si="208"/>
        <v>496544.97</v>
      </c>
      <c r="M859" s="6">
        <f t="shared" si="206"/>
        <v>79447.199999999997</v>
      </c>
      <c r="N859" s="6">
        <f t="shared" si="209"/>
        <v>575992.17000000004</v>
      </c>
      <c r="O859" s="6">
        <f>+ROUND(I859*0.002,2)+ROUND(I859*0.0003,2)+ROUND(I859*0.0003,2)+ROUND(I859*0.0003,2)+ROUND(I859*0.002,2)</f>
        <v>3475.8</v>
      </c>
      <c r="P859" s="6">
        <f t="shared" si="210"/>
        <v>572516.37</v>
      </c>
      <c r="Q859" s="4" t="str">
        <f>LOOKUP($E859,OBRAS!$D:$D,OBRAS!B:B)</f>
        <v>PREMEZCLADOS NOGALES, S.A. DE C.V.</v>
      </c>
      <c r="R859" s="4" t="str">
        <f>LOOKUP($E859,OBRAS!$D:$D,OBRAS!A:A)</f>
        <v>CANANEA</v>
      </c>
      <c r="S859" s="4" t="str">
        <f>LOOKUP($E859,OBRAS!$D:$D,OBRAS!F:F)</f>
        <v>11000002002201E202K05186A614222155DM04</v>
      </c>
      <c r="T859" s="4" t="str">
        <f>LOOKUP($E859,OBRAS!$D:$D,OBRAS!G:G)</f>
        <v>CE-926006995-E81-2016</v>
      </c>
      <c r="U859" s="4" t="s">
        <v>863</v>
      </c>
      <c r="V859" s="89">
        <v>42732</v>
      </c>
      <c r="W859" s="6">
        <f>LOOKUP($E859,OBRAS!$D:$D,OBRAS!K:K)</f>
        <v>32938936.050000001</v>
      </c>
      <c r="X859" s="109">
        <f t="shared" si="211"/>
        <v>2.5000000000000001E-2</v>
      </c>
      <c r="Y859" s="109">
        <f t="shared" si="212"/>
        <v>0.31090000000000001</v>
      </c>
      <c r="Z859" s="109">
        <f t="shared" si="213"/>
        <v>0.39029999999999998</v>
      </c>
      <c r="AA859" s="4" t="str">
        <f>LOOKUP($E859,OBRAS!$D:$D,OBRAS!H:H)</f>
        <v>SH-FAFEF-17-R-003</v>
      </c>
    </row>
    <row r="860" spans="1:27" ht="45" x14ac:dyDescent="0.25">
      <c r="A860" s="90">
        <v>42717</v>
      </c>
      <c r="B860" s="56">
        <v>5789</v>
      </c>
      <c r="C860" s="51">
        <v>859</v>
      </c>
      <c r="D860" s="4" t="str">
        <f>LOOKUP($E860,OBRAS!$D:$D,OBRAS!C:C)</f>
        <v>PAVIMENTACION CON CONCRETO HIDRAULICO DE 15CMS DE ESPESOR EN CALLE MORELIA EN LA LOCALIDAD DE CARBO</v>
      </c>
      <c r="E860" s="4" t="s">
        <v>1638</v>
      </c>
      <c r="F860" s="4"/>
      <c r="G860" s="4" t="str">
        <f>LOOKUP($E860,OBRAS!$D:$D,OBRAS!E:E)</f>
        <v>C-00052/0191</v>
      </c>
      <c r="H860" s="80" t="s">
        <v>103</v>
      </c>
      <c r="I860" s="6">
        <v>156210.87</v>
      </c>
      <c r="J860" s="6"/>
      <c r="K860" s="6">
        <f>ROUND(I860*0.3,2)</f>
        <v>46863.26</v>
      </c>
      <c r="L860" s="6">
        <f t="shared" si="208"/>
        <v>109347.61</v>
      </c>
      <c r="M860" s="6">
        <f t="shared" si="206"/>
        <v>17495.62</v>
      </c>
      <c r="N860" s="6">
        <f t="shared" si="209"/>
        <v>126843.23</v>
      </c>
      <c r="O860" s="6">
        <f>+ROUND(I860*0.005,2)</f>
        <v>781.05</v>
      </c>
      <c r="P860" s="6">
        <f t="shared" si="210"/>
        <v>126062.18</v>
      </c>
      <c r="Q860" s="4" t="str">
        <f>LOOKUP($E860,OBRAS!$D:$D,OBRAS!B:B)</f>
        <v>RUVERSA, S.A. DE C.V.</v>
      </c>
      <c r="R860" s="4" t="str">
        <f>LOOKUP($E860,OBRAS!$D:$D,OBRAS!A:A)</f>
        <v>CARBO</v>
      </c>
      <c r="S860" s="4" t="str">
        <f>LOOKUP($E860,OBRAS!$D:$D,OBRAS!F:F)</f>
        <v>11000002002201E202K05186A614202165FC05</v>
      </c>
      <c r="T860" s="4" t="str">
        <f>LOOKUP($E860,OBRAS!$D:$D,OBRAS!G:G)</f>
        <v>IO-926006995-E143-2016</v>
      </c>
      <c r="U860" s="4" t="s">
        <v>863</v>
      </c>
      <c r="V860" s="89">
        <v>42758</v>
      </c>
      <c r="W860" s="6">
        <f>LOOKUP($E860,OBRAS!$D:$D,OBRAS!K:K)</f>
        <v>2609103.9500000002</v>
      </c>
      <c r="X860" s="109">
        <f t="shared" si="211"/>
        <v>6.9500000000000006E-2</v>
      </c>
      <c r="Y860" s="109">
        <f t="shared" si="212"/>
        <v>1</v>
      </c>
      <c r="Z860" s="109">
        <f t="shared" si="213"/>
        <v>0.99990000000000001</v>
      </c>
      <c r="AA860" s="4" t="str">
        <f>LOOKUP($E860,OBRAS!$D:$D,OBRAS!H:H)</f>
        <v>SH-NC-17-R-009</v>
      </c>
    </row>
    <row r="861" spans="1:27" ht="60" x14ac:dyDescent="0.25">
      <c r="A861" s="90">
        <v>42773</v>
      </c>
      <c r="B861" s="56">
        <v>652</v>
      </c>
      <c r="C861" s="51">
        <v>860</v>
      </c>
      <c r="D861" s="4" t="str">
        <f>LOOKUP($E861,OBRAS!$D:$D,OBRAS!C:C)</f>
        <v>CONTROL DE CALIDAD DE LA OBRA: REHABILITACION DE PAVIMENTOS A BASE DE RECARPETEO EN BLVD. GARCIA MORALES ENTRE BLVD. QUIROGA Y ACCESO AL AEROPUERTO</v>
      </c>
      <c r="E861" s="4" t="s">
        <v>1916</v>
      </c>
      <c r="F861" s="4" t="s">
        <v>224</v>
      </c>
      <c r="G861" s="4" t="str">
        <f>LOOKUP($E861,OBRAS!$D:$D,OBRAS!E:E)</f>
        <v>C-00052/0179</v>
      </c>
      <c r="H861" s="80" t="s">
        <v>221</v>
      </c>
      <c r="I861" s="6">
        <v>78833.47</v>
      </c>
      <c r="J861" s="6"/>
      <c r="K861" s="6">
        <v>0</v>
      </c>
      <c r="L861" s="6">
        <f t="shared" si="208"/>
        <v>78833.47</v>
      </c>
      <c r="M861" s="6">
        <f t="shared" si="206"/>
        <v>12613.36</v>
      </c>
      <c r="N861" s="6">
        <f t="shared" si="209"/>
        <v>91446.83</v>
      </c>
      <c r="O861" s="6">
        <f>+ROUND(I861*0.005,2)</f>
        <v>394.17</v>
      </c>
      <c r="P861" s="6">
        <f t="shared" si="210"/>
        <v>91052.66</v>
      </c>
      <c r="Q861" s="4" t="str">
        <f>LOOKUP($E861,OBRAS!$D:$D,OBRAS!B:B)</f>
        <v>ALCCON SIGLO XXI, S.A. DE C.V.</v>
      </c>
      <c r="R861" s="4" t="str">
        <f>LOOKUP($E861,OBRAS!$D:$D,OBRAS!A:A)</f>
        <v>HERMOSILLO</v>
      </c>
      <c r="S861" s="4" t="str">
        <f>LOOKUP($E861,OBRAS!$D:$D,OBRAS!F:F)</f>
        <v>11000002002201E202K05186A614242165CN07</v>
      </c>
      <c r="T861" s="4" t="str">
        <f>LOOKUP($E861,OBRAS!$D:$D,OBRAS!G:G)</f>
        <v>AO-926006995-E118-2016</v>
      </c>
      <c r="U861" s="4" t="s">
        <v>2476</v>
      </c>
      <c r="V861" s="89">
        <v>42810</v>
      </c>
      <c r="W861" s="6">
        <f>LOOKUP($E861,OBRAS!$D:$D,OBRAS!K:K)</f>
        <v>365787.3</v>
      </c>
      <c r="X861" s="109">
        <f t="shared" si="211"/>
        <v>0.25</v>
      </c>
      <c r="Y861" s="109">
        <f t="shared" si="212"/>
        <v>1.1416999999999999</v>
      </c>
      <c r="Z861" s="109">
        <f t="shared" si="213"/>
        <v>1.1416999999999999</v>
      </c>
      <c r="AA861" s="4" t="str">
        <f>LOOKUP($E861,OBRAS!$D:$D,OBRAS!H:H)</f>
        <v>SH-NC-17-R-004</v>
      </c>
    </row>
    <row r="862" spans="1:27" ht="75" x14ac:dyDescent="0.25">
      <c r="A862" s="90">
        <v>42717</v>
      </c>
      <c r="B862" s="56">
        <v>5795</v>
      </c>
      <c r="C862" s="51">
        <v>861</v>
      </c>
      <c r="D862" s="4" t="str">
        <f>LOOKUP($E862,OBRAS!$D:$D,OBRAS!C:C)</f>
        <v>CONTROL DE CALIDAD DE LA OBRA: REHABILITACION DE PAVIMENTOS A BASE DE RECARPETEO EN AVE JOSE S. HEALY, AVE JOSE CARMELO Y PERIMETRAL NORTE ENTRE BLVD. SOLIDARIDAD Y LÁZARO MERCADO</v>
      </c>
      <c r="E862" s="4" t="s">
        <v>1914</v>
      </c>
      <c r="F862" s="4"/>
      <c r="G862" s="4" t="str">
        <f>LOOKUP($E862,OBRAS!$D:$D,OBRAS!E:E)</f>
        <v>C-00052/0178</v>
      </c>
      <c r="H862" s="80" t="s">
        <v>221</v>
      </c>
      <c r="I862" s="6">
        <v>107782.82</v>
      </c>
      <c r="J862" s="6"/>
      <c r="K862" s="6">
        <v>0</v>
      </c>
      <c r="L862" s="6">
        <f t="shared" si="208"/>
        <v>107782.82</v>
      </c>
      <c r="M862" s="6">
        <f t="shared" si="206"/>
        <v>17245.25</v>
      </c>
      <c r="N862" s="6">
        <f t="shared" si="209"/>
        <v>125028.07</v>
      </c>
      <c r="O862" s="6">
        <f>+ROUND(I862*0.005,2)</f>
        <v>538.91</v>
      </c>
      <c r="P862" s="6">
        <f t="shared" si="210"/>
        <v>124489.16</v>
      </c>
      <c r="Q862" s="4" t="str">
        <f>LOOKUP($E862,OBRAS!$D:$D,OBRAS!B:B)</f>
        <v>ALCCON SIGLO XXI, S.A. DE C.V.</v>
      </c>
      <c r="R862" s="4" t="str">
        <f>LOOKUP($E862,OBRAS!$D:$D,OBRAS!A:A)</f>
        <v>HERMOSILLO</v>
      </c>
      <c r="S862" s="4" t="str">
        <f>LOOKUP($E862,OBRAS!$D:$D,OBRAS!F:F)</f>
        <v>11000002002201E202K05186A614202165CN07</v>
      </c>
      <c r="T862" s="4" t="str">
        <f>LOOKUP($E862,OBRAS!$D:$D,OBRAS!G:G)</f>
        <v>AO-926006995-E116-2016</v>
      </c>
      <c r="U862" s="4" t="s">
        <v>863</v>
      </c>
      <c r="V862" s="89">
        <v>42733</v>
      </c>
      <c r="W862" s="6">
        <f>LOOKUP($E862,OBRAS!$D:$D,OBRAS!K:K)</f>
        <v>500112.28</v>
      </c>
      <c r="X862" s="109">
        <f t="shared" si="211"/>
        <v>0.25</v>
      </c>
      <c r="Y862" s="109">
        <f t="shared" si="212"/>
        <v>1</v>
      </c>
      <c r="Z862" s="109">
        <f t="shared" si="213"/>
        <v>1</v>
      </c>
      <c r="AA862" s="4" t="str">
        <f>LOOKUP($E862,OBRAS!$D:$D,OBRAS!H:H)</f>
        <v>SH-NC-17-R-004</v>
      </c>
    </row>
    <row r="863" spans="1:27" ht="60" x14ac:dyDescent="0.25">
      <c r="A863" s="90">
        <v>42719</v>
      </c>
      <c r="B863" s="56">
        <v>5796</v>
      </c>
      <c r="C863" s="51">
        <v>862</v>
      </c>
      <c r="D863" s="4" t="str">
        <f>LOOKUP($E863,OBRAS!$D:$D,OBRAS!C:C)</f>
        <v>VERIFICACIÓN DE INSTACIONES ELÉCTRICAS DE LA OBRA: CONSTRUCCION DE PARQUE Y BALNEARIO "KINO MAGICO" (ETAPA 1) EN LA COMISARIA DE BAHIA DE KINO</v>
      </c>
      <c r="E863" s="4" t="s">
        <v>1922</v>
      </c>
      <c r="F863" s="4"/>
      <c r="G863" s="4" t="str">
        <f>LOOKUP($E863,OBRAS!$D:$D,OBRAS!E:E)</f>
        <v>C-00098/0022</v>
      </c>
      <c r="H863" s="80" t="s">
        <v>103</v>
      </c>
      <c r="I863" s="6">
        <v>128500</v>
      </c>
      <c r="J863" s="6"/>
      <c r="K863" s="6">
        <v>0</v>
      </c>
      <c r="L863" s="6">
        <f t="shared" si="208"/>
        <v>128500</v>
      </c>
      <c r="M863" s="6">
        <f t="shared" si="206"/>
        <v>20560</v>
      </c>
      <c r="N863" s="6">
        <f t="shared" si="209"/>
        <v>149060</v>
      </c>
      <c r="O863" s="6">
        <f>+ROUND(I863*0.002,2)+ROUND(I863*0.0003,2)+ROUND(I863*0.0003,2)+ROUND(I863*0.0003,2)</f>
        <v>372.65</v>
      </c>
      <c r="P863" s="6">
        <f t="shared" si="210"/>
        <v>148687.35</v>
      </c>
      <c r="Q863" s="4" t="str">
        <f>LOOKUP($E863,OBRAS!$D:$D,OBRAS!B:B)</f>
        <v>ING. MARIANO HOYOS ARVIZU</v>
      </c>
      <c r="R863" s="4" t="str">
        <f>LOOKUP($E863,OBRAS!$D:$D,OBRAS!A:A)</f>
        <v>HERMOSILLO</v>
      </c>
      <c r="S863" s="4" t="str">
        <f>LOOKUP($E863,OBRAS!$D:$D,OBRAS!F:F)</f>
        <v>11000002002207E202K05079A622212161A013</v>
      </c>
      <c r="T863" s="4" t="str">
        <f>LOOKUP($E863,OBRAS!$D:$D,OBRAS!G:G)</f>
        <v>ADJUDICACIÓN DIRECTA</v>
      </c>
      <c r="U863" s="4" t="s">
        <v>2238</v>
      </c>
      <c r="V863" s="89">
        <v>42719</v>
      </c>
      <c r="W863" s="6">
        <f>LOOKUP($E863,OBRAS!$D:$D,OBRAS!K:K)</f>
        <v>297888</v>
      </c>
      <c r="X863" s="109">
        <f t="shared" si="211"/>
        <v>0.50039999999999996</v>
      </c>
      <c r="Y863" s="109">
        <f t="shared" si="212"/>
        <v>0.50039999999999996</v>
      </c>
      <c r="Z863" s="109">
        <f t="shared" si="213"/>
        <v>0.50039999999999996</v>
      </c>
      <c r="AA863" s="4" t="str">
        <f>LOOKUP($E863,OBRAS!$D:$D,OBRAS!H:H)</f>
        <v>SH-ED-17-R-024</v>
      </c>
    </row>
    <row r="864" spans="1:27" ht="45" x14ac:dyDescent="0.25">
      <c r="A864" s="90">
        <v>42717</v>
      </c>
      <c r="B864" s="56">
        <v>5797</v>
      </c>
      <c r="C864" s="51">
        <v>863</v>
      </c>
      <c r="D864" s="4" t="str">
        <f>LOOKUP($E864,OBRAS!$D:$D,OBRAS!C:C)</f>
        <v>SUPERVISION EXTERNA: CONSTRUCCION DE PARQUE DE ACCESO DEL MUSEO MUSAS EN LA LOCALIDAD Y MUNICIPIO DE HERMOSILLO</v>
      </c>
      <c r="E864" s="4" t="s">
        <v>470</v>
      </c>
      <c r="F864" s="4" t="s">
        <v>927</v>
      </c>
      <c r="G864" s="4" t="str">
        <f>LOOKUP($E864,OBRAS!$D:$D,OBRAS!E:E)</f>
        <v>C-00093/0010</v>
      </c>
      <c r="H864" s="80" t="s">
        <v>214</v>
      </c>
      <c r="I864" s="6">
        <v>30791.39</v>
      </c>
      <c r="J864" s="6"/>
      <c r="K864" s="6">
        <v>9237.56</v>
      </c>
      <c r="L864" s="6">
        <f t="shared" si="208"/>
        <v>21553.83</v>
      </c>
      <c r="M864" s="6">
        <f t="shared" si="206"/>
        <v>3448.61</v>
      </c>
      <c r="N864" s="6">
        <f t="shared" si="209"/>
        <v>25002.44</v>
      </c>
      <c r="O864" s="6">
        <f>+ROUND(I864*0.005,2)</f>
        <v>153.96</v>
      </c>
      <c r="P864" s="6">
        <f t="shared" si="210"/>
        <v>24848.48</v>
      </c>
      <c r="Q864" s="4" t="str">
        <f>LOOKUP($E864,OBRAS!$D:$D,OBRAS!B:B)</f>
        <v>ING. MARTIN GRAJEDA ARAGON</v>
      </c>
      <c r="R864" s="4" t="str">
        <f>LOOKUP($E864,OBRAS!$D:$D,OBRAS!A:A)</f>
        <v>HERMOSILLO</v>
      </c>
      <c r="S864" s="4" t="str">
        <f>LOOKUP($E864,OBRAS!$D:$D,OBRAS!F:F)</f>
        <v>11000002002402E406K06106A612222155GL07</v>
      </c>
      <c r="T864" s="4" t="str">
        <f>LOOKUP($E864,OBRAS!$D:$D,OBRAS!G:G)</f>
        <v>SO-926006995-N22-2015
DIRECTA</v>
      </c>
      <c r="U864" s="4" t="s">
        <v>863</v>
      </c>
      <c r="V864" s="89">
        <v>42733</v>
      </c>
      <c r="W864" s="6">
        <f>LOOKUP($E864,OBRAS!$D:$D,OBRAS!K:K)</f>
        <v>183692.58</v>
      </c>
      <c r="X864" s="109">
        <f t="shared" si="211"/>
        <v>0.19439999999999999</v>
      </c>
      <c r="Y864" s="109">
        <f t="shared" si="212"/>
        <v>0.99990000000000001</v>
      </c>
      <c r="Z864" s="109">
        <f t="shared" si="213"/>
        <v>0.7</v>
      </c>
      <c r="AA864" s="4" t="str">
        <f>LOOKUP($E864,OBRAS!$D:$D,OBRAS!H:H)</f>
        <v>SH-NC-16-R-007</v>
      </c>
    </row>
    <row r="865" spans="1:27" ht="60" x14ac:dyDescent="0.25">
      <c r="A865" s="90">
        <v>42717</v>
      </c>
      <c r="B865" s="56">
        <v>5798</v>
      </c>
      <c r="C865" s="51">
        <v>864</v>
      </c>
      <c r="D865" s="4" t="str">
        <f>LOOKUP($E865,OBRAS!$D:$D,OBRAS!C:C)</f>
        <v>CONTROL DE CALIDAD DE LA OBRA: REHABILITACION DE PAVIMENTOS A BASE DE RECARPETEO EN CALLE MONTEVERDE ENTRE PROGRESO Y VERACRUZ, EN HERMOSILLO</v>
      </c>
      <c r="E865" s="4" t="s">
        <v>1923</v>
      </c>
      <c r="F865" s="4"/>
      <c r="G865" s="4" t="str">
        <f>LOOKUP($E865,OBRAS!$D:$D,OBRAS!E:E)</f>
        <v>C-00052/0175</v>
      </c>
      <c r="H865" s="80" t="s">
        <v>103</v>
      </c>
      <c r="I865" s="6">
        <v>76494.820000000007</v>
      </c>
      <c r="J865" s="6"/>
      <c r="K865" s="6">
        <v>0</v>
      </c>
      <c r="L865" s="6">
        <f t="shared" si="208"/>
        <v>76494.820000000007</v>
      </c>
      <c r="M865" s="6">
        <f t="shared" si="206"/>
        <v>12239.17</v>
      </c>
      <c r="N865" s="6">
        <f t="shared" si="209"/>
        <v>88733.99</v>
      </c>
      <c r="O865" s="6">
        <f>+ROUND(I865*0.005,2)</f>
        <v>382.47</v>
      </c>
      <c r="P865" s="6">
        <f t="shared" si="210"/>
        <v>88351.52</v>
      </c>
      <c r="Q865" s="4" t="str">
        <f>LOOKUP($E865,OBRAS!$D:$D,OBRAS!B:B)</f>
        <v>OESTEC DE MEXICO S.A. DE C.V.</v>
      </c>
      <c r="R865" s="4" t="str">
        <f>LOOKUP($E865,OBRAS!$D:$D,OBRAS!A:A)</f>
        <v>HERMOSILLO</v>
      </c>
      <c r="S865" s="4" t="str">
        <f>LOOKUP($E865,OBRAS!$D:$D,OBRAS!F:F)</f>
        <v>11000002002201E202K05186A614202165CN07</v>
      </c>
      <c r="T865" s="4" t="str">
        <f>LOOKUP($E865,OBRAS!$D:$D,OBRAS!G:G)</f>
        <v>AO-926006995-E115-2016</v>
      </c>
      <c r="U865" s="4" t="s">
        <v>863</v>
      </c>
      <c r="V865" s="89">
        <v>42733</v>
      </c>
      <c r="W865" s="6">
        <f>LOOKUP($E865,OBRAS!$D:$D,OBRAS!K:K)</f>
        <v>354935.96</v>
      </c>
      <c r="X865" s="109">
        <f t="shared" si="211"/>
        <v>0.25</v>
      </c>
      <c r="Y865" s="109">
        <f t="shared" si="212"/>
        <v>0.75</v>
      </c>
      <c r="Z865" s="109">
        <f t="shared" si="213"/>
        <v>0.75</v>
      </c>
      <c r="AA865" s="4" t="str">
        <f>LOOKUP($E865,OBRAS!$D:$D,OBRAS!H:H)</f>
        <v>SH-NC-17-R-004</v>
      </c>
    </row>
    <row r="866" spans="1:27" ht="60" x14ac:dyDescent="0.25">
      <c r="A866" s="90">
        <v>42717</v>
      </c>
      <c r="B866" s="56">
        <v>5799</v>
      </c>
      <c r="C866" s="51">
        <v>865</v>
      </c>
      <c r="D866" s="4" t="str">
        <f>LOOKUP($E866,OBRAS!$D:$D,OBRAS!C:C)</f>
        <v>CONSERVACION Y RECONSTRUCCION DEL CAMINO DE ACCESO AL DELFINARIO, DESDE EL BLVD. MANLIO FABIO BELTRONES AL BLVD. ENCINAS JOHNSON</v>
      </c>
      <c r="E866" s="4" t="s">
        <v>814</v>
      </c>
      <c r="F866" s="4" t="s">
        <v>927</v>
      </c>
      <c r="G866" s="4" t="str">
        <f>LOOKUP($E866,OBRAS!$D:$D,OBRAS!E:E)</f>
        <v>C-00054/0076</v>
      </c>
      <c r="H866" s="80" t="s">
        <v>103</v>
      </c>
      <c r="I866" s="6">
        <v>883050.36</v>
      </c>
      <c r="J866" s="6"/>
      <c r="K866" s="6">
        <f>ROUND(I866*0.3,2)</f>
        <v>264915.11</v>
      </c>
      <c r="L866" s="6">
        <f t="shared" si="208"/>
        <v>618135.25</v>
      </c>
      <c r="M866" s="6">
        <f t="shared" si="206"/>
        <v>98901.64</v>
      </c>
      <c r="N866" s="6">
        <f t="shared" si="209"/>
        <v>717036.89</v>
      </c>
      <c r="O866" s="6">
        <f>+ROUND(I866*0.002,2)+ROUND(I866*0.0003,2)+ROUND(I866*0.0003,2)+ROUND(I866*0.0003,2)+ROUND(I866*0.002,2)</f>
        <v>4326.96</v>
      </c>
      <c r="P866" s="6">
        <f t="shared" si="210"/>
        <v>712709.93</v>
      </c>
      <c r="Q866" s="4" t="str">
        <f>LOOKUP($E866,OBRAS!$D:$D,OBRAS!B:B)</f>
        <v>EDIFICADORA CABO HARO, S.A. DE C.V.</v>
      </c>
      <c r="R866" s="4" t="str">
        <f>LOOKUP($E866,OBRAS!$D:$D,OBRAS!A:A)</f>
        <v>GUAYMAS</v>
      </c>
      <c r="S866" s="4" t="str">
        <f>LOOKUP($E866,OBRAS!$D:$D,OBRAS!F:F)</f>
        <v>11000002003501E204K08063A625012165DM10</v>
      </c>
      <c r="T866" s="4" t="str">
        <f>LOOKUP($E866,OBRAS!$D:$D,OBRAS!G:G)</f>
        <v>CE-926006995-E83-2016</v>
      </c>
      <c r="U866" s="4" t="s">
        <v>863</v>
      </c>
      <c r="V866" s="89">
        <v>42733</v>
      </c>
      <c r="W866" s="6">
        <f>LOOKUP($E866,OBRAS!$D:$D,OBRAS!K:K)</f>
        <v>15121824.33</v>
      </c>
      <c r="X866" s="109">
        <f t="shared" si="211"/>
        <v>6.7699999999999996E-2</v>
      </c>
      <c r="Y866" s="109">
        <f t="shared" si="212"/>
        <v>0.67730000000000001</v>
      </c>
      <c r="Z866" s="109">
        <f t="shared" si="213"/>
        <v>0.76590000000000003</v>
      </c>
      <c r="AA866" s="4" t="str">
        <f>LOOKUP($E866,OBRAS!$D:$D,OBRAS!H:H)</f>
        <v>SH-FAFEF-17-R-001</v>
      </c>
    </row>
    <row r="867" spans="1:27" ht="60" x14ac:dyDescent="0.25">
      <c r="A867" s="90">
        <v>42717</v>
      </c>
      <c r="B867" s="56">
        <v>5800</v>
      </c>
      <c r="C867" s="51">
        <v>866</v>
      </c>
      <c r="D867" s="4" t="str">
        <f>LOOKUP($E867,OBRAS!$D:$D,OBRAS!C:C)</f>
        <v>CONSERVACION Y RECONSTRUCCION DEL CAMINO DE ACCESO AL DELFINARIO, DESDE EL BLVD. MANLIO FABIO BELTRONES AL BLVD. ENCINAS JOHNSON</v>
      </c>
      <c r="E867" s="4" t="s">
        <v>814</v>
      </c>
      <c r="F867" s="4" t="s">
        <v>927</v>
      </c>
      <c r="G867" s="4" t="str">
        <f>LOOKUP($E867,OBRAS!$D:$D,OBRAS!E:E)</f>
        <v>C-00054/0076</v>
      </c>
      <c r="H867" s="80" t="s">
        <v>221</v>
      </c>
      <c r="I867" s="6">
        <v>3311585.78</v>
      </c>
      <c r="J867" s="6"/>
      <c r="K867" s="6">
        <f>ROUND(I867*0.3,2)</f>
        <v>993475.73</v>
      </c>
      <c r="L867" s="6">
        <f t="shared" si="208"/>
        <v>2318110.0499999998</v>
      </c>
      <c r="M867" s="6">
        <f t="shared" si="206"/>
        <v>370897.61</v>
      </c>
      <c r="N867" s="6">
        <f t="shared" si="209"/>
        <v>2689007.66</v>
      </c>
      <c r="O867" s="6">
        <f>+ROUND(I867*0.002,2)+ROUND(I867*0.0003,2)+ROUND(I867*0.0003,2)+ROUND(I867*0.0003,2)+ROUND(I867*0.002,2)</f>
        <v>16226.78</v>
      </c>
      <c r="P867" s="6">
        <f t="shared" si="210"/>
        <v>2672780.88</v>
      </c>
      <c r="Q867" s="4" t="str">
        <f>LOOKUP($E867,OBRAS!$D:$D,OBRAS!B:B)</f>
        <v>EDIFICADORA CABO HARO, S.A. DE C.V.</v>
      </c>
      <c r="R867" s="4" t="str">
        <f>LOOKUP($E867,OBRAS!$D:$D,OBRAS!A:A)</f>
        <v>GUAYMAS</v>
      </c>
      <c r="S867" s="4" t="str">
        <f>LOOKUP($E867,OBRAS!$D:$D,OBRAS!F:F)</f>
        <v>11000002003501E204K08063A625012165DM10</v>
      </c>
      <c r="T867" s="4" t="str">
        <f>LOOKUP($E867,OBRAS!$D:$D,OBRAS!G:G)</f>
        <v>CE-926006995-E83-2016</v>
      </c>
      <c r="U867" s="4" t="s">
        <v>863</v>
      </c>
      <c r="V867" s="89">
        <v>42732</v>
      </c>
      <c r="W867" s="6">
        <f>LOOKUP($E867,OBRAS!$D:$D,OBRAS!K:K)</f>
        <v>15121824.33</v>
      </c>
      <c r="X867" s="109">
        <f t="shared" si="211"/>
        <v>0.254</v>
      </c>
      <c r="Y867" s="109">
        <f t="shared" si="212"/>
        <v>0.67730000000000001</v>
      </c>
      <c r="Z867" s="109">
        <f t="shared" si="213"/>
        <v>0.76590000000000003</v>
      </c>
      <c r="AA867" s="4" t="str">
        <f>LOOKUP($E867,OBRAS!$D:$D,OBRAS!H:H)</f>
        <v>SH-FAFEF-17-R-001</v>
      </c>
    </row>
    <row r="868" spans="1:27" ht="60" x14ac:dyDescent="0.25">
      <c r="A868" s="90">
        <v>42717</v>
      </c>
      <c r="B868" s="56">
        <v>5801</v>
      </c>
      <c r="C868" s="136">
        <v>867</v>
      </c>
      <c r="D868" s="4" t="str">
        <f>LOOKUP($E868,OBRAS!$D:$D,OBRAS!C:C)</f>
        <v>CONSERVACION Y RECONSTRUCCION DEL CAMINO DE ACCESO AL DELFINARIO, DESDE EL BLVD. MANLIO FABIO BELTRONES AL BLVD. ENCINAS JOHNSON</v>
      </c>
      <c r="E868" s="4" t="s">
        <v>814</v>
      </c>
      <c r="F868" s="4" t="s">
        <v>927</v>
      </c>
      <c r="G868" s="4" t="str">
        <f>LOOKUP($E868,OBRAS!$D:$D,OBRAS!E:E)</f>
        <v>C-00054/0076</v>
      </c>
      <c r="H868" s="80" t="s">
        <v>55</v>
      </c>
      <c r="I868" s="6">
        <v>4635229.71</v>
      </c>
      <c r="J868" s="6"/>
      <c r="K868" s="6">
        <f>ROUND(I868*0.3,2)</f>
        <v>1390568.91</v>
      </c>
      <c r="L868" s="6">
        <f t="shared" si="208"/>
        <v>3244660.8</v>
      </c>
      <c r="M868" s="6">
        <f t="shared" si="206"/>
        <v>519145.73</v>
      </c>
      <c r="N868" s="6">
        <f t="shared" si="209"/>
        <v>3763806.53</v>
      </c>
      <c r="O868" s="6">
        <f>+ROUND(I868*0.002,2)+ROUND(I868*0.0003,2)+ROUND(I868*0.0003,2)+ROUND(I868*0.0003,2)+ROUND(I868*0.002,2)</f>
        <v>22712.63</v>
      </c>
      <c r="P868" s="6">
        <f t="shared" si="210"/>
        <v>3741093.9</v>
      </c>
      <c r="Q868" s="4" t="str">
        <f>LOOKUP($E868,OBRAS!$D:$D,OBRAS!B:B)</f>
        <v>EDIFICADORA CABO HARO, S.A. DE C.V.</v>
      </c>
      <c r="R868" s="4" t="str">
        <f>LOOKUP($E868,OBRAS!$D:$D,OBRAS!A:A)</f>
        <v>GUAYMAS</v>
      </c>
      <c r="S868" s="4" t="str">
        <f>LOOKUP($E868,OBRAS!$D:$D,OBRAS!F:F)</f>
        <v>11000002003501E204K08063A625012165DM10</v>
      </c>
      <c r="T868" s="4" t="str">
        <f>LOOKUP($E868,OBRAS!$D:$D,OBRAS!G:G)</f>
        <v>CE-926006995-E83-2016</v>
      </c>
      <c r="U868" s="4" t="s">
        <v>863</v>
      </c>
      <c r="V868" s="89">
        <v>42732</v>
      </c>
      <c r="W868" s="6">
        <f>LOOKUP($E868,OBRAS!$D:$D,OBRAS!K:K)</f>
        <v>15121824.33</v>
      </c>
      <c r="X868" s="109">
        <f t="shared" si="211"/>
        <v>0.35560000000000003</v>
      </c>
      <c r="Y868" s="109">
        <f t="shared" si="212"/>
        <v>0.67730000000000001</v>
      </c>
      <c r="Z868" s="109">
        <f t="shared" si="213"/>
        <v>0.76590000000000003</v>
      </c>
      <c r="AA868" s="4" t="str">
        <f>LOOKUP($E868,OBRAS!$D:$D,OBRAS!H:H)</f>
        <v>SH-FAFEF-17-R-001</v>
      </c>
    </row>
    <row r="869" spans="1:27" ht="60" x14ac:dyDescent="0.25">
      <c r="A869" s="90">
        <v>42717</v>
      </c>
      <c r="B869" s="56">
        <v>5802</v>
      </c>
      <c r="C869" s="51">
        <v>868</v>
      </c>
      <c r="D869" s="4" t="str">
        <f>LOOKUP($E869,OBRAS!$D:$D,OBRAS!C:C)</f>
        <v>PAVIMENTACIÓN CON CARPETA ASFALTICA DE 5.0 CM DE ESPESOR DE LAS CALLES 5 DE MAYO Y ALFONSO GRIJALVA DE LA LOCALIDAD DE PITIQUITO, SONORA.</v>
      </c>
      <c r="E869" s="4" t="s">
        <v>136</v>
      </c>
      <c r="F869" s="4" t="s">
        <v>1445</v>
      </c>
      <c r="G869" s="4" t="str">
        <f>LOOKUP($E869,OBRAS!$D:$D,OBRAS!E:E)</f>
        <v>C-00052/0112</v>
      </c>
      <c r="H869" s="80" t="s">
        <v>214</v>
      </c>
      <c r="I869" s="6">
        <v>306971.18</v>
      </c>
      <c r="J869" s="6"/>
      <c r="K869" s="6">
        <v>0</v>
      </c>
      <c r="L869" s="6">
        <f t="shared" si="208"/>
        <v>306971.18</v>
      </c>
      <c r="M869" s="6">
        <f t="shared" si="206"/>
        <v>49115.39</v>
      </c>
      <c r="N869" s="6">
        <f t="shared" si="209"/>
        <v>356086.57</v>
      </c>
      <c r="O869" s="6">
        <f>+ROUND(I869*0.005,2)</f>
        <v>1534.86</v>
      </c>
      <c r="P869" s="6">
        <f t="shared" si="210"/>
        <v>354551.71</v>
      </c>
      <c r="Q869" s="4" t="str">
        <f>LOOKUP($E869,OBRAS!$D:$D,OBRAS!B:B)</f>
        <v>JORGE ARTURO CELAYA LOPEZ</v>
      </c>
      <c r="R869" s="4" t="str">
        <f>LOOKUP($E869,OBRAS!$D:$D,OBRAS!A:A)</f>
        <v>PITIQUITO</v>
      </c>
      <c r="S869" s="4" t="str">
        <f>LOOKUP($E869,OBRAS!$D:$D,OBRAS!F:F)</f>
        <v>11000002002201E201K02203A614222145FO02</v>
      </c>
      <c r="T869" s="4" t="str">
        <f>LOOKUP($E869,OBRAS!$D:$D,OBRAS!G:G)</f>
        <v>IO-926006995-N148-2014</v>
      </c>
      <c r="U869" s="4" t="s">
        <v>863</v>
      </c>
      <c r="V869" s="89">
        <v>42732</v>
      </c>
      <c r="W869" s="6">
        <f>LOOKUP($E869,OBRAS!$D:$D,OBRAS!K:K)</f>
        <v>3675038.12</v>
      </c>
      <c r="X869" s="109">
        <f t="shared" si="211"/>
        <v>9.69E-2</v>
      </c>
      <c r="Y869" s="109">
        <f t="shared" si="212"/>
        <v>0.46300000000000002</v>
      </c>
      <c r="Z869" s="109">
        <f t="shared" si="213"/>
        <v>0.46300000000000002</v>
      </c>
      <c r="AA869" s="4" t="str">
        <f>LOOKUP($E869,OBRAS!$D:$D,OBRAS!H:H)</f>
        <v>SH-NC-16-R-011</v>
      </c>
    </row>
    <row r="870" spans="1:27" ht="75" x14ac:dyDescent="0.25">
      <c r="A870" s="90">
        <v>42717</v>
      </c>
      <c r="B870" s="56">
        <v>5803</v>
      </c>
      <c r="C870" s="51">
        <v>869</v>
      </c>
      <c r="D870" s="4" t="str">
        <f>LOOKUP($E870,OBRAS!$D:$D,OBRAS!C:C)</f>
        <v>SUPERVISION EXTERNA Y CONTROL DE CALIDAD PARA LA OBRA: CONSTRUCCION, REHABILITACION Y EQUIPAMIENTO DE UNIDAD DEPORTIVA FAUSTINO FELIX ETAPA 3, EN LA LOCALIDAD Y MUNICIPIO DE NAVOJOA, SONORA.</v>
      </c>
      <c r="E870" s="4" t="s">
        <v>296</v>
      </c>
      <c r="F870" s="4"/>
      <c r="G870" s="4" t="str">
        <f>LOOKUP($E870,OBRAS!$D:$D,OBRAS!E:E)</f>
        <v>C-00098/0034</v>
      </c>
      <c r="H870" s="80" t="s">
        <v>215</v>
      </c>
      <c r="I870" s="6">
        <v>72950.2</v>
      </c>
      <c r="J870" s="6"/>
      <c r="K870" s="6">
        <v>0</v>
      </c>
      <c r="L870" s="6">
        <f t="shared" si="208"/>
        <v>72950.2</v>
      </c>
      <c r="M870" s="6">
        <f t="shared" si="206"/>
        <v>11672.03</v>
      </c>
      <c r="N870" s="6">
        <f t="shared" si="209"/>
        <v>84622.23</v>
      </c>
      <c r="O870" s="6">
        <f>+ROUND(I870*0.002,2)+ROUND(I870*0.0003,2)+ROUND(I870*0.0003,2)+ROUND(I870*0.0003,2)</f>
        <v>211.57</v>
      </c>
      <c r="P870" s="6">
        <f t="shared" si="210"/>
        <v>84410.66</v>
      </c>
      <c r="Q870" s="4" t="str">
        <f>LOOKUP($E870,OBRAS!$D:$D,OBRAS!B:B)</f>
        <v>ARQ. JORGE LUIS CARDENAS LOPEZ</v>
      </c>
      <c r="R870" s="4" t="str">
        <f>LOOKUP($E870,OBRAS!$D:$D,OBRAS!A:A)</f>
        <v>NAVOJOA</v>
      </c>
      <c r="S870" s="4" t="str">
        <f>LOOKUP($E870,OBRAS!$D:$D,OBRAS!F:F)</f>
        <v>11000002002401E406K07202A625132161A013</v>
      </c>
      <c r="T870" s="4" t="str">
        <f>LOOKUP($E870,OBRAS!$D:$D,OBRAS!G:G)</f>
        <v>ADJUDICACIÓN DIRECTA</v>
      </c>
      <c r="U870" s="4" t="s">
        <v>2238</v>
      </c>
      <c r="V870" s="89">
        <v>42744</v>
      </c>
      <c r="W870" s="6">
        <f>LOOKUP($E870,OBRAS!$D:$D,OBRAS!K:K)</f>
        <v>338488.93</v>
      </c>
      <c r="X870" s="109">
        <f t="shared" si="211"/>
        <v>0.25</v>
      </c>
      <c r="Y870" s="109">
        <f t="shared" si="212"/>
        <v>1</v>
      </c>
      <c r="Z870" s="109">
        <f t="shared" si="213"/>
        <v>1</v>
      </c>
      <c r="AA870" s="4" t="str">
        <f>LOOKUP($E870,OBRAS!$D:$D,OBRAS!H:H)</f>
        <v>SH-ED-16-045</v>
      </c>
    </row>
    <row r="871" spans="1:27" ht="45" x14ac:dyDescent="0.25">
      <c r="A871" s="90">
        <v>42717</v>
      </c>
      <c r="B871" s="56">
        <v>5804</v>
      </c>
      <c r="C871" s="51">
        <v>870</v>
      </c>
      <c r="D871" s="4" t="str">
        <f>LOOKUP($E871,OBRAS!$D:$D,OBRAS!C:C)</f>
        <v>SUPERVISION EXTERNA Y CONTROL DE CALIDAD DE LA CONSTRUCCION DE CENTRO DE ATENCION TEMPRANA EN EL DISTRITO DE NAVOJOA</v>
      </c>
      <c r="E871" s="4" t="s">
        <v>740</v>
      </c>
      <c r="F871" s="4"/>
      <c r="G871" s="4" t="str">
        <f>LOOKUP($E871,OBRAS!$D:$D,OBRAS!E:E)</f>
        <v>C-00098/0016-11</v>
      </c>
      <c r="H871" s="80" t="s">
        <v>215</v>
      </c>
      <c r="I871" s="6">
        <v>72950.2</v>
      </c>
      <c r="J871" s="6"/>
      <c r="K871" s="6">
        <v>0</v>
      </c>
      <c r="L871" s="6">
        <f t="shared" si="208"/>
        <v>72950.2</v>
      </c>
      <c r="M871" s="6">
        <f t="shared" si="206"/>
        <v>11672.03</v>
      </c>
      <c r="N871" s="6">
        <f t="shared" si="209"/>
        <v>84622.23</v>
      </c>
      <c r="O871" s="6">
        <f>+ROUND(I871*0.002,2)+ROUND(I871*0.0003,2)+ROUND(I871*0.0003,2)+ROUND(I871*0.0003,2)</f>
        <v>211.57</v>
      </c>
      <c r="P871" s="6">
        <f t="shared" si="210"/>
        <v>84410.66</v>
      </c>
      <c r="Q871" s="4" t="str">
        <f>LOOKUP($E871,OBRAS!$D:$D,OBRAS!B:B)</f>
        <v>ARQ. JORGE LUIS CARDENAS LOPEZ</v>
      </c>
      <c r="R871" s="4" t="str">
        <f>LOOKUP($E871,OBRAS!$D:$D,OBRAS!A:A)</f>
        <v>NAVOJOA</v>
      </c>
      <c r="S871" s="4" t="str">
        <f>LOOKUP($E871,OBRAS!$D:$D,OBRAS!F:F)</f>
        <v>11000002002207E201K02104A622212161A013</v>
      </c>
      <c r="T871" s="4" t="str">
        <f>LOOKUP($E871,OBRAS!$D:$D,OBRAS!G:G)</f>
        <v>ADJUDICACIÓN DIRECTA</v>
      </c>
      <c r="U871" s="4" t="s">
        <v>2238</v>
      </c>
      <c r="V871" s="89">
        <v>42744</v>
      </c>
      <c r="W871" s="6">
        <f>LOOKUP($E871,OBRAS!$D:$D,OBRAS!K:K)</f>
        <v>338488.93</v>
      </c>
      <c r="X871" s="109">
        <f t="shared" si="211"/>
        <v>0.25</v>
      </c>
      <c r="Y871" s="109">
        <f t="shared" si="212"/>
        <v>1</v>
      </c>
      <c r="Z871" s="109">
        <f t="shared" si="213"/>
        <v>1</v>
      </c>
      <c r="AA871" s="4" t="str">
        <f>LOOKUP($E871,OBRAS!$D:$D,OBRAS!H:H)</f>
        <v>SH-ED-16-011</v>
      </c>
    </row>
    <row r="872" spans="1:27" ht="60" x14ac:dyDescent="0.25">
      <c r="A872" s="90">
        <v>42717</v>
      </c>
      <c r="B872" s="56">
        <v>5805</v>
      </c>
      <c r="C872" s="51">
        <v>871</v>
      </c>
      <c r="D872" s="4" t="str">
        <f>LOOKUP($E872,OBRAS!$D:$D,OBRAS!C:C)</f>
        <v>PAVIMENTACION CON CARPETA ASFALTICA DE 5CMS DE ESPESOR DE LA AVENIDA FABRICA DE LOS ANGELES Y AV. PRINCIPAL DE LA LOCALIDAD FABRICA DE LOS ANGELES</v>
      </c>
      <c r="E872" s="4" t="s">
        <v>907</v>
      </c>
      <c r="F872" s="4" t="s">
        <v>927</v>
      </c>
      <c r="G872" s="4" t="str">
        <f>LOOKUP($E872,OBRAS!$D:$D,OBRAS!E:E)</f>
        <v>C-00052/0200</v>
      </c>
      <c r="H872" s="80" t="s">
        <v>103</v>
      </c>
      <c r="I872" s="6">
        <v>773365.69</v>
      </c>
      <c r="J872" s="6"/>
      <c r="K872" s="6">
        <f>ROUND(I872*0.3,2)</f>
        <v>232009.71</v>
      </c>
      <c r="L872" s="6">
        <f t="shared" si="208"/>
        <v>541355.98</v>
      </c>
      <c r="M872" s="6">
        <f t="shared" si="206"/>
        <v>86616.960000000006</v>
      </c>
      <c r="N872" s="6">
        <f t="shared" si="209"/>
        <v>627972.93999999994</v>
      </c>
      <c r="O872" s="6">
        <f>+ROUND(I872*0.005,2)</f>
        <v>3866.83</v>
      </c>
      <c r="P872" s="6">
        <f t="shared" si="210"/>
        <v>624106.11</v>
      </c>
      <c r="Q872" s="4" t="str">
        <f>LOOKUP($E872,OBRAS!$D:$D,OBRAS!B:B)</f>
        <v>PROYECTOS Y EDIFICACIONES RANDA, S.A. DE C.V.</v>
      </c>
      <c r="R872" s="4" t="str">
        <f>LOOKUP($E872,OBRAS!$D:$D,OBRAS!A:A)</f>
        <v>SAN MIGUEL DE HORCASITAS</v>
      </c>
      <c r="S872" s="4" t="str">
        <f>LOOKUP($E872,OBRAS!$D:$D,OBRAS!F:F)</f>
        <v>11000002002201E202K05186A614202165FC05</v>
      </c>
      <c r="T872" s="4" t="str">
        <f>LOOKUP($E872,OBRAS!$D:$D,OBRAS!G:G)</f>
        <v>IO-926006995-E104-2016</v>
      </c>
      <c r="U872" s="4" t="s">
        <v>863</v>
      </c>
      <c r="V872" s="89">
        <v>42761</v>
      </c>
      <c r="W872" s="6">
        <f>LOOKUP($E872,OBRAS!$D:$D,OBRAS!K:K)</f>
        <v>3979000.91</v>
      </c>
      <c r="X872" s="109">
        <f t="shared" si="211"/>
        <v>0.22550000000000001</v>
      </c>
      <c r="Y872" s="109">
        <f t="shared" si="212"/>
        <v>0.91039999999999999</v>
      </c>
      <c r="Z872" s="109">
        <f t="shared" si="213"/>
        <v>0.93730000000000002</v>
      </c>
      <c r="AA872" s="4" t="str">
        <f>LOOKUP($E872,OBRAS!$D:$D,OBRAS!H:H)</f>
        <v>SH-NC-17-R-009</v>
      </c>
    </row>
    <row r="873" spans="1:27" ht="60" x14ac:dyDescent="0.25">
      <c r="A873" s="90">
        <v>42776</v>
      </c>
      <c r="B873" s="56">
        <v>741</v>
      </c>
      <c r="C873" s="51">
        <v>872</v>
      </c>
      <c r="D873" s="4" t="str">
        <f>LOOKUP($E873,OBRAS!$D:$D,OBRAS!C:C)</f>
        <v>CONTROL DE CALIDAD DE LA OBRA: REHABILITACION DE PAVIMENTOS A BASE DE RECARPETEO EN CALLE REFORMA, VARIOS TRAMOS, HERMOSILLO</v>
      </c>
      <c r="E873" s="4" t="s">
        <v>1924</v>
      </c>
      <c r="F873" s="4" t="s">
        <v>224</v>
      </c>
      <c r="G873" s="4" t="str">
        <f>LOOKUP($E873,OBRAS!$D:$D,OBRAS!E:E)</f>
        <v>C-00052/0177</v>
      </c>
      <c r="H873" s="80" t="s">
        <v>103</v>
      </c>
      <c r="I873" s="6">
        <v>86499.42</v>
      </c>
      <c r="J873" s="6"/>
      <c r="K873" s="6">
        <v>0</v>
      </c>
      <c r="L873" s="6">
        <f t="shared" si="208"/>
        <v>86499.42</v>
      </c>
      <c r="M873" s="6">
        <f t="shared" ref="M873:M904" si="214">ROUND(L873*0.16,2)</f>
        <v>13839.91</v>
      </c>
      <c r="N873" s="6">
        <f t="shared" si="209"/>
        <v>100339.33</v>
      </c>
      <c r="O873" s="6">
        <f>+ROUND(I873*0.005,2)</f>
        <v>432.5</v>
      </c>
      <c r="P873" s="6">
        <f t="shared" si="210"/>
        <v>99906.83</v>
      </c>
      <c r="Q873" s="4" t="str">
        <f>LOOKUP($E873,OBRAS!$D:$D,OBRAS!B:B)</f>
        <v>OESTEC DE MEXICO S.A. DE C.V.</v>
      </c>
      <c r="R873" s="4" t="str">
        <f>LOOKUP($E873,OBRAS!$D:$D,OBRAS!A:A)</f>
        <v>HERMOSILLO</v>
      </c>
      <c r="S873" s="4" t="str">
        <f>LOOKUP($E873,OBRAS!$D:$D,OBRAS!F:F)</f>
        <v>11000002002201E202K05186A614242165CN07</v>
      </c>
      <c r="T873" s="4" t="str">
        <f>LOOKUP($E873,OBRAS!$D:$D,OBRAS!G:G)</f>
        <v>ADJUDICACIÓN DIRECTA</v>
      </c>
      <c r="U873" s="4" t="s">
        <v>865</v>
      </c>
      <c r="V873" s="89">
        <v>42817</v>
      </c>
      <c r="W873" s="6">
        <f>LOOKUP($E873,OBRAS!$D:$D,OBRAS!K:K)</f>
        <v>401357.31</v>
      </c>
      <c r="X873" s="109">
        <f t="shared" si="211"/>
        <v>0.25</v>
      </c>
      <c r="Y873" s="109">
        <f t="shared" si="212"/>
        <v>0.75</v>
      </c>
      <c r="Z873" s="109">
        <f t="shared" si="213"/>
        <v>0.75</v>
      </c>
      <c r="AA873" s="4" t="str">
        <f>LOOKUP($E873,OBRAS!$D:$D,OBRAS!H:H)</f>
        <v>SH-NC-17-R-004</v>
      </c>
    </row>
    <row r="874" spans="1:27" ht="60" x14ac:dyDescent="0.25">
      <c r="A874" s="90">
        <v>42718</v>
      </c>
      <c r="B874" s="56">
        <v>5823</v>
      </c>
      <c r="C874" s="51">
        <v>873</v>
      </c>
      <c r="D874" s="4" t="str">
        <f>LOOKUP($E874,OBRAS!$D:$D,OBRAS!C:C)</f>
        <v>REHABILITACION DE RED DE CARRETERAS ALIMENTADORAS EN LA REGION DEL RIO SONORA EN EL ESTADO DE SONORA; SUBTRAMO KM 75+000 AL KM 149+000.</v>
      </c>
      <c r="E874" s="4" t="s">
        <v>381</v>
      </c>
      <c r="F874" s="4" t="s">
        <v>314</v>
      </c>
      <c r="G874" s="4" t="str">
        <f>LOOKUP($E874,OBRAS!$D:$D,OBRAS!E:E)</f>
        <v>C-00054/0070</v>
      </c>
      <c r="H874" s="80" t="s">
        <v>218</v>
      </c>
      <c r="I874" s="6">
        <v>9096428.6999999993</v>
      </c>
      <c r="J874" s="6"/>
      <c r="K874" s="6">
        <f t="shared" ref="K874:K879" si="215">ROUND(I874*0.3,2)</f>
        <v>2728928.61</v>
      </c>
      <c r="L874" s="6">
        <f t="shared" si="208"/>
        <v>6367500.0899999999</v>
      </c>
      <c r="M874" s="6">
        <f t="shared" si="214"/>
        <v>1018800.01</v>
      </c>
      <c r="N874" s="6">
        <f t="shared" si="209"/>
        <v>7386300.0999999996</v>
      </c>
      <c r="O874" s="6">
        <f>+ROUND(I874*0.002,2)+ROUND(I874*0.0003,2)+ROUND(I874*0.0003,2)+ROUND(I874*0.0003,2)+ROUND(I874*0.002,2)</f>
        <v>44572.51</v>
      </c>
      <c r="P874" s="6">
        <f t="shared" si="210"/>
        <v>7341727.5899999999</v>
      </c>
      <c r="Q874" s="4" t="str">
        <f>LOOKUP($E874,OBRAS!$D:$D,OBRAS!B:B)</f>
        <v>RENTA, MOVIMIENTO DE CONSTRUCCION EQUIPEN, S.A. DE C.V.</v>
      </c>
      <c r="R874" s="4" t="str">
        <f>LOOKUP($E874,OBRAS!$D:$D,OBRAS!A:A)</f>
        <v>VARIOS</v>
      </c>
      <c r="S874" s="4" t="str">
        <f>LOOKUP($E874,OBRAS!$D:$D,OBRAS!F:F)</f>
        <v>110000002003501E204K08063A625012162A213</v>
      </c>
      <c r="T874" s="4" t="str">
        <f>LOOKUP($E874,OBRAS!$D:$D,OBRAS!G:G)</f>
        <v>CE-926006995-E39-2016</v>
      </c>
      <c r="U874" s="4" t="s">
        <v>863</v>
      </c>
      <c r="V874" s="89">
        <v>42755</v>
      </c>
      <c r="W874" s="6">
        <f>LOOKUP($E874,OBRAS!$D:$D,OBRAS!K:K)</f>
        <v>79270178.980000004</v>
      </c>
      <c r="X874" s="109">
        <f t="shared" si="211"/>
        <v>0.1331</v>
      </c>
      <c r="Y874" s="109">
        <f t="shared" si="212"/>
        <v>0.63300000000000001</v>
      </c>
      <c r="Z874" s="109">
        <f t="shared" si="213"/>
        <v>0.74309999999999998</v>
      </c>
      <c r="AA874" s="4" t="str">
        <f>LOOKUP($E874,OBRAS!$D:$D,OBRAS!H:H)</f>
        <v>SH-ED-17-R-013</v>
      </c>
    </row>
    <row r="875" spans="1:27" ht="75" x14ac:dyDescent="0.25">
      <c r="A875" s="90">
        <v>42718</v>
      </c>
      <c r="B875" s="56">
        <v>5824</v>
      </c>
      <c r="C875" s="51">
        <v>874</v>
      </c>
      <c r="D875" s="4" t="str">
        <f>LOOKUP($E875,OBRAS!$D:$D,OBRAS!C:C)</f>
        <v>SUPERVISION Y CONTROL DE CALIDAD: CONSTRUCCIÓN DE SEGUNDO CUERPO DE LA CALLE 1A EN COMPLEJO PUERTA OESTE Y DRENAJE PLUVIAL PROVINCIAS EN LA LOCALIDAD Y MUNICIPIO DE HERMOSILLO, SONORA</v>
      </c>
      <c r="E875" s="4" t="s">
        <v>151</v>
      </c>
      <c r="F875" s="4"/>
      <c r="G875" s="4" t="str">
        <f>LOOKUP($E875,OBRAS!$D:$D,OBRAS!E:E)</f>
        <v>C-00093/0012</v>
      </c>
      <c r="H875" s="80" t="s">
        <v>214</v>
      </c>
      <c r="I875" s="6">
        <v>58814.38</v>
      </c>
      <c r="J875" s="6"/>
      <c r="K875" s="6">
        <f t="shared" si="215"/>
        <v>17644.310000000001</v>
      </c>
      <c r="L875" s="6">
        <f t="shared" si="208"/>
        <v>41170.07</v>
      </c>
      <c r="M875" s="6">
        <f t="shared" si="214"/>
        <v>6587.21</v>
      </c>
      <c r="N875" s="6">
        <f t="shared" si="209"/>
        <v>47757.279999999999</v>
      </c>
      <c r="O875" s="6">
        <f t="shared" ref="O875:O880" si="216">+ROUND(I875*0.005,2)</f>
        <v>294.07</v>
      </c>
      <c r="P875" s="6">
        <f t="shared" si="210"/>
        <v>47463.21</v>
      </c>
      <c r="Q875" s="4" t="str">
        <f>LOOKUP($E875,OBRAS!$D:$D,OBRAS!B:B)</f>
        <v>ING. MARTIN GRAJEDA ARAGON</v>
      </c>
      <c r="R875" s="4" t="str">
        <f>LOOKUP($E875,OBRAS!$D:$D,OBRAS!A:A)</f>
        <v>HERMOSILLO</v>
      </c>
      <c r="S875" s="4" t="str">
        <f>LOOKUP($E875,OBRAS!$D:$D,OBRAS!F:F)</f>
        <v>11000002002201E201K02203A614242155GL07</v>
      </c>
      <c r="T875" s="4" t="str">
        <f>LOOKUP($E875,OBRAS!$D:$D,OBRAS!G:G)</f>
        <v>SO-926006995-N20-2015</v>
      </c>
      <c r="U875" s="4" t="s">
        <v>863</v>
      </c>
      <c r="V875" s="89">
        <v>42734</v>
      </c>
      <c r="W875" s="6">
        <f>LOOKUP($E875,OBRAS!$D:$D,OBRAS!K:K)</f>
        <v>463327.31</v>
      </c>
      <c r="X875" s="109">
        <f t="shared" si="211"/>
        <v>0.1472</v>
      </c>
      <c r="Y875" s="109">
        <f t="shared" si="212"/>
        <v>0.746</v>
      </c>
      <c r="Z875" s="109">
        <f t="shared" si="213"/>
        <v>0.52229999999999999</v>
      </c>
      <c r="AA875" s="4" t="str">
        <f>LOOKUP($E875,OBRAS!$D:$D,OBRAS!H:H)</f>
        <v>OM-NC-16-R-007</v>
      </c>
    </row>
    <row r="876" spans="1:27" ht="75" x14ac:dyDescent="0.25">
      <c r="A876" s="90">
        <v>42718</v>
      </c>
      <c r="B876" s="56">
        <v>5825</v>
      </c>
      <c r="C876" s="51">
        <v>875</v>
      </c>
      <c r="D876" s="4" t="str">
        <f>LOOKUP($E876,OBRAS!$D:$D,OBRAS!C:C)</f>
        <v>SUPERVISION Y CONTROL DE CALIDAD: CONSTRUCCIÓN DE SEGUNDO CUERPO DE LA CALLE 1A EN COMPLEJO PUERTA OESTE Y DRENAJE PLUVIAL PROVINCIAS EN LA LOCALIDAD Y MUNICIPIO DE HERMOSILLO, SONORA</v>
      </c>
      <c r="E876" s="4" t="s">
        <v>151</v>
      </c>
      <c r="F876" s="4"/>
      <c r="G876" s="4" t="str">
        <f>LOOKUP($E876,OBRAS!$D:$D,OBRAS!E:E)</f>
        <v>C-00093/0012</v>
      </c>
      <c r="H876" s="80" t="s">
        <v>218</v>
      </c>
      <c r="I876" s="6">
        <v>23732.44</v>
      </c>
      <c r="J876" s="6"/>
      <c r="K876" s="6">
        <f t="shared" si="215"/>
        <v>7119.73</v>
      </c>
      <c r="L876" s="6">
        <f t="shared" si="208"/>
        <v>16612.71</v>
      </c>
      <c r="M876" s="6">
        <f t="shared" si="214"/>
        <v>2658.03</v>
      </c>
      <c r="N876" s="6">
        <f t="shared" si="209"/>
        <v>19270.740000000002</v>
      </c>
      <c r="O876" s="6">
        <f t="shared" si="216"/>
        <v>118.66</v>
      </c>
      <c r="P876" s="6">
        <f t="shared" si="210"/>
        <v>19152.080000000002</v>
      </c>
      <c r="Q876" s="4" t="str">
        <f>LOOKUP($E876,OBRAS!$D:$D,OBRAS!B:B)</f>
        <v>ING. MARTIN GRAJEDA ARAGON</v>
      </c>
      <c r="R876" s="4" t="str">
        <f>LOOKUP($E876,OBRAS!$D:$D,OBRAS!A:A)</f>
        <v>HERMOSILLO</v>
      </c>
      <c r="S876" s="4" t="str">
        <f>LOOKUP($E876,OBRAS!$D:$D,OBRAS!F:F)</f>
        <v>11000002002201E201K02203A614242155GL07</v>
      </c>
      <c r="T876" s="4" t="str">
        <f>LOOKUP($E876,OBRAS!$D:$D,OBRAS!G:G)</f>
        <v>SO-926006995-N20-2015</v>
      </c>
      <c r="U876" s="4" t="s">
        <v>863</v>
      </c>
      <c r="V876" s="89">
        <v>42734</v>
      </c>
      <c r="W876" s="6">
        <f>LOOKUP($E876,OBRAS!$D:$D,OBRAS!K:K)</f>
        <v>463327.31</v>
      </c>
      <c r="X876" s="109">
        <f t="shared" si="211"/>
        <v>5.9400000000000001E-2</v>
      </c>
      <c r="Y876" s="109">
        <f t="shared" si="212"/>
        <v>0.746</v>
      </c>
      <c r="Z876" s="109">
        <f t="shared" si="213"/>
        <v>0.52229999999999999</v>
      </c>
      <c r="AA876" s="4" t="str">
        <f>LOOKUP($E876,OBRAS!$D:$D,OBRAS!H:H)</f>
        <v>OM-NC-16-R-007</v>
      </c>
    </row>
    <row r="877" spans="1:27" ht="75" x14ac:dyDescent="0.25">
      <c r="A877" s="90">
        <v>42718</v>
      </c>
      <c r="B877" s="56">
        <v>5826</v>
      </c>
      <c r="C877" s="51">
        <v>876</v>
      </c>
      <c r="D877" s="4" t="str">
        <f>LOOKUP($E877,OBRAS!$D:$D,OBRAS!C:C)</f>
        <v>SUPERVISION Y CONTROL DE CALIDAD: CONSTRUCCIÓN DE SEGUNDO CUERPO DE LA CALLE 1A EN COMPLEJO PUERTA OESTE Y DRENAJE PLUVIAL PROVINCIAS EN LA LOCALIDAD Y MUNICIPIO DE HERMOSILLO, SONORA</v>
      </c>
      <c r="E877" s="4" t="s">
        <v>151</v>
      </c>
      <c r="F877" s="4"/>
      <c r="G877" s="4" t="str">
        <f>LOOKUP($E877,OBRAS!$D:$D,OBRAS!E:E)</f>
        <v>C-00093/0012</v>
      </c>
      <c r="H877" s="80" t="s">
        <v>220</v>
      </c>
      <c r="I877" s="6">
        <v>56917.14</v>
      </c>
      <c r="J877" s="6"/>
      <c r="K877" s="6">
        <f t="shared" si="215"/>
        <v>17075.14</v>
      </c>
      <c r="L877" s="6">
        <f t="shared" si="208"/>
        <v>39842</v>
      </c>
      <c r="M877" s="6">
        <f t="shared" si="214"/>
        <v>6374.72</v>
      </c>
      <c r="N877" s="6">
        <f t="shared" si="209"/>
        <v>46216.72</v>
      </c>
      <c r="O877" s="6">
        <f t="shared" si="216"/>
        <v>284.58999999999997</v>
      </c>
      <c r="P877" s="6">
        <f t="shared" si="210"/>
        <v>45932.13</v>
      </c>
      <c r="Q877" s="4" t="str">
        <f>LOOKUP($E877,OBRAS!$D:$D,OBRAS!B:B)</f>
        <v>ING. MARTIN GRAJEDA ARAGON</v>
      </c>
      <c r="R877" s="4" t="str">
        <f>LOOKUP($E877,OBRAS!$D:$D,OBRAS!A:A)</f>
        <v>HERMOSILLO</v>
      </c>
      <c r="S877" s="4" t="str">
        <f>LOOKUP($E877,OBRAS!$D:$D,OBRAS!F:F)</f>
        <v>11000002002201E201K02203A614242155GL07</v>
      </c>
      <c r="T877" s="4" t="str">
        <f>LOOKUP($E877,OBRAS!$D:$D,OBRAS!G:G)</f>
        <v>SO-926006995-N20-2015</v>
      </c>
      <c r="U877" s="4" t="s">
        <v>863</v>
      </c>
      <c r="V877" s="89">
        <v>42734</v>
      </c>
      <c r="W877" s="6">
        <f>LOOKUP($E877,OBRAS!$D:$D,OBRAS!K:K)</f>
        <v>463327.31</v>
      </c>
      <c r="X877" s="109">
        <f t="shared" si="211"/>
        <v>0.14249999999999999</v>
      </c>
      <c r="Y877" s="109">
        <f t="shared" si="212"/>
        <v>0.746</v>
      </c>
      <c r="Z877" s="109">
        <f t="shared" si="213"/>
        <v>0.52229999999999999</v>
      </c>
      <c r="AA877" s="4" t="str">
        <f>LOOKUP($E877,OBRAS!$D:$D,OBRAS!H:H)</f>
        <v>OM-NC-16-R-007</v>
      </c>
    </row>
    <row r="878" spans="1:27" ht="75" x14ac:dyDescent="0.25">
      <c r="A878" s="90">
        <v>42718</v>
      </c>
      <c r="B878" s="56">
        <v>5827</v>
      </c>
      <c r="C878" s="51">
        <v>877</v>
      </c>
      <c r="D878" s="4" t="str">
        <f>LOOKUP($E878,OBRAS!$D:$D,OBRAS!C:C)</f>
        <v>SUPERVISION Y CONTROL DE CALIDAD: CONSTRUCCIÓN DE SEGUNDO CUERPO DE LA CALLE 1A EN COMPLEJO PUERTA OESTE Y DRENAJE PLUVIAL PROVINCIAS EN LA LOCALIDAD Y MUNICIPIO DE HERMOSILLO, SONORA</v>
      </c>
      <c r="E878" s="4" t="s">
        <v>151</v>
      </c>
      <c r="F878" s="4"/>
      <c r="G878" s="4" t="str">
        <f>LOOKUP($E878,OBRAS!$D:$D,OBRAS!E:E)</f>
        <v>C-00093/0012</v>
      </c>
      <c r="H878" s="80" t="s">
        <v>748</v>
      </c>
      <c r="I878" s="6">
        <v>22966.880000000001</v>
      </c>
      <c r="J878" s="6"/>
      <c r="K878" s="6">
        <f t="shared" si="215"/>
        <v>6890.06</v>
      </c>
      <c r="L878" s="6">
        <f t="shared" si="208"/>
        <v>16076.82</v>
      </c>
      <c r="M878" s="6">
        <f t="shared" si="214"/>
        <v>2572.29</v>
      </c>
      <c r="N878" s="6">
        <f t="shared" si="209"/>
        <v>18649.11</v>
      </c>
      <c r="O878" s="6">
        <f t="shared" si="216"/>
        <v>114.83</v>
      </c>
      <c r="P878" s="6">
        <f t="shared" si="210"/>
        <v>18534.28</v>
      </c>
      <c r="Q878" s="4" t="str">
        <f>LOOKUP($E878,OBRAS!$D:$D,OBRAS!B:B)</f>
        <v>ING. MARTIN GRAJEDA ARAGON</v>
      </c>
      <c r="R878" s="4" t="str">
        <f>LOOKUP($E878,OBRAS!$D:$D,OBRAS!A:A)</f>
        <v>HERMOSILLO</v>
      </c>
      <c r="S878" s="4" t="str">
        <f>LOOKUP($E878,OBRAS!$D:$D,OBRAS!F:F)</f>
        <v>11000002002201E201K02203A614242155GL07</v>
      </c>
      <c r="T878" s="4" t="str">
        <f>LOOKUP($E878,OBRAS!$D:$D,OBRAS!G:G)</f>
        <v>SO-926006995-N20-2015</v>
      </c>
      <c r="U878" s="4" t="s">
        <v>863</v>
      </c>
      <c r="V878" s="89">
        <v>42734</v>
      </c>
      <c r="W878" s="6">
        <f>LOOKUP($E878,OBRAS!$D:$D,OBRAS!K:K)</f>
        <v>463327.31</v>
      </c>
      <c r="X878" s="109">
        <f t="shared" si="211"/>
        <v>5.7500000000000002E-2</v>
      </c>
      <c r="Y878" s="109">
        <f t="shared" si="212"/>
        <v>0.746</v>
      </c>
      <c r="Z878" s="109">
        <f t="shared" si="213"/>
        <v>0.52229999999999999</v>
      </c>
      <c r="AA878" s="4" t="str">
        <f>LOOKUP($E878,OBRAS!$D:$D,OBRAS!H:H)</f>
        <v>OM-NC-16-R-007</v>
      </c>
    </row>
    <row r="879" spans="1:27" ht="75" x14ac:dyDescent="0.25">
      <c r="A879" s="90">
        <v>42718</v>
      </c>
      <c r="B879" s="56">
        <v>5828</v>
      </c>
      <c r="C879" s="51">
        <v>878</v>
      </c>
      <c r="D879" s="4" t="str">
        <f>LOOKUP($E879,OBRAS!$D:$D,OBRAS!C:C)</f>
        <v>SUPERVISION Y CONTROL DE CALIDAD: CONSTRUCCIÓN DE SEGUNDO CUERPO DE LA CALLE 1A EN COMPLEJO PUERTA OESTE Y DRENAJE PLUVIAL PROVINCIAS EN LA LOCALIDAD Y MUNICIPIO DE HERMOSILLO, SONORA</v>
      </c>
      <c r="E879" s="4" t="s">
        <v>151</v>
      </c>
      <c r="F879" s="4"/>
      <c r="G879" s="4" t="str">
        <f>LOOKUP($E879,OBRAS!$D:$D,OBRAS!E:E)</f>
        <v>C-00093/0012</v>
      </c>
      <c r="H879" s="80" t="s">
        <v>249</v>
      </c>
      <c r="I879" s="6">
        <v>22766.71</v>
      </c>
      <c r="J879" s="6"/>
      <c r="K879" s="6">
        <f t="shared" si="215"/>
        <v>6830.01</v>
      </c>
      <c r="L879" s="6">
        <f t="shared" si="208"/>
        <v>15936.7</v>
      </c>
      <c r="M879" s="6">
        <f t="shared" si="214"/>
        <v>2549.87</v>
      </c>
      <c r="N879" s="6">
        <f t="shared" si="209"/>
        <v>18486.57</v>
      </c>
      <c r="O879" s="6">
        <f t="shared" si="216"/>
        <v>113.83</v>
      </c>
      <c r="P879" s="6">
        <f t="shared" si="210"/>
        <v>18372.740000000002</v>
      </c>
      <c r="Q879" s="4" t="str">
        <f>LOOKUP($E879,OBRAS!$D:$D,OBRAS!B:B)</f>
        <v>ING. MARTIN GRAJEDA ARAGON</v>
      </c>
      <c r="R879" s="4" t="str">
        <f>LOOKUP($E879,OBRAS!$D:$D,OBRAS!A:A)</f>
        <v>HERMOSILLO</v>
      </c>
      <c r="S879" s="4" t="str">
        <f>LOOKUP($E879,OBRAS!$D:$D,OBRAS!F:F)</f>
        <v>11000002002201E201K02203A614242155GL07</v>
      </c>
      <c r="T879" s="4" t="str">
        <f>LOOKUP($E879,OBRAS!$D:$D,OBRAS!G:G)</f>
        <v>SO-926006995-N20-2015</v>
      </c>
      <c r="U879" s="4" t="s">
        <v>863</v>
      </c>
      <c r="V879" s="89">
        <v>43099</v>
      </c>
      <c r="W879" s="6">
        <f>LOOKUP($E879,OBRAS!$D:$D,OBRAS!K:K)</f>
        <v>463327.31</v>
      </c>
      <c r="X879" s="109">
        <f t="shared" si="211"/>
        <v>5.7000000000000002E-2</v>
      </c>
      <c r="Y879" s="109">
        <f t="shared" si="212"/>
        <v>0.746</v>
      </c>
      <c r="Z879" s="109">
        <f t="shared" si="213"/>
        <v>0.52229999999999999</v>
      </c>
      <c r="AA879" s="4" t="str">
        <f>LOOKUP($E879,OBRAS!$D:$D,OBRAS!H:H)</f>
        <v>OM-NC-16-R-007</v>
      </c>
    </row>
    <row r="880" spans="1:27" ht="75" x14ac:dyDescent="0.25">
      <c r="A880" s="90">
        <v>42718</v>
      </c>
      <c r="B880" s="56">
        <v>5829</v>
      </c>
      <c r="C880" s="51">
        <v>879</v>
      </c>
      <c r="D880" s="4" t="str">
        <f>LOOKUP($E880,OBRAS!$D:$D,OBRAS!C:C)</f>
        <v>SUPERVISION Y CONTROL DE CALIDAD: CONSTRUCCIÓN DE SEGUNDO CUERPO DE LA CALLE 1A EN COMPLEJO PUERTA OESTE Y DRENAJE PLUVIAL PROVINCIAS EN LA LOCALIDAD Y MUNICIPIO DE HERMOSILLO, SONORA</v>
      </c>
      <c r="E880" s="4" t="s">
        <v>151</v>
      </c>
      <c r="F880" s="4"/>
      <c r="G880" s="4" t="str">
        <f>LOOKUP($E880,OBRAS!$D:$D,OBRAS!E:E)</f>
        <v>C-00093/0012</v>
      </c>
      <c r="H880" s="80" t="s">
        <v>264</v>
      </c>
      <c r="I880" s="6">
        <v>9186.76</v>
      </c>
      <c r="J880" s="6"/>
      <c r="K880" s="6">
        <v>2756.09</v>
      </c>
      <c r="L880" s="6">
        <f t="shared" si="208"/>
        <v>6430.67</v>
      </c>
      <c r="M880" s="6">
        <f t="shared" si="214"/>
        <v>1028.9100000000001</v>
      </c>
      <c r="N880" s="6">
        <f t="shared" si="209"/>
        <v>7459.58</v>
      </c>
      <c r="O880" s="6">
        <f t="shared" si="216"/>
        <v>45.93</v>
      </c>
      <c r="P880" s="6">
        <f t="shared" si="210"/>
        <v>7413.65</v>
      </c>
      <c r="Q880" s="4" t="str">
        <f>LOOKUP($E880,OBRAS!$D:$D,OBRAS!B:B)</f>
        <v>ING. MARTIN GRAJEDA ARAGON</v>
      </c>
      <c r="R880" s="4" t="str">
        <f>LOOKUP($E880,OBRAS!$D:$D,OBRAS!A:A)</f>
        <v>HERMOSILLO</v>
      </c>
      <c r="S880" s="4" t="str">
        <f>LOOKUP($E880,OBRAS!$D:$D,OBRAS!F:F)</f>
        <v>11000002002201E201K02203A614242155GL07</v>
      </c>
      <c r="T880" s="4" t="str">
        <f>LOOKUP($E880,OBRAS!$D:$D,OBRAS!G:G)</f>
        <v>SO-926006995-N20-2015</v>
      </c>
      <c r="U880" s="4" t="s">
        <v>863</v>
      </c>
      <c r="V880" s="89">
        <v>42734</v>
      </c>
      <c r="W880" s="6">
        <f>LOOKUP($E880,OBRAS!$D:$D,OBRAS!K:K)</f>
        <v>463327.31</v>
      </c>
      <c r="X880" s="109">
        <f t="shared" si="211"/>
        <v>2.3E-2</v>
      </c>
      <c r="Y880" s="109">
        <f t="shared" si="212"/>
        <v>0.746</v>
      </c>
      <c r="Z880" s="109">
        <f t="shared" si="213"/>
        <v>0.52229999999999999</v>
      </c>
      <c r="AA880" s="4" t="str">
        <f>LOOKUP($E880,OBRAS!$D:$D,OBRAS!H:H)</f>
        <v>OM-NC-16-R-007</v>
      </c>
    </row>
    <row r="881" spans="1:27" ht="60" x14ac:dyDescent="0.25">
      <c r="A881" s="90">
        <v>42718</v>
      </c>
      <c r="B881" s="56">
        <v>5830</v>
      </c>
      <c r="C881" s="51">
        <v>880</v>
      </c>
      <c r="D881" s="4" t="str">
        <f>LOOKUP($E881,OBRAS!$D:$D,OBRAS!C:C)</f>
        <v>CONSERVACION Y RECONSTRUCCION DE CARRETERAS ALIMENTADORAS REGION GUAYMAS-EMPALME, TRAMO: E.C. (PROVIDENCIA-ORTIZ)-LA MISA</v>
      </c>
      <c r="E881" s="4" t="s">
        <v>582</v>
      </c>
      <c r="F881" s="4" t="s">
        <v>991</v>
      </c>
      <c r="G881" s="4" t="str">
        <f>LOOKUP($E881,OBRAS!$D:$D,OBRAS!E:E)</f>
        <v>C-00054/0065</v>
      </c>
      <c r="H881" s="80" t="s">
        <v>220</v>
      </c>
      <c r="I881" s="6">
        <v>3899732.31</v>
      </c>
      <c r="J881" s="6"/>
      <c r="K881" s="6">
        <v>1827666.86</v>
      </c>
      <c r="L881" s="6">
        <f t="shared" si="208"/>
        <v>2072065.45</v>
      </c>
      <c r="M881" s="6">
        <f t="shared" si="214"/>
        <v>331530.46999999997</v>
      </c>
      <c r="N881" s="6">
        <f t="shared" si="209"/>
        <v>2403595.92</v>
      </c>
      <c r="O881" s="6">
        <f>+ROUND(I881*0.002,2)+ROUND(I881*0.0003,2)+ROUND(I881*0.0003,2)+ROUND(I881*0.0003,2)+ROUND(I881*0.002,2)</f>
        <v>19108.68</v>
      </c>
      <c r="P881" s="6">
        <f t="shared" si="210"/>
        <v>2384487.2400000002</v>
      </c>
      <c r="Q881" s="4" t="str">
        <f>LOOKUP($E881,OBRAS!$D:$D,OBRAS!B:B)</f>
        <v>GILA MINAS Y DESARROLLOS SA DE CV</v>
      </c>
      <c r="R881" s="4" t="str">
        <f>LOOKUP($E881,OBRAS!$D:$D,OBRAS!A:A)</f>
        <v>VARIOS</v>
      </c>
      <c r="S881" s="4" t="str">
        <f>LOOKUP($E881,OBRAS!$D:$D,OBRAS!F:F)</f>
        <v>11000002003501E204K08063A625012162213</v>
      </c>
      <c r="T881" s="4" t="str">
        <f>LOOKUP($E881,OBRAS!$D:$D,OBRAS!G:G)</f>
        <v>CE-926006995-E29-2016</v>
      </c>
      <c r="U881" s="4" t="s">
        <v>863</v>
      </c>
      <c r="V881" s="89">
        <v>42768</v>
      </c>
      <c r="W881" s="6">
        <f>LOOKUP($E881,OBRAS!$D:$D,OBRAS!K:K)</f>
        <v>31555491.960000001</v>
      </c>
      <c r="X881" s="109">
        <f t="shared" si="211"/>
        <v>0.1434</v>
      </c>
      <c r="Y881" s="109">
        <f t="shared" si="212"/>
        <v>0.9194</v>
      </c>
      <c r="Z881" s="109">
        <f t="shared" si="213"/>
        <v>0.9194</v>
      </c>
      <c r="AA881" s="4" t="str">
        <f>LOOKUP($E881,OBRAS!$D:$D,OBRAS!H:H)</f>
        <v>SH-ED-17-R-013</v>
      </c>
    </row>
    <row r="882" spans="1:27" ht="45" x14ac:dyDescent="0.25">
      <c r="A882" s="90">
        <v>42781</v>
      </c>
      <c r="B882" s="56">
        <v>5831</v>
      </c>
      <c r="C882" s="49">
        <v>881</v>
      </c>
      <c r="D882" s="4" t="str">
        <f>LOOKUP($E882,OBRAS!$D:$D,OBRAS!C:C)</f>
        <v>PAVIMENTACION CON CONCRETO HIDRAULICO DE VARIAS CALLES Y AVENIDAS DE VARIAS COLONIAS EN NACOZARI DE GARCIA</v>
      </c>
      <c r="E882" s="4" t="s">
        <v>1608</v>
      </c>
      <c r="F882" s="4"/>
      <c r="G882" s="4" t="str">
        <f>LOOKUP($E882,OBRAS!$D:$D,OBRAS!E:E)</f>
        <v>C-00052/0235</v>
      </c>
      <c r="H882" s="80" t="s">
        <v>103</v>
      </c>
      <c r="I882" s="6">
        <v>1466420.69</v>
      </c>
      <c r="J882" s="6"/>
      <c r="K882" s="6">
        <f>ROUND(I882*0.3,2)</f>
        <v>439926.21</v>
      </c>
      <c r="L882" s="6">
        <f t="shared" si="208"/>
        <v>1026494.48</v>
      </c>
      <c r="M882" s="6">
        <f t="shared" si="214"/>
        <v>164239.12</v>
      </c>
      <c r="N882" s="6">
        <f t="shared" si="209"/>
        <v>1190733.6000000001</v>
      </c>
      <c r="O882" s="6">
        <f>+ROUND(I882*0.005,2)</f>
        <v>7332.1</v>
      </c>
      <c r="P882" s="6">
        <f t="shared" si="210"/>
        <v>1183401.5</v>
      </c>
      <c r="Q882" s="4" t="str">
        <f>LOOKUP($E882,OBRAS!$D:$D,OBRAS!B:B)</f>
        <v>SIGNS MANUFACTURAS Y CONSTRUCCIONES, S.A. DE C.V.</v>
      </c>
      <c r="R882" s="4" t="str">
        <f>LOOKUP($E882,OBRAS!$D:$D,OBRAS!A:A)</f>
        <v>NACOZARI DE GARCIA</v>
      </c>
      <c r="S882" s="4" t="str">
        <f>LOOKUP($E882,OBRAS!$D:$D,OBRAS!F:F)</f>
        <v>11000002002201E202K05186A614202165FM04</v>
      </c>
      <c r="T882" s="4" t="str">
        <f>LOOKUP($E882,OBRAS!$D:$D,OBRAS!G:G)</f>
        <v>IO-926006995-E134-2016</v>
      </c>
      <c r="U882" s="4" t="s">
        <v>863</v>
      </c>
      <c r="V882" s="89">
        <v>42732</v>
      </c>
      <c r="W882" s="6">
        <f>LOOKUP($E882,OBRAS!$D:$D,OBRAS!K:K)</f>
        <v>8449393.5399999991</v>
      </c>
      <c r="X882" s="109">
        <f t="shared" si="211"/>
        <v>0.20130000000000001</v>
      </c>
      <c r="Y882" s="109">
        <f t="shared" si="212"/>
        <v>0.4264</v>
      </c>
      <c r="Z882" s="109">
        <f t="shared" si="213"/>
        <v>0.59850000000000003</v>
      </c>
      <c r="AA882" s="4" t="str">
        <f>LOOKUP($E882,OBRAS!$D:$D,OBRAS!H:H)</f>
        <v>SH-NC-17-R-008</v>
      </c>
    </row>
    <row r="883" spans="1:27" ht="60" x14ac:dyDescent="0.25">
      <c r="A883" s="90">
        <v>42718</v>
      </c>
      <c r="B883" s="56">
        <v>5833</v>
      </c>
      <c r="C883" s="51">
        <v>882</v>
      </c>
      <c r="D883" s="4" t="str">
        <f>LOOKUP($E883,OBRAS!$D:$D,OBRAS!C:C)</f>
        <v>MODERNIZACION Y RECONSTRUCCION DEL PERIFERICO EN NAVOJOA (E.C. MEXICO 15 - TETANCHOPO) DEL KM 7+031 AL KM 13+126 EN LA LOCALIDAD Y MUNICIPIO DE NAVOJOA, SONORA.</v>
      </c>
      <c r="E883" s="4" t="s">
        <v>462</v>
      </c>
      <c r="F883" s="4" t="s">
        <v>927</v>
      </c>
      <c r="G883" s="4" t="str">
        <f>LOOKUP($E883,OBRAS!$D:$D,OBRAS!E:E)</f>
        <v>C-00052/0172</v>
      </c>
      <c r="H883" s="80" t="s">
        <v>55</v>
      </c>
      <c r="I883" s="6">
        <v>2002560.98</v>
      </c>
      <c r="J883" s="6"/>
      <c r="K883" s="6">
        <f>ROUND(I883*0.3,2)</f>
        <v>600768.29</v>
      </c>
      <c r="L883" s="6">
        <f t="shared" si="208"/>
        <v>1401792.69</v>
      </c>
      <c r="M883" s="6">
        <f t="shared" si="214"/>
        <v>224286.83</v>
      </c>
      <c r="N883" s="6">
        <f t="shared" si="209"/>
        <v>1626079.52</v>
      </c>
      <c r="O883" s="6">
        <f>+ROUND(I883*0.002,2)+ROUND(I883*0.0003,2)+ROUND(I883*0.0003,2)+ROUND(I883*0.0003,2)+ROUND(I883*0.002,2)</f>
        <v>9812.5499999999993</v>
      </c>
      <c r="P883" s="6">
        <f t="shared" si="210"/>
        <v>1616266.97</v>
      </c>
      <c r="Q883" s="4" t="str">
        <f>LOOKUP($E883,OBRAS!$D:$D,OBRAS!B:B)</f>
        <v>NA CONSTRUCCIONES DEL PACIFICO, S.A. DE C.V.</v>
      </c>
      <c r="R883" s="4" t="str">
        <f>LOOKUP($E883,OBRAS!$D:$D,OBRAS!A:A)</f>
        <v>NAVOJOA</v>
      </c>
      <c r="S883" s="4" t="str">
        <f>LOOKUP($E883,OBRAS!$D:$D,OBRAS!F:F)</f>
        <v>11000002002201E202K05186A614202162A212</v>
      </c>
      <c r="T883" s="4" t="str">
        <f>LOOKUP($E883,OBRAS!$D:$D,OBRAS!G:G)</f>
        <v>CE-926006995-E60-2015</v>
      </c>
      <c r="U883" s="4" t="s">
        <v>863</v>
      </c>
      <c r="V883" s="89">
        <v>42755</v>
      </c>
      <c r="W883" s="6">
        <f>LOOKUP($E883,OBRAS!$D:$D,OBRAS!K:K)</f>
        <v>91796179.200000003</v>
      </c>
      <c r="X883" s="109">
        <f t="shared" si="211"/>
        <v>2.53E-2</v>
      </c>
      <c r="Y883" s="109">
        <f t="shared" si="212"/>
        <v>0.31269999999999998</v>
      </c>
      <c r="Z883" s="109">
        <f t="shared" si="213"/>
        <v>0.51890000000000003</v>
      </c>
      <c r="AA883" s="4" t="str">
        <f>LOOKUP($E883,OBRAS!$D:$D,OBRAS!H:H)</f>
        <v>SH-ED-17-R-004</v>
      </c>
    </row>
    <row r="884" spans="1:27" ht="75" x14ac:dyDescent="0.25">
      <c r="A884" s="90">
        <v>42718</v>
      </c>
      <c r="B884" s="56">
        <v>5834</v>
      </c>
      <c r="C884" s="51">
        <v>883</v>
      </c>
      <c r="D884" s="4" t="str">
        <f>LOOKUP($E884,OBRAS!$D:$D,OBRAS!C:C)</f>
        <v>SUPERVISION EXTERNA Y CONTROL DE CALIDAD DE MODERIZACION Y RECONSTRUCCION DEL TRAMO ETCHOJOA - BACOBAMPO EN VARIAS LOCALIDADES DEL MUNICIPIO DE ETCHOJOA, SONORA.</v>
      </c>
      <c r="E884" s="4" t="s">
        <v>428</v>
      </c>
      <c r="F884" s="4"/>
      <c r="G884" s="4" t="str">
        <f>LOOKUP($E884,OBRAS!$D:$D,OBRAS!E:E)</f>
        <v>C-00098/0021</v>
      </c>
      <c r="H884" s="80" t="s">
        <v>15</v>
      </c>
      <c r="I884" s="6">
        <v>279955</v>
      </c>
      <c r="J884" s="6"/>
      <c r="K884" s="6">
        <f>ROUND(I884*0.1,2)</f>
        <v>27995.5</v>
      </c>
      <c r="L884" s="6">
        <f t="shared" si="208"/>
        <v>251959.5</v>
      </c>
      <c r="M884" s="6">
        <f t="shared" si="214"/>
        <v>40313.519999999997</v>
      </c>
      <c r="N884" s="6">
        <f t="shared" si="209"/>
        <v>292273.02</v>
      </c>
      <c r="O884" s="6">
        <f>+ROUND(I884*0.002,2)+ROUND(I884*0.0003,2)+ROUND(I884*0.0003,2)+ROUND(I884*0.0003,2)</f>
        <v>811.88</v>
      </c>
      <c r="P884" s="6">
        <f t="shared" si="210"/>
        <v>291461.14</v>
      </c>
      <c r="Q884" s="4" t="str">
        <f>LOOKUP($E884,OBRAS!$D:$D,OBRAS!B:B)</f>
        <v>CONSTRUCCIONES MAGUS, S.A. DE C.V.</v>
      </c>
      <c r="R884" s="4" t="str">
        <f>LOOKUP($E884,OBRAS!$D:$D,OBRAS!A:A)</f>
        <v>ETCHOJOA</v>
      </c>
      <c r="S884" s="4" t="str">
        <f>LOOKUP($E884,OBRAS!$D:$D,OBRAS!F:F)</f>
        <v>11000002003501E203K03203A625132161A013</v>
      </c>
      <c r="T884" s="4" t="str">
        <f>LOOKUP($E884,OBRAS!$D:$D,OBRAS!G:G)</f>
        <v>CE-926006995-E53-2016</v>
      </c>
      <c r="U884" s="4" t="s">
        <v>863</v>
      </c>
      <c r="V884" s="89">
        <v>42781</v>
      </c>
      <c r="W884" s="6">
        <f>LOOKUP($E884,OBRAS!$D:$D,OBRAS!K:K)</f>
        <v>1948486.8</v>
      </c>
      <c r="X884" s="109">
        <f t="shared" si="211"/>
        <v>0.16669999999999999</v>
      </c>
      <c r="Y884" s="109">
        <f t="shared" si="212"/>
        <v>1.0002</v>
      </c>
      <c r="Z884" s="109">
        <f t="shared" si="213"/>
        <v>1</v>
      </c>
      <c r="AA884" s="4" t="str">
        <f>LOOKUP($E884,OBRAS!$D:$D,OBRAS!H:H)</f>
        <v>SH-ED-16-040</v>
      </c>
    </row>
    <row r="885" spans="1:27" ht="60" x14ac:dyDescent="0.25">
      <c r="A885" s="90">
        <v>42718</v>
      </c>
      <c r="B885" s="56">
        <v>5835</v>
      </c>
      <c r="C885" s="51">
        <v>884</v>
      </c>
      <c r="D885" s="4" t="str">
        <f>LOOKUP($E885,OBRAS!$D:$D,OBRAS!C:C)</f>
        <v>CONSERVACIÓN DEL TRAMO NOVILLO - BACANORA - SAHUARIPA -  SAN NICOLÁS EN VARIAS LOCALIDADES DE VARIOS MUNICIPIOS DEL ESTADO DE SONORA.</v>
      </c>
      <c r="E885" s="4" t="s">
        <v>554</v>
      </c>
      <c r="F885" s="4" t="s">
        <v>306</v>
      </c>
      <c r="G885" s="4" t="str">
        <f>LOOKUP($E885,OBRAS!$D:$D,OBRAS!E:E)</f>
        <v>C-00054/0055</v>
      </c>
      <c r="H885" s="80" t="s">
        <v>214</v>
      </c>
      <c r="I885" s="6">
        <v>20931569.02</v>
      </c>
      <c r="J885" s="6"/>
      <c r="K885" s="6">
        <f>ROUND(I885*0.3,2)</f>
        <v>6279470.71</v>
      </c>
      <c r="L885" s="6">
        <f t="shared" si="208"/>
        <v>14652098.310000001</v>
      </c>
      <c r="M885" s="6">
        <f t="shared" si="214"/>
        <v>2344335.73</v>
      </c>
      <c r="N885" s="6">
        <f t="shared" si="209"/>
        <v>16996434.039999999</v>
      </c>
      <c r="O885" s="6">
        <f>+ROUND(I885*0.002,2)+ROUND(I885*0.0003,2)+ROUND(I885*0.0003,2)+ROUND(I885*0.0003,2)+ROUND(I885*0.002,2)</f>
        <v>102564.69</v>
      </c>
      <c r="P885" s="6">
        <f t="shared" si="210"/>
        <v>16893869.350000001</v>
      </c>
      <c r="Q885" s="4" t="str">
        <f>LOOKUP($E885,OBRAS!$D:$D,OBRAS!B:B)</f>
        <v>CONSTRUCCIONES VILLA DE SERIS, S. A. DE C. V.</v>
      </c>
      <c r="R885" s="4" t="str">
        <f>LOOKUP($E885,OBRAS!$D:$D,OBRAS!A:A)</f>
        <v>VARIOS</v>
      </c>
      <c r="S885" s="4" t="str">
        <f>LOOKUP($E885,OBRAS!$D:$D,OBRAS!F:F)</f>
        <v>11000002003501E204K08063A625012162A213</v>
      </c>
      <c r="T885" s="4" t="str">
        <f>LOOKUP($E885,OBRAS!$D:$D,OBRAS!G:G)</f>
        <v>CE-926006995-E19-2016</v>
      </c>
      <c r="U885" s="4" t="s">
        <v>863</v>
      </c>
      <c r="V885" s="89">
        <v>42762</v>
      </c>
      <c r="W885" s="6">
        <f>LOOKUP($E885,OBRAS!$D:$D,OBRAS!K:K)</f>
        <v>112909841.56</v>
      </c>
      <c r="X885" s="109">
        <f t="shared" si="211"/>
        <v>0.215</v>
      </c>
      <c r="Y885" s="109">
        <f t="shared" si="212"/>
        <v>0.93110000000000004</v>
      </c>
      <c r="Z885" s="109">
        <f t="shared" si="213"/>
        <v>0.95179999999999998</v>
      </c>
      <c r="AA885" s="4" t="str">
        <f>LOOKUP($E885,OBRAS!$D:$D,OBRAS!H:H)</f>
        <v>SH-ED-17-R-004</v>
      </c>
    </row>
    <row r="886" spans="1:27" ht="45" x14ac:dyDescent="0.25">
      <c r="A886" s="90"/>
      <c r="C886" s="51">
        <v>885</v>
      </c>
      <c r="D886" s="4" t="str">
        <f>LOOKUP($E886,OBRAS!$D:$D,OBRAS!C:C)</f>
        <v>RECONSTRUCCION DE CALLE 28 NORTE, DEL KM 0 + 000 AL KM 10+160, Y DEL KM 17+210 AL 17+982, HERMOSILLO</v>
      </c>
      <c r="E886" s="4" t="s">
        <v>349</v>
      </c>
      <c r="F886" s="4"/>
      <c r="G886" s="4" t="str">
        <f>LOOKUP($E886,OBRAS!$D:$D,OBRAS!E:E)</f>
        <v>C-00054/0072</v>
      </c>
      <c r="H886" s="80" t="s">
        <v>215</v>
      </c>
      <c r="I886" s="6">
        <v>3620867.8</v>
      </c>
      <c r="J886" s="6"/>
      <c r="K886" s="6">
        <f>ROUND(I886*0.3,2)</f>
        <v>1086260.3400000001</v>
      </c>
      <c r="L886" s="6">
        <f t="shared" si="208"/>
        <v>2534607.46</v>
      </c>
      <c r="M886" s="6">
        <f t="shared" si="214"/>
        <v>405537.19</v>
      </c>
      <c r="N886" s="6">
        <f t="shared" si="209"/>
        <v>2940144.65</v>
      </c>
      <c r="O886" s="6">
        <f>+ROUND(I886*0.002,2)+ROUND(I886*0.0003,2)+ROUND(I886*0.0003,2)+ROUND(I886*0.0003,2)+ROUND(I886*0.002,2)</f>
        <v>17742.259999999998</v>
      </c>
      <c r="P886" s="6">
        <f t="shared" si="210"/>
        <v>2922402.39</v>
      </c>
      <c r="Q886" s="4" t="str">
        <f>LOOKUP($E886,OBRAS!$D:$D,OBRAS!B:B)</f>
        <v>GRUPO EMPRESARIAL BABASAC, S. A. DE C. V.</v>
      </c>
      <c r="R886" s="4" t="str">
        <f>LOOKUP($E886,OBRAS!$D:$D,OBRAS!A:A)</f>
        <v>HERMOSILLO</v>
      </c>
      <c r="S886" s="4" t="str">
        <f>LOOKUP($E886,OBRAS!$D:$D,OBRAS!F:F)</f>
        <v>11000002003501E204K08063A625012162A207</v>
      </c>
      <c r="T886" s="4" t="str">
        <f>LOOKUP($E886,OBRAS!$D:$D,OBRAS!G:G)</f>
        <v>CE-926006995-E40-2016</v>
      </c>
      <c r="U886" s="4" t="s">
        <v>863</v>
      </c>
      <c r="V886" s="89">
        <v>42769</v>
      </c>
      <c r="W886" s="6">
        <f>LOOKUP($E886,OBRAS!$D:$D,OBRAS!K:K)</f>
        <v>20694418.350000001</v>
      </c>
      <c r="X886" s="109">
        <f t="shared" si="211"/>
        <v>0.20300000000000001</v>
      </c>
      <c r="Y886" s="109">
        <f t="shared" si="212"/>
        <v>1</v>
      </c>
      <c r="Z886" s="109">
        <f t="shared" si="213"/>
        <v>1</v>
      </c>
      <c r="AA886" s="4" t="str">
        <f>LOOKUP($E886,OBRAS!$D:$D,OBRAS!H:H)</f>
        <v>SH-ED-17-R-004</v>
      </c>
    </row>
    <row r="887" spans="1:27" ht="30" x14ac:dyDescent="0.25">
      <c r="A887" s="90">
        <v>42718</v>
      </c>
      <c r="B887" s="56">
        <v>5837</v>
      </c>
      <c r="C887" s="49">
        <v>886</v>
      </c>
      <c r="D887" s="4" t="str">
        <f>LOOKUP($E887,OBRAS!$D:$D,OBRAS!C:C)</f>
        <v>RECONSTRUCCION DEL CAMINO HERMOSILLO-BAHIA DE KINO</v>
      </c>
      <c r="E887" s="4" t="s">
        <v>539</v>
      </c>
      <c r="F887" s="4" t="s">
        <v>314</v>
      </c>
      <c r="G887" s="4" t="str">
        <f>LOOKUP($E887,OBRAS!$D:$D,OBRAS!E:E)</f>
        <v>C-00054/0026</v>
      </c>
      <c r="H887" s="80" t="s">
        <v>15</v>
      </c>
      <c r="I887" s="6">
        <v>967864.88</v>
      </c>
      <c r="J887" s="6"/>
      <c r="K887" s="6">
        <v>0</v>
      </c>
      <c r="L887" s="6">
        <f t="shared" si="208"/>
        <v>967864.88</v>
      </c>
      <c r="M887" s="6">
        <f t="shared" si="214"/>
        <v>154858.38</v>
      </c>
      <c r="N887" s="6">
        <f t="shared" si="209"/>
        <v>1122723.26</v>
      </c>
      <c r="O887" s="6">
        <f>+ROUND(I887*0.002,2)+ROUND(I887*0.0003,2)+ROUND(I887*0.0003,2)+ROUND(I887*0.0003,2)+ROUND(I887*0.002,2)</f>
        <v>4742.54</v>
      </c>
      <c r="P887" s="6">
        <f t="shared" si="210"/>
        <v>1117980.72</v>
      </c>
      <c r="Q887" s="4" t="str">
        <f>LOOKUP($E887,OBRAS!$D:$D,OBRAS!B:B)</f>
        <v>REVAL DESARROLLOS Y MATERIALES, S.A. DE C.V.</v>
      </c>
      <c r="R887" s="4" t="str">
        <f>LOOKUP($E887,OBRAS!$D:$D,OBRAS!A:A)</f>
        <v>HERMOSILLO</v>
      </c>
      <c r="S887" s="4" t="str">
        <f>LOOKUP($E887,OBRAS!$D:$D,OBRAS!F:F)</f>
        <v>11000002003501E203K03204k08063A625012162A207</v>
      </c>
      <c r="T887" s="4" t="str">
        <f>LOOKUP($E887,OBRAS!$D:$D,OBRAS!G:G)</f>
        <v>CE-926006995-E13-2016</v>
      </c>
      <c r="U887" s="4" t="s">
        <v>863</v>
      </c>
      <c r="V887" s="89">
        <v>42762</v>
      </c>
      <c r="W887" s="6">
        <f>LOOKUP($E887,OBRAS!$D:$D,OBRAS!K:K)</f>
        <v>37981342.780000001</v>
      </c>
      <c r="X887" s="109">
        <f t="shared" si="211"/>
        <v>2.9600000000000001E-2</v>
      </c>
      <c r="Y887" s="109">
        <f t="shared" si="212"/>
        <v>1</v>
      </c>
      <c r="Z887" s="109">
        <f t="shared" si="213"/>
        <v>1</v>
      </c>
      <c r="AA887" s="4" t="str">
        <f>LOOKUP($E887,OBRAS!$D:$D,OBRAS!H:H)</f>
        <v>SH-ED-17-R-013</v>
      </c>
    </row>
    <row r="888" spans="1:27" ht="60" x14ac:dyDescent="0.25">
      <c r="A888" s="90">
        <v>42718</v>
      </c>
      <c r="B888" s="56">
        <v>5852</v>
      </c>
      <c r="C888" s="136">
        <v>887</v>
      </c>
      <c r="D888" s="4" t="str">
        <f>LOOKUP($E888,OBRAS!$D:$D,OBRAS!C:C)</f>
        <v>SUPERVISION EXTERNA Y CONTROL DE CALIDAD PARA LA OBRA RECONSTRUCCION DE CAMINO HORNOS - ROSARIO EN VARIAS LOCALIDADES DE VARIOS MUNICIPIOS DEL ESTADO DE SONORA.</v>
      </c>
      <c r="E888" s="4" t="s">
        <v>315</v>
      </c>
      <c r="F888" s="4"/>
      <c r="G888" s="4" t="str">
        <f>LOOKUP($E888,OBRAS!$D:$D,OBRAS!E:E)</f>
        <v>C-00098/0022</v>
      </c>
      <c r="H888" s="80" t="s">
        <v>218</v>
      </c>
      <c r="I888" s="6">
        <v>307572.47999999998</v>
      </c>
      <c r="J888" s="6"/>
      <c r="K888" s="6">
        <v>30757.23</v>
      </c>
      <c r="L888" s="6">
        <f t="shared" si="208"/>
        <v>276815.25</v>
      </c>
      <c r="M888" s="6">
        <f t="shared" si="214"/>
        <v>44290.44</v>
      </c>
      <c r="N888" s="6">
        <f t="shared" si="209"/>
        <v>321105.69</v>
      </c>
      <c r="O888" s="6">
        <f>+ROUND(I888*0.002,2)+ROUND(I888*0.0003,2)+ROUND(I888*0.0003,2)+ROUND(I888*0.0003,2)</f>
        <v>891.95</v>
      </c>
      <c r="P888" s="6">
        <f t="shared" si="210"/>
        <v>320213.74</v>
      </c>
      <c r="Q888" s="4" t="str">
        <f>LOOKUP($E888,OBRAS!$D:$D,OBRAS!B:B)</f>
        <v>OESTEC DE MEXICO SA DE CV</v>
      </c>
      <c r="R888" s="4" t="str">
        <f>LOOKUP($E888,OBRAS!$D:$D,OBRAS!A:A)</f>
        <v>VARIOS</v>
      </c>
      <c r="S888" s="4" t="str">
        <f>LOOKUP($E888,OBRAS!$D:$D,OBRAS!F:F)</f>
        <v>11000002002207E201K02104A622212161A013</v>
      </c>
      <c r="T888" s="4" t="str">
        <f>LOOKUP($E888,OBRAS!$D:$D,OBRAS!G:G)</f>
        <v>CE-9260066995-E46-2016</v>
      </c>
      <c r="U888" s="4" t="s">
        <v>863</v>
      </c>
      <c r="V888" s="89">
        <v>42781</v>
      </c>
      <c r="W888" s="6">
        <f>LOOKUP($E888,OBRAS!$D:$D,OBRAS!K:K)</f>
        <v>2497488.54</v>
      </c>
      <c r="X888" s="109">
        <f t="shared" si="211"/>
        <v>0.1429</v>
      </c>
      <c r="Y888" s="109">
        <f t="shared" si="212"/>
        <v>1.0003</v>
      </c>
      <c r="Z888" s="109">
        <f t="shared" si="213"/>
        <v>1</v>
      </c>
      <c r="AA888" s="4" t="str">
        <f>LOOKUP($E888,OBRAS!$D:$D,OBRAS!H:H)</f>
        <v>SH-ED-16-028</v>
      </c>
    </row>
    <row r="889" spans="1:27" ht="30" x14ac:dyDescent="0.25">
      <c r="A889" s="90">
        <v>42726</v>
      </c>
      <c r="B889" s="56">
        <v>6202</v>
      </c>
      <c r="C889" s="49">
        <v>888</v>
      </c>
      <c r="D889" s="4" t="str">
        <f>LOOKUP($E889,OBRAS!$D:$D,OBRAS!C:C)</f>
        <v>RECONSTRUCCIÓN DE CAMINO HORNOS-ROSARIO</v>
      </c>
      <c r="E889" s="4" t="s">
        <v>532</v>
      </c>
      <c r="F889" s="4"/>
      <c r="G889" s="4" t="str">
        <f>LOOKUP($E889,OBRAS!$D:$D,OBRAS!E:E)</f>
        <v>C-00054/0024</v>
      </c>
      <c r="H889" s="80" t="s">
        <v>264</v>
      </c>
      <c r="I889" s="6">
        <v>7062329.9199999999</v>
      </c>
      <c r="J889" s="6"/>
      <c r="K889" s="6">
        <v>2248772.41</v>
      </c>
      <c r="L889" s="6">
        <f t="shared" si="208"/>
        <v>4813557.51</v>
      </c>
      <c r="M889" s="6">
        <f t="shared" si="214"/>
        <v>770169.2</v>
      </c>
      <c r="N889" s="6">
        <f t="shared" si="209"/>
        <v>5583726.71</v>
      </c>
      <c r="O889" s="6">
        <f>+ROUND(I889*0.002,2)+ROUND(I889*0.0003,2)+ROUND(I889*0.0003,2)+ROUND(I889*0.0003,2)+ROUND(I889*0.002,2)+(31872.43)</f>
        <v>66477.850000000006</v>
      </c>
      <c r="P889" s="6">
        <f t="shared" si="210"/>
        <v>5517248.8600000003</v>
      </c>
      <c r="Q889" s="4" t="str">
        <f>LOOKUP($E889,OBRAS!$D:$D,OBRAS!B:B)</f>
        <v>ADMINISTRADORA DE OBRAS OACSA, S.A. DE C.V.</v>
      </c>
      <c r="R889" s="4" t="str">
        <f>LOOKUP($E889,OBRAS!$D:$D,OBRAS!A:A)</f>
        <v>VARIOS</v>
      </c>
      <c r="S889" s="4" t="str">
        <f>LOOKUP($E889,OBRAS!$D:$D,OBRAS!F:F)</f>
        <v>11000002003501E204K08063A625012162A213</v>
      </c>
      <c r="T889" s="4" t="str">
        <f>LOOKUP($E889,OBRAS!$D:$D,OBRAS!G:G)</f>
        <v>CE-926006995-E7-2016</v>
      </c>
      <c r="U889" s="4" t="s">
        <v>863</v>
      </c>
      <c r="V889" s="89">
        <v>42734</v>
      </c>
      <c r="W889" s="6">
        <f>LOOKUP($E889,OBRAS!$D:$D,OBRAS!K:K)</f>
        <v>83353232.650000006</v>
      </c>
      <c r="X889" s="109">
        <f t="shared" si="211"/>
        <v>9.8299999999999998E-2</v>
      </c>
      <c r="Y889" s="109">
        <f t="shared" si="212"/>
        <v>0.99390000000000001</v>
      </c>
      <c r="Z889" s="109">
        <f t="shared" si="213"/>
        <v>0.99370000000000003</v>
      </c>
      <c r="AA889" s="4" t="str">
        <f>LOOKUP($E889,OBRAS!$D:$D,OBRAS!H:H)</f>
        <v>SH-ED-17-R-013</v>
      </c>
    </row>
    <row r="890" spans="1:27" ht="60" x14ac:dyDescent="0.25">
      <c r="A890" s="90">
        <v>42718</v>
      </c>
      <c r="B890" s="56">
        <v>5854</v>
      </c>
      <c r="C890" s="49">
        <v>889</v>
      </c>
      <c r="D890" s="4" t="str">
        <f>LOOKUP($E890,OBRAS!$D:$D,OBRAS!C:C)</f>
        <v>CONSERVACIÓN DEL TRAMO NOVILLO - BACANORA - SAHUARIPA -  SAN NICOLÁS EN VARIAS LOCALIDADES DE VARIOS MUNICIPIOS DEL ESTADO DE SONORA.</v>
      </c>
      <c r="E890" s="4" t="s">
        <v>554</v>
      </c>
      <c r="F890" s="4" t="s">
        <v>285</v>
      </c>
      <c r="G890" s="4" t="str">
        <f>LOOKUP($E890,OBRAS!$D:$D,OBRAS!E:E)</f>
        <v>C-00054/0055</v>
      </c>
      <c r="H890" s="80" t="s">
        <v>15</v>
      </c>
      <c r="I890" s="6">
        <v>11870908.300000001</v>
      </c>
      <c r="J890" s="6"/>
      <c r="K890" s="6">
        <f>ROUND(I890*0.3,2)</f>
        <v>3561272.49</v>
      </c>
      <c r="L890" s="6">
        <f t="shared" si="208"/>
        <v>8309635.8099999996</v>
      </c>
      <c r="M890" s="6">
        <f t="shared" si="214"/>
        <v>1329541.73</v>
      </c>
      <c r="N890" s="6">
        <f t="shared" si="209"/>
        <v>9639177.5399999991</v>
      </c>
      <c r="O890" s="6">
        <f>+ROUND(I890*0.002,2)+ROUND(I890*0.0003,2)+ROUND(I890*0.0003,2)+ROUND(I890*0.0003,2)+ROUND(I890*0.002,2)</f>
        <v>58167.45</v>
      </c>
      <c r="P890" s="6">
        <f t="shared" si="210"/>
        <v>9581010.0899999999</v>
      </c>
      <c r="Q890" s="4" t="str">
        <f>LOOKUP($E890,OBRAS!$D:$D,OBRAS!B:B)</f>
        <v>CONSTRUCCIONES VILLA DE SERIS, S. A. DE C. V.</v>
      </c>
      <c r="R890" s="4" t="str">
        <f>LOOKUP($E890,OBRAS!$D:$D,OBRAS!A:A)</f>
        <v>VARIOS</v>
      </c>
      <c r="S890" s="4" t="str">
        <f>LOOKUP($E890,OBRAS!$D:$D,OBRAS!F:F)</f>
        <v>11000002003501E204K08063A625012162A213</v>
      </c>
      <c r="T890" s="4" t="str">
        <f>LOOKUP($E890,OBRAS!$D:$D,OBRAS!G:G)</f>
        <v>CE-926006995-E19-2016</v>
      </c>
      <c r="U890" s="4" t="s">
        <v>863</v>
      </c>
      <c r="V890" s="89">
        <v>42729</v>
      </c>
      <c r="W890" s="6">
        <f>LOOKUP($E890,OBRAS!$D:$D,OBRAS!K:K)</f>
        <v>112909841.56</v>
      </c>
      <c r="X890" s="109">
        <f t="shared" si="211"/>
        <v>0.122</v>
      </c>
      <c r="Y890" s="109">
        <f t="shared" si="212"/>
        <v>0.93110000000000004</v>
      </c>
      <c r="Z890" s="109">
        <f t="shared" si="213"/>
        <v>0.95179999999999998</v>
      </c>
      <c r="AA890" s="4" t="str">
        <f>LOOKUP($E890,OBRAS!$D:$D,OBRAS!H:H)</f>
        <v>SH-ED-17-R-004</v>
      </c>
    </row>
    <row r="891" spans="1:27" ht="45" x14ac:dyDescent="0.25">
      <c r="A891" s="90">
        <v>42718</v>
      </c>
      <c r="B891" s="56">
        <v>5855</v>
      </c>
      <c r="C891" s="49">
        <v>890</v>
      </c>
      <c r="D891" s="4" t="str">
        <f>LOOKUP($E891,OBRAS!$D:$D,OBRAS!C:C)</f>
        <v>RECONSTRUCCION DE CALLE 28 NORTE, DEL KM 0 + 000 AL KM 10+160, Y DEL KM 17+210 AL 17+982, HERMOSILLO</v>
      </c>
      <c r="E891" s="4" t="s">
        <v>349</v>
      </c>
      <c r="F891" s="4" t="s">
        <v>285</v>
      </c>
      <c r="G891" s="4" t="str">
        <f>LOOKUP($E891,OBRAS!$D:$D,OBRAS!E:E)</f>
        <v>C-00054/0072</v>
      </c>
      <c r="H891" s="80" t="s">
        <v>15</v>
      </c>
      <c r="I891" s="6">
        <v>3391490.05</v>
      </c>
      <c r="J891" s="6"/>
      <c r="K891" s="6">
        <f>ROUND(I891*0.3,2)</f>
        <v>1017447.02</v>
      </c>
      <c r="L891" s="6">
        <f t="shared" si="208"/>
        <v>2374043.0299999998</v>
      </c>
      <c r="M891" s="6">
        <f t="shared" si="214"/>
        <v>379846.88</v>
      </c>
      <c r="N891" s="6">
        <f t="shared" si="209"/>
        <v>2753889.91</v>
      </c>
      <c r="O891" s="6">
        <f>+ROUND(I891*0.002,2)+ROUND(I891*0.0003,2)+ROUND(I891*0.0003,2)+ROUND(I891*0.0003,2)+ROUND(I891*0.002,2)</f>
        <v>16618.310000000001</v>
      </c>
      <c r="P891" s="6">
        <f t="shared" si="210"/>
        <v>2737271.6</v>
      </c>
      <c r="Q891" s="4" t="str">
        <f>LOOKUP($E891,OBRAS!$D:$D,OBRAS!B:B)</f>
        <v>GRUPO EMPRESARIAL BABASAC, S. A. DE C. V.</v>
      </c>
      <c r="R891" s="4" t="str">
        <f>LOOKUP($E891,OBRAS!$D:$D,OBRAS!A:A)</f>
        <v>HERMOSILLO</v>
      </c>
      <c r="S891" s="4" t="str">
        <f>LOOKUP($E891,OBRAS!$D:$D,OBRAS!F:F)</f>
        <v>11000002003501E204K08063A625012162A207</v>
      </c>
      <c r="T891" s="4" t="str">
        <f>LOOKUP($E891,OBRAS!$D:$D,OBRAS!G:G)</f>
        <v>CE-926006995-E40-2016</v>
      </c>
      <c r="U891" s="4" t="s">
        <v>863</v>
      </c>
      <c r="V891" s="89">
        <v>42762</v>
      </c>
      <c r="W891" s="6">
        <f>LOOKUP($E891,OBRAS!$D:$D,OBRAS!K:K)</f>
        <v>20694418.350000001</v>
      </c>
      <c r="X891" s="109">
        <f t="shared" si="211"/>
        <v>0.19009999999999999</v>
      </c>
      <c r="Y891" s="109">
        <f t="shared" si="212"/>
        <v>1</v>
      </c>
      <c r="Z891" s="109">
        <f t="shared" si="213"/>
        <v>1</v>
      </c>
      <c r="AA891" s="4" t="str">
        <f>LOOKUP($E891,OBRAS!$D:$D,OBRAS!H:H)</f>
        <v>SH-ED-17-R-004</v>
      </c>
    </row>
    <row r="892" spans="1:27" ht="45" x14ac:dyDescent="0.25">
      <c r="A892" s="90">
        <v>42800</v>
      </c>
      <c r="B892" s="56">
        <v>1347</v>
      </c>
      <c r="C892" s="51">
        <v>891</v>
      </c>
      <c r="D892" s="4" t="str">
        <f>LOOKUP($E892,OBRAS!$D:$D,OBRAS!C:C)</f>
        <v>CONSERVACION Y RECONSTRUCCION DEL TRAMO MOCTEZUMA- EL CRUCERO (TRAMO KM 164+500 AL KM 210+750) EN LA REGION DE LA SIERRA.</v>
      </c>
      <c r="E892" s="4" t="s">
        <v>343</v>
      </c>
      <c r="F892" s="4" t="s">
        <v>793</v>
      </c>
      <c r="G892" s="4" t="str">
        <f>LOOKUP($E892,OBRAS!$D:$D,OBRAS!E:E)</f>
        <v>C-00054/0052</v>
      </c>
      <c r="H892" s="80" t="s">
        <v>214</v>
      </c>
      <c r="I892" s="6">
        <v>4108910.2</v>
      </c>
      <c r="J892" s="6"/>
      <c r="K892" s="6">
        <v>1232673.07</v>
      </c>
      <c r="L892" s="6">
        <f t="shared" si="208"/>
        <v>2876237.13</v>
      </c>
      <c r="M892" s="6">
        <f t="shared" si="214"/>
        <v>460197.94</v>
      </c>
      <c r="N892" s="6">
        <f t="shared" si="209"/>
        <v>3336435.07</v>
      </c>
      <c r="O892" s="6">
        <f>+ROUND(I892*0.002,2)+ROUND(I892*0.0003,2)+ROUND(I892*0.0003,2)+ROUND(I892*0.0003,2)+ROUND(I892*0.002,2)</f>
        <v>20133.650000000001</v>
      </c>
      <c r="P892" s="6">
        <f t="shared" si="210"/>
        <v>3316301.42</v>
      </c>
      <c r="Q892" s="4" t="str">
        <f>LOOKUP($E892,OBRAS!$D:$D,OBRAS!B:B)</f>
        <v>LA AZTECA CONSTRUCCIONES Y URBANIZACIONES, S.A. DE C.V.</v>
      </c>
      <c r="R892" s="4" t="str">
        <f>LOOKUP($E892,OBRAS!$D:$D,OBRAS!A:A)</f>
        <v>VARIOS</v>
      </c>
      <c r="S892" s="4" t="str">
        <f>LOOKUP($E892,OBRAS!$D:$D,OBRAS!F:F)</f>
        <v>11000002003501E204K08063A625012162A213</v>
      </c>
      <c r="T892" s="4" t="str">
        <f>LOOKUP($E892,OBRAS!$D:$D,OBRAS!G:G)</f>
        <v>CE-926006995-E16-2016</v>
      </c>
      <c r="U892" s="4" t="s">
        <v>866</v>
      </c>
      <c r="V892" s="89">
        <v>42797</v>
      </c>
      <c r="W892" s="6">
        <f>LOOKUP($E892,OBRAS!$D:$D,OBRAS!K:K)</f>
        <v>60543852.310000002</v>
      </c>
      <c r="X892" s="109">
        <f t="shared" si="211"/>
        <v>7.8700000000000006E-2</v>
      </c>
      <c r="Y892" s="109">
        <f t="shared" si="212"/>
        <v>1</v>
      </c>
      <c r="Z892" s="109">
        <f t="shared" si="213"/>
        <v>1</v>
      </c>
      <c r="AA892" s="4" t="str">
        <f>LOOKUP($E892,OBRAS!$D:$D,OBRAS!H:H)</f>
        <v>SH-ED-17-R-013</v>
      </c>
    </row>
    <row r="893" spans="1:27" ht="45" x14ac:dyDescent="0.25">
      <c r="A893" s="90">
        <v>42718</v>
      </c>
      <c r="B893" s="56">
        <v>5857</v>
      </c>
      <c r="C893" s="51">
        <v>892</v>
      </c>
      <c r="D893" s="4" t="str">
        <f>LOOKUP($E893,OBRAS!$D:$D,OBRAS!C:C)</f>
        <v>SUPERVISION EXTERNA Y CONTROL DE CALIDAD DE LA RECONSTRUCCION DE CALLE 26, DEL KM 70+000 AL KM 101+300, HERMOSILLO</v>
      </c>
      <c r="E893" s="4" t="s">
        <v>678</v>
      </c>
      <c r="F893" s="4"/>
      <c r="G893" s="4" t="str">
        <f>LOOKUP($E893,OBRAS!$D:$D,OBRAS!E:E)</f>
        <v>C-00098/0022</v>
      </c>
      <c r="H893" s="80" t="s">
        <v>214</v>
      </c>
      <c r="I893" s="6">
        <v>200946.07</v>
      </c>
      <c r="J893" s="6"/>
      <c r="K893" s="6">
        <f>ROUND(I893*0.1,2)</f>
        <v>20094.61</v>
      </c>
      <c r="L893" s="6">
        <f t="shared" si="208"/>
        <v>180851.46</v>
      </c>
      <c r="M893" s="6">
        <f t="shared" si="214"/>
        <v>28936.23</v>
      </c>
      <c r="N893" s="6">
        <f t="shared" si="209"/>
        <v>209787.69</v>
      </c>
      <c r="O893" s="6">
        <f>+ROUND(I893*0.002,2)+ROUND(I893*0.0003,2)+ROUND(I893*0.0003,2)+ROUND(I893*0.0003,2)</f>
        <v>582.73</v>
      </c>
      <c r="P893" s="6">
        <f t="shared" si="210"/>
        <v>209204.96</v>
      </c>
      <c r="Q893" s="4" t="str">
        <f>LOOKUP($E893,OBRAS!$D:$D,OBRAS!B:B)</f>
        <v>GM3 INGENIERIA Y SERVICIOS, S. DE R.L. DE C.V.</v>
      </c>
      <c r="R893" s="4" t="str">
        <f>LOOKUP($E893,OBRAS!$D:$D,OBRAS!A:A)</f>
        <v>HERMOSILLO</v>
      </c>
      <c r="S893" s="4" t="str">
        <f>LOOKUP($E893,OBRAS!$D:$D,OBRAS!F:F)</f>
        <v>11000002002207E201K02104A622212161A013</v>
      </c>
      <c r="T893" s="4" t="str">
        <f>LOOKUP($E893,OBRAS!$D:$D,OBRAS!G:G)</f>
        <v>CE-926006995-E69-2016</v>
      </c>
      <c r="U893" s="4" t="s">
        <v>863</v>
      </c>
      <c r="V893" s="89">
        <v>42781</v>
      </c>
      <c r="W893" s="6">
        <f>LOOKUP($E893,OBRAS!$D:$D,OBRAS!K:K)</f>
        <v>1369447.44</v>
      </c>
      <c r="X893" s="109">
        <f t="shared" si="211"/>
        <v>0.17019999999999999</v>
      </c>
      <c r="Y893" s="109">
        <f t="shared" si="212"/>
        <v>1.0639000000000001</v>
      </c>
      <c r="Z893" s="109">
        <f t="shared" si="213"/>
        <v>1.0638000000000001</v>
      </c>
      <c r="AA893" s="4" t="str">
        <f>LOOKUP($E893,OBRAS!$D:$D,OBRAS!H:H)</f>
        <v>SH-ED-16-066</v>
      </c>
    </row>
    <row r="894" spans="1:27" ht="60" x14ac:dyDescent="0.25">
      <c r="A894" s="90">
        <v>42718</v>
      </c>
      <c r="B894" s="56">
        <v>5858</v>
      </c>
      <c r="C894" s="51">
        <v>893</v>
      </c>
      <c r="D894" s="4" t="str">
        <f>LOOKUP($E894,OBRAS!$D:$D,OBRAS!C:C)</f>
        <v>SUPERVISION EXTERNA Y CONTROL DE CALIDAD DE LA REHABILITACION DE RED DE CARRETERAS ALIMENTADORAS EN LA REGION DEL RIO SONORA; SUBTRAMO KM 75+000 AL KM 149+000</v>
      </c>
      <c r="E894" s="4" t="s">
        <v>749</v>
      </c>
      <c r="F894" s="4"/>
      <c r="G894" s="4" t="str">
        <f>LOOKUP($E894,OBRAS!$D:$D,OBRAS!E:E)</f>
        <v>C-00098/0021</v>
      </c>
      <c r="H894" s="80" t="s">
        <v>214</v>
      </c>
      <c r="I894" s="6">
        <v>323774.96999999997</v>
      </c>
      <c r="J894" s="6"/>
      <c r="K894" s="6">
        <v>0</v>
      </c>
      <c r="L894" s="6">
        <f t="shared" si="208"/>
        <v>323774.96999999997</v>
      </c>
      <c r="M894" s="6">
        <f t="shared" si="214"/>
        <v>51804</v>
      </c>
      <c r="N894" s="6">
        <f t="shared" si="209"/>
        <v>375578.97</v>
      </c>
      <c r="O894" s="6">
        <f>+ROUND(I894*0.002,2)+ROUND(I894*0.0003,2)+ROUND(I894*0.0003,2)+ROUND(I894*0.0003,2)</f>
        <v>938.94</v>
      </c>
      <c r="P894" s="6">
        <f t="shared" si="210"/>
        <v>374640.03</v>
      </c>
      <c r="Q894" s="4" t="str">
        <f>LOOKUP($E894,OBRAS!$D:$D,OBRAS!B:B)</f>
        <v>ESCOBO S.A. DE C.V.</v>
      </c>
      <c r="R894" s="4" t="str">
        <f>LOOKUP($E894,OBRAS!$D:$D,OBRAS!A:A)</f>
        <v>VARIOS</v>
      </c>
      <c r="S894" s="4" t="str">
        <f>LOOKUP($E894,OBRAS!$D:$D,OBRAS!F:F)</f>
        <v>11000002003501E203K03203A625132161A013</v>
      </c>
      <c r="T894" s="4" t="str">
        <f>LOOKUP($E894,OBRAS!$D:$D,OBRAS!G:G)</f>
        <v>CE-966006995-E68-2016</v>
      </c>
      <c r="U894" s="4" t="s">
        <v>863</v>
      </c>
      <c r="V894" s="89">
        <v>42781</v>
      </c>
      <c r="W894" s="6">
        <f>LOOKUP($E894,OBRAS!$D:$D,OBRAS!K:K)</f>
        <v>2346107.56</v>
      </c>
      <c r="X894" s="109">
        <f t="shared" si="211"/>
        <v>0.16009999999999999</v>
      </c>
      <c r="Y894" s="109">
        <f t="shared" si="212"/>
        <v>0.78280000000000005</v>
      </c>
      <c r="Z894" s="109">
        <f t="shared" si="213"/>
        <v>0.78280000000000005</v>
      </c>
      <c r="AA894" s="4" t="str">
        <f>LOOKUP($E894,OBRAS!$D:$D,OBRAS!H:H)</f>
        <v>SH-ED-16-060</v>
      </c>
    </row>
    <row r="895" spans="1:27" ht="60" x14ac:dyDescent="0.25">
      <c r="A895" s="90">
        <v>42718</v>
      </c>
      <c r="B895" s="56">
        <v>5859</v>
      </c>
      <c r="C895" s="51">
        <v>894</v>
      </c>
      <c r="D895" s="4" t="str">
        <f>LOOKUP($E895,OBRAS!$D:$D,OBRAS!C:C)</f>
        <v>SUPERVISION EXTERNA Y CONTROL DE CALIDAD CONCLUSION DE LA MODERNIZACION Y RECONSTRUCCION DEL TRAMO ESPERANZA - HORNOS (DEL KM 8 + 800 AL KM 17 + 400)</v>
      </c>
      <c r="E895" s="4" t="s">
        <v>291</v>
      </c>
      <c r="F895" s="4"/>
      <c r="G895" s="4" t="str">
        <f>LOOKUP($E895,OBRAS!$D:$D,OBRAS!E:E)</f>
        <v>C-00098/0021</v>
      </c>
      <c r="H895" s="80" t="s">
        <v>214</v>
      </c>
      <c r="I895" s="6">
        <v>137676.74</v>
      </c>
      <c r="J895" s="6"/>
      <c r="K895" s="6">
        <f>ROUND(I895*0.1,2)</f>
        <v>13767.67</v>
      </c>
      <c r="L895" s="6">
        <f t="shared" si="208"/>
        <v>123909.07</v>
      </c>
      <c r="M895" s="6">
        <f t="shared" si="214"/>
        <v>19825.45</v>
      </c>
      <c r="N895" s="6">
        <f t="shared" si="209"/>
        <v>143734.51999999999</v>
      </c>
      <c r="O895" s="6">
        <f>+ROUND(I895*0.002,2)+ROUND(I895*0.0003,2)+ROUND(I895*0.0003,2)+ROUND(I895*0.0003,2)</f>
        <v>399.25</v>
      </c>
      <c r="P895" s="6">
        <f t="shared" si="210"/>
        <v>143335.26999999999</v>
      </c>
      <c r="Q895" s="4" t="str">
        <f>LOOKUP($E895,OBRAS!$D:$D,OBRAS!B:B)</f>
        <v>OESTEC DE MEXICO SA DE CV</v>
      </c>
      <c r="R895" s="4" t="str">
        <f>LOOKUP($E895,OBRAS!$D:$D,OBRAS!A:A)</f>
        <v>VARIOS</v>
      </c>
      <c r="S895" s="4" t="str">
        <f>LOOKUP($E895,OBRAS!$D:$D,OBRAS!F:F)</f>
        <v>11000002003501E203K03203A625132161A013</v>
      </c>
      <c r="T895" s="4" t="str">
        <f>LOOKUP($E895,OBRAS!$D:$D,OBRAS!G:G)</f>
        <v>CE-926006995-E52-2016</v>
      </c>
      <c r="U895" s="4" t="s">
        <v>863</v>
      </c>
      <c r="V895" s="89">
        <v>42781</v>
      </c>
      <c r="W895" s="6">
        <f>LOOKUP($E895,OBRAS!$D:$D,OBRAS!K:K)</f>
        <v>2445138.9700000002</v>
      </c>
      <c r="X895" s="109">
        <f t="shared" si="211"/>
        <v>6.5299999999999997E-2</v>
      </c>
      <c r="Y895" s="109">
        <f t="shared" si="212"/>
        <v>0.96409999999999996</v>
      </c>
      <c r="Z895" s="109">
        <f t="shared" si="213"/>
        <v>0.96760000000000002</v>
      </c>
      <c r="AA895" s="4" t="str">
        <f>LOOKUP($E895,OBRAS!$D:$D,OBRAS!H:H)</f>
        <v>SH-ED-16-040</v>
      </c>
    </row>
    <row r="896" spans="1:27" ht="75" x14ac:dyDescent="0.25">
      <c r="A896" s="90">
        <v>42718</v>
      </c>
      <c r="B896" s="56">
        <v>5860</v>
      </c>
      <c r="C896" s="51">
        <v>895</v>
      </c>
      <c r="D896" s="4" t="str">
        <f>LOOKUP($E896,OBRAS!$D:$D,OBRAS!C:C)</f>
        <v>SUPERVISION EXTERNA PARA LA OBRA: CONSTRUCCION DE PARQUE, PLAYA Y BALNEARIO KINO MAGICO (ETAPA 1) EN LA COMISARIA DE BAHIA DE KINO MUNICIPIO DE HERMOSILLO, SONORA.</v>
      </c>
      <c r="E896" s="4" t="s">
        <v>410</v>
      </c>
      <c r="F896" s="4"/>
      <c r="G896" s="4" t="str">
        <f>LOOKUP($E896,OBRAS!$D:$D,OBRAS!E:E)</f>
        <v>C-00053/0014</v>
      </c>
      <c r="H896" s="80" t="s">
        <v>15</v>
      </c>
      <c r="I896" s="6">
        <v>299129.75</v>
      </c>
      <c r="J896" s="6"/>
      <c r="K896" s="6">
        <f>ROUND(I896*0.1,2)</f>
        <v>29912.98</v>
      </c>
      <c r="L896" s="6">
        <f t="shared" si="208"/>
        <v>269216.77</v>
      </c>
      <c r="M896" s="6">
        <f t="shared" si="214"/>
        <v>43074.68</v>
      </c>
      <c r="N896" s="6">
        <f t="shared" si="209"/>
        <v>312291.45</v>
      </c>
      <c r="O896" s="6">
        <f>+ROUND(I896*0.002,2)+ROUND(I896*0.0003,2)+ROUND(I896*0.0003,2)+ROUND(I896*0.0003,2)</f>
        <v>867.48</v>
      </c>
      <c r="P896" s="6">
        <f t="shared" si="210"/>
        <v>311423.96999999997</v>
      </c>
      <c r="Q896" s="4" t="str">
        <f>LOOKUP($E896,OBRAS!$D:$D,OBRAS!B:B)</f>
        <v>CONSULTORIA Y CONSTRUCCION DEL NOROESTE</v>
      </c>
      <c r="R896" s="4" t="str">
        <f>LOOKUP($E896,OBRAS!$D:$D,OBRAS!A:A)</f>
        <v>HERMOSILLO</v>
      </c>
      <c r="S896" s="4" t="str">
        <f>LOOKUP($E896,OBRAS!$D:$D,OBRAS!F:F)</f>
        <v>11000002003701E306K05101A121012162A207</v>
      </c>
      <c r="T896" s="4" t="str">
        <f>LOOKUP($E896,OBRAS!$D:$D,OBRAS!G:G)</f>
        <v>CE-926006995-E56-2016</v>
      </c>
      <c r="U896" s="4" t="s">
        <v>2238</v>
      </c>
      <c r="V896" s="89">
        <v>42744</v>
      </c>
      <c r="W896" s="6">
        <f>LOOKUP($E896,OBRAS!$D:$D,OBRAS!K:K)</f>
        <v>2428933.5699999998</v>
      </c>
      <c r="X896" s="109">
        <f t="shared" si="211"/>
        <v>0.1429</v>
      </c>
      <c r="Y896" s="109">
        <f t="shared" si="212"/>
        <v>0.71450000000000002</v>
      </c>
      <c r="Z896" s="109">
        <f t="shared" si="213"/>
        <v>0.7429</v>
      </c>
      <c r="AA896" s="4" t="str">
        <f>LOOKUP($E896,OBRAS!$D:$D,OBRAS!H:H)</f>
        <v>SH-ED-16-046</v>
      </c>
    </row>
    <row r="897" spans="1:27" ht="75" x14ac:dyDescent="0.25">
      <c r="A897" s="90">
        <v>42718</v>
      </c>
      <c r="B897" s="56">
        <v>5861</v>
      </c>
      <c r="C897" s="51">
        <v>896</v>
      </c>
      <c r="D897" s="4" t="str">
        <f>LOOKUP($E897,OBRAS!$D:$D,OBRAS!C:C)</f>
        <v>SUPERVISION EXTERNA Y CONTROL DE CALIDAD DE LA OBRA: CONSERVACION Y RECONSTRUCCION DEL TRAMO MAZATAN - HERMOSILLO EN VARIAS LOCALIDADES DE VARIOS MUNICIPIOS DEL ESTADO DE SONORA.</v>
      </c>
      <c r="E897" s="4" t="s">
        <v>431</v>
      </c>
      <c r="F897" s="4"/>
      <c r="G897" s="4" t="str">
        <f>LOOKUP($E897,OBRAS!$D:$D,OBRAS!E:E)</f>
        <v>C-00098/0021</v>
      </c>
      <c r="H897" s="80" t="s">
        <v>55</v>
      </c>
      <c r="I897" s="6">
        <v>223877.65</v>
      </c>
      <c r="J897" s="6"/>
      <c r="K897" s="6">
        <v>22387.759999999998</v>
      </c>
      <c r="L897" s="6">
        <f t="shared" si="208"/>
        <v>201489.89</v>
      </c>
      <c r="M897" s="6">
        <f t="shared" si="214"/>
        <v>32238.38</v>
      </c>
      <c r="N897" s="6">
        <f t="shared" si="209"/>
        <v>233728.27</v>
      </c>
      <c r="O897" s="6">
        <f>+ROUND(I897*0.002,2)+ROUND(I897*0.0003,2)+ROUND(I897*0.0003,2)+ROUND(I897*0.0003,2)</f>
        <v>649.24</v>
      </c>
      <c r="P897" s="6">
        <f t="shared" si="210"/>
        <v>233079.03</v>
      </c>
      <c r="Q897" s="4" t="str">
        <f>LOOKUP($E897,OBRAS!$D:$D,OBRAS!B:B)</f>
        <v>LABORATORIO, ESTUDIOS Y SERVICIOS PROFESIONALES DE INGENIERIA, S.A. DE C.V.</v>
      </c>
      <c r="R897" s="4" t="str">
        <f>LOOKUP($E897,OBRAS!$D:$D,OBRAS!A:A)</f>
        <v>VARIOS</v>
      </c>
      <c r="S897" s="4" t="str">
        <f>LOOKUP($E897,OBRAS!$D:$D,OBRAS!F:F)</f>
        <v>11000002003501E203K03203A625132161A013</v>
      </c>
      <c r="T897" s="4" t="str">
        <f>LOOKUP($E897,OBRAS!$D:$D,OBRAS!G:G)</f>
        <v>LICITACIÓN SIMPLIFICADA</v>
      </c>
      <c r="U897" s="4" t="s">
        <v>2238</v>
      </c>
      <c r="V897" s="89">
        <v>42744</v>
      </c>
      <c r="W897" s="6">
        <f>LOOKUP($E897,OBRAS!$D:$D,OBRAS!K:K)</f>
        <v>779094.22</v>
      </c>
      <c r="X897" s="109">
        <f t="shared" si="211"/>
        <v>0.33329999999999999</v>
      </c>
      <c r="Y897" s="109">
        <f t="shared" si="212"/>
        <v>0.99990000000000001</v>
      </c>
      <c r="Z897" s="109">
        <f t="shared" si="213"/>
        <v>1</v>
      </c>
      <c r="AA897" s="4" t="str">
        <f>LOOKUP($E897,OBRAS!$D:$D,OBRAS!H:H)</f>
        <v>SH-ED-16-051</v>
      </c>
    </row>
    <row r="898" spans="1:27" ht="60" x14ac:dyDescent="0.25">
      <c r="A898" s="90"/>
      <c r="C898" s="51">
        <v>897</v>
      </c>
      <c r="D898" s="4" t="str">
        <f>LOOKUP($E898,OBRAS!$D:$D,OBRAS!C:C)</f>
        <v>SUPERVISION EXTERNA Y CONTROL DE CALIDAD PARA LA OBRA: CONSTRUCCION DEL CENTRO DE TRANSICION AL NUEVO SISTEMA DE JUSTICIA PENAL DE HERMOSILLO</v>
      </c>
      <c r="E898" s="4" t="s">
        <v>1930</v>
      </c>
      <c r="F898" s="4"/>
      <c r="G898" s="4" t="str">
        <f>LOOKUP($E898,OBRAS!$D:$D,OBRAS!E:E)</f>
        <v>C-00058/0011</v>
      </c>
      <c r="H898" s="80" t="s">
        <v>23</v>
      </c>
      <c r="I898" s="6">
        <v>83524.05</v>
      </c>
      <c r="J898" s="6"/>
      <c r="K898" s="6">
        <v>0</v>
      </c>
      <c r="L898" s="6">
        <f t="shared" si="208"/>
        <v>83524.05</v>
      </c>
      <c r="M898" s="6">
        <f t="shared" si="214"/>
        <v>13363.85</v>
      </c>
      <c r="N898" s="6">
        <f t="shared" si="209"/>
        <v>96887.9</v>
      </c>
      <c r="O898" s="6">
        <v>0</v>
      </c>
      <c r="P898" s="6">
        <f t="shared" si="210"/>
        <v>96887.9</v>
      </c>
      <c r="Q898" s="4" t="str">
        <f>LOOKUP($E898,OBRAS!$D:$D,OBRAS!B:B)</f>
        <v>CERTUS GERENCIA DE PROYECTOS, S.A. DE C.V.</v>
      </c>
      <c r="R898" s="4" t="str">
        <f>LOOKUP($E898,OBRAS!$D:$D,OBRAS!A:A)</f>
        <v>HERMOSILLO</v>
      </c>
      <c r="S898" s="4" t="str">
        <f>LOOKUP($E898,OBRAS!$D:$D,OBRAS!F:F)</f>
        <v>11000002001202E104K06104A622202165HY07</v>
      </c>
      <c r="T898" s="4" t="str">
        <f>LOOKUP($E898,OBRAS!$D:$D,OBRAS!G:G)</f>
        <v>CE-926006995-E165-2016</v>
      </c>
      <c r="U898" s="4" t="s">
        <v>863</v>
      </c>
      <c r="V898" s="89">
        <v>42727</v>
      </c>
      <c r="W898" s="6">
        <f>LOOKUP($E898,OBRAS!$D:$D,OBRAS!K:K)</f>
        <v>968879</v>
      </c>
      <c r="X898" s="109" t="str">
        <f t="shared" si="211"/>
        <v/>
      </c>
      <c r="Y898" s="109">
        <f t="shared" si="212"/>
        <v>0</v>
      </c>
      <c r="Z898" s="109">
        <f t="shared" si="213"/>
        <v>0.1</v>
      </c>
      <c r="AA898" s="4" t="str">
        <f>LOOKUP($E898,OBRAS!$D:$D,OBRAS!H:H)</f>
        <v>SH-FIES-16-001</v>
      </c>
    </row>
    <row r="899" spans="1:27" ht="45" x14ac:dyDescent="0.25">
      <c r="A899" s="90">
        <v>42718</v>
      </c>
      <c r="B899" s="56">
        <v>5883</v>
      </c>
      <c r="C899" s="49">
        <v>898</v>
      </c>
      <c r="D899" s="4" t="str">
        <f>LOOKUP($E899,OBRAS!$D:$D,OBRAS!C:C)</f>
        <v>CONSTRUCCION DE CONSERVATORIO DE MUSICA FRAY IVO TONECK EN LA LOCALIDAD Y MUNICIPIO DE GUAYMAS, SONORA</v>
      </c>
      <c r="E899" s="4" t="s">
        <v>147</v>
      </c>
      <c r="F899" s="4" t="s">
        <v>1935</v>
      </c>
      <c r="G899" s="4" t="str">
        <f>LOOKUP($E899,OBRAS!$D:$D,OBRAS!E:E)</f>
        <v>C-00093/0009</v>
      </c>
      <c r="H899" s="80" t="s">
        <v>218</v>
      </c>
      <c r="I899" s="6">
        <v>1898474.1</v>
      </c>
      <c r="J899" s="6"/>
      <c r="K899" s="6">
        <v>759389.64</v>
      </c>
      <c r="L899" s="6">
        <f t="shared" si="208"/>
        <v>1139084.46</v>
      </c>
      <c r="M899" s="6">
        <f t="shared" si="214"/>
        <v>182253.51</v>
      </c>
      <c r="N899" s="6">
        <f t="shared" si="209"/>
        <v>1321337.97</v>
      </c>
      <c r="O899" s="6">
        <f>+ROUND(I899*0.005,2)</f>
        <v>9492.3700000000008</v>
      </c>
      <c r="P899" s="6">
        <f t="shared" si="210"/>
        <v>1311845.6000000001</v>
      </c>
      <c r="Q899" s="4" t="str">
        <f>LOOKUP($E899,OBRAS!$D:$D,OBRAS!B:B)</f>
        <v>EDIFICADORA CABO HARO, S.A. DE C.V.</v>
      </c>
      <c r="R899" s="4" t="str">
        <f>LOOKUP($E899,OBRAS!$D:$D,OBRAS!A:A)</f>
        <v>GUAYMAS</v>
      </c>
      <c r="S899" s="4" t="str">
        <f>LOOKUP($E899,OBRAS!$D:$D,OBRAS!F:F)</f>
        <v>11000002002402E406K06106A612012155GL10</v>
      </c>
      <c r="T899" s="4" t="str">
        <f>LOOKUP($E899,OBRAS!$D:$D,OBRAS!G:G)</f>
        <v>LO-926006995-N14-2015</v>
      </c>
      <c r="U899" s="4" t="s">
        <v>863</v>
      </c>
      <c r="V899" s="89">
        <v>42734</v>
      </c>
      <c r="W899" s="6">
        <f>LOOKUP($E899,OBRAS!$D:$D,OBRAS!K:K)</f>
        <v>17439154.870000001</v>
      </c>
      <c r="X899" s="109">
        <f t="shared" si="211"/>
        <v>0.1263</v>
      </c>
      <c r="Y899" s="109">
        <f t="shared" si="212"/>
        <v>1.1156999999999999</v>
      </c>
      <c r="Z899" s="109">
        <f t="shared" si="213"/>
        <v>0.7198</v>
      </c>
      <c r="AA899" s="4" t="str">
        <f>LOOKUP($E899,OBRAS!$D:$D,OBRAS!H:H)</f>
        <v>SH-NC-16-R-007</v>
      </c>
    </row>
    <row r="900" spans="1:27" ht="30" x14ac:dyDescent="0.25">
      <c r="A900" s="90">
        <v>42718</v>
      </c>
      <c r="B900" s="56">
        <v>5885</v>
      </c>
      <c r="C900" s="51">
        <v>899</v>
      </c>
      <c r="D900" s="4" t="str">
        <f>LOOKUP($E900,OBRAS!$D:$D,OBRAS!C:C)</f>
        <v>OBRAS DE REHABILITACION DEL DELFINARIO SONORA (PRIMERA ETAPA)</v>
      </c>
      <c r="E900" s="4" t="s">
        <v>603</v>
      </c>
      <c r="F900" s="4" t="s">
        <v>224</v>
      </c>
      <c r="G900" s="4" t="str">
        <f>LOOKUP($E900,OBRAS!$D:$D,OBRAS!E:E)</f>
        <v>C-00061/0013</v>
      </c>
      <c r="H900" s="80" t="s">
        <v>215</v>
      </c>
      <c r="I900" s="6">
        <v>6036130.0300000003</v>
      </c>
      <c r="J900" s="6"/>
      <c r="K900" s="6">
        <f>ROUND(I900*0.3,2)</f>
        <v>1810839.01</v>
      </c>
      <c r="L900" s="6">
        <f t="shared" si="208"/>
        <v>4225291.0199999996</v>
      </c>
      <c r="M900" s="6">
        <f t="shared" si="214"/>
        <v>676046.56</v>
      </c>
      <c r="N900" s="6">
        <f t="shared" si="209"/>
        <v>4901337.58</v>
      </c>
      <c r="O900" s="6">
        <f>+ROUND(I900*0.002,2)+ROUND(I900*0.0003,2)+ROUND(I900*0.0003,2)+ROUND(I900*0.0003,2)+ROUND(I900*0.002,2)</f>
        <v>29577.040000000001</v>
      </c>
      <c r="P900" s="6">
        <f t="shared" si="210"/>
        <v>4871760.54</v>
      </c>
      <c r="Q900" s="4" t="str">
        <f>LOOKUP($E900,OBRAS!$D:$D,OBRAS!B:B)</f>
        <v>CONSTRUCTORA MIRAMAR, S.A. DE C.V.</v>
      </c>
      <c r="R900" s="4" t="str">
        <f>LOOKUP($E900,OBRAS!$D:$D,OBRAS!A:A)</f>
        <v>GUAYMAS</v>
      </c>
      <c r="S900" s="4" t="str">
        <f>LOOKUP($E900,OBRAS!$D:$D,OBRAS!F:F)</f>
        <v>11000002002202E401K04039A622032165DM10</v>
      </c>
      <c r="T900" s="4" t="str">
        <f>LOOKUP($E900,OBRAS!$D:$D,OBRAS!G:G)</f>
        <v>CE-926006995-E37-2016</v>
      </c>
      <c r="U900" s="4" t="s">
        <v>863</v>
      </c>
      <c r="V900" s="89">
        <v>42732</v>
      </c>
      <c r="W900" s="6">
        <f>LOOKUP($E900,OBRAS!$D:$D,OBRAS!K:K)</f>
        <v>34216706.5</v>
      </c>
      <c r="X900" s="109">
        <f t="shared" si="211"/>
        <v>0.2046</v>
      </c>
      <c r="Y900" s="109">
        <f t="shared" si="212"/>
        <v>0.9748</v>
      </c>
      <c r="Z900" s="109">
        <f t="shared" si="213"/>
        <v>0.9819</v>
      </c>
      <c r="AA900" s="4" t="str">
        <f>LOOKUP($E900,OBRAS!$D:$D,OBRAS!H:H)</f>
        <v>SH-FAFEF-17-R-002</v>
      </c>
    </row>
    <row r="901" spans="1:27" ht="45" x14ac:dyDescent="0.25">
      <c r="A901" s="90">
        <v>42718</v>
      </c>
      <c r="B901" s="56">
        <v>5886</v>
      </c>
      <c r="C901" s="51">
        <v>900</v>
      </c>
      <c r="D901" s="4" t="str">
        <f>LOOKUP($E901,OBRAS!$D:$D,OBRAS!C:C)</f>
        <v>REHABILITACION DE ESTRUCTURA PARA MALLA SOMBRA EN CASA HOGAR JINESEKI, EN LA LOCALIDAD Y MUNICIPIO DE HERMOSILLO</v>
      </c>
      <c r="E901" s="4" t="s">
        <v>1936</v>
      </c>
      <c r="F901" s="4"/>
      <c r="G901" s="4" t="str">
        <f>LOOKUP($E901,OBRAS!$D:$D,OBRAS!E:E)</f>
        <v>C-00061/0017</v>
      </c>
      <c r="H901" s="80" t="s">
        <v>103</v>
      </c>
      <c r="I901" s="6">
        <v>139078.39999999999</v>
      </c>
      <c r="J901" s="6"/>
      <c r="K901" s="6">
        <v>0</v>
      </c>
      <c r="L901" s="6">
        <f t="shared" si="208"/>
        <v>139078.39999999999</v>
      </c>
      <c r="M901" s="6">
        <f t="shared" si="214"/>
        <v>22252.54</v>
      </c>
      <c r="N901" s="6">
        <f t="shared" si="209"/>
        <v>161330.94</v>
      </c>
      <c r="O901" s="6">
        <f>+ROUND(I901*0.002,2)+ROUND(I901*0.0003,2)+ROUND(I901*0.0003,2)+ROUND(I901*0.0003,2)+ROUND(I901*0.002,2)</f>
        <v>681.48</v>
      </c>
      <c r="P901" s="6">
        <f t="shared" si="210"/>
        <v>160649.46</v>
      </c>
      <c r="Q901" s="4" t="str">
        <f>LOOKUP($E901,OBRAS!$D:$D,OBRAS!B:B)</f>
        <v>RAYDA CONSTRUCTORES, S.A. DE C.V.</v>
      </c>
      <c r="R901" s="4" t="str">
        <f>LOOKUP($E901,OBRAS!$D:$D,OBRAS!A:A)</f>
        <v>HERMOSILLO</v>
      </c>
      <c r="S901" s="4" t="str">
        <f>LOOKUP($E901,OBRAS!$D:$D,OBRAS!F:F)</f>
        <v>11000002002202E402K17105A612032165DM07</v>
      </c>
      <c r="T901" s="4" t="str">
        <f>LOOKUP($E901,OBRAS!$D:$D,OBRAS!G:G)</f>
        <v>ADJUDICACIÓN DIRECTA</v>
      </c>
      <c r="U901" s="4" t="s">
        <v>863</v>
      </c>
      <c r="V901" s="89">
        <v>42734</v>
      </c>
      <c r="W901" s="6">
        <f>LOOKUP($E901,OBRAS!$D:$D,OBRAS!K:K)</f>
        <v>161330.94</v>
      </c>
      <c r="X901" s="109">
        <f t="shared" si="211"/>
        <v>1</v>
      </c>
      <c r="Y901" s="109">
        <f t="shared" si="212"/>
        <v>1</v>
      </c>
      <c r="Z901" s="109">
        <f t="shared" si="213"/>
        <v>1</v>
      </c>
      <c r="AA901" s="4" t="str">
        <f>LOOKUP($E901,OBRAS!$D:$D,OBRAS!H:H)</f>
        <v>SH-FAFEF-16-023</v>
      </c>
    </row>
    <row r="902" spans="1:27" ht="45" x14ac:dyDescent="0.25">
      <c r="A902" s="90">
        <v>42718</v>
      </c>
      <c r="B902" s="56">
        <v>5887</v>
      </c>
      <c r="C902" s="51">
        <v>901</v>
      </c>
      <c r="D902" s="4" t="str">
        <f>LOOKUP($E902,OBRAS!$D:$D,OBRAS!C:C)</f>
        <v>REHABILITACION DE PAVIMENTOS EN 12 CALLES DE CD. OBREGON NORTE EN LA LOCALIDAD DE CD. OBREGON MUNICIPIO DE CAJEME, SONORA.</v>
      </c>
      <c r="E902" s="4" t="s">
        <v>930</v>
      </c>
      <c r="F902" s="4" t="s">
        <v>927</v>
      </c>
      <c r="G902" s="4" t="str">
        <f>LOOKUP($E902,OBRAS!$D:$D,OBRAS!E:E)</f>
        <v>C-00052/0219</v>
      </c>
      <c r="H902" s="80" t="s">
        <v>221</v>
      </c>
      <c r="I902" s="6">
        <v>2788032.49</v>
      </c>
      <c r="J902" s="6"/>
      <c r="K902" s="6">
        <f>ROUND(I902*0.3,2)</f>
        <v>836409.75</v>
      </c>
      <c r="L902" s="6">
        <f t="shared" si="208"/>
        <v>1951622.74</v>
      </c>
      <c r="M902" s="6">
        <f t="shared" si="214"/>
        <v>312259.64</v>
      </c>
      <c r="N902" s="6">
        <f t="shared" si="209"/>
        <v>2263882.38</v>
      </c>
      <c r="O902" s="6">
        <f>+ROUND(I902*0.005,2)</f>
        <v>13940.16</v>
      </c>
      <c r="P902" s="6">
        <f t="shared" si="210"/>
        <v>2249942.2200000002</v>
      </c>
      <c r="Q902" s="4" t="str">
        <f>LOOKUP($E902,OBRAS!$D:$D,OBRAS!B:B)</f>
        <v>EDIFICACION INTEGRAL DEL NOROESTE S. A. DE C. V.</v>
      </c>
      <c r="R902" s="4" t="str">
        <f>LOOKUP($E902,OBRAS!$D:$D,OBRAS!A:A)</f>
        <v>CAJEME</v>
      </c>
      <c r="S902" s="4" t="str">
        <f>LOOKUP($E902,OBRAS!$D:$D,OBRAS!F:F)</f>
        <v>11000002002201E202K05186A614202165FN11</v>
      </c>
      <c r="T902" s="4" t="str">
        <f>LOOKUP($E902,OBRAS!$D:$D,OBRAS!G:G)</f>
        <v>LO-926006995-E97-2016</v>
      </c>
      <c r="U902" s="4" t="s">
        <v>863</v>
      </c>
      <c r="V902" s="89">
        <v>42758</v>
      </c>
      <c r="W902" s="6">
        <f>LOOKUP($E902,OBRAS!$D:$D,OBRAS!K:K)</f>
        <v>15642799.039999999</v>
      </c>
      <c r="X902" s="109">
        <f t="shared" si="211"/>
        <v>0.20669999999999999</v>
      </c>
      <c r="Y902" s="109">
        <f t="shared" si="212"/>
        <v>0.6623</v>
      </c>
      <c r="Z902" s="109">
        <f t="shared" si="213"/>
        <v>0.76370000000000005</v>
      </c>
      <c r="AA902" s="4" t="str">
        <f>LOOKUP($E902,OBRAS!$D:$D,OBRAS!H:H)</f>
        <v>SH-NC-17-R-005</v>
      </c>
    </row>
    <row r="903" spans="1:27" ht="30" x14ac:dyDescent="0.25">
      <c r="A903" s="90">
        <v>42719</v>
      </c>
      <c r="B903" s="56">
        <v>5906</v>
      </c>
      <c r="C903" s="49">
        <v>902</v>
      </c>
      <c r="D903" s="4" t="str">
        <f>LOOKUP($E903,OBRAS!$D:$D,OBRAS!C:C)</f>
        <v>CONSERVACION Y RECONSTRUCCION DE LA VIALIDAD YAQUI-MAYO</v>
      </c>
      <c r="E903" s="4" t="s">
        <v>570</v>
      </c>
      <c r="F903" s="4" t="s">
        <v>314</v>
      </c>
      <c r="G903" s="4" t="str">
        <f>LOOKUP($E903,OBRAS!$D:$D,OBRAS!E:E)</f>
        <v>C-00054/0063</v>
      </c>
      <c r="H903" s="80" t="s">
        <v>15</v>
      </c>
      <c r="I903" s="6">
        <v>833036.61</v>
      </c>
      <c r="J903" s="6"/>
      <c r="K903" s="6">
        <v>0</v>
      </c>
      <c r="L903" s="6">
        <f t="shared" si="208"/>
        <v>833036.61</v>
      </c>
      <c r="M903" s="6">
        <f t="shared" si="214"/>
        <v>133285.85999999999</v>
      </c>
      <c r="N903" s="6">
        <f t="shared" si="209"/>
        <v>966322.47</v>
      </c>
      <c r="O903" s="6">
        <f>+ROUND(I903*0.002,2)+ROUND(I903*0.0003,2)+ROUND(I903*0.0003,2)+ROUND(I903*0.0003,2)+ROUND(I903*0.002,2)</f>
        <v>4081.87</v>
      </c>
      <c r="P903" s="6">
        <f t="shared" si="210"/>
        <v>962240.6</v>
      </c>
      <c r="Q903" s="4" t="str">
        <f>LOOKUP($E903,OBRAS!$D:$D,OBRAS!B:B)</f>
        <v>GRUPO MESIS, S.A. DE C.V.</v>
      </c>
      <c r="R903" s="4" t="str">
        <f>LOOKUP($E903,OBRAS!$D:$D,OBRAS!A:A)</f>
        <v>VARIOS</v>
      </c>
      <c r="S903" s="4" t="str">
        <f>LOOKUP($E903,OBRAS!$D:$D,OBRAS!F:F)</f>
        <v>11000002003501E204K08063A625012162A213</v>
      </c>
      <c r="T903" s="4" t="str">
        <f>LOOKUP($E903,OBRAS!$D:$D,OBRAS!G:G)</f>
        <v>CE-926006995-E27-2016</v>
      </c>
      <c r="U903" s="4" t="s">
        <v>863</v>
      </c>
      <c r="V903" s="89">
        <v>42755</v>
      </c>
      <c r="W903" s="6">
        <f>LOOKUP($E903,OBRAS!$D:$D,OBRAS!K:K)</f>
        <v>24023981.969999999</v>
      </c>
      <c r="X903" s="109">
        <f t="shared" si="211"/>
        <v>4.02E-2</v>
      </c>
      <c r="Y903" s="109">
        <f t="shared" si="212"/>
        <v>0.99150000000000005</v>
      </c>
      <c r="Z903" s="109">
        <f t="shared" si="213"/>
        <v>0.99160000000000004</v>
      </c>
      <c r="AA903" s="4" t="str">
        <f>LOOKUP($E903,OBRAS!$D:$D,OBRAS!H:H)</f>
        <v>SH-ED-17-R-013</v>
      </c>
    </row>
    <row r="904" spans="1:27" ht="30" x14ac:dyDescent="0.25">
      <c r="A904" s="90">
        <v>42719</v>
      </c>
      <c r="B904" s="56">
        <v>5907</v>
      </c>
      <c r="C904" s="51">
        <v>903</v>
      </c>
      <c r="D904" s="4" t="str">
        <f>LOOKUP($E904,OBRAS!$D:$D,OBRAS!C:C)</f>
        <v>CONSERVACION Y RECONSTRUCCION DE LA VIALIDAD YAQUI-MAYO</v>
      </c>
      <c r="E904" s="4" t="s">
        <v>570</v>
      </c>
      <c r="F904" s="4" t="s">
        <v>306</v>
      </c>
      <c r="G904" s="4" t="str">
        <f>LOOKUP($E904,OBRAS!$D:$D,OBRAS!E:E)</f>
        <v>C-00054/0063</v>
      </c>
      <c r="H904" s="80" t="s">
        <v>215</v>
      </c>
      <c r="I904" s="6">
        <v>2807050.28</v>
      </c>
      <c r="J904" s="6"/>
      <c r="K904" s="6">
        <f>ROUND(I904*0.3,2)</f>
        <v>842115.08</v>
      </c>
      <c r="L904" s="6">
        <f t="shared" si="208"/>
        <v>1964935.2</v>
      </c>
      <c r="M904" s="6">
        <f t="shared" si="214"/>
        <v>314389.63</v>
      </c>
      <c r="N904" s="6">
        <f t="shared" si="209"/>
        <v>2279324.83</v>
      </c>
      <c r="O904" s="6">
        <f>+ROUND(I904*0.002,2)+ROUND(I904*0.0003,2)+ROUND(I904*0.0003,2)+ROUND(I904*0.0003,2)+ROUND(I904*0.002,2)</f>
        <v>13754.56</v>
      </c>
      <c r="P904" s="6">
        <f t="shared" si="210"/>
        <v>2265570.27</v>
      </c>
      <c r="Q904" s="4" t="str">
        <f>LOOKUP($E904,OBRAS!$D:$D,OBRAS!B:B)</f>
        <v>GRUPO MESIS, S.A. DE C.V.</v>
      </c>
      <c r="R904" s="4" t="str">
        <f>LOOKUP($E904,OBRAS!$D:$D,OBRAS!A:A)</f>
        <v>VARIOS</v>
      </c>
      <c r="S904" s="4" t="str">
        <f>LOOKUP($E904,OBRAS!$D:$D,OBRAS!F:F)</f>
        <v>11000002003501E204K08063A625012162A213</v>
      </c>
      <c r="T904" s="4" t="str">
        <f>LOOKUP($E904,OBRAS!$D:$D,OBRAS!G:G)</f>
        <v>CE-926006995-E27-2016</v>
      </c>
      <c r="U904" s="4" t="s">
        <v>863</v>
      </c>
      <c r="V904" s="89">
        <v>42755</v>
      </c>
      <c r="W904" s="6">
        <f>LOOKUP($E904,OBRAS!$D:$D,OBRAS!K:K)</f>
        <v>24023981.969999999</v>
      </c>
      <c r="X904" s="109">
        <f t="shared" si="211"/>
        <v>0.13550000000000001</v>
      </c>
      <c r="Y904" s="109">
        <f t="shared" si="212"/>
        <v>0.99150000000000005</v>
      </c>
      <c r="Z904" s="109">
        <f t="shared" si="213"/>
        <v>0.99160000000000004</v>
      </c>
      <c r="AA904" s="4" t="str">
        <f>LOOKUP($E904,OBRAS!$D:$D,OBRAS!H:H)</f>
        <v>SH-ED-17-R-013</v>
      </c>
    </row>
    <row r="905" spans="1:27" ht="75" x14ac:dyDescent="0.25">
      <c r="A905" s="90">
        <v>42719</v>
      </c>
      <c r="B905" s="56">
        <v>5908</v>
      </c>
      <c r="C905" s="49">
        <v>904</v>
      </c>
      <c r="D905" s="4" t="str">
        <f>LOOKUP($E905,OBRAS!$D:$D,OBRAS!C:C)</f>
        <v>REHABILITACION DE PAVIMIENTOS A BASE DE RECARPETEO EN CALLE REFORMA EN LOS TRAMOS DE PROGRESO Y AVE 13 DE JOSE CARMELO A AVE 8 Y DE BLVD SERNA A BLVD LUIS ENCINAS EN LA LOCALIDAD Y MUNICIPIO DE HERMOSILLO, SON</v>
      </c>
      <c r="E905" s="4" t="s">
        <v>824</v>
      </c>
      <c r="F905" s="4" t="s">
        <v>927</v>
      </c>
      <c r="G905" s="4" t="str">
        <f>LOOKUP($E905,OBRAS!$D:$D,OBRAS!E:E)</f>
        <v>C-00052/0177</v>
      </c>
      <c r="H905" s="80" t="s">
        <v>221</v>
      </c>
      <c r="I905" s="6">
        <v>3554840.95</v>
      </c>
      <c r="J905" s="6"/>
      <c r="K905" s="6">
        <f>ROUND(I905*0.3,2)</f>
        <v>1066452.29</v>
      </c>
      <c r="L905" s="6">
        <f t="shared" si="208"/>
        <v>2488388.66</v>
      </c>
      <c r="M905" s="6">
        <f t="shared" ref="M905:M928" si="217">ROUND(L905*0.16,2)</f>
        <v>398142.19</v>
      </c>
      <c r="N905" s="6">
        <f t="shared" si="209"/>
        <v>2886530.85</v>
      </c>
      <c r="O905" s="6">
        <f>+ROUND(I905*0.005,2)</f>
        <v>17774.2</v>
      </c>
      <c r="P905" s="6">
        <f t="shared" si="210"/>
        <v>2868756.65</v>
      </c>
      <c r="Q905" s="4" t="str">
        <f>LOOKUP($E905,OBRAS!$D:$D,OBRAS!B:B)</f>
        <v>CONSTRUPIMA, S.A. DE C.V.</v>
      </c>
      <c r="R905" s="4" t="str">
        <f>LOOKUP($E905,OBRAS!$D:$D,OBRAS!A:A)</f>
        <v>HERMOSILLO</v>
      </c>
      <c r="S905" s="4" t="str">
        <f>LOOKUP($E905,OBRAS!$D:$D,OBRAS!F:F)</f>
        <v>11000002002201E202K05186A614202165CN07</v>
      </c>
      <c r="T905" s="4" t="str">
        <f>LOOKUP($E905,OBRAS!$D:$D,OBRAS!G:G)</f>
        <v>LO-956006995-E85-2016</v>
      </c>
      <c r="U905" s="4" t="s">
        <v>863</v>
      </c>
      <c r="V905" s="89">
        <v>42733</v>
      </c>
      <c r="W905" s="6">
        <f>LOOKUP($E905,OBRAS!$D:$D,OBRAS!K:K)</f>
        <v>22873151.760000002</v>
      </c>
      <c r="X905" s="109">
        <f t="shared" si="211"/>
        <v>0.18029999999999999</v>
      </c>
      <c r="Y905" s="109">
        <f t="shared" si="212"/>
        <v>0.87480000000000002</v>
      </c>
      <c r="Z905" s="109">
        <f t="shared" si="213"/>
        <v>0.9123</v>
      </c>
      <c r="AA905" s="4" t="str">
        <f>LOOKUP($E905,OBRAS!$D:$D,OBRAS!H:H)</f>
        <v>SH-NC-17-R-004</v>
      </c>
    </row>
    <row r="906" spans="1:27" ht="30" x14ac:dyDescent="0.25">
      <c r="A906" s="90">
        <v>42719</v>
      </c>
      <c r="B906" s="56">
        <v>5909</v>
      </c>
      <c r="C906" s="51">
        <v>905</v>
      </c>
      <c r="D906" s="4" t="str">
        <f>LOOKUP($E906,OBRAS!$D:$D,OBRAS!C:C)</f>
        <v>CONSERVACION Y RECONSTRUCCION DEL TRAMO URES-PUEBLO DE ALAMOS</v>
      </c>
      <c r="E906" s="4" t="s">
        <v>562</v>
      </c>
      <c r="F906" s="4"/>
      <c r="G906" s="4" t="str">
        <f>LOOKUP($E906,OBRAS!$D:$D,OBRAS!E:E)</f>
        <v>C-00054/0061</v>
      </c>
      <c r="H906" s="80" t="s">
        <v>214</v>
      </c>
      <c r="I906" s="6">
        <v>2666750.61</v>
      </c>
      <c r="J906" s="6"/>
      <c r="K906" s="6">
        <v>1400729.12</v>
      </c>
      <c r="L906" s="6">
        <f t="shared" si="208"/>
        <v>1266021.49</v>
      </c>
      <c r="M906" s="6">
        <f t="shared" si="217"/>
        <v>202563.44</v>
      </c>
      <c r="N906" s="6">
        <f t="shared" si="209"/>
        <v>1468584.93</v>
      </c>
      <c r="O906" s="6">
        <f>+ROUND(I906*0.002,2)+ROUND(I906*0.0003,2)+ROUND(I906*0.0003,2)+ROUND(I906*0.0003,2)+ROUND(I906*0.002,2)</f>
        <v>13067.09</v>
      </c>
      <c r="P906" s="6">
        <f t="shared" si="210"/>
        <v>1455517.84</v>
      </c>
      <c r="Q906" s="4" t="str">
        <f>LOOKUP($E906,OBRAS!$D:$D,OBRAS!B:B)</f>
        <v>GLUYAS CONSTRUCCIONES S.A. DE C.V.</v>
      </c>
      <c r="R906" s="4" t="str">
        <f>LOOKUP($E906,OBRAS!$D:$D,OBRAS!A:A)</f>
        <v>URES</v>
      </c>
      <c r="S906" s="4" t="str">
        <f>LOOKUP($E906,OBRAS!$D:$D,OBRAS!F:F)</f>
        <v>11000002003501E204K08063A625012162A205</v>
      </c>
      <c r="T906" s="4" t="str">
        <f>LOOKUP($E906,OBRAS!$D:$D,OBRAS!G:G)</f>
        <v>CE-926006995-E25-2016</v>
      </c>
      <c r="U906" s="4" t="s">
        <v>863</v>
      </c>
      <c r="V906" s="89">
        <v>42762</v>
      </c>
      <c r="W906" s="6">
        <f>LOOKUP($E906,OBRAS!$D:$D,OBRAS!K:K)</f>
        <v>40380067.490000002</v>
      </c>
      <c r="X906" s="109">
        <f t="shared" si="211"/>
        <v>7.6600000000000001E-2</v>
      </c>
      <c r="Y906" s="109">
        <f t="shared" si="212"/>
        <v>0.94240000000000002</v>
      </c>
      <c r="Z906" s="109">
        <f t="shared" si="213"/>
        <v>0.9425</v>
      </c>
      <c r="AA906" s="4" t="str">
        <f>LOOKUP($E906,OBRAS!$D:$D,OBRAS!H:H)</f>
        <v>SH-ED-17-R-013</v>
      </c>
    </row>
    <row r="907" spans="1:27" ht="60" x14ac:dyDescent="0.25">
      <c r="A907" s="90">
        <v>42719</v>
      </c>
      <c r="B907" s="56">
        <v>5910</v>
      </c>
      <c r="C907" s="51">
        <v>906</v>
      </c>
      <c r="D907" s="4" t="str">
        <f>LOOKUP($E907,OBRAS!$D:$D,OBRAS!C:C)</f>
        <v>REHABILITACION DE RED DE CARRETERAS ALIMENTADORAS EN LA REGION DEL RIO DE SONORA EN EL ESTADO DE SONORA; SUBTRAMO KM 0+000 AL KM 75+000</v>
      </c>
      <c r="E907" s="4" t="s">
        <v>370</v>
      </c>
      <c r="F907" s="4" t="s">
        <v>1445</v>
      </c>
      <c r="G907" s="4" t="str">
        <f>LOOKUP($E907,OBRAS!$D:$D,OBRAS!E:E)</f>
        <v>C-00054/0069</v>
      </c>
      <c r="H907" s="80" t="s">
        <v>218</v>
      </c>
      <c r="I907" s="6">
        <v>13499798.550000001</v>
      </c>
      <c r="J907" s="6"/>
      <c r="K907" s="6">
        <f>ROUND(I907*0.3,2)</f>
        <v>4049939.57</v>
      </c>
      <c r="L907" s="6">
        <f t="shared" si="208"/>
        <v>9449858.9800000004</v>
      </c>
      <c r="M907" s="6">
        <f t="shared" si="217"/>
        <v>1511977.44</v>
      </c>
      <c r="N907" s="6">
        <f t="shared" si="209"/>
        <v>10961836.42</v>
      </c>
      <c r="O907" s="6">
        <f>+ROUND(I907*0.002,2)+ROUND(I907*0.0003,2)+ROUND(I907*0.0003,2)+ROUND(I907*0.0003,2)+ROUND(I907*0.002,2)</f>
        <v>66149.02</v>
      </c>
      <c r="P907" s="6">
        <f t="shared" si="210"/>
        <v>10895687.4</v>
      </c>
      <c r="Q907" s="4" t="str">
        <f>LOOKUP($E907,OBRAS!$D:$D,OBRAS!B:B)</f>
        <v>IKARO INGENIERIA Y ARQUITECTURA, S.A. DE C.V</v>
      </c>
      <c r="R907" s="4" t="str">
        <f>LOOKUP($E907,OBRAS!$D:$D,OBRAS!A:A)</f>
        <v>VARIOS</v>
      </c>
      <c r="S907" s="4" t="str">
        <f>LOOKUP($E907,OBRAS!$D:$D,OBRAS!F:F)</f>
        <v>11000002003501E204K08063A625012162A213</v>
      </c>
      <c r="T907" s="4" t="str">
        <f>LOOKUP($E907,OBRAS!$D:$D,OBRAS!G:G)</f>
        <v>CE-9260006995-E38-2016</v>
      </c>
      <c r="U907" s="4" t="s">
        <v>863</v>
      </c>
      <c r="V907" s="89">
        <v>42755</v>
      </c>
      <c r="W907" s="6">
        <f>LOOKUP($E907,OBRAS!$D:$D,OBRAS!K:K)</f>
        <v>76463113.200000003</v>
      </c>
      <c r="X907" s="109">
        <f t="shared" si="211"/>
        <v>0.20480000000000001</v>
      </c>
      <c r="Y907" s="109">
        <f t="shared" si="212"/>
        <v>0.98340000000000005</v>
      </c>
      <c r="Z907" s="109">
        <f t="shared" si="213"/>
        <v>0.98829999999999996</v>
      </c>
      <c r="AA907" s="4" t="str">
        <f>LOOKUP($E907,OBRAS!$D:$D,OBRAS!H:H)</f>
        <v>SH-ED-17-R-013</v>
      </c>
    </row>
    <row r="908" spans="1:27" ht="30" x14ac:dyDescent="0.25">
      <c r="A908" s="90">
        <v>42782</v>
      </c>
      <c r="B908" s="56">
        <v>881</v>
      </c>
      <c r="C908" s="49">
        <v>907</v>
      </c>
      <c r="D908" s="4" t="str">
        <f>LOOKUP($E908,OBRAS!$D:$D,OBRAS!C:C)</f>
        <v>MODERNIZACIÓN DE LA CALLE ROSALES, ETAPA 1 EN  HERMOSILLO, SONORA.</v>
      </c>
      <c r="E908" s="4" t="s">
        <v>858</v>
      </c>
      <c r="F908" s="4" t="s">
        <v>285</v>
      </c>
      <c r="G908" s="4" t="str">
        <f>LOOKUP($E908,OBRAS!$D:$D,OBRAS!E:E)</f>
        <v>C-00052/0180</v>
      </c>
      <c r="H908" s="80" t="s">
        <v>103</v>
      </c>
      <c r="I908" s="6">
        <v>118519.56</v>
      </c>
      <c r="J908" s="6"/>
      <c r="K908" s="6">
        <f>ROUND(I908*0.3,2)</f>
        <v>35555.870000000003</v>
      </c>
      <c r="L908" s="6">
        <f t="shared" si="208"/>
        <v>82963.69</v>
      </c>
      <c r="M908" s="6">
        <f t="shared" si="217"/>
        <v>13274.19</v>
      </c>
      <c r="N908" s="6">
        <f t="shared" si="209"/>
        <v>96237.88</v>
      </c>
      <c r="O908" s="6">
        <f>+ROUND(I908*0.002,2)+ROUND(I908*0.0003,2)+ROUND(I908*0.0003,2)+ROUND(I908*0.0003,2)+ROUND(I908*0.002,2)</f>
        <v>580.76</v>
      </c>
      <c r="P908" s="6">
        <f t="shared" si="210"/>
        <v>95657.12</v>
      </c>
      <c r="Q908" s="4" t="str">
        <f>LOOKUP($E908,OBRAS!$D:$D,OBRAS!B:B)</f>
        <v>CONSTRUCTORA PARGEL, S. A. DE C. V.</v>
      </c>
      <c r="R908" s="4" t="str">
        <f>LOOKUP($E908,OBRAS!$D:$D,OBRAS!A:A)</f>
        <v>HERMOSILLO</v>
      </c>
      <c r="S908" s="4" t="str">
        <f>LOOKUP($E908,OBRAS!$D:$D,OBRAS!F:F)</f>
        <v>11000002002201E202K05251A614202165DM07</v>
      </c>
      <c r="T908" s="4" t="str">
        <f>LOOKUP($E908,OBRAS!$D:$D,OBRAS!G:G)</f>
        <v>CE-926006995-E80-2016</v>
      </c>
      <c r="U908" s="4" t="s">
        <v>863</v>
      </c>
      <c r="V908" s="89">
        <v>42810</v>
      </c>
      <c r="W908" s="6">
        <f>LOOKUP($E908,OBRAS!$D:$D,OBRAS!K:K)</f>
        <v>29931744.359999999</v>
      </c>
      <c r="X908" s="109">
        <f t="shared" si="211"/>
        <v>4.5999999999999999E-3</v>
      </c>
      <c r="Y908" s="109">
        <f t="shared" si="212"/>
        <v>0.1181</v>
      </c>
      <c r="Z908" s="109">
        <f t="shared" si="213"/>
        <v>0.38179999999999997</v>
      </c>
      <c r="AA908" s="4" t="str">
        <f>LOOKUP($E908,OBRAS!$D:$D,OBRAS!H:H)</f>
        <v>SH-FAFEF-17-R-001</v>
      </c>
    </row>
    <row r="909" spans="1:27" ht="30" x14ac:dyDescent="0.25">
      <c r="A909" s="90">
        <v>42782</v>
      </c>
      <c r="B909" s="56">
        <v>882</v>
      </c>
      <c r="C909" s="49">
        <v>908</v>
      </c>
      <c r="D909" s="4" t="str">
        <f>LOOKUP($E909,OBRAS!$D:$D,OBRAS!C:C)</f>
        <v>MODERNIZACIÓN DE LA CALLE ROSALES, ETAPA 1 EN  HERMOSILLO, SONORA.</v>
      </c>
      <c r="E909" s="4" t="s">
        <v>858</v>
      </c>
      <c r="F909" s="4" t="s">
        <v>285</v>
      </c>
      <c r="G909" s="4" t="str">
        <f>LOOKUP($E909,OBRAS!$D:$D,OBRAS!E:E)</f>
        <v>C-00052/0180</v>
      </c>
      <c r="H909" s="80" t="s">
        <v>221</v>
      </c>
      <c r="I909" s="6">
        <v>1343310.3</v>
      </c>
      <c r="J909" s="6"/>
      <c r="K909" s="6">
        <f>ROUND(I909*0.3,2)</f>
        <v>402993.09</v>
      </c>
      <c r="L909" s="6">
        <f t="shared" si="208"/>
        <v>940317.21</v>
      </c>
      <c r="M909" s="6">
        <f t="shared" si="217"/>
        <v>150450.75</v>
      </c>
      <c r="N909" s="6">
        <f t="shared" si="209"/>
        <v>1090767.96</v>
      </c>
      <c r="O909" s="6">
        <f>+ROUND(I909*0.002,2)+ROUND(I909*0.0003,2)+ROUND(I909*0.0003,2)+ROUND(I909*0.0003,2)+ROUND(I909*0.002,2)</f>
        <v>6582.21</v>
      </c>
      <c r="P909" s="6">
        <f t="shared" si="210"/>
        <v>1084185.75</v>
      </c>
      <c r="Q909" s="4" t="str">
        <f>LOOKUP($E909,OBRAS!$D:$D,OBRAS!B:B)</f>
        <v>CONSTRUCTORA PARGEL, S. A. DE C. V.</v>
      </c>
      <c r="R909" s="4" t="str">
        <f>LOOKUP($E909,OBRAS!$D:$D,OBRAS!A:A)</f>
        <v>HERMOSILLO</v>
      </c>
      <c r="S909" s="4" t="str">
        <f>LOOKUP($E909,OBRAS!$D:$D,OBRAS!F:F)</f>
        <v>11000002002201E202K05251A614202165DM07</v>
      </c>
      <c r="T909" s="4" t="str">
        <f>LOOKUP($E909,OBRAS!$D:$D,OBRAS!G:G)</f>
        <v>CE-926006995-E80-2016</v>
      </c>
      <c r="U909" s="4" t="s">
        <v>863</v>
      </c>
      <c r="V909" s="89">
        <v>42810</v>
      </c>
      <c r="W909" s="6">
        <f>LOOKUP($E909,OBRAS!$D:$D,OBRAS!K:K)</f>
        <v>29931744.359999999</v>
      </c>
      <c r="X909" s="109">
        <f t="shared" si="211"/>
        <v>5.21E-2</v>
      </c>
      <c r="Y909" s="109">
        <f t="shared" si="212"/>
        <v>0.1181</v>
      </c>
      <c r="Z909" s="109">
        <f t="shared" si="213"/>
        <v>0.38179999999999997</v>
      </c>
      <c r="AA909" s="4" t="str">
        <f>LOOKUP($E909,OBRAS!$D:$D,OBRAS!H:H)</f>
        <v>SH-FAFEF-17-R-001</v>
      </c>
    </row>
    <row r="910" spans="1:27" ht="30" x14ac:dyDescent="0.25">
      <c r="A910" s="90">
        <v>42719</v>
      </c>
      <c r="B910" s="56">
        <v>5914</v>
      </c>
      <c r="C910" s="51">
        <v>909</v>
      </c>
      <c r="D910" s="4" t="str">
        <f>LOOKUP($E910,OBRAS!$D:$D,OBRAS!C:C)</f>
        <v>RECONSTRUCCION DEL CAMINO HERMOSILLO-BAHIA DE KINO</v>
      </c>
      <c r="E910" s="4" t="s">
        <v>539</v>
      </c>
      <c r="F910" s="4" t="s">
        <v>1445</v>
      </c>
      <c r="G910" s="4" t="str">
        <f>LOOKUP($E910,OBRAS!$D:$D,OBRAS!E:E)</f>
        <v>C-00054/0026</v>
      </c>
      <c r="H910" s="80" t="s">
        <v>214</v>
      </c>
      <c r="I910" s="6">
        <v>64019.13</v>
      </c>
      <c r="J910" s="6"/>
      <c r="K910" s="6">
        <v>0</v>
      </c>
      <c r="L910" s="6">
        <f t="shared" si="208"/>
        <v>64019.13</v>
      </c>
      <c r="M910" s="6">
        <f t="shared" si="217"/>
        <v>10243.06</v>
      </c>
      <c r="N910" s="6">
        <f t="shared" si="209"/>
        <v>74262.19</v>
      </c>
      <c r="O910" s="6">
        <f>+ROUND(I910*0.002,2)+ROUND(I910*0.0003,2)+ROUND(I910*0.0003,2)+ROUND(I910*0.0003,2)+ROUND(I910*0.002,2)+10883.25</f>
        <v>11196.96</v>
      </c>
      <c r="P910" s="6">
        <f t="shared" si="210"/>
        <v>63065.23</v>
      </c>
      <c r="Q910" s="4" t="str">
        <f>LOOKUP($E910,OBRAS!$D:$D,OBRAS!B:B)</f>
        <v>REVAL DESARROLLOS Y MATERIALES, S.A. DE C.V.</v>
      </c>
      <c r="R910" s="4" t="str">
        <f>LOOKUP($E910,OBRAS!$D:$D,OBRAS!A:A)</f>
        <v>HERMOSILLO</v>
      </c>
      <c r="S910" s="4" t="str">
        <f>LOOKUP($E910,OBRAS!$D:$D,OBRAS!F:F)</f>
        <v>11000002003501E203K03204k08063A625012162A207</v>
      </c>
      <c r="T910" s="4" t="str">
        <f>LOOKUP($E910,OBRAS!$D:$D,OBRAS!G:G)</f>
        <v>CE-926006995-E13-2016</v>
      </c>
      <c r="U910" s="4" t="s">
        <v>863</v>
      </c>
      <c r="V910" s="89">
        <v>42762</v>
      </c>
      <c r="W910" s="6">
        <f>LOOKUP($E910,OBRAS!$D:$D,OBRAS!K:K)</f>
        <v>37981342.780000001</v>
      </c>
      <c r="X910" s="109">
        <f t="shared" si="211"/>
        <v>2E-3</v>
      </c>
      <c r="Y910" s="109">
        <f t="shared" si="212"/>
        <v>1</v>
      </c>
      <c r="Z910" s="109">
        <f t="shared" si="213"/>
        <v>1</v>
      </c>
      <c r="AA910" s="4" t="str">
        <f>LOOKUP($E910,OBRAS!$D:$D,OBRAS!H:H)</f>
        <v>SH-ED-17-R-013</v>
      </c>
    </row>
    <row r="911" spans="1:27" ht="60" x14ac:dyDescent="0.25">
      <c r="A911" s="90">
        <v>42719</v>
      </c>
      <c r="B911" s="56">
        <v>5915</v>
      </c>
      <c r="C911" s="51">
        <v>910</v>
      </c>
      <c r="D911" s="4" t="str">
        <f>LOOKUP($E911,OBRAS!$D:$D,OBRAS!C:C)</f>
        <v>SUPERVISION EXTERNA Y CONTROL DE CALIDAD DE LA OBRA: CONSTRUCCION DE CONSERVATORIO DE MUSICA FRAY IVO TONECK, EN LA LOCALIDAD Y MUNICIPIO DE GUAYMAS, SONORA.</v>
      </c>
      <c r="E911" s="4" t="s">
        <v>501</v>
      </c>
      <c r="F911" s="4" t="s">
        <v>927</v>
      </c>
      <c r="G911" s="4" t="str">
        <f>LOOKUP($E911,OBRAS!$D:$D,OBRAS!E:E)</f>
        <v>C-00093/0009</v>
      </c>
      <c r="H911" s="80" t="s">
        <v>264</v>
      </c>
      <c r="I911" s="6">
        <v>30029.46</v>
      </c>
      <c r="J911" s="6"/>
      <c r="K911" s="6">
        <v>9008.83</v>
      </c>
      <c r="L911" s="6">
        <v>21020.63</v>
      </c>
      <c r="M911" s="6">
        <f t="shared" si="217"/>
        <v>3363.3</v>
      </c>
      <c r="N911" s="6">
        <f t="shared" si="209"/>
        <v>24383.93</v>
      </c>
      <c r="O911" s="6">
        <f>+ROUND(I911*0.005,2)</f>
        <v>150.15</v>
      </c>
      <c r="P911" s="6">
        <f t="shared" si="210"/>
        <v>24233.78</v>
      </c>
      <c r="Q911" s="4" t="str">
        <f>LOOKUP($E911,OBRAS!$D:$D,OBRAS!B:B)</f>
        <v>ING. MARTIN GRAJEDA ARAGON</v>
      </c>
      <c r="R911" s="4" t="str">
        <f>LOOKUP($E911,OBRAS!$D:$D,OBRAS!A:A)</f>
        <v>GUAYMAS</v>
      </c>
      <c r="S911" s="4" t="str">
        <f>LOOKUP($E911,OBRAS!$D:$D,OBRAS!F:F)</f>
        <v>11000002002402E406K06106A612222155GL10</v>
      </c>
      <c r="T911" s="4" t="str">
        <f>LOOKUP($E911,OBRAS!$D:$D,OBRAS!G:G)</f>
        <v>ADJUDICACIÓN DIRECTA</v>
      </c>
      <c r="U911" s="4" t="s">
        <v>863</v>
      </c>
      <c r="V911" s="89">
        <v>42733</v>
      </c>
      <c r="W911" s="6">
        <f>LOOKUP($E911,OBRAS!$D:$D,OBRAS!K:K)</f>
        <v>343063.19</v>
      </c>
      <c r="X911" s="109">
        <f t="shared" si="211"/>
        <v>0.10150000000000001</v>
      </c>
      <c r="Y911" s="109">
        <f t="shared" si="212"/>
        <v>1</v>
      </c>
      <c r="Z911" s="109">
        <f t="shared" si="213"/>
        <v>0.7</v>
      </c>
      <c r="AA911" s="4" t="str">
        <f>LOOKUP($E911,OBRAS!$D:$D,OBRAS!H:H)</f>
        <v>SH-NC-16-R-007.</v>
      </c>
    </row>
    <row r="912" spans="1:27" ht="60" x14ac:dyDescent="0.25">
      <c r="A912" s="90">
        <v>42719</v>
      </c>
      <c r="B912" s="56">
        <v>5917</v>
      </c>
      <c r="C912" s="51">
        <v>911</v>
      </c>
      <c r="D912" s="4" t="str">
        <f>LOOKUP($E912,OBRAS!$D:$D,OBRAS!C:C)</f>
        <v>SUPERVISION EXTERNA Y CONTROL DE CALIDAD DE LA OBRA: CONSTRUCCION DE CONSERVATORIO DE MUSICA FRAY IVO TONECK, EN LA LOCALIDAD Y MUNICIPIO DE GUAYMAS, SONORA.</v>
      </c>
      <c r="E912" s="4" t="s">
        <v>501</v>
      </c>
      <c r="F912" s="4" t="s">
        <v>927</v>
      </c>
      <c r="G912" s="4" t="str">
        <f>LOOKUP($E912,OBRAS!$D:$D,OBRAS!E:E)</f>
        <v>C-00093/0009</v>
      </c>
      <c r="H912" s="80" t="s">
        <v>268</v>
      </c>
      <c r="I912" s="6">
        <v>15317.97</v>
      </c>
      <c r="J912" s="6"/>
      <c r="K912" s="6">
        <v>4595.3999999999996</v>
      </c>
      <c r="L912" s="6">
        <f t="shared" ref="L912:L928" si="218">I912-K912</f>
        <v>10722.57</v>
      </c>
      <c r="M912" s="6">
        <f t="shared" si="217"/>
        <v>1715.61</v>
      </c>
      <c r="N912" s="6">
        <f t="shared" si="209"/>
        <v>12438.18</v>
      </c>
      <c r="O912" s="6">
        <f>+ROUND(I912*0.005,2)</f>
        <v>76.59</v>
      </c>
      <c r="P912" s="6">
        <f t="shared" si="210"/>
        <v>12361.59</v>
      </c>
      <c r="Q912" s="4" t="str">
        <f>LOOKUP($E912,OBRAS!$D:$D,OBRAS!B:B)</f>
        <v>ING. MARTIN GRAJEDA ARAGON</v>
      </c>
      <c r="R912" s="4" t="str">
        <f>LOOKUP($E912,OBRAS!$D:$D,OBRAS!A:A)</f>
        <v>GUAYMAS</v>
      </c>
      <c r="S912" s="4" t="str">
        <f>LOOKUP($E912,OBRAS!$D:$D,OBRAS!F:F)</f>
        <v>11000002002402E406K06106A612222155GL10</v>
      </c>
      <c r="T912" s="4" t="str">
        <f>LOOKUP($E912,OBRAS!$D:$D,OBRAS!G:G)</f>
        <v>ADJUDICACIÓN DIRECTA</v>
      </c>
      <c r="U912" s="4" t="s">
        <v>863</v>
      </c>
      <c r="V912" s="89">
        <v>42734</v>
      </c>
      <c r="W912" s="6">
        <f>LOOKUP($E912,OBRAS!$D:$D,OBRAS!K:K)</f>
        <v>343063.19</v>
      </c>
      <c r="X912" s="109">
        <f t="shared" si="211"/>
        <v>5.1799999999999999E-2</v>
      </c>
      <c r="Y912" s="109">
        <f t="shared" si="212"/>
        <v>1</v>
      </c>
      <c r="Z912" s="109">
        <f t="shared" si="213"/>
        <v>0.7</v>
      </c>
      <c r="AA912" s="4" t="str">
        <f>LOOKUP($E912,OBRAS!$D:$D,OBRAS!H:H)</f>
        <v>SH-NC-16-R-007.</v>
      </c>
    </row>
    <row r="913" spans="1:27" ht="60" x14ac:dyDescent="0.25">
      <c r="A913" s="90"/>
      <c r="C913" s="51">
        <v>912</v>
      </c>
      <c r="D913" s="4" t="str">
        <f>LOOKUP($E913,OBRAS!$D:$D,OBRAS!C:C)</f>
        <v>SUPERVISION EXTERNA Y CONTROL DE CALIDAD DE LA OBRA: PAVIMENTACION CON CONCRETO HIDRAULICO DEL BOULEVARD LAZARO GUTIERREZ DE LARA</v>
      </c>
      <c r="E913" s="4" t="s">
        <v>1842</v>
      </c>
      <c r="F913" s="4"/>
      <c r="G913" s="4" t="str">
        <f>LOOKUP($E913,OBRAS!$D:$D,OBRAS!E:E)</f>
        <v>C-00052/0181</v>
      </c>
      <c r="H913" s="80" t="s">
        <v>103</v>
      </c>
      <c r="I913" s="6">
        <v>197699</v>
      </c>
      <c r="J913" s="6"/>
      <c r="K913" s="6">
        <f>ROUND(I913*0.3,2)</f>
        <v>59309.7</v>
      </c>
      <c r="L913" s="6">
        <f t="shared" si="218"/>
        <v>138389.29999999999</v>
      </c>
      <c r="M913" s="6">
        <f t="shared" si="217"/>
        <v>22142.29</v>
      </c>
      <c r="N913" s="6">
        <f t="shared" ref="N913:N928" si="219">M913+L913</f>
        <v>160531.59</v>
      </c>
      <c r="O913" s="6">
        <f>+ROUND(I913*0.002,2)+ROUND(I913*0.0003,2)+ROUND(I913*0.0003,2)+ROUND(I913*0.0003,2)</f>
        <v>573.33000000000004</v>
      </c>
      <c r="P913" s="6">
        <f t="shared" ref="P913:P928" si="220">N913-O913</f>
        <v>159958.26</v>
      </c>
      <c r="Q913" s="4" t="str">
        <f>LOOKUP($E913,OBRAS!$D:$D,OBRAS!B:B)</f>
        <v>ESCOBO S.A. DE C.V.</v>
      </c>
      <c r="R913" s="4" t="str">
        <f>LOOKUP($E913,OBRAS!$D:$D,OBRAS!A:A)</f>
        <v>CANANEA</v>
      </c>
      <c r="S913" s="4" t="str">
        <f>LOOKUP($E913,OBRAS!$D:$D,OBRAS!F:F)</f>
        <v>11000002002207E201K02104A622212161A013</v>
      </c>
      <c r="T913" s="4" t="str">
        <f>LOOKUP($E913,OBRAS!$D:$D,OBRAS!G:G)</f>
        <v>CE-926006995-2016</v>
      </c>
      <c r="U913" s="4" t="s">
        <v>2238</v>
      </c>
      <c r="V913" s="89">
        <v>42773</v>
      </c>
      <c r="W913" s="6">
        <f>LOOKUP($E913,OBRAS!$D:$D,OBRAS!K:K)</f>
        <v>986157.02</v>
      </c>
      <c r="X913" s="109">
        <f t="shared" ref="X913:X928" si="221">IF(H913&lt;&gt;"ANTICIPO",I913/(W913/1.16),"")</f>
        <v>0.2326</v>
      </c>
      <c r="Y913" s="109">
        <f t="shared" ref="Y913:Y928" si="222">SUMIF(E:E,E913,X:X)</f>
        <v>0.2326</v>
      </c>
      <c r="Z913" s="109">
        <f t="shared" ref="Z913:Z928" si="223">SUMIF(E:E,E913,N:N)/W913</f>
        <v>0.46279999999999999</v>
      </c>
      <c r="AA913" s="4" t="str">
        <f>LOOKUP($E913,OBRAS!$D:$D,OBRAS!H:H)</f>
        <v>SH-ED-16-123.</v>
      </c>
    </row>
    <row r="914" spans="1:27" ht="60" x14ac:dyDescent="0.25">
      <c r="A914" s="90">
        <v>42720</v>
      </c>
      <c r="B914" s="56">
        <v>5924</v>
      </c>
      <c r="C914" s="49">
        <v>913</v>
      </c>
      <c r="D914" s="4" t="str">
        <f>LOOKUP($E914,OBRAS!$D:$D,OBRAS!C:C)</f>
        <v>SUPERVISION EXTERNA Y CONTROL DE CALIDAD PARA LA OBRA RECONSTRUCCION DE CAMINO HUATABAMPO - YAVAROS EN VARIAS LOCALIDADES DEL MUNICIPIO DE HUATABAMPO.</v>
      </c>
      <c r="E914" s="4" t="s">
        <v>426</v>
      </c>
      <c r="F914" s="4"/>
      <c r="G914" s="4" t="str">
        <f>LOOKUP($E914,OBRAS!$D:$D,OBRAS!E:E)</f>
        <v>C-00098/0021</v>
      </c>
      <c r="H914" s="80" t="s">
        <v>55</v>
      </c>
      <c r="I914" s="6">
        <v>113253.07</v>
      </c>
      <c r="J914" s="6"/>
      <c r="K914" s="6">
        <f>ROUND(I914*0.1,2)</f>
        <v>11325.31</v>
      </c>
      <c r="L914" s="6">
        <f t="shared" si="218"/>
        <v>101927.76</v>
      </c>
      <c r="M914" s="6">
        <f t="shared" si="217"/>
        <v>16308.44</v>
      </c>
      <c r="N914" s="6">
        <f t="shared" si="219"/>
        <v>118236.2</v>
      </c>
      <c r="O914" s="6">
        <f>+ROUND(I914*0.002,2)+ROUND(I914*0.0003,2)+ROUND(I914*0.0003,2)+ROUND(I914*0.0003,2)</f>
        <v>328.45</v>
      </c>
      <c r="P914" s="6">
        <f t="shared" si="220"/>
        <v>117907.75</v>
      </c>
      <c r="Q914" s="4" t="str">
        <f>LOOKUP($E914,OBRAS!$D:$D,OBRAS!B:B)</f>
        <v>GRUPO GUIMEL, S.A. DE C.V.</v>
      </c>
      <c r="R914" s="4" t="str">
        <f>LOOKUP($E914,OBRAS!$D:$D,OBRAS!A:A)</f>
        <v>HUATABAMPO</v>
      </c>
      <c r="S914" s="4" t="str">
        <f>LOOKUP($E914,OBRAS!$D:$D,OBRAS!F:F)</f>
        <v>11000002003501E203K03203A625132161A013</v>
      </c>
      <c r="T914" s="4" t="str">
        <f>LOOKUP($E914,OBRAS!$D:$D,OBRAS!G:G)</f>
        <v>LICITACIÓN SIMPLIFICADA</v>
      </c>
      <c r="U914" s="4" t="s">
        <v>863</v>
      </c>
      <c r="V914" s="89">
        <v>42781</v>
      </c>
      <c r="W914" s="6">
        <f>LOOKUP($E914,OBRAS!$D:$D,OBRAS!K:K)</f>
        <v>525494.24</v>
      </c>
      <c r="X914" s="109">
        <f t="shared" si="221"/>
        <v>0.25</v>
      </c>
      <c r="Y914" s="109">
        <f t="shared" si="222"/>
        <v>1</v>
      </c>
      <c r="Z914" s="109">
        <f t="shared" si="223"/>
        <v>1</v>
      </c>
      <c r="AA914" s="4" t="str">
        <f>LOOKUP($E914,OBRAS!$D:$D,OBRAS!H:H)</f>
        <v>SH-ED-16-020</v>
      </c>
    </row>
    <row r="915" spans="1:27" ht="60" x14ac:dyDescent="0.25">
      <c r="A915" s="90">
        <v>42720</v>
      </c>
      <c r="B915" s="56">
        <v>5925</v>
      </c>
      <c r="C915" s="136">
        <v>914</v>
      </c>
      <c r="D915" s="4" t="str">
        <f>LOOKUP($E915,OBRAS!$D:$D,OBRAS!C:C)</f>
        <v>SUPERVISION EXTERNA Y CONTROL DE CALIDAD PARA LA OBRA RECONSTRUCCION DE CAMINO HUATABAMPO - YAVAROS EN VARIAS LOCALIDADES DEL MUNICIPIO DE HUATABAMPO.</v>
      </c>
      <c r="E915" s="4" t="s">
        <v>426</v>
      </c>
      <c r="F915" s="4"/>
      <c r="G915" s="4" t="str">
        <f>LOOKUP($E915,OBRAS!$D:$D,OBRAS!E:E)</f>
        <v>C-00098/0021</v>
      </c>
      <c r="H915" s="80" t="s">
        <v>215</v>
      </c>
      <c r="I915" s="6">
        <v>113253.07</v>
      </c>
      <c r="J915" s="6"/>
      <c r="K915" s="6">
        <f>ROUND(I915*0.1,2)</f>
        <v>11325.31</v>
      </c>
      <c r="L915" s="6">
        <f t="shared" si="218"/>
        <v>101927.76</v>
      </c>
      <c r="M915" s="6">
        <f t="shared" si="217"/>
        <v>16308.44</v>
      </c>
      <c r="N915" s="6">
        <f t="shared" si="219"/>
        <v>118236.2</v>
      </c>
      <c r="O915" s="6">
        <f>+ROUND(I915*0.002,2)+ROUND(I915*0.0003,2)+ROUND(I915*0.0003,2)+ROUND(I915*0.0003,2)</f>
        <v>328.45</v>
      </c>
      <c r="P915" s="6">
        <f t="shared" si="220"/>
        <v>117907.75</v>
      </c>
      <c r="Q915" s="4" t="str">
        <f>LOOKUP($E915,OBRAS!$D:$D,OBRAS!B:B)</f>
        <v>GRUPO GUIMEL, S.A. DE C.V.</v>
      </c>
      <c r="R915" s="4" t="str">
        <f>LOOKUP($E915,OBRAS!$D:$D,OBRAS!A:A)</f>
        <v>HUATABAMPO</v>
      </c>
      <c r="S915" s="4" t="str">
        <f>LOOKUP($E915,OBRAS!$D:$D,OBRAS!F:F)</f>
        <v>11000002003501E203K03203A625132161A013</v>
      </c>
      <c r="T915" s="4" t="str">
        <f>LOOKUP($E915,OBRAS!$D:$D,OBRAS!G:G)</f>
        <v>LICITACIÓN SIMPLIFICADA</v>
      </c>
      <c r="U915" s="4" t="s">
        <v>863</v>
      </c>
      <c r="V915" s="89">
        <v>42781</v>
      </c>
      <c r="W915" s="6">
        <f>LOOKUP($E915,OBRAS!$D:$D,OBRAS!K:K)</f>
        <v>525494.24</v>
      </c>
      <c r="X915" s="109">
        <f t="shared" si="221"/>
        <v>0.25</v>
      </c>
      <c r="Y915" s="109">
        <f t="shared" si="222"/>
        <v>1</v>
      </c>
      <c r="Z915" s="109">
        <f t="shared" si="223"/>
        <v>1</v>
      </c>
      <c r="AA915" s="4" t="str">
        <f>LOOKUP($E915,OBRAS!$D:$D,OBRAS!H:H)</f>
        <v>SH-ED-16-020</v>
      </c>
    </row>
    <row r="916" spans="1:27" ht="60" x14ac:dyDescent="0.25">
      <c r="A916" s="90">
        <v>42720</v>
      </c>
      <c r="B916" s="56">
        <v>5926</v>
      </c>
      <c r="C916" s="51">
        <v>915</v>
      </c>
      <c r="D916" s="4" t="str">
        <f>LOOKUP($E916,OBRAS!$D:$D,OBRAS!C:C)</f>
        <v>CONSERVACION Y RECONSTRUCCION DE CARRETERAS ALIMENTADORAS REGION GUAYMAS-EMPALME, TRAMO: URSULO GALVAN-JUNELANCAHUI, DEL KM 0+000 AL KM 5+600</v>
      </c>
      <c r="E916" s="4" t="s">
        <v>550</v>
      </c>
      <c r="F916" s="4" t="s">
        <v>225</v>
      </c>
      <c r="G916" s="4" t="str">
        <f>LOOKUP($E916,OBRAS!$D:$D,OBRAS!E:E)</f>
        <v>C-00054/0060</v>
      </c>
      <c r="H916" s="80" t="s">
        <v>215</v>
      </c>
      <c r="I916" s="6">
        <v>2720100.28</v>
      </c>
      <c r="J916" s="6"/>
      <c r="K916" s="6">
        <f>ROUND(I916*0.3,2)</f>
        <v>816030.08</v>
      </c>
      <c r="L916" s="6">
        <f t="shared" si="218"/>
        <v>1904070.2</v>
      </c>
      <c r="M916" s="6">
        <f t="shared" si="217"/>
        <v>304651.23</v>
      </c>
      <c r="N916" s="6">
        <f t="shared" si="219"/>
        <v>2208721.4300000002</v>
      </c>
      <c r="O916" s="6">
        <f>+ROUND(I916*0.002,2)+ROUND(I916*0.0003,2)+ROUND(I916*0.0003,2)+ROUND(I916*0.0003,2)+ROUND(I916*0.002,2)</f>
        <v>13328.49</v>
      </c>
      <c r="P916" s="6">
        <f t="shared" si="220"/>
        <v>2195392.94</v>
      </c>
      <c r="Q916" s="4" t="str">
        <f>LOOKUP($E916,OBRAS!$D:$D,OBRAS!B:B)</f>
        <v>ACQUA  DREN  INGENIERIA S.A. DE C.V.</v>
      </c>
      <c r="R916" s="4" t="str">
        <f>LOOKUP($E916,OBRAS!$D:$D,OBRAS!A:A)</f>
        <v>VARIOS</v>
      </c>
      <c r="S916" s="4" t="str">
        <f>LOOKUP($E916,OBRAS!$D:$D,OBRAS!F:F)</f>
        <v>11000002003501E204K08063A625012162A213</v>
      </c>
      <c r="T916" s="4" t="str">
        <f>LOOKUP($E916,OBRAS!$D:$D,OBRAS!G:G)</f>
        <v>CE-926006995-E24-2016</v>
      </c>
      <c r="U916" s="4" t="s">
        <v>863</v>
      </c>
      <c r="V916" s="89">
        <v>42762</v>
      </c>
      <c r="W916" s="6">
        <f>LOOKUP($E916,OBRAS!$D:$D,OBRAS!K:K)</f>
        <v>14898875.880000001</v>
      </c>
      <c r="X916" s="109">
        <f t="shared" si="221"/>
        <v>0.21179999999999999</v>
      </c>
      <c r="Y916" s="109">
        <f t="shared" si="222"/>
        <v>0.60219999999999996</v>
      </c>
      <c r="Z916" s="109">
        <f t="shared" si="223"/>
        <v>0.72150000000000003</v>
      </c>
      <c r="AA916" s="4" t="str">
        <f>LOOKUP($E916,OBRAS!$D:$D,OBRAS!H:H)</f>
        <v>SH-ED-17-R-013</v>
      </c>
    </row>
    <row r="917" spans="1:27" ht="30" x14ac:dyDescent="0.25">
      <c r="A917" s="90">
        <v>42725</v>
      </c>
      <c r="B917" s="56">
        <v>6136</v>
      </c>
      <c r="C917" s="49">
        <v>916</v>
      </c>
      <c r="D917" s="4" t="str">
        <f>LOOKUP($E917,OBRAS!$D:$D,OBRAS!C:C)</f>
        <v>BOULEVARD DE ACCESO A LA LOCALIDAD Y MUNICIPIO DE BENJAMIN HILL, SONORA</v>
      </c>
      <c r="E917" s="4" t="s">
        <v>992</v>
      </c>
      <c r="F917" s="4"/>
      <c r="G917" s="4" t="str">
        <f>LOOKUP($E917,OBRAS!$D:$D,OBRAS!E:E)</f>
        <v>C-00052/0202</v>
      </c>
      <c r="H917" s="80" t="s">
        <v>103</v>
      </c>
      <c r="I917" s="6">
        <v>2421336.5299999998</v>
      </c>
      <c r="J917" s="6"/>
      <c r="K917" s="6">
        <f>ROUND(I917*0.3,2)</f>
        <v>726400.96</v>
      </c>
      <c r="L917" s="6">
        <f t="shared" si="218"/>
        <v>1694935.57</v>
      </c>
      <c r="M917" s="6">
        <f t="shared" si="217"/>
        <v>271189.69</v>
      </c>
      <c r="N917" s="6">
        <f t="shared" si="219"/>
        <v>1966125.26</v>
      </c>
      <c r="O917" s="6">
        <f>+ROUND(I917*0.002,2)+ROUND(I917*0.0003,2)+ROUND(I917*0.0003,2)+ROUND(I917*0.0003,2)+ROUND(I917*0.002,2)</f>
        <v>11864.54</v>
      </c>
      <c r="P917" s="6">
        <f t="shared" si="220"/>
        <v>1954260.72</v>
      </c>
      <c r="Q917" s="4" t="str">
        <f>LOOKUP($E917,OBRAS!$D:$D,OBRAS!B:B)</f>
        <v>MEZQUITE CONSTRUCCIONES,S.A.DE C.V.</v>
      </c>
      <c r="R917" s="4" t="str">
        <f>LOOKUP($E917,OBRAS!$D:$D,OBRAS!A:A)</f>
        <v>BENJAMIN HILL</v>
      </c>
      <c r="S917" s="4" t="str">
        <f>LOOKUP($E917,OBRAS!$D:$D,OBRAS!F:F)</f>
        <v>1000002002201E202K05186A614222165DM03</v>
      </c>
      <c r="T917" s="4" t="str">
        <f>LOOKUP($E917,OBRAS!$D:$D,OBRAS!G:G)</f>
        <v>MCO-850128-MP3</v>
      </c>
      <c r="U917" s="4" t="s">
        <v>863</v>
      </c>
      <c r="V917" s="89">
        <v>42732</v>
      </c>
      <c r="W917" s="6">
        <f>LOOKUP($E917,OBRAS!$D:$D,OBRAS!K:K)</f>
        <v>7078846.0700000003</v>
      </c>
      <c r="X917" s="109">
        <f t="shared" si="221"/>
        <v>0.39679999999999999</v>
      </c>
      <c r="Y917" s="109">
        <f t="shared" si="222"/>
        <v>0.57779999999999998</v>
      </c>
      <c r="Z917" s="109">
        <f t="shared" si="223"/>
        <v>0.70440000000000003</v>
      </c>
      <c r="AA917" s="4" t="str">
        <f>LOOKUP($E917,OBRAS!$D:$D,OBRAS!H:H)</f>
        <v>SH-FAFEF-17-R-001</v>
      </c>
    </row>
    <row r="918" spans="1:27" ht="30" x14ac:dyDescent="0.25">
      <c r="A918" s="90">
        <v>42816</v>
      </c>
      <c r="B918" s="56">
        <v>1817</v>
      </c>
      <c r="C918" s="132">
        <v>917</v>
      </c>
      <c r="D918" s="4" t="str">
        <f>LOOKUP($E918,OBRAS!$D:$D,OBRAS!C:C)</f>
        <v>BOULEVARD DE ACCESO A LA LOCALIDAD Y MUNICIPIO DE BENJAMIN HILL, SONORA</v>
      </c>
      <c r="E918" s="4" t="s">
        <v>992</v>
      </c>
      <c r="F918" s="4" t="s">
        <v>224</v>
      </c>
      <c r="G918" s="4" t="str">
        <f>LOOKUP($E918,OBRAS!$D:$D,OBRAS!E:E)</f>
        <v>C-00052/0202</v>
      </c>
      <c r="H918" s="80" t="s">
        <v>221</v>
      </c>
      <c r="I918" s="6">
        <v>1104335.0900000001</v>
      </c>
      <c r="J918" s="6"/>
      <c r="K918" s="6">
        <v>331300.53000000003</v>
      </c>
      <c r="L918" s="6">
        <f t="shared" si="218"/>
        <v>773034.56</v>
      </c>
      <c r="M918" s="6">
        <f t="shared" si="217"/>
        <v>123685.53</v>
      </c>
      <c r="N918" s="6">
        <f t="shared" si="219"/>
        <v>896720.09</v>
      </c>
      <c r="O918" s="6">
        <f>+ROUND(I918*0.002,2)+ROUND(I918*0.0003,2)+ROUND(I918*0.0003,2)+ROUND(I918*0.0003,2)+ROUND(I918*0.002,2)</f>
        <v>5411.24</v>
      </c>
      <c r="P918" s="6">
        <f t="shared" si="220"/>
        <v>891308.85</v>
      </c>
      <c r="Q918" s="4" t="str">
        <f>LOOKUP($E918,OBRAS!$D:$D,OBRAS!B:B)</f>
        <v>MEZQUITE CONSTRUCCIONES,S.A.DE C.V.</v>
      </c>
      <c r="R918" s="4" t="str">
        <f>LOOKUP($E918,OBRAS!$D:$D,OBRAS!A:A)</f>
        <v>BENJAMIN HILL</v>
      </c>
      <c r="S918" s="4" t="str">
        <f>LOOKUP($E918,OBRAS!$D:$D,OBRAS!F:F)</f>
        <v>1000002002201E202K05186A614222165DM03</v>
      </c>
      <c r="T918" s="4" t="str">
        <f>LOOKUP($E918,OBRAS!$D:$D,OBRAS!G:G)</f>
        <v>MCO-850128-MP3</v>
      </c>
      <c r="U918" s="4" t="s">
        <v>774</v>
      </c>
      <c r="V918" s="89">
        <v>42816</v>
      </c>
      <c r="W918" s="6">
        <f>LOOKUP($E918,OBRAS!$D:$D,OBRAS!K:K)</f>
        <v>7078846.0700000003</v>
      </c>
      <c r="X918" s="109">
        <f t="shared" si="221"/>
        <v>0.18099999999999999</v>
      </c>
      <c r="Y918" s="109">
        <f t="shared" si="222"/>
        <v>0.57779999999999998</v>
      </c>
      <c r="Z918" s="109">
        <f t="shared" si="223"/>
        <v>0.70440000000000003</v>
      </c>
      <c r="AA918" s="4" t="str">
        <f>LOOKUP($E918,OBRAS!$D:$D,OBRAS!H:H)</f>
        <v>SH-FAFEF-17-R-001</v>
      </c>
    </row>
    <row r="919" spans="1:27" ht="60" x14ac:dyDescent="0.25">
      <c r="A919" s="90">
        <v>42720</v>
      </c>
      <c r="B919" s="56">
        <v>5929</v>
      </c>
      <c r="C919" s="51">
        <v>918</v>
      </c>
      <c r="D919" s="4" t="str">
        <f>LOOKUP($E919,OBRAS!$D:$D,OBRAS!C:C)</f>
        <v>SUPERVISION EXTERNA Y CONTROL DE CALIDAD DE LA OBRA RECONSTRUCCIÓN DEL CAMINO CALLE 16 EN VARIAS LOCALIDADES DEL MUNICIPIO DE CAJEME, SONORA.</v>
      </c>
      <c r="E919" s="4" t="s">
        <v>358</v>
      </c>
      <c r="F919" s="4"/>
      <c r="G919" s="4" t="str">
        <f>LOOKUP($E919,OBRAS!$D:$D,OBRAS!E:E)</f>
        <v>C-00098/0021</v>
      </c>
      <c r="H919" s="80" t="s">
        <v>215</v>
      </c>
      <c r="I919" s="6">
        <v>170065.74</v>
      </c>
      <c r="J919" s="6"/>
      <c r="K919" s="6">
        <v>17006.57</v>
      </c>
      <c r="L919" s="6">
        <f t="shared" si="218"/>
        <v>153059.17000000001</v>
      </c>
      <c r="M919" s="6">
        <f t="shared" si="217"/>
        <v>24489.47</v>
      </c>
      <c r="N919" s="6">
        <f t="shared" si="219"/>
        <v>177548.64</v>
      </c>
      <c r="O919" s="6">
        <f>+ROUND(I919*0.002,2)+ROUND(I919*0.0003,2)+ROUND(I919*0.0003,2)+ROUND(I919*0.0003,2)</f>
        <v>493.19</v>
      </c>
      <c r="P919" s="6">
        <f t="shared" si="220"/>
        <v>177055.45</v>
      </c>
      <c r="Q919" s="4" t="str">
        <f>LOOKUP($E919,OBRAS!$D:$D,OBRAS!B:B)</f>
        <v>PROTEKO DESARROLLOS E INFRAESTRUCTURA, S.A. DE C.V.</v>
      </c>
      <c r="R919" s="4" t="str">
        <f>LOOKUP($E919,OBRAS!$D:$D,OBRAS!A:A)</f>
        <v>CAJEME</v>
      </c>
      <c r="S919" s="4" t="str">
        <f>LOOKUP($E919,OBRAS!$D:$D,OBRAS!F:F)</f>
        <v>11000002003501E203K03203A625132161A013</v>
      </c>
      <c r="T919" s="4" t="str">
        <f>LOOKUP($E919,OBRAS!$D:$D,OBRAS!G:G)</f>
        <v>LICITACIÓN SIMPLIFICADA</v>
      </c>
      <c r="U919" s="4" t="s">
        <v>863</v>
      </c>
      <c r="V919" s="89">
        <v>42781</v>
      </c>
      <c r="W919" s="6">
        <f>LOOKUP($E919,OBRAS!$D:$D,OBRAS!K:K)</f>
        <v>789105.03</v>
      </c>
      <c r="X919" s="109">
        <f t="shared" si="221"/>
        <v>0.25</v>
      </c>
      <c r="Y919" s="109">
        <f t="shared" si="222"/>
        <v>1</v>
      </c>
      <c r="Z919" s="109">
        <f t="shared" si="223"/>
        <v>1</v>
      </c>
      <c r="AA919" s="4" t="str">
        <f>LOOKUP($E919,OBRAS!$D:$D,OBRAS!H:H)</f>
        <v>SH-ED-16-020</v>
      </c>
    </row>
    <row r="920" spans="1:27" ht="45" x14ac:dyDescent="0.25">
      <c r="A920" s="90">
        <v>42720</v>
      </c>
      <c r="B920" s="56">
        <v>5930</v>
      </c>
      <c r="C920" s="51">
        <v>919</v>
      </c>
      <c r="D920" s="4" t="str">
        <f>LOOKUP($E920,OBRAS!$D:$D,OBRAS!C:C)</f>
        <v>RECONSTRUCCION DE E. C. (HERMOSILLO-BAHIA DE KINO)- GRANJA ACUICOLA SAN NICOLAS DEL KM 0+000 AL KM 10+410, HERMOSILLO</v>
      </c>
      <c r="E920" s="4" t="s">
        <v>326</v>
      </c>
      <c r="F920" s="4"/>
      <c r="G920" s="4" t="str">
        <f>LOOKUP($E920,OBRAS!$D:$D,OBRAS!E:E)</f>
        <v>C-00054/0075</v>
      </c>
      <c r="H920" s="80" t="s">
        <v>215</v>
      </c>
      <c r="I920" s="6">
        <v>3314201.06</v>
      </c>
      <c r="J920" s="6"/>
      <c r="K920" s="6">
        <f>ROUND(I920*0.3,2)</f>
        <v>994260.32</v>
      </c>
      <c r="L920" s="6">
        <f t="shared" si="218"/>
        <v>2319940.7400000002</v>
      </c>
      <c r="M920" s="6">
        <f t="shared" si="217"/>
        <v>371190.52</v>
      </c>
      <c r="N920" s="6">
        <f t="shared" si="219"/>
        <v>2691131.26</v>
      </c>
      <c r="O920" s="6">
        <f>+ROUND(I920*0.002,2)+ROUND(I920*0.0003,2)+ROUND(I920*0.0003,2)+ROUND(I920*0.0003,2)+ROUND(I920*0.002,2)</f>
        <v>16239.58</v>
      </c>
      <c r="P920" s="6">
        <f t="shared" si="220"/>
        <v>2674891.6800000002</v>
      </c>
      <c r="Q920" s="4" t="str">
        <f>LOOKUP($E920,OBRAS!$D:$D,OBRAS!B:B)</f>
        <v>GALEONEZS LM CONSTRUCCIONES, S. A. DE C. V.</v>
      </c>
      <c r="R920" s="4" t="str">
        <f>LOOKUP($E920,OBRAS!$D:$D,OBRAS!A:A)</f>
        <v>HERMOSILLO</v>
      </c>
      <c r="S920" s="4" t="str">
        <f>LOOKUP($E920,OBRAS!$D:$D,OBRAS!F:F)</f>
        <v>11000002003501E204K08063A625012162A207</v>
      </c>
      <c r="T920" s="4" t="str">
        <f>LOOKUP($E920,OBRAS!$D:$D,OBRAS!G:G)</f>
        <v>CE-926006995-E43-2016</v>
      </c>
      <c r="U920" s="4" t="s">
        <v>863</v>
      </c>
      <c r="V920" s="89">
        <v>42774</v>
      </c>
      <c r="W920" s="6">
        <f>LOOKUP($E920,OBRAS!$D:$D,OBRAS!K:K)</f>
        <v>19015925.609999999</v>
      </c>
      <c r="X920" s="109">
        <f t="shared" si="221"/>
        <v>0.20219999999999999</v>
      </c>
      <c r="Y920" s="109">
        <f t="shared" si="222"/>
        <v>0.82530000000000003</v>
      </c>
      <c r="Z920" s="109">
        <f t="shared" si="223"/>
        <v>0.87770000000000004</v>
      </c>
      <c r="AA920" s="4" t="str">
        <f>LOOKUP($E920,OBRAS!$D:$D,OBRAS!H:H)</f>
        <v>SH-ED-17-R-004</v>
      </c>
    </row>
    <row r="921" spans="1:27" ht="45" x14ac:dyDescent="0.25">
      <c r="A921" s="90">
        <v>42720</v>
      </c>
      <c r="B921" s="56">
        <v>5931</v>
      </c>
      <c r="C921" s="51">
        <v>920</v>
      </c>
      <c r="D921" s="4" t="str">
        <f>LOOKUP($E921,OBRAS!$D:$D,OBRAS!C:C)</f>
        <v>RECONSTRUCCION DEL CAMINO CALLE 12 SUR EN VARIAS LOCALIDADES, MUNICIPIO DE HERMOSILLO, SONORA</v>
      </c>
      <c r="E921" s="4" t="s">
        <v>524</v>
      </c>
      <c r="F921" s="4"/>
      <c r="G921" s="4" t="str">
        <f>LOOKUP($E921,OBRAS!$D:$D,OBRAS!E:E)</f>
        <v>C-00054/0025</v>
      </c>
      <c r="H921" s="80" t="s">
        <v>15</v>
      </c>
      <c r="I921" s="6">
        <v>5859691.6699999999</v>
      </c>
      <c r="J921" s="6"/>
      <c r="K921" s="6">
        <f>ROUND(I921*0.3,2)</f>
        <v>1757907.5</v>
      </c>
      <c r="L921" s="6">
        <f t="shared" si="218"/>
        <v>4101784.17</v>
      </c>
      <c r="M921" s="6">
        <f t="shared" si="217"/>
        <v>656285.47</v>
      </c>
      <c r="N921" s="6">
        <f t="shared" si="219"/>
        <v>4758069.6399999997</v>
      </c>
      <c r="O921" s="6">
        <f>+ROUND(I921*0.002,2)+ROUND(I921*0.0003,2)+ROUND(I921*0.0003,2)+ROUND(I921*0.0003,2)+ROUND(I921*0.002,2)</f>
        <v>28712.49</v>
      </c>
      <c r="P921" s="6">
        <f t="shared" si="220"/>
        <v>4729357.1500000004</v>
      </c>
      <c r="Q921" s="4" t="str">
        <f>LOOKUP($E921,OBRAS!$D:$D,OBRAS!B:B)</f>
        <v>GALEONEZS LM CONSTRUCCIONES, S. A. DE C. V.</v>
      </c>
      <c r="R921" s="4" t="str">
        <f>LOOKUP($E921,OBRAS!$D:$D,OBRAS!A:A)</f>
        <v>HERMOSILLO</v>
      </c>
      <c r="S921" s="4" t="str">
        <f>LOOKUP($E921,OBRAS!$D:$D,OBRAS!F:F)</f>
        <v>11000002003501E204K08063A625012162A207</v>
      </c>
      <c r="T921" s="4" t="str">
        <f>LOOKUP($E921,OBRAS!$D:$D,OBRAS!G:G)</f>
        <v>CE-926006995-E6-2016</v>
      </c>
      <c r="U921" s="4" t="s">
        <v>863</v>
      </c>
      <c r="V921" s="89">
        <v>42762</v>
      </c>
      <c r="W921" s="6">
        <f>LOOKUP($E921,OBRAS!$D:$D,OBRAS!K:K)</f>
        <v>22955014.68</v>
      </c>
      <c r="X921" s="109">
        <f t="shared" si="221"/>
        <v>0.29609999999999997</v>
      </c>
      <c r="Y921" s="109">
        <f t="shared" si="222"/>
        <v>0.98119999999999996</v>
      </c>
      <c r="Z921" s="109">
        <f t="shared" si="223"/>
        <v>0.9869</v>
      </c>
      <c r="AA921" s="4" t="str">
        <f>LOOKUP($E921,OBRAS!$D:$D,OBRAS!H:H)</f>
        <v>SH-ED-17-R-013</v>
      </c>
    </row>
    <row r="922" spans="1:27" ht="60" x14ac:dyDescent="0.25">
      <c r="A922" s="90">
        <v>42720</v>
      </c>
      <c r="B922" s="56">
        <v>5932</v>
      </c>
      <c r="C922" s="51">
        <v>921</v>
      </c>
      <c r="D922" s="4" t="str">
        <f>LOOKUP($E922,OBRAS!$D:$D,OBRAS!C:C)</f>
        <v>CONSTRUCCION DE LA CARRETERA E.C. 4 SUR (ALFREDO V. BONFIL) TRAMO DEL KM 1+700 AL KM 5+600 EN VARIAS LOCALIDADES DEL MUNICIPIO DE HERMOSILLO</v>
      </c>
      <c r="E922" s="4" t="s">
        <v>364</v>
      </c>
      <c r="F922" s="4" t="s">
        <v>895</v>
      </c>
      <c r="G922" s="4" t="str">
        <f>LOOKUP($E922,OBRAS!$D:$D,OBRAS!E:E)</f>
        <v>C-00054/0066</v>
      </c>
      <c r="H922" s="80" t="s">
        <v>215</v>
      </c>
      <c r="I922" s="6">
        <v>2827577.61</v>
      </c>
      <c r="J922" s="6"/>
      <c r="K922" s="6">
        <f>ROUND(I922*0.3,2)</f>
        <v>848273.28</v>
      </c>
      <c r="L922" s="6">
        <f t="shared" si="218"/>
        <v>1979304.33</v>
      </c>
      <c r="M922" s="6">
        <f t="shared" si="217"/>
        <v>316688.69</v>
      </c>
      <c r="N922" s="6">
        <f t="shared" si="219"/>
        <v>2295993.02</v>
      </c>
      <c r="O922" s="6">
        <f>+ROUND(I922*0.002,2)+ROUND(I922*0.0003,2)+ROUND(I922*0.0003,2)+ROUND(I922*0.0003,2)+ROUND(I922*0.002,2)</f>
        <v>13855.13</v>
      </c>
      <c r="P922" s="6">
        <f t="shared" si="220"/>
        <v>2282137.89</v>
      </c>
      <c r="Q922" s="4" t="str">
        <f>LOOKUP($E922,OBRAS!$D:$D,OBRAS!B:B)</f>
        <v>EDIFICACIONES Y PROYECTOS MOCELIK, S.A. DE C.V.</v>
      </c>
      <c r="R922" s="4" t="str">
        <f>LOOKUP($E922,OBRAS!$D:$D,OBRAS!A:A)</f>
        <v>HERMOSILLO</v>
      </c>
      <c r="S922" s="4" t="str">
        <f>LOOKUP($E922,OBRAS!$D:$D,OBRAS!F:F)</f>
        <v>11000002003501E204K08063A625012162A213</v>
      </c>
      <c r="T922" s="4" t="str">
        <f>LOOKUP($E922,OBRAS!$D:$D,OBRAS!G:G)</f>
        <v>CE-926006995-E34-2016</v>
      </c>
      <c r="U922" s="4" t="s">
        <v>863</v>
      </c>
      <c r="V922" s="89">
        <v>42780</v>
      </c>
      <c r="W922" s="6">
        <f>LOOKUP($E922,OBRAS!$D:$D,OBRAS!K:K)</f>
        <v>23895598.399999999</v>
      </c>
      <c r="X922" s="109">
        <f t="shared" si="221"/>
        <v>0.13730000000000001</v>
      </c>
      <c r="Y922" s="109">
        <f t="shared" si="222"/>
        <v>0.98550000000000004</v>
      </c>
      <c r="Z922" s="109">
        <f t="shared" si="223"/>
        <v>0.98980000000000001</v>
      </c>
      <c r="AA922" s="4" t="str">
        <f>LOOKUP($E922,OBRAS!$D:$D,OBRAS!H:H)</f>
        <v>SH-ED-17-R-013</v>
      </c>
    </row>
    <row r="923" spans="1:27" ht="45" x14ac:dyDescent="0.25">
      <c r="A923" s="90">
        <v>42720</v>
      </c>
      <c r="B923" s="56">
        <v>5933</v>
      </c>
      <c r="C923" s="51">
        <v>922</v>
      </c>
      <c r="D923" s="4" t="str">
        <f>LOOKUP($E923,OBRAS!$D:$D,OBRAS!C:C)</f>
        <v>CONSTRUCCION Y MODERNIZACION EN DISTRIBUIDOR VIAL EN LA LOCALIDAD Y MUNICIPIO DE NOGALES, SONORA</v>
      </c>
      <c r="E923" s="4" t="s">
        <v>233</v>
      </c>
      <c r="F923" s="4" t="s">
        <v>895</v>
      </c>
      <c r="G923" s="4" t="str">
        <f>LOOKUP($E923,OBRAS!$D:$D,OBRAS!E:E)</f>
        <v>C-00052/0136</v>
      </c>
      <c r="H923" s="80" t="s">
        <v>748</v>
      </c>
      <c r="I923" s="6">
        <v>1252586.21</v>
      </c>
      <c r="J923" s="6"/>
      <c r="K923" s="6">
        <v>1189956.8999999999</v>
      </c>
      <c r="L923" s="6">
        <f t="shared" si="218"/>
        <v>62629.31</v>
      </c>
      <c r="M923" s="6">
        <f t="shared" si="217"/>
        <v>10020.69</v>
      </c>
      <c r="N923" s="6">
        <f t="shared" si="219"/>
        <v>72650</v>
      </c>
      <c r="O923" s="6">
        <f>+ROUND(I923*0.002,2)+ROUND(I923*0.0003,2)+ROUND(I923*0.0003,2)+ROUND(I923*0.0003,2)+ROUND(I923*0.002,2)</f>
        <v>6137.68</v>
      </c>
      <c r="P923" s="6">
        <f t="shared" si="220"/>
        <v>66512.320000000007</v>
      </c>
      <c r="Q923" s="4" t="str">
        <f>LOOKUP($E923,OBRAS!$D:$D,OBRAS!B:B)</f>
        <v>LA GRANDE CONSTRUCTORA S.A. DE C.V.</v>
      </c>
      <c r="R923" s="4" t="str">
        <f>LOOKUP($E923,OBRAS!$D:$D,OBRAS!A:A)</f>
        <v>NOGALES</v>
      </c>
      <c r="S923" s="4" t="str">
        <f>LOOKUP($E923,OBRAS!$D:$D,OBRAS!F:F)</f>
        <v>11000002002201E201K13303A614202155DM03</v>
      </c>
      <c r="T923" s="4">
        <f>LOOKUP($E923,OBRAS!$D:$D,OBRAS!G:G)</f>
        <v>0</v>
      </c>
      <c r="U923" s="4" t="s">
        <v>863</v>
      </c>
      <c r="V923" s="89">
        <v>42734</v>
      </c>
      <c r="W923" s="6">
        <f>LOOKUP($E923,OBRAS!$D:$D,OBRAS!K:K)</f>
        <v>25515708.309999999</v>
      </c>
      <c r="X923" s="109">
        <f t="shared" si="221"/>
        <v>5.6899999999999999E-2</v>
      </c>
      <c r="Y923" s="109">
        <f t="shared" si="222"/>
        <v>0.52910000000000001</v>
      </c>
      <c r="Z923" s="109">
        <f t="shared" si="223"/>
        <v>0.20300000000000001</v>
      </c>
      <c r="AA923" s="4" t="str">
        <f>LOOKUP($E923,OBRAS!$D:$D,OBRAS!H:H)</f>
        <v>SH-FAFEF-16-R-007</v>
      </c>
    </row>
    <row r="924" spans="1:27" ht="45" x14ac:dyDescent="0.25">
      <c r="A924" s="90">
        <v>42720</v>
      </c>
      <c r="B924" s="56">
        <v>5934</v>
      </c>
      <c r="C924" s="51">
        <v>923</v>
      </c>
      <c r="D924" s="4" t="str">
        <f>LOOKUP($E924,OBRAS!$D:$D,OBRAS!C:C)</f>
        <v>CONSTRUCCION Y MODERNIZACION EN DISTRIBUIDOR VIAL EN LA LOCALIDAD Y MUNICIPIO DE NOGALES, SONORA</v>
      </c>
      <c r="E924" s="4" t="s">
        <v>233</v>
      </c>
      <c r="F924" s="4" t="s">
        <v>895</v>
      </c>
      <c r="G924" s="4" t="str">
        <f>LOOKUP($E924,OBRAS!$D:$D,OBRAS!E:E)</f>
        <v>C-00052/0136</v>
      </c>
      <c r="H924" s="80" t="s">
        <v>249</v>
      </c>
      <c r="I924" s="6">
        <v>138291.29</v>
      </c>
      <c r="J924" s="6"/>
      <c r="K924" s="6">
        <v>58021.65</v>
      </c>
      <c r="L924" s="6">
        <f t="shared" si="218"/>
        <v>80269.64</v>
      </c>
      <c r="M924" s="6">
        <f t="shared" si="217"/>
        <v>12843.14</v>
      </c>
      <c r="N924" s="6">
        <f t="shared" si="219"/>
        <v>93112.78</v>
      </c>
      <c r="O924" s="6">
        <v>13123.85</v>
      </c>
      <c r="P924" s="6">
        <f t="shared" si="220"/>
        <v>79988.929999999993</v>
      </c>
      <c r="Q924" s="4" t="str">
        <f>LOOKUP($E924,OBRAS!$D:$D,OBRAS!B:B)</f>
        <v>LA GRANDE CONSTRUCTORA S.A. DE C.V.</v>
      </c>
      <c r="R924" s="4" t="str">
        <f>LOOKUP($E924,OBRAS!$D:$D,OBRAS!A:A)</f>
        <v>NOGALES</v>
      </c>
      <c r="S924" s="4" t="str">
        <f>LOOKUP($E924,OBRAS!$D:$D,OBRAS!F:F)</f>
        <v>11000002002201E201K13303A614202155DM03</v>
      </c>
      <c r="T924" s="4">
        <f>LOOKUP($E924,OBRAS!$D:$D,OBRAS!G:G)</f>
        <v>0</v>
      </c>
      <c r="U924" s="4" t="s">
        <v>863</v>
      </c>
      <c r="V924" s="89">
        <v>42734</v>
      </c>
      <c r="W924" s="6">
        <f>LOOKUP($E924,OBRAS!$D:$D,OBRAS!K:K)</f>
        <v>25515708.309999999</v>
      </c>
      <c r="X924" s="109">
        <f t="shared" si="221"/>
        <v>6.3E-3</v>
      </c>
      <c r="Y924" s="109">
        <f t="shared" si="222"/>
        <v>0.52910000000000001</v>
      </c>
      <c r="Z924" s="109">
        <f t="shared" si="223"/>
        <v>0.20300000000000001</v>
      </c>
      <c r="AA924" s="4" t="str">
        <f>LOOKUP($E924,OBRAS!$D:$D,OBRAS!H:H)</f>
        <v>SH-FAFEF-16-R-007</v>
      </c>
    </row>
    <row r="925" spans="1:27" ht="45" x14ac:dyDescent="0.25">
      <c r="A925" s="90">
        <v>42720</v>
      </c>
      <c r="B925" s="56">
        <v>5935</v>
      </c>
      <c r="C925" s="51">
        <v>924</v>
      </c>
      <c r="D925" s="4" t="str">
        <f>LOOKUP($E925,OBRAS!$D:$D,OBRAS!C:C)</f>
        <v>CONSTRUCCION Y MODERNIZACION EN DISTRIBUIDOR VIAL EN LA LOCALIDAD Y MUNICIPIO DE NOGALES, SONORA</v>
      </c>
      <c r="E925" s="4" t="s">
        <v>233</v>
      </c>
      <c r="F925" s="4" t="s">
        <v>895</v>
      </c>
      <c r="G925" s="4" t="str">
        <f>LOOKUP($E925,OBRAS!$D:$D,OBRAS!E:E)</f>
        <v>C-00052/0136</v>
      </c>
      <c r="H925" s="80" t="s">
        <v>264</v>
      </c>
      <c r="I925" s="6">
        <v>51481.19</v>
      </c>
      <c r="J925" s="6"/>
      <c r="K925" s="6">
        <v>0</v>
      </c>
      <c r="L925" s="6">
        <f t="shared" si="218"/>
        <v>51481.19</v>
      </c>
      <c r="M925" s="6">
        <f t="shared" si="217"/>
        <v>8236.99</v>
      </c>
      <c r="N925" s="6">
        <f t="shared" si="219"/>
        <v>59718.18</v>
      </c>
      <c r="O925" s="6">
        <v>20329.900000000001</v>
      </c>
      <c r="P925" s="6">
        <f t="shared" si="220"/>
        <v>39388.28</v>
      </c>
      <c r="Q925" s="4" t="str">
        <f>LOOKUP($E925,OBRAS!$D:$D,OBRAS!B:B)</f>
        <v>LA GRANDE CONSTRUCTORA S.A. DE C.V.</v>
      </c>
      <c r="R925" s="4" t="str">
        <f>LOOKUP($E925,OBRAS!$D:$D,OBRAS!A:A)</f>
        <v>NOGALES</v>
      </c>
      <c r="S925" s="4" t="str">
        <f>LOOKUP($E925,OBRAS!$D:$D,OBRAS!F:F)</f>
        <v>11000002002201E201K13303A614202155DM03</v>
      </c>
      <c r="T925" s="4">
        <f>LOOKUP($E925,OBRAS!$D:$D,OBRAS!G:G)</f>
        <v>0</v>
      </c>
      <c r="U925" s="4" t="s">
        <v>863</v>
      </c>
      <c r="V925" s="89">
        <v>42734</v>
      </c>
      <c r="W925" s="6">
        <f>LOOKUP($E925,OBRAS!$D:$D,OBRAS!K:K)</f>
        <v>25515708.309999999</v>
      </c>
      <c r="X925" s="109">
        <f t="shared" si="221"/>
        <v>2.3E-3</v>
      </c>
      <c r="Y925" s="109">
        <f t="shared" si="222"/>
        <v>0.52910000000000001</v>
      </c>
      <c r="Z925" s="109">
        <f t="shared" si="223"/>
        <v>0.20300000000000001</v>
      </c>
      <c r="AA925" s="4" t="str">
        <f>LOOKUP($E925,OBRAS!$D:$D,OBRAS!H:H)</f>
        <v>SH-FAFEF-16-R-007</v>
      </c>
    </row>
    <row r="926" spans="1:27" ht="45" x14ac:dyDescent="0.25">
      <c r="A926" s="90">
        <v>42720</v>
      </c>
      <c r="B926" s="56">
        <v>5936</v>
      </c>
      <c r="C926" s="51">
        <v>925</v>
      </c>
      <c r="D926" s="4" t="str">
        <f>LOOKUP($E926,OBRAS!$D:$D,OBRAS!C:C)</f>
        <v>CONSTRUCCION Y MODERNIZACION EN DISTRIBUIDOR VIAL EN LA LOCALIDAD Y MUNICIPIO DE NOGALES, SONORA</v>
      </c>
      <c r="E926" s="4" t="s">
        <v>233</v>
      </c>
      <c r="F926" s="4" t="s">
        <v>895</v>
      </c>
      <c r="G926" s="4" t="str">
        <f>LOOKUP($E926,OBRAS!$D:$D,OBRAS!E:E)</f>
        <v>C-00052/0136</v>
      </c>
      <c r="H926" s="80" t="s">
        <v>268</v>
      </c>
      <c r="I926" s="6">
        <v>19776.14</v>
      </c>
      <c r="J926" s="6"/>
      <c r="K926" s="6">
        <v>0</v>
      </c>
      <c r="L926" s="6">
        <f t="shared" si="218"/>
        <v>19776.14</v>
      </c>
      <c r="M926" s="6">
        <f t="shared" si="217"/>
        <v>3164.18</v>
      </c>
      <c r="N926" s="6">
        <f t="shared" si="219"/>
        <v>22940.32</v>
      </c>
      <c r="O926" s="6">
        <v>10776.01</v>
      </c>
      <c r="P926" s="6">
        <f t="shared" si="220"/>
        <v>12164.31</v>
      </c>
      <c r="Q926" s="4" t="str">
        <f>LOOKUP($E926,OBRAS!$D:$D,OBRAS!B:B)</f>
        <v>LA GRANDE CONSTRUCTORA S.A. DE C.V.</v>
      </c>
      <c r="R926" s="4" t="str">
        <f>LOOKUP($E926,OBRAS!$D:$D,OBRAS!A:A)</f>
        <v>NOGALES</v>
      </c>
      <c r="S926" s="4" t="str">
        <f>LOOKUP($E926,OBRAS!$D:$D,OBRAS!F:F)</f>
        <v>11000002002201E201K13303A614202155DM03</v>
      </c>
      <c r="T926" s="4">
        <f>LOOKUP($E926,OBRAS!$D:$D,OBRAS!G:G)</f>
        <v>0</v>
      </c>
      <c r="U926" s="4" t="s">
        <v>863</v>
      </c>
      <c r="V926" s="89">
        <v>42734</v>
      </c>
      <c r="W926" s="6">
        <f>LOOKUP($E926,OBRAS!$D:$D,OBRAS!K:K)</f>
        <v>25515708.309999999</v>
      </c>
      <c r="X926" s="109">
        <f t="shared" si="221"/>
        <v>8.9999999999999998E-4</v>
      </c>
      <c r="Y926" s="109">
        <f t="shared" si="222"/>
        <v>0.52910000000000001</v>
      </c>
      <c r="Z926" s="109">
        <f t="shared" si="223"/>
        <v>0.20300000000000001</v>
      </c>
      <c r="AA926" s="4" t="str">
        <f>LOOKUP($E926,OBRAS!$D:$D,OBRAS!H:H)</f>
        <v>SH-FAFEF-16-R-007</v>
      </c>
    </row>
    <row r="927" spans="1:27" ht="45" x14ac:dyDescent="0.25">
      <c r="A927" s="90">
        <v>42768</v>
      </c>
      <c r="B927" s="56">
        <v>548</v>
      </c>
      <c r="C927" s="51">
        <v>926</v>
      </c>
      <c r="D927" s="4" t="str">
        <f>LOOKUP($E927,OBRAS!$D:$D,OBRAS!C:C)</f>
        <v>PAVIMENTACION CON CONCRETO HIDRAULICO EN LA CALLE AGUSTIN FIGUEROA EN LA LOCALIDAD DE BANAMICHI, SONORA</v>
      </c>
      <c r="E927" s="4" t="s">
        <v>919</v>
      </c>
      <c r="F927" s="4" t="s">
        <v>2289</v>
      </c>
      <c r="G927" s="4" t="str">
        <f>LOOKUP($E927,OBRAS!$D:$D,OBRAS!E:E)</f>
        <v>C-00052/0204</v>
      </c>
      <c r="H927" s="80" t="s">
        <v>221</v>
      </c>
      <c r="I927" s="6">
        <v>82026.720000000001</v>
      </c>
      <c r="J927" s="6"/>
      <c r="K927" s="6">
        <f>ROUND(I927*0.3,2)</f>
        <v>24608.02</v>
      </c>
      <c r="L927" s="6">
        <f t="shared" si="218"/>
        <v>57418.7</v>
      </c>
      <c r="M927" s="6">
        <f t="shared" si="217"/>
        <v>9186.99</v>
      </c>
      <c r="N927" s="6">
        <f t="shared" si="219"/>
        <v>66605.69</v>
      </c>
      <c r="O927" s="6">
        <f>+ROUND(I927*0.005,2)</f>
        <v>410.13</v>
      </c>
      <c r="P927" s="6">
        <f t="shared" si="220"/>
        <v>66195.56</v>
      </c>
      <c r="Q927" s="4" t="str">
        <f>LOOKUP($E927,OBRAS!$D:$D,OBRAS!B:B)</f>
        <v>ORTOPLAN CONSULTORES S. A. DE C. V.</v>
      </c>
      <c r="R927" s="4" t="str">
        <f>LOOKUP($E927,OBRAS!$D:$D,OBRAS!A:A)</f>
        <v>BANAMICHI</v>
      </c>
      <c r="S927" s="4" t="str">
        <f>LOOKUP($E927,OBRAS!$D:$D,OBRAS!F:F)</f>
        <v>11000002002201E202K05186A614202165FN05</v>
      </c>
      <c r="T927" s="4" t="str">
        <f>LOOKUP($E927,OBRAS!$D:$D,OBRAS!G:G)</f>
        <v>10-926006995-E105-2016</v>
      </c>
      <c r="U927" s="4" t="s">
        <v>863</v>
      </c>
      <c r="V927" s="89">
        <v>42804</v>
      </c>
      <c r="W927" s="6">
        <f>LOOKUP($E927,OBRAS!$D:$D,OBRAS!K:K)</f>
        <v>1890844.29</v>
      </c>
      <c r="X927" s="109">
        <f t="shared" si="221"/>
        <v>5.0299999999999997E-2</v>
      </c>
      <c r="Y927" s="109">
        <f t="shared" si="222"/>
        <v>0.93669999999999998</v>
      </c>
      <c r="Z927" s="109">
        <f t="shared" si="223"/>
        <v>0.95569999999999999</v>
      </c>
      <c r="AA927" s="4" t="str">
        <f>LOOKUP($E927,OBRAS!$D:$D,OBRAS!H:H)</f>
        <v>SH-NC-17-R-005</v>
      </c>
    </row>
    <row r="928" spans="1:27" ht="60" x14ac:dyDescent="0.25">
      <c r="A928" s="90">
        <v>42720</v>
      </c>
      <c r="B928" s="56">
        <v>5954</v>
      </c>
      <c r="C928" s="51">
        <v>927</v>
      </c>
      <c r="D928" s="4" t="str">
        <f>LOOKUP($E928,OBRAS!$D:$D,OBRAS!C:C)</f>
        <v>PAVIMENTACION CON CONCRETO HIDRAULICO DE 15 CMS DE ESPESOR EN LAS CALLES JOSE A. LUNA Y VICENTE GUERRERO EN LA LOCALIDAD Y MUNICIPIO DE ACONCHI, SONORA</v>
      </c>
      <c r="E928" s="4" t="s">
        <v>924</v>
      </c>
      <c r="F928" s="4"/>
      <c r="G928" s="4" t="str">
        <f>LOOKUP($E928,OBRAS!$D:$D,OBRAS!E:E)</f>
        <v>C-00052/0214</v>
      </c>
      <c r="H928" s="80" t="s">
        <v>221</v>
      </c>
      <c r="I928" s="6">
        <v>966957.32</v>
      </c>
      <c r="J928" s="6"/>
      <c r="K928" s="6">
        <f>ROUND(I928*0.3,2)</f>
        <v>290087.2</v>
      </c>
      <c r="L928" s="6">
        <f t="shared" si="218"/>
        <v>676870.12</v>
      </c>
      <c r="M928" s="6">
        <f t="shared" si="217"/>
        <v>108299.22</v>
      </c>
      <c r="N928" s="6">
        <f t="shared" si="219"/>
        <v>785169.34</v>
      </c>
      <c r="O928" s="6">
        <f>+ROUND(I928*0.005,2)</f>
        <v>4834.79</v>
      </c>
      <c r="P928" s="6">
        <f t="shared" si="220"/>
        <v>780334.55</v>
      </c>
      <c r="Q928" s="4" t="str">
        <f>LOOKUP($E928,OBRAS!$D:$D,OBRAS!B:B)</f>
        <v>ORTOPLAN CONSULTORES S. A. DE C. V.</v>
      </c>
      <c r="R928" s="4" t="str">
        <f>LOOKUP($E928,OBRAS!$D:$D,OBRAS!A:A)</f>
        <v>ACONCHI</v>
      </c>
      <c r="S928" s="4" t="str">
        <f>LOOKUP($E928,OBRAS!$D:$D,OBRAS!F:F)</f>
        <v>11000002002201E202K05186A614202165FN05</v>
      </c>
      <c r="T928" s="4" t="str">
        <f>LOOKUP($E928,OBRAS!$D:$D,OBRAS!G:G)</f>
        <v>10-926006995-E106-2016</v>
      </c>
      <c r="U928" s="4" t="s">
        <v>863</v>
      </c>
      <c r="V928" s="89">
        <v>42733</v>
      </c>
      <c r="W928" s="6">
        <f>LOOKUP($E928,OBRAS!$D:$D,OBRAS!K:K)</f>
        <v>2595924.5299999998</v>
      </c>
      <c r="X928" s="109">
        <f t="shared" si="221"/>
        <v>0.43209999999999998</v>
      </c>
      <c r="Y928" s="109">
        <f t="shared" si="222"/>
        <v>0.81279999999999997</v>
      </c>
      <c r="Z928" s="109">
        <f t="shared" si="223"/>
        <v>0.86899999999999999</v>
      </c>
      <c r="AA928" s="4" t="str">
        <f>LOOKUP($E928,OBRAS!$D:$D,OBRAS!H:H)</f>
        <v>SH-NC-17-R-005</v>
      </c>
    </row>
    <row r="929" spans="1:27" x14ac:dyDescent="0.25">
      <c r="A929" s="90"/>
      <c r="C929" s="51"/>
      <c r="D929" s="4"/>
      <c r="E929" s="4"/>
      <c r="F929" s="4"/>
      <c r="G929" s="4"/>
      <c r="H929" s="80"/>
      <c r="I929" s="6"/>
      <c r="J929" s="6"/>
      <c r="K929" s="6"/>
      <c r="L929" s="6"/>
      <c r="M929" s="6"/>
      <c r="N929" s="6"/>
      <c r="O929" s="6"/>
      <c r="P929" s="6"/>
      <c r="Q929" s="4"/>
      <c r="R929" s="4"/>
      <c r="S929" s="4" t="e">
        <f>LOOKUP($E929,OBRAS!$D:$D,OBRAS!F:F)</f>
        <v>#N/A</v>
      </c>
      <c r="T929" s="4" t="e">
        <f>LOOKUP($E929,OBRAS!$D:$D,OBRAS!G:G)</f>
        <v>#N/A</v>
      </c>
      <c r="U929" s="4"/>
      <c r="V929" s="89"/>
      <c r="W929" s="6"/>
      <c r="X929" s="109"/>
      <c r="Y929" s="109"/>
      <c r="Z929" s="109"/>
      <c r="AA929" s="4"/>
    </row>
    <row r="930" spans="1:27" ht="45" x14ac:dyDescent="0.25">
      <c r="A930" s="90">
        <v>42720</v>
      </c>
      <c r="B930" s="56">
        <v>5956</v>
      </c>
      <c r="C930" s="51">
        <v>929</v>
      </c>
      <c r="D930" s="4" t="str">
        <f>LOOKUP($E930,OBRAS!$D:$D,OBRAS!C:C)</f>
        <v>CONSTRUCCION DE CONSERVATORIO DE MUSICA FRAY IVO TONECK EN LA LOCALIDAD Y MUNICIPIO DE GUAYMAS, SONORA</v>
      </c>
      <c r="E930" s="4" t="s">
        <v>147</v>
      </c>
      <c r="F930" s="4"/>
      <c r="G930" s="4" t="str">
        <f>LOOKUP($E930,OBRAS!$D:$D,OBRAS!E:E)</f>
        <v>C-00093/0009</v>
      </c>
      <c r="H930" s="80" t="s">
        <v>220</v>
      </c>
      <c r="I930" s="6">
        <v>1893415.83</v>
      </c>
      <c r="J930" s="6"/>
      <c r="K930" s="6">
        <v>0</v>
      </c>
      <c r="L930" s="6">
        <f t="shared" ref="L930:L936" si="224">I930-K930</f>
        <v>1893415.83</v>
      </c>
      <c r="M930" s="6">
        <f t="shared" ref="M930:M961" si="225">ROUND(L930*0.16,2)</f>
        <v>302946.53000000003</v>
      </c>
      <c r="N930" s="6">
        <f t="shared" ref="N930:N961" si="226">M930+L930</f>
        <v>2196362.36</v>
      </c>
      <c r="O930" s="6">
        <f>+ROUND(I930*0.005,2)</f>
        <v>9467.08</v>
      </c>
      <c r="P930" s="6">
        <f t="shared" ref="P930:P961" si="227">N930-O930</f>
        <v>2186895.2799999998</v>
      </c>
      <c r="Q930" s="4" t="str">
        <f>LOOKUP($E930,OBRAS!$D:$D,OBRAS!B:B)</f>
        <v>EDIFICADORA CABO HARO, S.A. DE C.V.</v>
      </c>
      <c r="R930" s="4" t="str">
        <f>LOOKUP($E930,OBRAS!$D:$D,OBRAS!A:A)</f>
        <v>GUAYMAS</v>
      </c>
      <c r="S930" s="4" t="str">
        <f>LOOKUP($E930,OBRAS!$D:$D,OBRAS!F:F)</f>
        <v>11000002002402E406K06106A612012155GL10</v>
      </c>
      <c r="T930" s="4" t="str">
        <f>LOOKUP($E930,OBRAS!$D:$D,OBRAS!G:G)</f>
        <v>LO-926006995-N14-2015</v>
      </c>
      <c r="U930" s="4" t="s">
        <v>863</v>
      </c>
      <c r="V930" s="89">
        <v>42734</v>
      </c>
      <c r="W930" s="6">
        <f>LOOKUP($E930,OBRAS!$D:$D,OBRAS!K:K)</f>
        <v>17439154.870000001</v>
      </c>
      <c r="X930" s="109">
        <f t="shared" ref="X930:X961" si="228">IF(H930&lt;&gt;"ANTICIPO",I930/(W930/1.16),"")</f>
        <v>0.12590000000000001</v>
      </c>
      <c r="Y930" s="109">
        <f t="shared" ref="Y930:Y961" si="229">SUMIF(E:E,E930,X:X)</f>
        <v>1.1156999999999999</v>
      </c>
      <c r="Z930" s="109">
        <f t="shared" ref="Z930:Z961" si="230">SUMIF(E:E,E930,N:N)/W930</f>
        <v>0.7198</v>
      </c>
      <c r="AA930" s="4" t="str">
        <f>LOOKUP($E930,OBRAS!$D:$D,OBRAS!H:H)</f>
        <v>SH-NC-16-R-007</v>
      </c>
    </row>
    <row r="931" spans="1:27" ht="75" x14ac:dyDescent="0.25">
      <c r="A931" s="90">
        <v>42720</v>
      </c>
      <c r="B931" s="56">
        <v>5957</v>
      </c>
      <c r="C931" s="51">
        <v>930</v>
      </c>
      <c r="D931" s="4" t="str">
        <f>LOOKUP($E931,OBRAS!$D:$D,OBRAS!C:C)</f>
        <v>SUPERVISION EXTERNA Y CONTROL DE CALIDAD DE LA OBRA: CONSTRUCCIÓN DE CENTRO DE REHABILITACIÓN Y EDUCACIÓN ESPECIAL EN LA LOCALIDAD DE CD. OBREGON MUNICIPIO DE CAJEME, SONORA.</v>
      </c>
      <c r="E931" s="4" t="s">
        <v>838</v>
      </c>
      <c r="F931" s="4"/>
      <c r="G931" s="4" t="str">
        <f>LOOKUP($E931,OBRAS!$D:$D,OBRAS!E:E)</f>
        <v>C-00098/0022</v>
      </c>
      <c r="H931" s="80" t="s">
        <v>55</v>
      </c>
      <c r="I931" s="6">
        <v>202035.18</v>
      </c>
      <c r="J931" s="6"/>
      <c r="K931" s="6">
        <f>ROUND(I931*0.1,2)</f>
        <v>20203.52</v>
      </c>
      <c r="L931" s="6">
        <f t="shared" si="224"/>
        <v>181831.66</v>
      </c>
      <c r="M931" s="6">
        <f t="shared" si="225"/>
        <v>29093.07</v>
      </c>
      <c r="N931" s="6">
        <f t="shared" si="226"/>
        <v>210924.73</v>
      </c>
      <c r="O931" s="6">
        <f>+ROUND(I931*0.002,2)+ROUND(I931*0.0003,2)+ROUND(I931*0.0003,2)+ROUND(I931*0.0003,2)</f>
        <v>585.9</v>
      </c>
      <c r="P931" s="6">
        <f t="shared" si="227"/>
        <v>210338.83</v>
      </c>
      <c r="Q931" s="4" t="str">
        <f>LOOKUP($E931,OBRAS!$D:$D,OBRAS!B:B)</f>
        <v>J.G. SERRANO Y ASOCIADOS, S.C.</v>
      </c>
      <c r="R931" s="4" t="str">
        <f>LOOKUP($E931,OBRAS!$D:$D,OBRAS!A:A)</f>
        <v>CAJEME</v>
      </c>
      <c r="S931" s="4" t="str">
        <f>LOOKUP($E931,OBRAS!$D:$D,OBRAS!F:F)</f>
        <v>11000002002207E202K05079A622212161A013</v>
      </c>
      <c r="T931" s="4" t="str">
        <f>LOOKUP($E931,OBRAS!$D:$D,OBRAS!G:G)</f>
        <v>CE-926006995-E89-2016</v>
      </c>
      <c r="U931" s="4" t="s">
        <v>2238</v>
      </c>
      <c r="V931" s="89">
        <v>42741</v>
      </c>
      <c r="W931" s="6">
        <f>LOOKUP($E931,OBRAS!$D:$D,OBRAS!K:K)</f>
        <v>1131962.7</v>
      </c>
      <c r="X931" s="109">
        <f t="shared" si="228"/>
        <v>0.20699999999999999</v>
      </c>
      <c r="Y931" s="109">
        <f t="shared" si="229"/>
        <v>0.621</v>
      </c>
      <c r="Z931" s="109">
        <f t="shared" si="230"/>
        <v>0.65900000000000003</v>
      </c>
      <c r="AA931" s="4" t="str">
        <f>LOOKUP($E931,OBRAS!$D:$D,OBRAS!H:H)</f>
        <v>SH-ED-17-R-024</v>
      </c>
    </row>
    <row r="932" spans="1:27" ht="75" x14ac:dyDescent="0.25">
      <c r="A932" s="90">
        <v>42720</v>
      </c>
      <c r="B932" s="56">
        <v>5958</v>
      </c>
      <c r="C932" s="51">
        <v>931</v>
      </c>
      <c r="D932" s="4" t="str">
        <f>LOOKUP($E932,OBRAS!$D:$D,OBRAS!C:C)</f>
        <v>SUPERVISION EXTERNA Y CONTROL DE CALIDAD DE LA OBRA: CONSTRUCCIÓN DE CENTRO DE REHABILITACIÓN Y EDUCACIÓN ESPECIAL EN LA LOCALIDAD DE CD. OBREGON MUNICIPIO DE CAJEME, SONORA.</v>
      </c>
      <c r="E932" s="4" t="s">
        <v>838</v>
      </c>
      <c r="F932" s="4"/>
      <c r="G932" s="4" t="str">
        <f>LOOKUP($E932,OBRAS!$D:$D,OBRAS!E:E)</f>
        <v>C-00098/0022</v>
      </c>
      <c r="H932" s="80" t="s">
        <v>221</v>
      </c>
      <c r="I932" s="6">
        <v>202035.18</v>
      </c>
      <c r="J932" s="6"/>
      <c r="K932" s="6">
        <f>ROUND(I932*0.1,2)</f>
        <v>20203.52</v>
      </c>
      <c r="L932" s="6">
        <f t="shared" si="224"/>
        <v>181831.66</v>
      </c>
      <c r="M932" s="6">
        <f t="shared" si="225"/>
        <v>29093.07</v>
      </c>
      <c r="N932" s="6">
        <f t="shared" si="226"/>
        <v>210924.73</v>
      </c>
      <c r="O932" s="6">
        <f>+ROUND(I932*0.002,2)+ROUND(I932*0.0003,2)+ROUND(I932*0.0003,2)+ROUND(I932*0.0003,2)</f>
        <v>585.9</v>
      </c>
      <c r="P932" s="6">
        <f t="shared" si="227"/>
        <v>210338.83</v>
      </c>
      <c r="Q932" s="4" t="str">
        <f>LOOKUP($E932,OBRAS!$D:$D,OBRAS!B:B)</f>
        <v>J.G. SERRANO Y ASOCIADOS, S.C.</v>
      </c>
      <c r="R932" s="4" t="str">
        <f>LOOKUP($E932,OBRAS!$D:$D,OBRAS!A:A)</f>
        <v>CAJEME</v>
      </c>
      <c r="S932" s="4" t="str">
        <f>LOOKUP($E932,OBRAS!$D:$D,OBRAS!F:F)</f>
        <v>11000002002207E202K05079A622212161A013</v>
      </c>
      <c r="T932" s="4" t="str">
        <f>LOOKUP($E932,OBRAS!$D:$D,OBRAS!G:G)</f>
        <v>CE-926006995-E89-2016</v>
      </c>
      <c r="U932" s="4" t="s">
        <v>2238</v>
      </c>
      <c r="V932" s="89">
        <v>42741</v>
      </c>
      <c r="W932" s="6">
        <f>LOOKUP($E932,OBRAS!$D:$D,OBRAS!K:K)</f>
        <v>1131962.7</v>
      </c>
      <c r="X932" s="109">
        <f t="shared" si="228"/>
        <v>0.20699999999999999</v>
      </c>
      <c r="Y932" s="109">
        <f t="shared" si="229"/>
        <v>0.621</v>
      </c>
      <c r="Z932" s="109">
        <f t="shared" si="230"/>
        <v>0.65900000000000003</v>
      </c>
      <c r="AA932" s="4" t="str">
        <f>LOOKUP($E932,OBRAS!$D:$D,OBRAS!H:H)</f>
        <v>SH-ED-17-R-024</v>
      </c>
    </row>
    <row r="933" spans="1:27" ht="75" x14ac:dyDescent="0.25">
      <c r="A933" s="90">
        <v>42720</v>
      </c>
      <c r="B933" s="56">
        <v>5959</v>
      </c>
      <c r="C933" s="51">
        <v>932</v>
      </c>
      <c r="D933" s="4" t="str">
        <f>LOOKUP($E933,OBRAS!$D:$D,OBRAS!C:C)</f>
        <v>SUPERVISION EXTERNA Y CONTROL DE CALIDAD DE LA OBRA: CONSTRUCCIÓN DE CENTRO DE REHABILITACIÓN Y EDUCACIÓN ESPECIAL EN LA LOCALIDAD DE CD. OBREGON MUNICIPIO DE CAJEME, SONORA.</v>
      </c>
      <c r="E933" s="4" t="s">
        <v>838</v>
      </c>
      <c r="F933" s="4"/>
      <c r="G933" s="4" t="str">
        <f>LOOKUP($E933,OBRAS!$D:$D,OBRAS!E:E)</f>
        <v>C-00098/0022</v>
      </c>
      <c r="H933" s="80" t="s">
        <v>103</v>
      </c>
      <c r="I933" s="6">
        <v>202035.18</v>
      </c>
      <c r="J933" s="6"/>
      <c r="K933" s="6">
        <f>ROUND(I933*0.1,2)</f>
        <v>20203.52</v>
      </c>
      <c r="L933" s="6">
        <f t="shared" si="224"/>
        <v>181831.66</v>
      </c>
      <c r="M933" s="6">
        <f t="shared" si="225"/>
        <v>29093.07</v>
      </c>
      <c r="N933" s="6">
        <f t="shared" si="226"/>
        <v>210924.73</v>
      </c>
      <c r="O933" s="6">
        <f>+ROUND(I933*0.002,2)+ROUND(I933*0.0003,2)+ROUND(I933*0.0003,2)+ROUND(I933*0.0003,2)</f>
        <v>585.9</v>
      </c>
      <c r="P933" s="6">
        <f t="shared" si="227"/>
        <v>210338.83</v>
      </c>
      <c r="Q933" s="4" t="str">
        <f>LOOKUP($E933,OBRAS!$D:$D,OBRAS!B:B)</f>
        <v>J.G. SERRANO Y ASOCIADOS, S.C.</v>
      </c>
      <c r="R933" s="4" t="str">
        <f>LOOKUP($E933,OBRAS!$D:$D,OBRAS!A:A)</f>
        <v>CAJEME</v>
      </c>
      <c r="S933" s="4" t="str">
        <f>LOOKUP($E933,OBRAS!$D:$D,OBRAS!F:F)</f>
        <v>11000002002207E202K05079A622212161A013</v>
      </c>
      <c r="T933" s="4" t="str">
        <f>LOOKUP($E933,OBRAS!$D:$D,OBRAS!G:G)</f>
        <v>CE-926006995-E89-2016</v>
      </c>
      <c r="U933" s="4" t="s">
        <v>2238</v>
      </c>
      <c r="V933" s="89">
        <v>42741</v>
      </c>
      <c r="W933" s="6">
        <f>LOOKUP($E933,OBRAS!$D:$D,OBRAS!K:K)</f>
        <v>1131962.7</v>
      </c>
      <c r="X933" s="109">
        <f t="shared" si="228"/>
        <v>0.20699999999999999</v>
      </c>
      <c r="Y933" s="109">
        <f t="shared" si="229"/>
        <v>0.621</v>
      </c>
      <c r="Z933" s="109">
        <f t="shared" si="230"/>
        <v>0.65900000000000003</v>
      </c>
      <c r="AA933" s="4" t="str">
        <f>LOOKUP($E933,OBRAS!$D:$D,OBRAS!H:H)</f>
        <v>SH-ED-17-R-024</v>
      </c>
    </row>
    <row r="934" spans="1:27" ht="60" x14ac:dyDescent="0.25">
      <c r="A934" s="90">
        <v>42723</v>
      </c>
      <c r="B934" s="56">
        <v>5985</v>
      </c>
      <c r="C934" s="51">
        <v>933</v>
      </c>
      <c r="D934" s="4" t="str">
        <f>LOOKUP($E934,OBRAS!$D:$D,OBRAS!C:C)</f>
        <v>SUPERVISION EXTERNA Y CONTROL DE CALIDAD CONSTRUCCION Y RECONSTRUCCION DEL TRAMO CABORCA-Y GRIEGA EN LA LOCALIDAD DE CABORCA, SONORA</v>
      </c>
      <c r="E934" s="4" t="s">
        <v>451</v>
      </c>
      <c r="F934" s="4"/>
      <c r="G934" s="4" t="str">
        <f>LOOKUP($E934,OBRAS!$D:$D,OBRAS!E:E)</f>
        <v>C-00098/0021</v>
      </c>
      <c r="H934" s="80" t="s">
        <v>214</v>
      </c>
      <c r="I934" s="6">
        <v>341098.49</v>
      </c>
      <c r="J934" s="6"/>
      <c r="K934" s="6">
        <f>ROUND(I934*0.1,2)</f>
        <v>34109.85</v>
      </c>
      <c r="L934" s="6">
        <f t="shared" si="224"/>
        <v>306988.64</v>
      </c>
      <c r="M934" s="6">
        <f t="shared" si="225"/>
        <v>49118.18</v>
      </c>
      <c r="N934" s="6">
        <f t="shared" si="226"/>
        <v>356106.82</v>
      </c>
      <c r="O934" s="6">
        <f>+ROUND(I934*0.002,2)+ROUND(I934*0.0003,2)+ROUND(I934*0.0003,2)+ROUND(I934*0.0003,2)</f>
        <v>989.19</v>
      </c>
      <c r="P934" s="6">
        <f t="shared" si="227"/>
        <v>355117.63</v>
      </c>
      <c r="Q934" s="4" t="str">
        <f>LOOKUP($E934,OBRAS!$D:$D,OBRAS!B:B)</f>
        <v>JRM CONSULTORES, S.A. DE C.V</v>
      </c>
      <c r="R934" s="4" t="str">
        <f>LOOKUP($E934,OBRAS!$D:$D,OBRAS!A:A)</f>
        <v>CABORCA</v>
      </c>
      <c r="S934" s="4" t="str">
        <f>LOOKUP($E934,OBRAS!$D:$D,OBRAS!F:F)</f>
        <v>11000002003501E203K03203A625132161A013C-00098/0021</v>
      </c>
      <c r="T934" s="4" t="str">
        <f>LOOKUP($E934,OBRAS!$D:$D,OBRAS!G:G)</f>
        <v>CE-926006995-E48-2016</v>
      </c>
      <c r="U934" s="4" t="s">
        <v>863</v>
      </c>
      <c r="V934" s="89">
        <v>42781</v>
      </c>
      <c r="W934" s="6">
        <f>LOOKUP($E934,OBRAS!$D:$D,OBRAS!K:K)</f>
        <v>2299094.85</v>
      </c>
      <c r="X934" s="109">
        <f t="shared" si="228"/>
        <v>0.1721</v>
      </c>
      <c r="Y934" s="109">
        <f t="shared" si="229"/>
        <v>1</v>
      </c>
      <c r="Z934" s="109">
        <f t="shared" si="230"/>
        <v>1</v>
      </c>
      <c r="AA934" s="4" t="str">
        <f>LOOKUP($E934,OBRAS!$D:$D,OBRAS!H:H)</f>
        <v>SH-ED-16-040</v>
      </c>
    </row>
    <row r="935" spans="1:27" ht="60" x14ac:dyDescent="0.25">
      <c r="A935" s="90">
        <v>42720</v>
      </c>
      <c r="B935" s="56">
        <v>5961</v>
      </c>
      <c r="C935" s="51">
        <v>934</v>
      </c>
      <c r="D935" s="4" t="str">
        <f>LOOKUP($E935,OBRAS!$D:$D,OBRAS!C:C)</f>
        <v>CONTROL DE CALIDAD DE LA OBRA: REHABILITACION DE PAVIMENTOS A BASE DE RECARPETEO EN CALLE REFORMA, VARIOS TRAMOS, HERMOSILLO</v>
      </c>
      <c r="E935" s="4" t="s">
        <v>1924</v>
      </c>
      <c r="F935" s="4" t="s">
        <v>224</v>
      </c>
      <c r="G935" s="4" t="str">
        <f>LOOKUP($E935,OBRAS!$D:$D,OBRAS!E:E)</f>
        <v>C-00052/0177</v>
      </c>
      <c r="H935" s="80" t="s">
        <v>221</v>
      </c>
      <c r="I935" s="6">
        <v>86499.42</v>
      </c>
      <c r="J935" s="6"/>
      <c r="K935" s="6">
        <v>0</v>
      </c>
      <c r="L935" s="6">
        <f t="shared" si="224"/>
        <v>86499.42</v>
      </c>
      <c r="M935" s="6">
        <f t="shared" si="225"/>
        <v>13839.91</v>
      </c>
      <c r="N935" s="6">
        <f t="shared" si="226"/>
        <v>100339.33</v>
      </c>
      <c r="O935" s="6">
        <f>+ROUND(I935*0.005,2)</f>
        <v>432.5</v>
      </c>
      <c r="P935" s="6">
        <f t="shared" si="227"/>
        <v>99906.83</v>
      </c>
      <c r="Q935" s="4" t="str">
        <f>LOOKUP($E935,OBRAS!$D:$D,OBRAS!B:B)</f>
        <v>OESTEC DE MEXICO S.A. DE C.V.</v>
      </c>
      <c r="R935" s="4" t="str">
        <f>LOOKUP($E935,OBRAS!$D:$D,OBRAS!A:A)</f>
        <v>HERMOSILLO</v>
      </c>
      <c r="S935" s="4" t="str">
        <f>LOOKUP($E935,OBRAS!$D:$D,OBRAS!F:F)</f>
        <v>11000002002201E202K05186A614242165CN07</v>
      </c>
      <c r="T935" s="4" t="str">
        <f>LOOKUP($E935,OBRAS!$D:$D,OBRAS!G:G)</f>
        <v>ADJUDICACIÓN DIRECTA</v>
      </c>
      <c r="U935" s="4" t="s">
        <v>863</v>
      </c>
      <c r="V935" s="89">
        <v>42734</v>
      </c>
      <c r="W935" s="6">
        <f>LOOKUP($E935,OBRAS!$D:$D,OBRAS!K:K)</f>
        <v>401357.31</v>
      </c>
      <c r="X935" s="109">
        <f t="shared" si="228"/>
        <v>0.25</v>
      </c>
      <c r="Y935" s="109">
        <f t="shared" si="229"/>
        <v>0.75</v>
      </c>
      <c r="Z935" s="109">
        <f t="shared" si="230"/>
        <v>0.75</v>
      </c>
      <c r="AA935" s="4" t="str">
        <f>LOOKUP($E935,OBRAS!$D:$D,OBRAS!H:H)</f>
        <v>SH-NC-17-R-004</v>
      </c>
    </row>
    <row r="936" spans="1:27" ht="60" x14ac:dyDescent="0.25">
      <c r="A936" s="90">
        <v>42773</v>
      </c>
      <c r="B936" s="56">
        <v>649</v>
      </c>
      <c r="C936" s="51">
        <v>935</v>
      </c>
      <c r="D936" s="4" t="str">
        <f>LOOKUP($E936,OBRAS!$D:$D,OBRAS!C:C)</f>
        <v>CONTROL DE CALIDAD DE LA OBRA: REHABILITACION DE PAVIMENTOS A BASE DE RECARPETEO EN CALLE REFORMA, VARIOS TRAMOS, HERMOSILLO</v>
      </c>
      <c r="E936" s="4" t="s">
        <v>1924</v>
      </c>
      <c r="F936" s="4" t="s">
        <v>224</v>
      </c>
      <c r="G936" s="4" t="str">
        <f>LOOKUP($E936,OBRAS!$D:$D,OBRAS!E:E)</f>
        <v>C-00052/0177</v>
      </c>
      <c r="H936" s="80" t="s">
        <v>55</v>
      </c>
      <c r="I936" s="6">
        <v>86499.42</v>
      </c>
      <c r="J936" s="6"/>
      <c r="K936" s="6">
        <v>0</v>
      </c>
      <c r="L936" s="6">
        <f t="shared" si="224"/>
        <v>86499.42</v>
      </c>
      <c r="M936" s="6">
        <f t="shared" si="225"/>
        <v>13839.91</v>
      </c>
      <c r="N936" s="6">
        <f t="shared" si="226"/>
        <v>100339.33</v>
      </c>
      <c r="O936" s="6">
        <f>+ROUND(I936*0.005,2)</f>
        <v>432.5</v>
      </c>
      <c r="P936" s="6">
        <f t="shared" si="227"/>
        <v>99906.83</v>
      </c>
      <c r="Q936" s="4" t="str">
        <f>LOOKUP($E936,OBRAS!$D:$D,OBRAS!B:B)</f>
        <v>OESTEC DE MEXICO S.A. DE C.V.</v>
      </c>
      <c r="R936" s="4" t="str">
        <f>LOOKUP($E936,OBRAS!$D:$D,OBRAS!A:A)</f>
        <v>HERMOSILLO</v>
      </c>
      <c r="S936" s="4" t="str">
        <f>LOOKUP($E936,OBRAS!$D:$D,OBRAS!F:F)</f>
        <v>11000002002201E202K05186A614242165CN07</v>
      </c>
      <c r="T936" s="4" t="str">
        <f>LOOKUP($E936,OBRAS!$D:$D,OBRAS!G:G)</f>
        <v>ADJUDICACIÓN DIRECTA</v>
      </c>
      <c r="U936" s="4" t="s">
        <v>864</v>
      </c>
      <c r="V936" s="89">
        <v>42816</v>
      </c>
      <c r="W936" s="6">
        <f>LOOKUP($E936,OBRAS!$D:$D,OBRAS!K:K)</f>
        <v>401357.31</v>
      </c>
      <c r="X936" s="109">
        <f t="shared" si="228"/>
        <v>0.25</v>
      </c>
      <c r="Y936" s="109">
        <f t="shared" si="229"/>
        <v>0.75</v>
      </c>
      <c r="Z936" s="109">
        <f t="shared" si="230"/>
        <v>0.75</v>
      </c>
      <c r="AA936" s="4" t="str">
        <f>LOOKUP($E936,OBRAS!$D:$D,OBRAS!H:H)</f>
        <v>SH-NC-17-R-004</v>
      </c>
    </row>
    <row r="937" spans="1:27" ht="60" x14ac:dyDescent="0.25">
      <c r="A937" s="90">
        <v>42723</v>
      </c>
      <c r="B937" s="56">
        <v>5986</v>
      </c>
      <c r="C937" s="51">
        <v>936</v>
      </c>
      <c r="D937" s="4" t="str">
        <f>LOOKUP($E937,OBRAS!$D:$D,OBRAS!C:C)</f>
        <v>SUPERVISION EXTERNA Y CONTROL DE CALIDAD CONSTRUCCION Y RECONSTRUCCION DEL TRAMO CABORCA-Y GRIEGA EN LA LOCALIDAD DE CABORCA, SONORA</v>
      </c>
      <c r="E937" s="4" t="s">
        <v>451</v>
      </c>
      <c r="F937" s="4"/>
      <c r="G937" s="4" t="str">
        <f>LOOKUP($E937,OBRAS!$D:$D,OBRAS!E:E)</f>
        <v>C-00098/0021</v>
      </c>
      <c r="H937" s="80" t="s">
        <v>218</v>
      </c>
      <c r="I937" s="6">
        <v>203350.95</v>
      </c>
      <c r="J937" s="6"/>
      <c r="K937" s="6">
        <f>ROUND(I937*0.1,2)</f>
        <v>20335.099999999999</v>
      </c>
      <c r="L937" s="6">
        <v>183015.87</v>
      </c>
      <c r="M937" s="6">
        <f t="shared" si="225"/>
        <v>29282.54</v>
      </c>
      <c r="N937" s="6">
        <f t="shared" si="226"/>
        <v>212298.41</v>
      </c>
      <c r="O937" s="6">
        <f>+ROUND(I937*0.002,2)+ROUND(I937*0.0003,2)+ROUND(I937*0.0003,2)+ROUND(I937*0.0003,2)</f>
        <v>589.73</v>
      </c>
      <c r="P937" s="6">
        <f t="shared" si="227"/>
        <v>211708.68</v>
      </c>
      <c r="Q937" s="4" t="str">
        <f>LOOKUP($E937,OBRAS!$D:$D,OBRAS!B:B)</f>
        <v>JRM CONSULTORES, S.A. DE C.V</v>
      </c>
      <c r="R937" s="4" t="str">
        <f>LOOKUP($E937,OBRAS!$D:$D,OBRAS!A:A)</f>
        <v>CABORCA</v>
      </c>
      <c r="S937" s="4" t="str">
        <f>LOOKUP($E937,OBRAS!$D:$D,OBRAS!F:F)</f>
        <v>11000002003501E203K03203A625132161A013C-00098/0021</v>
      </c>
      <c r="T937" s="4" t="str">
        <f>LOOKUP($E937,OBRAS!$D:$D,OBRAS!G:G)</f>
        <v>CE-926006995-E48-2016</v>
      </c>
      <c r="U937" s="4" t="s">
        <v>863</v>
      </c>
      <c r="V937" s="89">
        <v>42781</v>
      </c>
      <c r="W937" s="6">
        <f>LOOKUP($E937,OBRAS!$D:$D,OBRAS!K:K)</f>
        <v>2299094.85</v>
      </c>
      <c r="X937" s="109">
        <f t="shared" si="228"/>
        <v>0.1026</v>
      </c>
      <c r="Y937" s="109">
        <f t="shared" si="229"/>
        <v>1</v>
      </c>
      <c r="Z937" s="109">
        <f t="shared" si="230"/>
        <v>1</v>
      </c>
      <c r="AA937" s="4" t="str">
        <f>LOOKUP($E937,OBRAS!$D:$D,OBRAS!H:H)</f>
        <v>SH-ED-16-040</v>
      </c>
    </row>
    <row r="938" spans="1:27" ht="60" x14ac:dyDescent="0.25">
      <c r="A938" s="90">
        <v>42720</v>
      </c>
      <c r="B938" s="56">
        <v>5964</v>
      </c>
      <c r="C938" s="51">
        <v>937</v>
      </c>
      <c r="D938" s="4" t="str">
        <f>LOOKUP($E938,OBRAS!$D:$D,OBRAS!C:C)</f>
        <v>CONTROL DE CALIDAD DE LA OBRA: REHABILITACION DE PAVIMENTOS A BASE DE RECARPETEO EN CALLE MONTEVERDE ENTRE PROGRESO Y VERACRUZ, EN HERMOSILLO</v>
      </c>
      <c r="E938" s="4" t="s">
        <v>1923</v>
      </c>
      <c r="F938" s="4"/>
      <c r="G938" s="4" t="str">
        <f>LOOKUP($E938,OBRAS!$D:$D,OBRAS!E:E)</f>
        <v>C-00052/0175</v>
      </c>
      <c r="H938" s="80" t="s">
        <v>221</v>
      </c>
      <c r="I938" s="6">
        <v>76494.820000000007</v>
      </c>
      <c r="J938" s="6"/>
      <c r="K938" s="6">
        <v>0</v>
      </c>
      <c r="L938" s="6">
        <f t="shared" ref="L938:L969" si="231">I938-K938</f>
        <v>76494.820000000007</v>
      </c>
      <c r="M938" s="6">
        <f t="shared" si="225"/>
        <v>12239.17</v>
      </c>
      <c r="N938" s="6">
        <f t="shared" si="226"/>
        <v>88733.99</v>
      </c>
      <c r="O938" s="6">
        <f>+ROUND(I938*0.005,2)</f>
        <v>382.47</v>
      </c>
      <c r="P938" s="6">
        <f t="shared" si="227"/>
        <v>88351.52</v>
      </c>
      <c r="Q938" s="4" t="str">
        <f>LOOKUP($E938,OBRAS!$D:$D,OBRAS!B:B)</f>
        <v>OESTEC DE MEXICO S.A. DE C.V.</v>
      </c>
      <c r="R938" s="4" t="str">
        <f>LOOKUP($E938,OBRAS!$D:$D,OBRAS!A:A)</f>
        <v>HERMOSILLO</v>
      </c>
      <c r="S938" s="4" t="str">
        <f>LOOKUP($E938,OBRAS!$D:$D,OBRAS!F:F)</f>
        <v>11000002002201E202K05186A614202165CN07</v>
      </c>
      <c r="T938" s="4" t="str">
        <f>LOOKUP($E938,OBRAS!$D:$D,OBRAS!G:G)</f>
        <v>AO-926006995-E115-2016</v>
      </c>
      <c r="U938" s="4" t="s">
        <v>863</v>
      </c>
      <c r="V938" s="89">
        <v>42760</v>
      </c>
      <c r="W938" s="6">
        <f>LOOKUP($E938,OBRAS!$D:$D,OBRAS!K:K)</f>
        <v>354935.96</v>
      </c>
      <c r="X938" s="109">
        <f t="shared" si="228"/>
        <v>0.25</v>
      </c>
      <c r="Y938" s="109">
        <f t="shared" si="229"/>
        <v>0.75</v>
      </c>
      <c r="Z938" s="109">
        <f t="shared" si="230"/>
        <v>0.75</v>
      </c>
      <c r="AA938" s="4" t="str">
        <f>LOOKUP($E938,OBRAS!$D:$D,OBRAS!H:H)</f>
        <v>SH-NC-17-R-004</v>
      </c>
    </row>
    <row r="939" spans="1:27" ht="60" x14ac:dyDescent="0.25">
      <c r="A939" s="90">
        <v>42773</v>
      </c>
      <c r="B939" s="56">
        <v>650</v>
      </c>
      <c r="C939" s="51">
        <v>938</v>
      </c>
      <c r="D939" s="4" t="str">
        <f>LOOKUP($E939,OBRAS!$D:$D,OBRAS!C:C)</f>
        <v>CONTROL DE CALIDAD DE LA OBRA: REHABILITACION DE PAVIMENTOS A BASE DE RECARPETEO EN CALLE MONTEVERDE ENTRE PROGRESO Y VERACRUZ, EN HERMOSILLO</v>
      </c>
      <c r="E939" s="4" t="s">
        <v>1923</v>
      </c>
      <c r="F939" s="4" t="s">
        <v>224</v>
      </c>
      <c r="G939" s="4" t="str">
        <f>LOOKUP($E939,OBRAS!$D:$D,OBRAS!E:E)</f>
        <v>C-00052/0175</v>
      </c>
      <c r="H939" s="80" t="s">
        <v>55</v>
      </c>
      <c r="I939" s="6">
        <v>76494.820000000007</v>
      </c>
      <c r="J939" s="6"/>
      <c r="K939" s="6">
        <v>0</v>
      </c>
      <c r="L939" s="6">
        <f t="shared" si="231"/>
        <v>76494.820000000007</v>
      </c>
      <c r="M939" s="6">
        <f t="shared" si="225"/>
        <v>12239.17</v>
      </c>
      <c r="N939" s="6">
        <f t="shared" si="226"/>
        <v>88733.99</v>
      </c>
      <c r="O939" s="6">
        <f>+ROUND(I939*0.005,2)</f>
        <v>382.47</v>
      </c>
      <c r="P939" s="6">
        <f t="shared" si="227"/>
        <v>88351.52</v>
      </c>
      <c r="Q939" s="4" t="str">
        <f>LOOKUP($E939,OBRAS!$D:$D,OBRAS!B:B)</f>
        <v>OESTEC DE MEXICO S.A. DE C.V.</v>
      </c>
      <c r="R939" s="4" t="str">
        <f>LOOKUP($E939,OBRAS!$D:$D,OBRAS!A:A)</f>
        <v>HERMOSILLO</v>
      </c>
      <c r="S939" s="4" t="str">
        <f>LOOKUP($E939,OBRAS!$D:$D,OBRAS!F:F)</f>
        <v>11000002002201E202K05186A614202165CN07</v>
      </c>
      <c r="T939" s="4" t="str">
        <f>LOOKUP($E939,OBRAS!$D:$D,OBRAS!G:G)</f>
        <v>AO-926006995-E115-2016</v>
      </c>
      <c r="U939" s="4" t="s">
        <v>864</v>
      </c>
      <c r="V939" s="89">
        <v>42816</v>
      </c>
      <c r="W939" s="6">
        <f>LOOKUP($E939,OBRAS!$D:$D,OBRAS!K:K)</f>
        <v>354935.96</v>
      </c>
      <c r="X939" s="109">
        <f t="shared" si="228"/>
        <v>0.25</v>
      </c>
      <c r="Y939" s="109">
        <f t="shared" si="229"/>
        <v>0.75</v>
      </c>
      <c r="Z939" s="109">
        <f t="shared" si="230"/>
        <v>0.75</v>
      </c>
      <c r="AA939" s="4" t="str">
        <f>LOOKUP($E939,OBRAS!$D:$D,OBRAS!H:H)</f>
        <v>SH-NC-17-R-004</v>
      </c>
    </row>
    <row r="940" spans="1:27" ht="75" x14ac:dyDescent="0.25">
      <c r="A940" s="90">
        <v>42773</v>
      </c>
      <c r="B940" s="56">
        <v>653</v>
      </c>
      <c r="C940" s="51">
        <v>939</v>
      </c>
      <c r="D940" s="4" t="str">
        <f>LOOKUP($E940,OBRAS!$D:$D,OBRAS!C:C)</f>
        <v>CONTROL DE CALIDAD DE LA OBRA: REHABILITACION DE PAVIMENTOS A BASE DE RECARPETEO EN AVE JOSE S. HEALY, AVE JOSE CARMELO Y PERIMETRAL NORTE ENTRE BLVD. SOLIDARIDAD Y LÁZARO MERCADO</v>
      </c>
      <c r="E940" s="4" t="s">
        <v>1914</v>
      </c>
      <c r="F940" s="4" t="s">
        <v>224</v>
      </c>
      <c r="G940" s="4" t="str">
        <f>LOOKUP($E940,OBRAS!$D:$D,OBRAS!E:E)</f>
        <v>C-00052/0178</v>
      </c>
      <c r="H940" s="80" t="s">
        <v>55</v>
      </c>
      <c r="I940" s="6">
        <v>107782.82</v>
      </c>
      <c r="J940" s="6"/>
      <c r="K940" s="6">
        <v>0</v>
      </c>
      <c r="L940" s="6">
        <f t="shared" si="231"/>
        <v>107782.82</v>
      </c>
      <c r="M940" s="6">
        <f t="shared" si="225"/>
        <v>17245.25</v>
      </c>
      <c r="N940" s="6">
        <f t="shared" si="226"/>
        <v>125028.07</v>
      </c>
      <c r="O940" s="6">
        <f>+ROUND(I940*0.005,2)</f>
        <v>538.91</v>
      </c>
      <c r="P940" s="6">
        <f t="shared" si="227"/>
        <v>124489.16</v>
      </c>
      <c r="Q940" s="4" t="str">
        <f>LOOKUP($E940,OBRAS!$D:$D,OBRAS!B:B)</f>
        <v>ALCCON SIGLO XXI, S.A. DE C.V.</v>
      </c>
      <c r="R940" s="4" t="str">
        <f>LOOKUP($E940,OBRAS!$D:$D,OBRAS!A:A)</f>
        <v>HERMOSILLO</v>
      </c>
      <c r="S940" s="4" t="str">
        <f>LOOKUP($E940,OBRAS!$D:$D,OBRAS!F:F)</f>
        <v>11000002002201E202K05186A614202165CN07</v>
      </c>
      <c r="T940" s="4" t="str">
        <f>LOOKUP($E940,OBRAS!$D:$D,OBRAS!G:G)</f>
        <v>AO-926006995-E116-2016</v>
      </c>
      <c r="U940" s="4" t="s">
        <v>864</v>
      </c>
      <c r="V940" s="89">
        <v>42816</v>
      </c>
      <c r="W940" s="6">
        <f>LOOKUP($E940,OBRAS!$D:$D,OBRAS!K:K)</f>
        <v>500112.28</v>
      </c>
      <c r="X940" s="109">
        <f t="shared" si="228"/>
        <v>0.25</v>
      </c>
      <c r="Y940" s="109">
        <f t="shared" si="229"/>
        <v>1</v>
      </c>
      <c r="Z940" s="109">
        <f t="shared" si="230"/>
        <v>1</v>
      </c>
      <c r="AA940" s="4" t="str">
        <f>LOOKUP($E940,OBRAS!$D:$D,OBRAS!H:H)</f>
        <v>SH-NC-17-R-004</v>
      </c>
    </row>
    <row r="941" spans="1:27" ht="60" x14ac:dyDescent="0.25">
      <c r="A941" s="90">
        <v>42773</v>
      </c>
      <c r="B941" s="56">
        <v>651</v>
      </c>
      <c r="C941" s="51">
        <v>940</v>
      </c>
      <c r="D941" s="4" t="str">
        <f>LOOKUP($E941,OBRAS!$D:$D,OBRAS!C:C)</f>
        <v>CONTROL DE CALIDAD DE LA OBRA: REHABILITACION DE PAVIMENTOS A BASE DE RECARPETEO EN BLVD. GARCIA MORALES ENTRE BLVD. QUIROGA Y ACCESO AL AEROPUERTO</v>
      </c>
      <c r="E941" s="4" t="s">
        <v>1916</v>
      </c>
      <c r="F941" s="4" t="s">
        <v>224</v>
      </c>
      <c r="G941" s="4" t="str">
        <f>LOOKUP($E941,OBRAS!$D:$D,OBRAS!E:E)</f>
        <v>C-00052/0179</v>
      </c>
      <c r="H941" s="80" t="s">
        <v>55</v>
      </c>
      <c r="I941" s="6">
        <v>78833.47</v>
      </c>
      <c r="J941" s="6"/>
      <c r="K941" s="6">
        <v>0</v>
      </c>
      <c r="L941" s="6">
        <f t="shared" si="231"/>
        <v>78833.47</v>
      </c>
      <c r="M941" s="6">
        <f t="shared" si="225"/>
        <v>12613.36</v>
      </c>
      <c r="N941" s="6">
        <f t="shared" si="226"/>
        <v>91446.83</v>
      </c>
      <c r="O941" s="6">
        <f>+ROUND(I941*0.005,2)</f>
        <v>394.17</v>
      </c>
      <c r="P941" s="6">
        <f t="shared" si="227"/>
        <v>91052.66</v>
      </c>
      <c r="Q941" s="4" t="str">
        <f>LOOKUP($E941,OBRAS!$D:$D,OBRAS!B:B)</f>
        <v>ALCCON SIGLO XXI, S.A. DE C.V.</v>
      </c>
      <c r="R941" s="4" t="str">
        <f>LOOKUP($E941,OBRAS!$D:$D,OBRAS!A:A)</f>
        <v>HERMOSILLO</v>
      </c>
      <c r="S941" s="4" t="str">
        <f>LOOKUP($E941,OBRAS!$D:$D,OBRAS!F:F)</f>
        <v>11000002002201E202K05186A614242165CN07</v>
      </c>
      <c r="T941" s="4" t="str">
        <f>LOOKUP($E941,OBRAS!$D:$D,OBRAS!G:G)</f>
        <v>AO-926006995-E118-2016</v>
      </c>
      <c r="U941" s="4" t="s">
        <v>2476</v>
      </c>
      <c r="V941" s="89">
        <v>42809</v>
      </c>
      <c r="W941" s="6">
        <f>LOOKUP($E941,OBRAS!$D:$D,OBRAS!K:K)</f>
        <v>365787.3</v>
      </c>
      <c r="X941" s="109">
        <f t="shared" si="228"/>
        <v>0.25</v>
      </c>
      <c r="Y941" s="109">
        <f t="shared" si="229"/>
        <v>1.1416999999999999</v>
      </c>
      <c r="Z941" s="109">
        <f t="shared" si="230"/>
        <v>1.1416999999999999</v>
      </c>
      <c r="AA941" s="4" t="str">
        <f>LOOKUP($E941,OBRAS!$D:$D,OBRAS!H:H)</f>
        <v>SH-NC-17-R-004</v>
      </c>
    </row>
    <row r="942" spans="1:27" ht="60" x14ac:dyDescent="0.25">
      <c r="A942" s="90">
        <v>42720</v>
      </c>
      <c r="B942" s="56">
        <v>5968</v>
      </c>
      <c r="C942" s="51">
        <v>941</v>
      </c>
      <c r="D942" s="4" t="str">
        <f>LOOKUP($E942,OBRAS!$D:$D,OBRAS!C:C)</f>
        <v>PAVIMENTACION CON CONCRETO HIDRAULICO DE CALLE GRAL. ESTEBAN BACA CALDERON ENTRE BENITO JUAREZ Y RAHAM EN LA LOCALIDAD Y MUNICIPIO DE SAN IGNACIO RIO MUERTO</v>
      </c>
      <c r="E942" s="4" t="s">
        <v>1235</v>
      </c>
      <c r="F942" s="4"/>
      <c r="G942" s="4" t="str">
        <f>LOOKUP($E942,OBRAS!$D:$D,OBRAS!E:E)</f>
        <v>C-00052/0187</v>
      </c>
      <c r="H942" s="80" t="s">
        <v>103</v>
      </c>
      <c r="I942" s="6">
        <v>474060.53</v>
      </c>
      <c r="J942" s="6"/>
      <c r="K942" s="6">
        <f>ROUND(I942*0.3,2)</f>
        <v>142218.16</v>
      </c>
      <c r="L942" s="6">
        <f t="shared" si="231"/>
        <v>331842.37</v>
      </c>
      <c r="M942" s="6">
        <f t="shared" si="225"/>
        <v>53094.78</v>
      </c>
      <c r="N942" s="6">
        <f t="shared" si="226"/>
        <v>384937.15</v>
      </c>
      <c r="O942" s="6">
        <f>+ROUND(I942*0.005,2)</f>
        <v>2370.3000000000002</v>
      </c>
      <c r="P942" s="6">
        <f t="shared" si="227"/>
        <v>382566.85</v>
      </c>
      <c r="Q942" s="4" t="str">
        <f>LOOKUP($E942,OBRAS!$D:$D,OBRAS!B:B)</f>
        <v>GRUPO PROFING CONSTRUCCIONES Y DESARROLLOS, S. A. DE C. V.</v>
      </c>
      <c r="R942" s="4" t="str">
        <f>LOOKUP($E942,OBRAS!$D:$D,OBRAS!A:A)</f>
        <v>SAN IGNACIO RIO MUERTO</v>
      </c>
      <c r="S942" s="4" t="str">
        <f>LOOKUP($E942,OBRAS!$D:$D,OBRAS!F:F)</f>
        <v>11000002002201E202K05186A614202165FC10</v>
      </c>
      <c r="T942" s="4" t="str">
        <f>LOOKUP($E942,OBRAS!$D:$D,OBRAS!G:G)</f>
        <v>LO-926006995-E113-2016</v>
      </c>
      <c r="U942" s="4" t="s">
        <v>863</v>
      </c>
      <c r="V942" s="89">
        <v>42759</v>
      </c>
      <c r="W942" s="6">
        <f>LOOKUP($E942,OBRAS!$D:$D,OBRAS!K:K)</f>
        <v>8795522.2799999993</v>
      </c>
      <c r="X942" s="109">
        <f t="shared" si="228"/>
        <v>6.25E-2</v>
      </c>
      <c r="Y942" s="109">
        <f t="shared" si="229"/>
        <v>0.48780000000000001</v>
      </c>
      <c r="Z942" s="109">
        <f t="shared" si="230"/>
        <v>0.64149999999999996</v>
      </c>
      <c r="AA942" s="4" t="str">
        <f>LOOKUP($E942,OBRAS!$D:$D,OBRAS!H:H)</f>
        <v>SH-NC-17-R-009</v>
      </c>
    </row>
    <row r="943" spans="1:27" x14ac:dyDescent="0.25">
      <c r="A943" s="90"/>
      <c r="C943" s="51">
        <v>942</v>
      </c>
      <c r="D943" s="4" t="e">
        <f>LOOKUP($E943,OBRAS!$D:$D,OBRAS!C:C)</f>
        <v>#N/A</v>
      </c>
      <c r="E943" s="4"/>
      <c r="F943" s="4"/>
      <c r="G943" s="4" t="e">
        <f>LOOKUP($E943,OBRAS!$D:$D,OBRAS!E:E)</f>
        <v>#N/A</v>
      </c>
      <c r="H943" s="80"/>
      <c r="I943" s="6"/>
      <c r="J943" s="6"/>
      <c r="K943" s="6">
        <f>ROUND(I943*0.1,2)</f>
        <v>0</v>
      </c>
      <c r="L943" s="6">
        <f t="shared" si="231"/>
        <v>0</v>
      </c>
      <c r="M943" s="6">
        <f t="shared" si="225"/>
        <v>0</v>
      </c>
      <c r="N943" s="6">
        <f t="shared" si="226"/>
        <v>0</v>
      </c>
      <c r="O943" s="6">
        <f>+ROUND(I943*0.002,2)+ROUND(I943*0.0003,2)+ROUND(I943*0.0003,2)+ROUND(I943*0.0003,2)</f>
        <v>0</v>
      </c>
      <c r="P943" s="6">
        <f t="shared" si="227"/>
        <v>0</v>
      </c>
      <c r="Q943" s="4" t="e">
        <f>LOOKUP($E943,OBRAS!$D:$D,OBRAS!B:B)</f>
        <v>#N/A</v>
      </c>
      <c r="R943" s="4" t="e">
        <f>LOOKUP($E943,OBRAS!$D:$D,OBRAS!A:A)</f>
        <v>#N/A</v>
      </c>
      <c r="S943" s="4" t="e">
        <f>LOOKUP($E943,OBRAS!$D:$D,OBRAS!F:F)</f>
        <v>#N/A</v>
      </c>
      <c r="T943" s="4" t="e">
        <f>LOOKUP($E943,OBRAS!$D:$D,OBRAS!G:G)</f>
        <v>#N/A</v>
      </c>
      <c r="U943" s="4"/>
      <c r="V943" s="89"/>
      <c r="W943" s="6" t="e">
        <f>LOOKUP($E943,OBRAS!$D:$D,OBRAS!K:K)</f>
        <v>#N/A</v>
      </c>
      <c r="X943" s="109" t="e">
        <f t="shared" si="228"/>
        <v>#N/A</v>
      </c>
      <c r="Y943" s="109">
        <f t="shared" si="229"/>
        <v>0</v>
      </c>
      <c r="Z943" s="109" t="e">
        <f t="shared" si="230"/>
        <v>#N/A</v>
      </c>
      <c r="AA943" s="4" t="e">
        <f>LOOKUP($E943,OBRAS!$D:$D,OBRAS!H:H)</f>
        <v>#N/A</v>
      </c>
    </row>
    <row r="944" spans="1:27" ht="45" x14ac:dyDescent="0.25">
      <c r="A944" s="90">
        <v>42723</v>
      </c>
      <c r="B944" s="56">
        <v>5990</v>
      </c>
      <c r="C944" s="51">
        <v>943</v>
      </c>
      <c r="D944" s="4" t="str">
        <f>LOOKUP($E944,OBRAS!$D:$D,OBRAS!C:C)</f>
        <v>PAVIMENTACION CON CONCRETO HIDRAULICO EN LA CALLE 2 DE ABRIL EN LA LOCALIDAD DE VILLA JUAREZ</v>
      </c>
      <c r="E944" s="4" t="s">
        <v>975</v>
      </c>
      <c r="F944" s="4" t="s">
        <v>927</v>
      </c>
      <c r="G944" s="4" t="str">
        <f>LOOKUP($E944,OBRAS!$D:$D,OBRAS!E:E)</f>
        <v>C-00052/0206</v>
      </c>
      <c r="H944" s="80" t="s">
        <v>103</v>
      </c>
      <c r="I944" s="6">
        <v>1238594.07</v>
      </c>
      <c r="J944" s="6"/>
      <c r="K944" s="6">
        <f t="shared" ref="K944:K949" si="232">ROUND(I944*0.3,2)</f>
        <v>371578.22</v>
      </c>
      <c r="L944" s="6">
        <f t="shared" si="231"/>
        <v>867015.85</v>
      </c>
      <c r="M944" s="6">
        <f t="shared" si="225"/>
        <v>138722.54</v>
      </c>
      <c r="N944" s="6">
        <f t="shared" si="226"/>
        <v>1005738.39</v>
      </c>
      <c r="O944" s="6">
        <f>+ROUND(I944*0.005,2)</f>
        <v>6192.97</v>
      </c>
      <c r="P944" s="6">
        <f t="shared" si="227"/>
        <v>999545.42</v>
      </c>
      <c r="Q944" s="4" t="str">
        <f>LOOKUP($E944,OBRAS!$D:$D,OBRAS!B:B)</f>
        <v>ING. LUIS ENRIQUE PEÑA RODRIGO</v>
      </c>
      <c r="R944" s="4" t="str">
        <f>LOOKUP($E944,OBRAS!$D:$D,OBRAS!A:A)</f>
        <v>BENITO JUAREZ</v>
      </c>
      <c r="S944" s="4" t="str">
        <f>LOOKUP($E944,OBRAS!$D:$D,OBRAS!F:F)</f>
        <v>11000002002201E202K05186A614202165FN12</v>
      </c>
      <c r="T944" s="4" t="str">
        <f>LOOKUP($E944,OBRAS!$D:$D,OBRAS!G:G)</f>
        <v>LO-926006995-E96-2016</v>
      </c>
      <c r="U944" s="4" t="s">
        <v>863</v>
      </c>
      <c r="V944" s="89">
        <v>42734</v>
      </c>
      <c r="W944" s="6">
        <f>LOOKUP($E944,OBRAS!$D:$D,OBRAS!K:K)</f>
        <v>14487117.35</v>
      </c>
      <c r="X944" s="109">
        <f t="shared" si="228"/>
        <v>9.9199999999999997E-2</v>
      </c>
      <c r="Y944" s="109">
        <f t="shared" si="229"/>
        <v>0.62050000000000005</v>
      </c>
      <c r="Z944" s="109">
        <f t="shared" si="230"/>
        <v>0.73429999999999995</v>
      </c>
      <c r="AA944" s="4" t="str">
        <f>LOOKUP($E944,OBRAS!$D:$D,OBRAS!H:H)</f>
        <v>SH-NC-17-R-005</v>
      </c>
    </row>
    <row r="945" spans="1:27" ht="45" x14ac:dyDescent="0.25">
      <c r="A945" s="90">
        <v>42723</v>
      </c>
      <c r="B945" s="56">
        <v>5991</v>
      </c>
      <c r="C945" s="51">
        <v>944</v>
      </c>
      <c r="D945" s="4" t="str">
        <f>LOOKUP($E945,OBRAS!$D:$D,OBRAS!C:C)</f>
        <v>PAVIMENTACION CON CONCRETO HIDRAULICO EN LA CALLE 2 DE ABRIL EN LA LOCALIDAD DE VILLA JUAREZ</v>
      </c>
      <c r="E945" s="4" t="s">
        <v>975</v>
      </c>
      <c r="F945" s="4" t="s">
        <v>927</v>
      </c>
      <c r="G945" s="4" t="str">
        <f>LOOKUP($E945,OBRAS!$D:$D,OBRAS!E:E)</f>
        <v>C-00052/0206</v>
      </c>
      <c r="H945" s="80" t="s">
        <v>221</v>
      </c>
      <c r="I945" s="6">
        <v>2130090.5699999998</v>
      </c>
      <c r="J945" s="6"/>
      <c r="K945" s="6">
        <f t="shared" si="232"/>
        <v>639027.17000000004</v>
      </c>
      <c r="L945" s="6">
        <f t="shared" si="231"/>
        <v>1491063.4</v>
      </c>
      <c r="M945" s="6">
        <f t="shared" si="225"/>
        <v>238570.14</v>
      </c>
      <c r="N945" s="6">
        <f t="shared" si="226"/>
        <v>1729633.54</v>
      </c>
      <c r="O945" s="6">
        <f>+ROUND(I945*0.005,2)</f>
        <v>10650.45</v>
      </c>
      <c r="P945" s="6">
        <f t="shared" si="227"/>
        <v>1718983.09</v>
      </c>
      <c r="Q945" s="4" t="str">
        <f>LOOKUP($E945,OBRAS!$D:$D,OBRAS!B:B)</f>
        <v>ING. LUIS ENRIQUE PEÑA RODRIGO</v>
      </c>
      <c r="R945" s="4" t="str">
        <f>LOOKUP($E945,OBRAS!$D:$D,OBRAS!A:A)</f>
        <v>BENITO JUAREZ</v>
      </c>
      <c r="S945" s="4" t="str">
        <f>LOOKUP($E945,OBRAS!$D:$D,OBRAS!F:F)</f>
        <v>11000002002201E202K05186A614202165FN12</v>
      </c>
      <c r="T945" s="4" t="str">
        <f>LOOKUP($E945,OBRAS!$D:$D,OBRAS!G:G)</f>
        <v>LO-926006995-E96-2016</v>
      </c>
      <c r="U945" s="4" t="s">
        <v>863</v>
      </c>
      <c r="V945" s="89">
        <v>42734</v>
      </c>
      <c r="W945" s="6">
        <f>LOOKUP($E945,OBRAS!$D:$D,OBRAS!K:K)</f>
        <v>14487117.35</v>
      </c>
      <c r="X945" s="109">
        <f t="shared" si="228"/>
        <v>0.1706</v>
      </c>
      <c r="Y945" s="109">
        <f t="shared" si="229"/>
        <v>0.62050000000000005</v>
      </c>
      <c r="Z945" s="109">
        <f t="shared" si="230"/>
        <v>0.73429999999999995</v>
      </c>
      <c r="AA945" s="4" t="str">
        <f>LOOKUP($E945,OBRAS!$D:$D,OBRAS!H:H)</f>
        <v>SH-NC-17-R-005</v>
      </c>
    </row>
    <row r="946" spans="1:27" ht="60" x14ac:dyDescent="0.25">
      <c r="A946" s="90">
        <v>42773</v>
      </c>
      <c r="B946" s="56">
        <v>658</v>
      </c>
      <c r="C946" s="51">
        <v>945</v>
      </c>
      <c r="D946" s="4" t="str">
        <f>LOOKUP($E946,OBRAS!$D:$D,OBRAS!C:C)</f>
        <v>PAVIMENTACION CON CONCRETO HIDRAULICO DE 15 CMS DE ESPESOR EN CALLE GALEANA EN LA LOCALIDAD Y MUNICIPIO DE TRINCHERAS, SONORA</v>
      </c>
      <c r="E946" s="4" t="s">
        <v>934</v>
      </c>
      <c r="F946" s="4"/>
      <c r="G946" s="4" t="str">
        <f>LOOKUP($E946,OBRAS!$D:$D,OBRAS!E:E)</f>
        <v>C-00052/0194</v>
      </c>
      <c r="H946" s="80" t="s">
        <v>103</v>
      </c>
      <c r="I946" s="6">
        <v>460112.67</v>
      </c>
      <c r="J946" s="6"/>
      <c r="K946" s="6">
        <f t="shared" si="232"/>
        <v>138033.79999999999</v>
      </c>
      <c r="L946" s="6">
        <f t="shared" si="231"/>
        <v>322078.87</v>
      </c>
      <c r="M946" s="6">
        <f t="shared" si="225"/>
        <v>51532.62</v>
      </c>
      <c r="N946" s="6">
        <f t="shared" si="226"/>
        <v>373611.49</v>
      </c>
      <c r="O946" s="6">
        <f>+ROUND(I946*0.005,2)</f>
        <v>2300.56</v>
      </c>
      <c r="P946" s="6">
        <f t="shared" si="227"/>
        <v>371310.93</v>
      </c>
      <c r="Q946" s="4" t="str">
        <f>LOOKUP($E946,OBRAS!$D:$D,OBRAS!B:B)</f>
        <v>SOL Y MAR CONSTRUCCIONES JEEV, S. DE R. L. DE C. V.</v>
      </c>
      <c r="R946" s="4" t="str">
        <f>LOOKUP($E946,OBRAS!$D:$D,OBRAS!A:A)</f>
        <v>TRINCHERAS</v>
      </c>
      <c r="S946" s="4" t="str">
        <f>LOOKUP($E946,OBRAS!$D:$D,OBRAS!F:F)</f>
        <v>11000002002201E202K05186A614202165FC02</v>
      </c>
      <c r="T946" s="4" t="str">
        <f>LOOKUP($E946,OBRAS!$D:$D,OBRAS!G:G)</f>
        <v>IO-926006995-E112-2016</v>
      </c>
      <c r="U946" s="4" t="s">
        <v>863</v>
      </c>
      <c r="V946" s="89">
        <v>42804</v>
      </c>
      <c r="W946" s="6">
        <f>LOOKUP($E946,OBRAS!$D:$D,OBRAS!K:K)</f>
        <v>1976714.43</v>
      </c>
      <c r="X946" s="109">
        <f t="shared" si="228"/>
        <v>0.27</v>
      </c>
      <c r="Y946" s="109">
        <f t="shared" si="229"/>
        <v>1</v>
      </c>
      <c r="Z946" s="109">
        <f t="shared" si="230"/>
        <v>1</v>
      </c>
      <c r="AA946" s="4" t="str">
        <f>LOOKUP($E946,OBRAS!$D:$D,OBRAS!H:H)</f>
        <v>SH-NC-17-R-009</v>
      </c>
    </row>
    <row r="947" spans="1:27" ht="30" x14ac:dyDescent="0.25">
      <c r="A947" s="90">
        <v>42723</v>
      </c>
      <c r="B947" s="56">
        <v>5995</v>
      </c>
      <c r="C947" s="51">
        <v>946</v>
      </c>
      <c r="D947" s="4" t="str">
        <f>LOOKUP($E947,OBRAS!$D:$D,OBRAS!C:C)</f>
        <v>CONSERVACION Y RECONSTRUCCION DEL TRAMO MAZATAN-HERMOSILLO</v>
      </c>
      <c r="E947" s="4" t="s">
        <v>600</v>
      </c>
      <c r="F947" s="4" t="s">
        <v>895</v>
      </c>
      <c r="G947" s="4" t="str">
        <f>LOOKUP($E947,OBRAS!$D:$D,OBRAS!E:E)</f>
        <v>C-00054/0062</v>
      </c>
      <c r="H947" s="80" t="s">
        <v>215</v>
      </c>
      <c r="I947" s="6">
        <v>1407916.06</v>
      </c>
      <c r="J947" s="6"/>
      <c r="K947" s="6">
        <f t="shared" si="232"/>
        <v>422374.82</v>
      </c>
      <c r="L947" s="6">
        <f t="shared" si="231"/>
        <v>985541.24</v>
      </c>
      <c r="M947" s="6">
        <f t="shared" si="225"/>
        <v>157686.6</v>
      </c>
      <c r="N947" s="6">
        <f t="shared" si="226"/>
        <v>1143227.8400000001</v>
      </c>
      <c r="O947" s="6">
        <f>+ROUND(I947*0.002,2)+ROUND(I947*0.0003,2)+ROUND(I947*0.0003,2)+ROUND(I947*0.0003,2)+ROUND(I947*0.002,2)</f>
        <v>6898.77</v>
      </c>
      <c r="P947" s="6">
        <f t="shared" si="227"/>
        <v>1136329.07</v>
      </c>
      <c r="Q947" s="4" t="str">
        <f>LOOKUP($E947,OBRAS!$D:$D,OBRAS!B:B)</f>
        <v>TECNOASFALTOS Y TERRACERIAS, S.A. DE C.V.</v>
      </c>
      <c r="R947" s="4" t="str">
        <f>LOOKUP($E947,OBRAS!$D:$D,OBRAS!A:A)</f>
        <v>VARIOS</v>
      </c>
      <c r="S947" s="4" t="str">
        <f>LOOKUP($E947,OBRAS!$D:$D,OBRAS!F:F)</f>
        <v>11000002003501E203K03203A625012162A213</v>
      </c>
      <c r="T947" s="4" t="str">
        <f>LOOKUP($E947,OBRAS!$D:$D,OBRAS!G:G)</f>
        <v>CE-926006995-E26-2016</v>
      </c>
      <c r="U947" s="4" t="s">
        <v>863</v>
      </c>
      <c r="V947" s="89">
        <v>42762</v>
      </c>
      <c r="W947" s="6">
        <f>LOOKUP($E947,OBRAS!$D:$D,OBRAS!K:K)</f>
        <v>25694303.850000001</v>
      </c>
      <c r="X947" s="109">
        <f t="shared" si="228"/>
        <v>6.3600000000000004E-2</v>
      </c>
      <c r="Y947" s="109">
        <f t="shared" si="229"/>
        <v>1</v>
      </c>
      <c r="Z947" s="109">
        <f t="shared" si="230"/>
        <v>1</v>
      </c>
      <c r="AA947" s="4" t="str">
        <f>LOOKUP($E947,OBRAS!$D:$D,OBRAS!H:H)</f>
        <v>SH-ED-16-023</v>
      </c>
    </row>
    <row r="948" spans="1:27" ht="45" x14ac:dyDescent="0.25">
      <c r="A948" s="90">
        <v>42723</v>
      </c>
      <c r="B948" s="56">
        <v>5996</v>
      </c>
      <c r="C948" s="51">
        <v>947</v>
      </c>
      <c r="D948" s="4" t="str">
        <f>LOOKUP($E948,OBRAS!$D:$D,OBRAS!C:C)</f>
        <v>PAVIMENTACION CON CONCRETO HIDRAULICO DE VARIAS CALLES Y AVENIDAS EN LA LOCALIDAD DE ARIZPE</v>
      </c>
      <c r="E948" s="4" t="s">
        <v>981</v>
      </c>
      <c r="F948" s="4" t="s">
        <v>224</v>
      </c>
      <c r="G948" s="4" t="str">
        <f>LOOKUP($E948,OBRAS!$D:$D,OBRAS!E:E)</f>
        <v>C-00052/0193</v>
      </c>
      <c r="H948" s="80" t="s">
        <v>221</v>
      </c>
      <c r="I948" s="6">
        <v>169739.21</v>
      </c>
      <c r="J948" s="6"/>
      <c r="K948" s="6">
        <f t="shared" si="232"/>
        <v>50921.760000000002</v>
      </c>
      <c r="L948" s="6">
        <f t="shared" si="231"/>
        <v>118817.45</v>
      </c>
      <c r="M948" s="6">
        <f t="shared" si="225"/>
        <v>19010.79</v>
      </c>
      <c r="N948" s="6">
        <f t="shared" si="226"/>
        <v>137828.24</v>
      </c>
      <c r="O948" s="6">
        <f>+ROUND(I948*0.005,2)</f>
        <v>848.7</v>
      </c>
      <c r="P948" s="6">
        <f t="shared" si="227"/>
        <v>136979.54</v>
      </c>
      <c r="Q948" s="4" t="str">
        <f>LOOKUP($E948,OBRAS!$D:$D,OBRAS!B:B)</f>
        <v>GRUPO MERCLA S.A DE C. V.</v>
      </c>
      <c r="R948" s="4" t="str">
        <f>LOOKUP($E948,OBRAS!$D:$D,OBRAS!A:A)</f>
        <v>ARIZPE</v>
      </c>
      <c r="S948" s="4" t="str">
        <f>LOOKUP($E948,OBRAS!$D:$D,OBRAS!F:F)</f>
        <v>11000002002201E202K05186A614202165FC05</v>
      </c>
      <c r="T948" s="4" t="str">
        <f>LOOKUP($E948,OBRAS!$D:$D,OBRAS!G:G)</f>
        <v>IO-926006995-E121-2016</v>
      </c>
      <c r="U948" s="4" t="s">
        <v>863</v>
      </c>
      <c r="V948" s="89">
        <v>42734</v>
      </c>
      <c r="W948" s="6">
        <f>LOOKUP($E948,OBRAS!$D:$D,OBRAS!K:K)</f>
        <v>1971899.46</v>
      </c>
      <c r="X948" s="109">
        <f t="shared" si="228"/>
        <v>9.9900000000000003E-2</v>
      </c>
      <c r="Y948" s="109">
        <f t="shared" si="229"/>
        <v>0.60099999999999998</v>
      </c>
      <c r="Z948" s="109">
        <f t="shared" si="230"/>
        <v>0.72070000000000001</v>
      </c>
      <c r="AA948" s="4" t="str">
        <f>LOOKUP($E948,OBRAS!$D:$D,OBRAS!H:H)</f>
        <v>SH-NC-17-R-009</v>
      </c>
    </row>
    <row r="949" spans="1:27" ht="30" x14ac:dyDescent="0.25">
      <c r="A949" s="90">
        <v>42723</v>
      </c>
      <c r="B949" s="56">
        <v>5997</v>
      </c>
      <c r="C949" s="51">
        <v>948</v>
      </c>
      <c r="D949" s="4" t="str">
        <f>LOOKUP($E949,OBRAS!$D:$D,OBRAS!C:C)</f>
        <v>REUBICACION DE COLECTOR Y CARCAMO DE BOMBEO</v>
      </c>
      <c r="E949" s="4" t="s">
        <v>813</v>
      </c>
      <c r="F949" s="4" t="s">
        <v>224</v>
      </c>
      <c r="G949" s="4" t="str">
        <f>LOOKUP($E949,OBRAS!$D:$D,OBRAS!E:E)</f>
        <v>C-00051/0005</v>
      </c>
      <c r="H949" s="80" t="s">
        <v>103</v>
      </c>
      <c r="I949" s="6">
        <v>2397335.0499999998</v>
      </c>
      <c r="J949" s="6"/>
      <c r="K949" s="6">
        <f t="shared" si="232"/>
        <v>719200.52</v>
      </c>
      <c r="L949" s="6">
        <f t="shared" si="231"/>
        <v>1678134.53</v>
      </c>
      <c r="M949" s="6">
        <f t="shared" si="225"/>
        <v>268501.52</v>
      </c>
      <c r="N949" s="6">
        <f t="shared" si="226"/>
        <v>1946636.05</v>
      </c>
      <c r="O949" s="6">
        <f>+ROUND(I949*0.002,2)+ROUND(I949*0.0003,2)+ROUND(I949*0.0003,2)+ROUND(I949*0.0003,2)+ROUND(I949*0.002,2)</f>
        <v>11746.94</v>
      </c>
      <c r="P949" s="6">
        <f t="shared" si="227"/>
        <v>1934889.11</v>
      </c>
      <c r="Q949" s="4" t="str">
        <f>LOOKUP($E949,OBRAS!$D:$D,OBRAS!B:B)</f>
        <v>CONSTRUCTORA KIOKI, S. A. DE C. V.</v>
      </c>
      <c r="R949" s="4" t="str">
        <f>LOOKUP($E949,OBRAS!$D:$D,OBRAS!A:A)</f>
        <v>SAN IGNACIO RIO MUERTO</v>
      </c>
      <c r="S949" s="4" t="str">
        <f>LOOKUP($E949,OBRAS!$D:$D,OBRAS!F:F)</f>
        <v>11000002002201E202K06024A614092165DM10</v>
      </c>
      <c r="T949" s="4" t="str">
        <f>LOOKUP($E949,OBRAS!$D:$D,OBRAS!G:G)</f>
        <v>CE-926006995-E82-2016</v>
      </c>
      <c r="U949" s="4" t="s">
        <v>863</v>
      </c>
      <c r="V949" s="89">
        <v>42734</v>
      </c>
      <c r="W949" s="6">
        <f>LOOKUP($E949,OBRAS!$D:$D,OBRAS!K:K)</f>
        <v>12899260.779999999</v>
      </c>
      <c r="X949" s="109">
        <f t="shared" si="228"/>
        <v>0.21560000000000001</v>
      </c>
      <c r="Y949" s="109">
        <f t="shared" si="229"/>
        <v>0.21560000000000001</v>
      </c>
      <c r="Z949" s="109">
        <f t="shared" si="230"/>
        <v>0.45090000000000002</v>
      </c>
      <c r="AA949" s="4" t="str">
        <f>LOOKUP($E949,OBRAS!$D:$D,OBRAS!H:H)</f>
        <v>SH-FAFEF-17-R-001</v>
      </c>
    </row>
    <row r="950" spans="1:27" ht="30" x14ac:dyDescent="0.25">
      <c r="A950" s="90">
        <v>42723</v>
      </c>
      <c r="B950" s="56">
        <v>5998</v>
      </c>
      <c r="C950" s="51">
        <v>949</v>
      </c>
      <c r="D950" s="4" t="str">
        <f>LOOKUP($E950,OBRAS!$D:$D,OBRAS!C:C)</f>
        <v>CONSTRUCCION DE EDIFICIO PARA ALBERGAR EL JUZGADO DE ORALIDAD PENAL DE NOGALES</v>
      </c>
      <c r="E950" s="4" t="s">
        <v>2000</v>
      </c>
      <c r="F950" s="4" t="s">
        <v>2005</v>
      </c>
      <c r="G950" s="4" t="str">
        <f>LOOKUP($E950,OBRAS!$D:$D,OBRAS!E:E)</f>
        <v>C-00058/0021</v>
      </c>
      <c r="H950" s="80" t="s">
        <v>220</v>
      </c>
      <c r="I950" s="6">
        <v>3500000</v>
      </c>
      <c r="J950" s="6"/>
      <c r="K950" s="6">
        <v>0</v>
      </c>
      <c r="L950" s="6">
        <f t="shared" si="231"/>
        <v>3500000</v>
      </c>
      <c r="M950" s="6">
        <f t="shared" si="225"/>
        <v>560000</v>
      </c>
      <c r="N950" s="6">
        <f t="shared" si="226"/>
        <v>4060000</v>
      </c>
      <c r="O950" s="6">
        <f t="shared" ref="O950:O961" si="233">+ROUND(I950*0.005,2)</f>
        <v>17500</v>
      </c>
      <c r="P950" s="6">
        <f t="shared" si="227"/>
        <v>4042500</v>
      </c>
      <c r="Q950" s="4" t="str">
        <f>LOOKUP($E950,OBRAS!$D:$D,OBRAS!B:B)</f>
        <v>REVAL DESARROLLOS Y MATERIALES, S.A. DE C.V.</v>
      </c>
      <c r="R950" s="4" t="str">
        <f>LOOKUP($E950,OBRAS!$D:$D,OBRAS!A:A)</f>
        <v>NOGALES</v>
      </c>
      <c r="S950" s="4" t="str">
        <f>LOOKUP($E950,OBRAS!$D:$D,OBRAS!F:F)</f>
        <v>11000002001202E104K06104A622012155DM03</v>
      </c>
      <c r="T950" s="4" t="str">
        <f>LOOKUP($E950,OBRAS!$D:$D,OBRAS!G:G)</f>
        <v>LO-926006995-N54-2015</v>
      </c>
      <c r="U950" s="4" t="s">
        <v>863</v>
      </c>
      <c r="V950" s="89">
        <v>42732</v>
      </c>
      <c r="W950" s="6">
        <f>LOOKUP($E950,OBRAS!$D:$D,OBRAS!K:K)</f>
        <v>2446622.4</v>
      </c>
      <c r="X950" s="109">
        <f t="shared" si="228"/>
        <v>1.6594</v>
      </c>
      <c r="Y950" s="109">
        <f t="shared" si="229"/>
        <v>2.6322999999999999</v>
      </c>
      <c r="Z950" s="109">
        <f t="shared" si="230"/>
        <v>2.6324000000000001</v>
      </c>
      <c r="AA950" s="4" t="str">
        <f>LOOKUP($E950,OBRAS!$D:$D,OBRAS!H:H)</f>
        <v>SH-FAFEF-16-029</v>
      </c>
    </row>
    <row r="951" spans="1:27" ht="30" x14ac:dyDescent="0.25">
      <c r="A951" s="90">
        <v>42723</v>
      </c>
      <c r="B951" s="56">
        <v>5999</v>
      </c>
      <c r="C951" s="51">
        <v>950</v>
      </c>
      <c r="D951" s="4" t="str">
        <f>LOOKUP($E951,OBRAS!$D:$D,OBRAS!C:C)</f>
        <v>CONSTRUCCION DE EDIFICIO PARA ALBERGAR EL JUZGADO DE ORALIDAD PENAL DE NOGALES</v>
      </c>
      <c r="E951" s="4" t="s">
        <v>2000</v>
      </c>
      <c r="F951" s="4" t="s">
        <v>2005</v>
      </c>
      <c r="G951" s="4" t="str">
        <f>LOOKUP($E951,OBRAS!$D:$D,OBRAS!E:E)</f>
        <v>C-00058/0021</v>
      </c>
      <c r="H951" s="80" t="s">
        <v>748</v>
      </c>
      <c r="I951" s="6">
        <v>1622890.6</v>
      </c>
      <c r="J951" s="6"/>
      <c r="K951" s="6">
        <v>0</v>
      </c>
      <c r="L951" s="6">
        <f t="shared" si="231"/>
        <v>1622890.6</v>
      </c>
      <c r="M951" s="6">
        <f t="shared" si="225"/>
        <v>259662.5</v>
      </c>
      <c r="N951" s="6">
        <f t="shared" si="226"/>
        <v>1882553.1</v>
      </c>
      <c r="O951" s="6">
        <f t="shared" si="233"/>
        <v>8114.45</v>
      </c>
      <c r="P951" s="6">
        <f t="shared" si="227"/>
        <v>1874438.65</v>
      </c>
      <c r="Q951" s="4" t="str">
        <f>LOOKUP($E951,OBRAS!$D:$D,OBRAS!B:B)</f>
        <v>REVAL DESARROLLOS Y MATERIALES, S.A. DE C.V.</v>
      </c>
      <c r="R951" s="4" t="str">
        <f>LOOKUP($E951,OBRAS!$D:$D,OBRAS!A:A)</f>
        <v>NOGALES</v>
      </c>
      <c r="S951" s="4" t="str">
        <f>LOOKUP($E951,OBRAS!$D:$D,OBRAS!F:F)</f>
        <v>11000002001202E104K06104A622012155DM03</v>
      </c>
      <c r="T951" s="4" t="str">
        <f>LOOKUP($E951,OBRAS!$D:$D,OBRAS!G:G)</f>
        <v>LO-926006995-N54-2015</v>
      </c>
      <c r="U951" s="4" t="s">
        <v>863</v>
      </c>
      <c r="V951" s="89">
        <v>42732</v>
      </c>
      <c r="W951" s="6">
        <f>LOOKUP($E951,OBRAS!$D:$D,OBRAS!K:K)</f>
        <v>2446622.4</v>
      </c>
      <c r="X951" s="109">
        <f t="shared" si="228"/>
        <v>0.76939999999999997</v>
      </c>
      <c r="Y951" s="109">
        <f t="shared" si="229"/>
        <v>2.6322999999999999</v>
      </c>
      <c r="Z951" s="109">
        <f t="shared" si="230"/>
        <v>2.6324000000000001</v>
      </c>
      <c r="AA951" s="4" t="str">
        <f>LOOKUP($E951,OBRAS!$D:$D,OBRAS!H:H)</f>
        <v>SH-FAFEF-16-029</v>
      </c>
    </row>
    <row r="952" spans="1:27" ht="30" x14ac:dyDescent="0.25">
      <c r="A952" s="90">
        <v>42723</v>
      </c>
      <c r="B952" s="56">
        <v>6000</v>
      </c>
      <c r="C952" s="51">
        <v>951</v>
      </c>
      <c r="D952" s="4" t="str">
        <f>LOOKUP($E952,OBRAS!$D:$D,OBRAS!C:C)</f>
        <v>CONSTRUCCION DE EDIFICIO PARA ALBERGAR EL JUZGADO DE ORALIDAD PENAL DE NOGALES</v>
      </c>
      <c r="E952" s="4" t="s">
        <v>2000</v>
      </c>
      <c r="F952" s="4" t="s">
        <v>2005</v>
      </c>
      <c r="G952" s="4" t="str">
        <f>LOOKUP($E952,OBRAS!$D:$D,OBRAS!E:E)</f>
        <v>C-00058/0021</v>
      </c>
      <c r="H952" s="80" t="s">
        <v>249</v>
      </c>
      <c r="I952" s="6">
        <v>150000</v>
      </c>
      <c r="J952" s="6"/>
      <c r="K952" s="6">
        <v>0</v>
      </c>
      <c r="L952" s="6">
        <f t="shared" si="231"/>
        <v>150000</v>
      </c>
      <c r="M952" s="6">
        <f t="shared" si="225"/>
        <v>24000</v>
      </c>
      <c r="N952" s="6">
        <f t="shared" si="226"/>
        <v>174000</v>
      </c>
      <c r="O952" s="6">
        <f t="shared" si="233"/>
        <v>750</v>
      </c>
      <c r="P952" s="6">
        <f t="shared" si="227"/>
        <v>173250</v>
      </c>
      <c r="Q952" s="4" t="str">
        <f>LOOKUP($E952,OBRAS!$D:$D,OBRAS!B:B)</f>
        <v>REVAL DESARROLLOS Y MATERIALES, S.A. DE C.V.</v>
      </c>
      <c r="R952" s="4" t="str">
        <f>LOOKUP($E952,OBRAS!$D:$D,OBRAS!A:A)</f>
        <v>NOGALES</v>
      </c>
      <c r="S952" s="4" t="str">
        <f>LOOKUP($E952,OBRAS!$D:$D,OBRAS!F:F)</f>
        <v>11000002001202E104K06104A622012155DM03</v>
      </c>
      <c r="T952" s="4" t="str">
        <f>LOOKUP($E952,OBRAS!$D:$D,OBRAS!G:G)</f>
        <v>LO-926006995-N54-2015</v>
      </c>
      <c r="U952" s="4" t="s">
        <v>863</v>
      </c>
      <c r="V952" s="89">
        <v>42732</v>
      </c>
      <c r="W952" s="6">
        <f>LOOKUP($E952,OBRAS!$D:$D,OBRAS!K:K)</f>
        <v>2446622.4</v>
      </c>
      <c r="X952" s="109">
        <f t="shared" si="228"/>
        <v>7.1099999999999997E-2</v>
      </c>
      <c r="Y952" s="109">
        <f t="shared" si="229"/>
        <v>2.6322999999999999</v>
      </c>
      <c r="Z952" s="109">
        <f t="shared" si="230"/>
        <v>2.6324000000000001</v>
      </c>
      <c r="AA952" s="4" t="str">
        <f>LOOKUP($E952,OBRAS!$D:$D,OBRAS!H:H)</f>
        <v>SH-FAFEF-16-029</v>
      </c>
    </row>
    <row r="953" spans="1:27" ht="45" x14ac:dyDescent="0.25">
      <c r="A953" s="90">
        <v>42723</v>
      </c>
      <c r="B953" s="56">
        <v>6002</v>
      </c>
      <c r="C953" s="51">
        <v>952</v>
      </c>
      <c r="D953" s="4" t="str">
        <f>LOOKUP($E953,OBRAS!$D:$D,OBRAS!C:C)</f>
        <v>CONSTRUCCION Y REMODELACION DEL CENTRO DE ATENCION TEMPRANA EN EL DISTRITO DE SAN LUIS RIO COLORADO</v>
      </c>
      <c r="E953" s="4" t="s">
        <v>2006</v>
      </c>
      <c r="F953" s="4" t="s">
        <v>895</v>
      </c>
      <c r="G953" s="4" t="str">
        <f>LOOKUP($E953,OBRAS!$D:$D,OBRAS!E:E)</f>
        <v>C-00058/0018</v>
      </c>
      <c r="H953" s="80" t="s">
        <v>748</v>
      </c>
      <c r="I953" s="6">
        <v>873053.05</v>
      </c>
      <c r="J953" s="6"/>
      <c r="K953" s="6">
        <v>0</v>
      </c>
      <c r="L953" s="6">
        <f t="shared" si="231"/>
        <v>873053.05</v>
      </c>
      <c r="M953" s="6">
        <f t="shared" si="225"/>
        <v>139688.49</v>
      </c>
      <c r="N953" s="6">
        <f t="shared" si="226"/>
        <v>1012741.54</v>
      </c>
      <c r="O953" s="6">
        <f t="shared" si="233"/>
        <v>4365.2700000000004</v>
      </c>
      <c r="P953" s="6">
        <f t="shared" si="227"/>
        <v>1008376.27</v>
      </c>
      <c r="Q953" s="4" t="str">
        <f>LOOKUP($E953,OBRAS!$D:$D,OBRAS!B:B)</f>
        <v>URBANIZADORA OASIS, S.A. DE C.V.</v>
      </c>
      <c r="R953" s="4" t="str">
        <f>LOOKUP($E953,OBRAS!$D:$D,OBRAS!A:A)</f>
        <v>S.L.R.C.</v>
      </c>
      <c r="S953" s="4" t="str">
        <f>LOOKUP($E953,OBRAS!$D:$D,OBRAS!F:F)</f>
        <v>11000002001202E104K06104A622012155DM01</v>
      </c>
      <c r="T953" s="4" t="str">
        <f>LOOKUP($E953,OBRAS!$D:$D,OBRAS!G:G)</f>
        <v>IO-926006995-N61-2015</v>
      </c>
      <c r="U953" s="4" t="s">
        <v>863</v>
      </c>
      <c r="V953" s="89">
        <v>42734</v>
      </c>
      <c r="W953" s="6">
        <f>LOOKUP($E953,OBRAS!$D:$D,OBRAS!K:K)</f>
        <v>7294593.2300000004</v>
      </c>
      <c r="X953" s="109">
        <f t="shared" si="228"/>
        <v>0.13880000000000001</v>
      </c>
      <c r="Y953" s="109">
        <f t="shared" si="229"/>
        <v>0.13880000000000001</v>
      </c>
      <c r="Z953" s="109">
        <f t="shared" si="230"/>
        <v>0.13880000000000001</v>
      </c>
      <c r="AA953" s="4" t="str">
        <f>LOOKUP($E953,OBRAS!$D:$D,OBRAS!H:H)</f>
        <v>SH-FAFEF-16-029</v>
      </c>
    </row>
    <row r="954" spans="1:27" ht="45" x14ac:dyDescent="0.25">
      <c r="A954" s="90">
        <v>42723</v>
      </c>
      <c r="B954" s="56">
        <v>6003</v>
      </c>
      <c r="C954" s="51">
        <v>953</v>
      </c>
      <c r="D954" s="4" t="str">
        <f>LOOKUP($E954,OBRAS!$D:$D,OBRAS!C:C)</f>
        <v>CONSTRUCCION DEL CENTRO DE ATENCION TEMPRANA EN EL DISTRITO DE ALTAR CON SEDE EN CABORCA</v>
      </c>
      <c r="E954" s="4" t="s">
        <v>2010</v>
      </c>
      <c r="F954" s="4" t="s">
        <v>895</v>
      </c>
      <c r="G954" s="4" t="str">
        <f>LOOKUP($E954,OBRAS!$D:$D,OBRAS!E:E)</f>
        <v>C-00058/0022</v>
      </c>
      <c r="H954" s="80" t="s">
        <v>218</v>
      </c>
      <c r="I954" s="6">
        <v>532727.88</v>
      </c>
      <c r="J954" s="6"/>
      <c r="K954" s="6">
        <v>0</v>
      </c>
      <c r="L954" s="6">
        <f t="shared" si="231"/>
        <v>532727.88</v>
      </c>
      <c r="M954" s="6">
        <f t="shared" si="225"/>
        <v>85236.46</v>
      </c>
      <c r="N954" s="6">
        <f t="shared" si="226"/>
        <v>617964.34</v>
      </c>
      <c r="O954" s="6">
        <f t="shared" si="233"/>
        <v>2663.64</v>
      </c>
      <c r="P954" s="6">
        <f t="shared" si="227"/>
        <v>615300.69999999995</v>
      </c>
      <c r="Q954" s="4" t="str">
        <f>LOOKUP($E954,OBRAS!$D:$D,OBRAS!B:B)</f>
        <v>ZERO EDIFICACIONES,S.A. DE C.V.</v>
      </c>
      <c r="R954" s="4" t="str">
        <f>LOOKUP($E954,OBRAS!$D:$D,OBRAS!A:A)</f>
        <v>CABORCA</v>
      </c>
      <c r="S954" s="4" t="str">
        <f>LOOKUP($E954,OBRAS!$D:$D,OBRAS!F:F)</f>
        <v>11000002001202E104K06104A622012165DM02</v>
      </c>
      <c r="T954" s="4" t="str">
        <f>LOOKUP($E954,OBRAS!$D:$D,OBRAS!G:G)</f>
        <v>IO-926006995-N50-2015</v>
      </c>
      <c r="U954" s="4" t="s">
        <v>863</v>
      </c>
      <c r="V954" s="89">
        <v>42733</v>
      </c>
      <c r="W954" s="6">
        <f>LOOKUP($E954,OBRAS!$D:$D,OBRAS!K:K)</f>
        <v>4959000</v>
      </c>
      <c r="X954" s="109">
        <f t="shared" si="228"/>
        <v>0.1246</v>
      </c>
      <c r="Y954" s="109">
        <f t="shared" si="229"/>
        <v>0.1246</v>
      </c>
      <c r="Z954" s="109">
        <f t="shared" si="230"/>
        <v>0.1246</v>
      </c>
      <c r="AA954" s="4" t="str">
        <f>LOOKUP($E954,OBRAS!$D:$D,OBRAS!H:H)</f>
        <v>SH-FAFEF-16-028</v>
      </c>
    </row>
    <row r="955" spans="1:27" ht="45" x14ac:dyDescent="0.25">
      <c r="A955" s="90">
        <v>42781</v>
      </c>
      <c r="B955" s="56">
        <v>823</v>
      </c>
      <c r="C955" s="51">
        <v>954</v>
      </c>
      <c r="D955" s="4" t="str">
        <f>LOOKUP($E955,OBRAS!$D:$D,OBRAS!C:C)</f>
        <v>PAVIMENTACION CON CONCRETO HIDRAULICO EN LA CALLE CANANEA EN LA LOCALIDAD Y MUNICIPIO DE BACOACHI, SONORA</v>
      </c>
      <c r="E955" s="4" t="s">
        <v>1004</v>
      </c>
      <c r="F955" s="4" t="s">
        <v>217</v>
      </c>
      <c r="G955" s="4" t="str">
        <f>LOOKUP($E955,OBRAS!$D:$D,OBRAS!E:E)</f>
        <v>C-00052/0234</v>
      </c>
      <c r="H955" s="80" t="s">
        <v>103</v>
      </c>
      <c r="I955" s="6">
        <v>424635.57</v>
      </c>
      <c r="J955" s="6"/>
      <c r="K955" s="6">
        <f t="shared" ref="K955:K961" si="234">ROUND(I955*0.3,2)</f>
        <v>127390.67</v>
      </c>
      <c r="L955" s="6">
        <f t="shared" si="231"/>
        <v>297244.90000000002</v>
      </c>
      <c r="M955" s="6">
        <f t="shared" si="225"/>
        <v>47559.18</v>
      </c>
      <c r="N955" s="6">
        <f t="shared" si="226"/>
        <v>344804.08</v>
      </c>
      <c r="O955" s="6">
        <f t="shared" si="233"/>
        <v>2123.1799999999998</v>
      </c>
      <c r="P955" s="6">
        <f t="shared" si="227"/>
        <v>342680.9</v>
      </c>
      <c r="Q955" s="4" t="str">
        <f>LOOKUP($E955,OBRAS!$D:$D,OBRAS!B:B)</f>
        <v>DCR CONSULTORIA Y CONSTRUCCION, S.A. DE C.V.</v>
      </c>
      <c r="R955" s="4" t="str">
        <f>LOOKUP($E955,OBRAS!$D:$D,OBRAS!A:A)</f>
        <v>BACOACHI</v>
      </c>
      <c r="S955" s="4" t="str">
        <f>LOOKUP($E955,OBRAS!$D:$D,OBRAS!F:F)</f>
        <v>11000002002201E202K05186A614202165FM04</v>
      </c>
      <c r="T955" s="4" t="str">
        <f>LOOKUP($E955,OBRAS!$D:$D,OBRAS!G:G)</f>
        <v>IO-926006995-E131-2016</v>
      </c>
      <c r="U955" s="4" t="s">
        <v>863</v>
      </c>
      <c r="V955" s="89">
        <v>42810</v>
      </c>
      <c r="W955" s="6">
        <f>LOOKUP($E955,OBRAS!$D:$D,OBRAS!K:K)</f>
        <v>1899536.81</v>
      </c>
      <c r="X955" s="109">
        <f t="shared" si="228"/>
        <v>0.25929999999999997</v>
      </c>
      <c r="Y955" s="109">
        <f t="shared" si="229"/>
        <v>0.6532</v>
      </c>
      <c r="Z955" s="109">
        <f t="shared" si="230"/>
        <v>0.75729999999999997</v>
      </c>
      <c r="AA955" s="4" t="str">
        <f>LOOKUP($E955,OBRAS!$D:$D,OBRAS!H:H)</f>
        <v>SH-NC-17-R-008</v>
      </c>
    </row>
    <row r="956" spans="1:27" ht="45" x14ac:dyDescent="0.25">
      <c r="A956" s="90">
        <v>42768</v>
      </c>
      <c r="B956" s="56">
        <v>561</v>
      </c>
      <c r="C956" s="51">
        <v>955</v>
      </c>
      <c r="D956" s="4" t="str">
        <f>LOOKUP($E956,OBRAS!$D:$D,OBRAS!C:C)</f>
        <v>PAVIMENTACION CON CONCRETO HIDRAULICO DE LA CALLE SALIDA A HUEPARI EN LA LOCALIDAD Y MUNICIPIO DE SAN PEDRO DE LA CUEVA</v>
      </c>
      <c r="E956" s="4" t="s">
        <v>1209</v>
      </c>
      <c r="F956" s="4" t="s">
        <v>217</v>
      </c>
      <c r="G956" s="4" t="str">
        <f>LOOKUP($E956,OBRAS!$D:$D,OBRAS!E:E)</f>
        <v>C-00052/0217</v>
      </c>
      <c r="H956" s="80" t="s">
        <v>103</v>
      </c>
      <c r="I956" s="6">
        <v>281358.03999999998</v>
      </c>
      <c r="J956" s="6"/>
      <c r="K956" s="6">
        <f t="shared" si="234"/>
        <v>84407.41</v>
      </c>
      <c r="L956" s="6">
        <f t="shared" si="231"/>
        <v>196950.63</v>
      </c>
      <c r="M956" s="6">
        <f t="shared" si="225"/>
        <v>31512.1</v>
      </c>
      <c r="N956" s="6">
        <f t="shared" si="226"/>
        <v>228462.73</v>
      </c>
      <c r="O956" s="6">
        <f t="shared" si="233"/>
        <v>1406.79</v>
      </c>
      <c r="P956" s="6">
        <f t="shared" si="227"/>
        <v>227055.94</v>
      </c>
      <c r="Q956" s="4" t="str">
        <f>LOOKUP($E956,OBRAS!$D:$D,OBRAS!B:B)</f>
        <v>LUIS ALFONSO CORDOVA CONTRERAS</v>
      </c>
      <c r="R956" s="4" t="str">
        <f>LOOKUP($E956,OBRAS!$D:$D,OBRAS!A:A)</f>
        <v>SAN PEDRO DE LA CUEVA</v>
      </c>
      <c r="S956" s="4" t="str">
        <f>LOOKUP($E956,OBRAS!$D:$D,OBRAS!F:F)</f>
        <v>11000002002201E202K05186A614202165FN08C</v>
      </c>
      <c r="T956" s="4" t="str">
        <f>LOOKUP($E956,OBRAS!$D:$D,OBRAS!G:G)</f>
        <v>IO-926006995-E107-2016</v>
      </c>
      <c r="U956" s="4" t="s">
        <v>863</v>
      </c>
      <c r="V956" s="89">
        <v>42789</v>
      </c>
      <c r="W956" s="6">
        <f>LOOKUP($E956,OBRAS!$D:$D,OBRAS!K:K)</f>
        <v>1799973.59</v>
      </c>
      <c r="X956" s="109">
        <f t="shared" si="228"/>
        <v>0.18129999999999999</v>
      </c>
      <c r="Y956" s="109">
        <f t="shared" si="229"/>
        <v>0.51619999999999999</v>
      </c>
      <c r="Z956" s="109">
        <f t="shared" si="230"/>
        <v>0.66139999999999999</v>
      </c>
      <c r="AA956" s="4" t="str">
        <f>LOOKUP($E956,OBRAS!$D:$D,OBRAS!H:H)</f>
        <v>SH-NC-17-R-005</v>
      </c>
    </row>
    <row r="957" spans="1:27" ht="45" x14ac:dyDescent="0.25">
      <c r="A957" s="90">
        <v>42768</v>
      </c>
      <c r="B957" s="56">
        <v>550</v>
      </c>
      <c r="C957" s="51">
        <v>956</v>
      </c>
      <c r="D957" s="4" t="str">
        <f>LOOKUP($E957,OBRAS!$D:$D,OBRAS!C:C)</f>
        <v>PAVIMENTACION CON CONCRETO HIDRAULICO DE LA CALLE SALIDA A HUEPARI EN LA LOCALIDAD Y MUNICIPIO DE SAN PEDRO DE LA CUEVA</v>
      </c>
      <c r="E957" s="4" t="s">
        <v>1209</v>
      </c>
      <c r="F957" s="4" t="s">
        <v>217</v>
      </c>
      <c r="G957" s="4" t="str">
        <f>LOOKUP($E957,OBRAS!$D:$D,OBRAS!E:E)</f>
        <v>C-00052/0217</v>
      </c>
      <c r="H957" s="80" t="s">
        <v>221</v>
      </c>
      <c r="I957" s="6">
        <v>519727.64</v>
      </c>
      <c r="J957" s="6"/>
      <c r="K957" s="6">
        <f t="shared" si="234"/>
        <v>155918.29</v>
      </c>
      <c r="L957" s="6">
        <f t="shared" si="231"/>
        <v>363809.35</v>
      </c>
      <c r="M957" s="6">
        <f t="shared" si="225"/>
        <v>58209.5</v>
      </c>
      <c r="N957" s="6">
        <f t="shared" si="226"/>
        <v>422018.85</v>
      </c>
      <c r="O957" s="6">
        <f t="shared" si="233"/>
        <v>2598.64</v>
      </c>
      <c r="P957" s="6">
        <f t="shared" si="227"/>
        <v>419420.21</v>
      </c>
      <c r="Q957" s="4" t="str">
        <f>LOOKUP($E957,OBRAS!$D:$D,OBRAS!B:B)</f>
        <v>LUIS ALFONSO CORDOVA CONTRERAS</v>
      </c>
      <c r="R957" s="4" t="str">
        <f>LOOKUP($E957,OBRAS!$D:$D,OBRAS!A:A)</f>
        <v>SAN PEDRO DE LA CUEVA</v>
      </c>
      <c r="S957" s="4" t="str">
        <f>LOOKUP($E957,OBRAS!$D:$D,OBRAS!F:F)</f>
        <v>11000002002201E202K05186A614202165FN08C</v>
      </c>
      <c r="T957" s="4" t="str">
        <f>LOOKUP($E957,OBRAS!$D:$D,OBRAS!G:G)</f>
        <v>IO-926006995-E107-2016</v>
      </c>
      <c r="U957" s="4" t="s">
        <v>863</v>
      </c>
      <c r="V957" s="89">
        <v>42804</v>
      </c>
      <c r="W957" s="6">
        <f>LOOKUP($E957,OBRAS!$D:$D,OBRAS!K:K)</f>
        <v>1799973.59</v>
      </c>
      <c r="X957" s="109">
        <f t="shared" si="228"/>
        <v>0.33489999999999998</v>
      </c>
      <c r="Y957" s="109">
        <f t="shared" si="229"/>
        <v>0.51619999999999999</v>
      </c>
      <c r="Z957" s="109">
        <f t="shared" si="230"/>
        <v>0.66139999999999999</v>
      </c>
      <c r="AA957" s="4" t="str">
        <f>LOOKUP($E957,OBRAS!$D:$D,OBRAS!H:H)</f>
        <v>SH-NC-17-R-005</v>
      </c>
    </row>
    <row r="958" spans="1:27" ht="75" x14ac:dyDescent="0.25">
      <c r="A958" s="90">
        <v>42723</v>
      </c>
      <c r="B958" s="56">
        <v>6020</v>
      </c>
      <c r="C958" s="51">
        <v>957</v>
      </c>
      <c r="D958" s="4" t="str">
        <f>LOOKUP($E958,OBRAS!$D:$D,OBRAS!C:C)</f>
        <v>REHABILITACIÓN DE PAVIMENTOS A BASE DE RECARPETEO EN BLVD. GARCIA MORALES ENTRE ANTONIO QUIROGA Y ACCESO AL AEROPUERTO EN LA LOCALIDAD Y MUNICIPIO DE HERMOSILLO, SONORA.</v>
      </c>
      <c r="E958" s="4" t="s">
        <v>835</v>
      </c>
      <c r="F958" s="4" t="s">
        <v>224</v>
      </c>
      <c r="G958" s="4" t="str">
        <f>LOOKUP($E958,OBRAS!$D:$D,OBRAS!E:E)</f>
        <v>C-00052/0179</v>
      </c>
      <c r="H958" s="80" t="s">
        <v>55</v>
      </c>
      <c r="I958" s="6">
        <v>2546438.33</v>
      </c>
      <c r="J958" s="6"/>
      <c r="K958" s="6">
        <f t="shared" si="234"/>
        <v>763931.5</v>
      </c>
      <c r="L958" s="6">
        <f t="shared" si="231"/>
        <v>1782506.83</v>
      </c>
      <c r="M958" s="6">
        <f t="shared" si="225"/>
        <v>285201.09000000003</v>
      </c>
      <c r="N958" s="6">
        <f t="shared" si="226"/>
        <v>2067707.92</v>
      </c>
      <c r="O958" s="6">
        <f t="shared" si="233"/>
        <v>12732.19</v>
      </c>
      <c r="P958" s="6">
        <f t="shared" si="227"/>
        <v>2054975.73</v>
      </c>
      <c r="Q958" s="4" t="str">
        <f>LOOKUP($E958,OBRAS!$D:$D,OBRAS!B:B)</f>
        <v>CONSTRUCCIONES EL LLANO, S.A. DE C.V.</v>
      </c>
      <c r="R958" s="4" t="str">
        <f>LOOKUP($E958,OBRAS!$D:$D,OBRAS!A:A)</f>
        <v>HERMOSILLO</v>
      </c>
      <c r="S958" s="4" t="str">
        <f>LOOKUP($E958,OBRAS!$D:$D,OBRAS!F:F)</f>
        <v>11000002002201E202K05186A614202165CN07</v>
      </c>
      <c r="T958" s="4" t="str">
        <f>LOOKUP($E958,OBRAS!$D:$D,OBRAS!G:G)</f>
        <v>LO-956006995-E87-2016</v>
      </c>
      <c r="U958" s="4" t="s">
        <v>863</v>
      </c>
      <c r="V958" s="89">
        <v>42732</v>
      </c>
      <c r="W958" s="6">
        <f>LOOKUP($E958,OBRAS!$D:$D,OBRAS!K:K)</f>
        <v>19069990.460000001</v>
      </c>
      <c r="X958" s="109">
        <f t="shared" si="228"/>
        <v>0.15490000000000001</v>
      </c>
      <c r="Y958" s="109">
        <f t="shared" si="229"/>
        <v>0.97560000000000002</v>
      </c>
      <c r="Z958" s="109">
        <f t="shared" si="230"/>
        <v>0.98280000000000001</v>
      </c>
      <c r="AA958" s="4" t="str">
        <f>LOOKUP($E958,OBRAS!$D:$D,OBRAS!H:H)</f>
        <v>SH-NC-17-R-004</v>
      </c>
    </row>
    <row r="959" spans="1:27" ht="75" x14ac:dyDescent="0.25">
      <c r="A959" s="90">
        <v>42723</v>
      </c>
      <c r="B959" s="56">
        <v>6021</v>
      </c>
      <c r="C959" s="51">
        <v>958</v>
      </c>
      <c r="D959" s="4" t="str">
        <f>LOOKUP($E959,OBRAS!$D:$D,OBRAS!C:C)</f>
        <v>REHABILITACIÓN DE PAVIMENTOS A BASE DE RECARPETEO EN BLVD. GARCIA MORALES ENTRE ANTONIO QUIROGA Y ACCESO AL AEROPUERTO EN LA LOCALIDAD Y MUNICIPIO DE HERMOSILLO, SONORA.</v>
      </c>
      <c r="E959" s="4" t="s">
        <v>835</v>
      </c>
      <c r="F959" s="4" t="s">
        <v>224</v>
      </c>
      <c r="G959" s="4" t="str">
        <f>LOOKUP($E959,OBRAS!$D:$D,OBRAS!E:E)</f>
        <v>C-00052/0179</v>
      </c>
      <c r="H959" s="80" t="s">
        <v>215</v>
      </c>
      <c r="I959" s="6">
        <v>1028366.28</v>
      </c>
      <c r="J959" s="6"/>
      <c r="K959" s="6">
        <f t="shared" si="234"/>
        <v>308509.88</v>
      </c>
      <c r="L959" s="6">
        <f t="shared" si="231"/>
        <v>719856.4</v>
      </c>
      <c r="M959" s="6">
        <f t="shared" si="225"/>
        <v>115177.02</v>
      </c>
      <c r="N959" s="6">
        <f t="shared" si="226"/>
        <v>835033.42</v>
      </c>
      <c r="O959" s="6">
        <f t="shared" si="233"/>
        <v>5141.83</v>
      </c>
      <c r="P959" s="6">
        <f t="shared" si="227"/>
        <v>829891.59</v>
      </c>
      <c r="Q959" s="4" t="str">
        <f>LOOKUP($E959,OBRAS!$D:$D,OBRAS!B:B)</f>
        <v>CONSTRUCCIONES EL LLANO, S.A. DE C.V.</v>
      </c>
      <c r="R959" s="4" t="str">
        <f>LOOKUP($E959,OBRAS!$D:$D,OBRAS!A:A)</f>
        <v>HERMOSILLO</v>
      </c>
      <c r="S959" s="4" t="str">
        <f>LOOKUP($E959,OBRAS!$D:$D,OBRAS!F:F)</f>
        <v>11000002002201E202K05186A614202165CN07</v>
      </c>
      <c r="T959" s="4" t="str">
        <f>LOOKUP($E959,OBRAS!$D:$D,OBRAS!G:G)</f>
        <v>LO-956006995-E87-2016</v>
      </c>
      <c r="U959" s="4" t="s">
        <v>863</v>
      </c>
      <c r="V959" s="89">
        <v>42759</v>
      </c>
      <c r="W959" s="6">
        <f>LOOKUP($E959,OBRAS!$D:$D,OBRAS!K:K)</f>
        <v>19069990.460000001</v>
      </c>
      <c r="X959" s="109">
        <f t="shared" si="228"/>
        <v>6.2600000000000003E-2</v>
      </c>
      <c r="Y959" s="109">
        <f t="shared" si="229"/>
        <v>0.97560000000000002</v>
      </c>
      <c r="Z959" s="109">
        <f t="shared" si="230"/>
        <v>0.98280000000000001</v>
      </c>
      <c r="AA959" s="4" t="str">
        <f>LOOKUP($E959,OBRAS!$D:$D,OBRAS!H:H)</f>
        <v>SH-NC-17-R-004</v>
      </c>
    </row>
    <row r="960" spans="1:27" ht="75" x14ac:dyDescent="0.25">
      <c r="A960" s="90">
        <v>42768</v>
      </c>
      <c r="B960" s="56">
        <v>545</v>
      </c>
      <c r="C960" s="51">
        <v>959</v>
      </c>
      <c r="D960" s="4" t="str">
        <f>LOOKUP($E960,OBRAS!$D:$D,OBRAS!C:C)</f>
        <v>REHABILITACIÓN DE PAVIMENTOS A BASE DE RECARPETEO EN BLVD. GARCIA MORALES ENTRE ANTONIO QUIROGA Y ACCESO AL AEROPUERTO EN LA LOCALIDAD Y MUNICIPIO DE HERMOSILLO, SONORA.</v>
      </c>
      <c r="E960" s="4" t="s">
        <v>835</v>
      </c>
      <c r="F960" s="4" t="s">
        <v>225</v>
      </c>
      <c r="G960" s="4" t="str">
        <f>LOOKUP($E960,OBRAS!$D:$D,OBRAS!E:E)</f>
        <v>C-00052/0179</v>
      </c>
      <c r="H960" s="80" t="s">
        <v>15</v>
      </c>
      <c r="I960" s="6">
        <v>3036149.97</v>
      </c>
      <c r="J960" s="6"/>
      <c r="K960" s="6">
        <f t="shared" si="234"/>
        <v>910844.99</v>
      </c>
      <c r="L960" s="6">
        <f t="shared" si="231"/>
        <v>2125304.98</v>
      </c>
      <c r="M960" s="6">
        <f t="shared" si="225"/>
        <v>340048.8</v>
      </c>
      <c r="N960" s="6">
        <f t="shared" si="226"/>
        <v>2465353.7799999998</v>
      </c>
      <c r="O960" s="6">
        <f t="shared" si="233"/>
        <v>15180.75</v>
      </c>
      <c r="P960" s="6">
        <f t="shared" si="227"/>
        <v>2450173.0299999998</v>
      </c>
      <c r="Q960" s="4" t="str">
        <f>LOOKUP($E960,OBRAS!$D:$D,OBRAS!B:B)</f>
        <v>CONSTRUCCIONES EL LLANO, S.A. DE C.V.</v>
      </c>
      <c r="R960" s="4" t="str">
        <f>LOOKUP($E960,OBRAS!$D:$D,OBRAS!A:A)</f>
        <v>HERMOSILLO</v>
      </c>
      <c r="S960" s="4" t="str">
        <f>LOOKUP($E960,OBRAS!$D:$D,OBRAS!F:F)</f>
        <v>11000002002201E202K05186A614202165CN07</v>
      </c>
      <c r="T960" s="4" t="str">
        <f>LOOKUP($E960,OBRAS!$D:$D,OBRAS!G:G)</f>
        <v>LO-956006995-E87-2016</v>
      </c>
      <c r="U960" s="4" t="s">
        <v>863</v>
      </c>
      <c r="V960" s="89">
        <v>42810</v>
      </c>
      <c r="W960" s="6">
        <f>LOOKUP($E960,OBRAS!$D:$D,OBRAS!K:K)</f>
        <v>19069990.460000001</v>
      </c>
      <c r="X960" s="109">
        <f t="shared" si="228"/>
        <v>0.1847</v>
      </c>
      <c r="Y960" s="109">
        <f t="shared" si="229"/>
        <v>0.97560000000000002</v>
      </c>
      <c r="Z960" s="109">
        <f t="shared" si="230"/>
        <v>0.98280000000000001</v>
      </c>
      <c r="AA960" s="4" t="str">
        <f>LOOKUP($E960,OBRAS!$D:$D,OBRAS!H:H)</f>
        <v>SH-NC-17-R-004</v>
      </c>
    </row>
    <row r="961" spans="1:27" ht="75" x14ac:dyDescent="0.25">
      <c r="A961" s="90">
        <v>42768</v>
      </c>
      <c r="B961" s="56">
        <v>546</v>
      </c>
      <c r="C961" s="51">
        <v>960</v>
      </c>
      <c r="D961" s="4" t="str">
        <f>LOOKUP($E961,OBRAS!$D:$D,OBRAS!C:C)</f>
        <v>REHABILITACIÓN DE PAVIMENTOS A BASE DE RECARPETEO EN BLVD. GARCIA MORALES ENTRE ANTONIO QUIROGA Y ACCESO AL AEROPUERTO EN LA LOCALIDAD Y MUNICIPIO DE HERMOSILLO, SONORA.</v>
      </c>
      <c r="E961" s="4" t="s">
        <v>835</v>
      </c>
      <c r="F961" s="4" t="s">
        <v>224</v>
      </c>
      <c r="G961" s="4" t="str">
        <f>LOOKUP($E961,OBRAS!$D:$D,OBRAS!E:E)</f>
        <v>C-00052/0179</v>
      </c>
      <c r="H961" s="80" t="s">
        <v>214</v>
      </c>
      <c r="I961" s="6">
        <v>2761801.2</v>
      </c>
      <c r="J961" s="6"/>
      <c r="K961" s="6">
        <f t="shared" si="234"/>
        <v>828540.36</v>
      </c>
      <c r="L961" s="6">
        <f t="shared" si="231"/>
        <v>1933260.84</v>
      </c>
      <c r="M961" s="6">
        <f t="shared" si="225"/>
        <v>309321.73</v>
      </c>
      <c r="N961" s="6">
        <f t="shared" si="226"/>
        <v>2242582.5699999998</v>
      </c>
      <c r="O961" s="6">
        <f t="shared" si="233"/>
        <v>13809.01</v>
      </c>
      <c r="P961" s="6">
        <f t="shared" si="227"/>
        <v>2228773.56</v>
      </c>
      <c r="Q961" s="4" t="str">
        <f>LOOKUP($E961,OBRAS!$D:$D,OBRAS!B:B)</f>
        <v>CONSTRUCCIONES EL LLANO, S.A. DE C.V.</v>
      </c>
      <c r="R961" s="4" t="str">
        <f>LOOKUP($E961,OBRAS!$D:$D,OBRAS!A:A)</f>
        <v>HERMOSILLO</v>
      </c>
      <c r="S961" s="4" t="str">
        <f>LOOKUP($E961,OBRAS!$D:$D,OBRAS!F:F)</f>
        <v>11000002002201E202K05186A614202165CN07</v>
      </c>
      <c r="T961" s="4" t="str">
        <f>LOOKUP($E961,OBRAS!$D:$D,OBRAS!G:G)</f>
        <v>LO-956006995-E87-2016</v>
      </c>
      <c r="U961" s="4" t="s">
        <v>863</v>
      </c>
      <c r="V961" s="89">
        <v>42810</v>
      </c>
      <c r="W961" s="6">
        <f>LOOKUP($E961,OBRAS!$D:$D,OBRAS!K:K)</f>
        <v>19069990.460000001</v>
      </c>
      <c r="X961" s="109">
        <f t="shared" si="228"/>
        <v>0.16800000000000001</v>
      </c>
      <c r="Y961" s="109">
        <f t="shared" si="229"/>
        <v>0.97560000000000002</v>
      </c>
      <c r="Z961" s="109">
        <f t="shared" si="230"/>
        <v>0.98280000000000001</v>
      </c>
      <c r="AA961" s="4" t="str">
        <f>LOOKUP($E961,OBRAS!$D:$D,OBRAS!H:H)</f>
        <v>SH-NC-17-R-004</v>
      </c>
    </row>
    <row r="962" spans="1:27" ht="90" x14ac:dyDescent="0.25">
      <c r="A962" s="90">
        <v>42723</v>
      </c>
      <c r="B962" s="56">
        <v>6024</v>
      </c>
      <c r="C962" s="51">
        <v>961</v>
      </c>
      <c r="D962" s="4" t="str">
        <f>LOOKUP($E962,OBRAS!$D:$D,OBRAS!C:C)</f>
        <v>SUPERVISION EXTERNA Y CONTROL DE CALIDAD PARA LA OBRA: CONSERVACIÓN Y RECONSTRUCCION DEL TRAMO MAZATÁN-VILLA PESQUEIRA-SAN PEDRO DE LA CUEVA EN LA REGION DE LA SIERRA EN VARIAS LOCALIDADES DE VARIOS MUNICIPIOS EN SONORA.</v>
      </c>
      <c r="E962" s="4" t="s">
        <v>437</v>
      </c>
      <c r="F962" s="4"/>
      <c r="G962" s="4" t="str">
        <f>LOOKUP($E962,OBRAS!$D:$D,OBRAS!E:E)</f>
        <v>C-00098/0021</v>
      </c>
      <c r="H962" s="80" t="s">
        <v>55</v>
      </c>
      <c r="I962" s="6">
        <v>147843.44</v>
      </c>
      <c r="J962" s="6"/>
      <c r="K962" s="6">
        <f>ROUND(I962*0.1,2)</f>
        <v>14784.34</v>
      </c>
      <c r="L962" s="6">
        <f t="shared" si="231"/>
        <v>133059.1</v>
      </c>
      <c r="M962" s="6">
        <f t="shared" ref="M962:M993" si="235">ROUND(L962*0.16,2)</f>
        <v>21289.46</v>
      </c>
      <c r="N962" s="6">
        <f t="shared" ref="N962:N993" si="236">M962+L962</f>
        <v>154348.56</v>
      </c>
      <c r="O962" s="6">
        <f>+ROUND(I962*0.002,2)+ROUND(I962*0.0003,2)+ROUND(I962*0.0003,2)+ROUND(I962*0.0003,2)</f>
        <v>428.74</v>
      </c>
      <c r="P962" s="6">
        <f t="shared" ref="P962:P993" si="237">N962-O962</f>
        <v>153919.82</v>
      </c>
      <c r="Q962" s="4" t="str">
        <f>LOOKUP($E962,OBRAS!$D:$D,OBRAS!B:B)</f>
        <v>LABORATORIO, ESTUDIOS Y SERVICIOS PROFESIONALES DE INGENIERIA, S.A. DE C.V.</v>
      </c>
      <c r="R962" s="4" t="str">
        <f>LOOKUP($E962,OBRAS!$D:$D,OBRAS!A:A)</f>
        <v>VARIOS</v>
      </c>
      <c r="S962" s="4" t="str">
        <f>LOOKUP($E962,OBRAS!$D:$D,OBRAS!F:F)</f>
        <v>11000002003501E203K03203A625132161A013</v>
      </c>
      <c r="T962" s="4" t="str">
        <f>LOOKUP($E962,OBRAS!$D:$D,OBRAS!G:G)</f>
        <v>CE-926006995-E58-2016</v>
      </c>
      <c r="U962" s="4" t="s">
        <v>2238</v>
      </c>
      <c r="V962" s="89">
        <v>42744</v>
      </c>
      <c r="W962" s="6">
        <f>LOOKUP($E962,OBRAS!$D:$D,OBRAS!K:K)</f>
        <v>1028990.34</v>
      </c>
      <c r="X962" s="109">
        <f t="shared" ref="X962:X993" si="238">IF(H962&lt;&gt;"ANTICIPO",I962/(W962/1.16),"")</f>
        <v>0.16669999999999999</v>
      </c>
      <c r="Y962" s="109">
        <f t="shared" ref="Y962:Y993" si="239">SUMIF(E:E,E962,X:X)</f>
        <v>0.50009999999999999</v>
      </c>
      <c r="Z962" s="109">
        <f t="shared" ref="Z962:Z993" si="240">SUMIF(E:E,E962,N:N)/W962</f>
        <v>0.55000000000000004</v>
      </c>
      <c r="AA962" s="4" t="str">
        <f>LOOKUP($E962,OBRAS!$D:$D,OBRAS!H:H)</f>
        <v>SH-ED-16-051</v>
      </c>
    </row>
    <row r="963" spans="1:27" ht="30" x14ac:dyDescent="0.25">
      <c r="A963" s="90">
        <v>42723</v>
      </c>
      <c r="B963" s="56">
        <v>6025</v>
      </c>
      <c r="C963" s="51">
        <v>962</v>
      </c>
      <c r="D963" s="4" t="str">
        <f>LOOKUP($E963,OBRAS!$D:$D,OBRAS!C:C)</f>
        <v>REHABILITACION DE PAVIMENTOS DE VARIAS CALLES Y AVENIDAS EN LA LOCALIDAD DE ADIVINO</v>
      </c>
      <c r="E963" s="4" t="s">
        <v>1016</v>
      </c>
      <c r="F963" s="4" t="s">
        <v>224</v>
      </c>
      <c r="G963" s="4" t="str">
        <f>LOOKUP($E963,OBRAS!$D:$D,OBRAS!E:E)</f>
        <v>C-00052/0238</v>
      </c>
      <c r="H963" s="80" t="s">
        <v>103</v>
      </c>
      <c r="I963" s="6">
        <v>185015.86</v>
      </c>
      <c r="J963" s="6"/>
      <c r="K963" s="6">
        <f t="shared" ref="K963:K970" si="241">ROUND(I963*0.3,2)</f>
        <v>55504.76</v>
      </c>
      <c r="L963" s="6">
        <f t="shared" si="231"/>
        <v>129511.1</v>
      </c>
      <c r="M963" s="6">
        <f t="shared" si="235"/>
        <v>20721.78</v>
      </c>
      <c r="N963" s="6">
        <f t="shared" si="236"/>
        <v>150232.88</v>
      </c>
      <c r="O963" s="6">
        <f>+ROUND(I963*0.005,2)</f>
        <v>925.08</v>
      </c>
      <c r="P963" s="6">
        <f t="shared" si="237"/>
        <v>149307.79999999999</v>
      </c>
      <c r="Q963" s="4" t="str">
        <f>LOOKUP($E963,OBRAS!$D:$D,OBRAS!B:B)</f>
        <v>MOCUZARI CONSTRUCTORA, S.A. DE C.V.</v>
      </c>
      <c r="R963" s="4" t="str">
        <f>LOOKUP($E963,OBRAS!$D:$D,OBRAS!A:A)</f>
        <v>VILLA PESQUEIRA</v>
      </c>
      <c r="S963" s="4" t="str">
        <f>LOOKUP($E963,OBRAS!$D:$D,OBRAS!F:F)</f>
        <v>11000002002201E202K05186A614222165FM08</v>
      </c>
      <c r="T963" s="4" t="str">
        <f>LOOKUP($E963,OBRAS!$D:$D,OBRAS!G:G)</f>
        <v>AO-926006995-E136-2016</v>
      </c>
      <c r="U963" s="4" t="s">
        <v>863</v>
      </c>
      <c r="V963" s="89">
        <v>42759</v>
      </c>
      <c r="W963" s="6">
        <f>LOOKUP($E963,OBRAS!$D:$D,OBRAS!K:K)</f>
        <v>534054.88</v>
      </c>
      <c r="X963" s="109">
        <f t="shared" si="238"/>
        <v>0.40189999999999998</v>
      </c>
      <c r="Y963" s="109">
        <f t="shared" si="239"/>
        <v>0.80259999999999998</v>
      </c>
      <c r="Z963" s="109">
        <f t="shared" si="240"/>
        <v>0.86180000000000001</v>
      </c>
      <c r="AA963" s="4" t="str">
        <f>LOOKUP($E963,OBRAS!$D:$D,OBRAS!H:H)</f>
        <v>SH-NC-17-R-008</v>
      </c>
    </row>
    <row r="964" spans="1:27" ht="30" x14ac:dyDescent="0.25">
      <c r="A964" s="90">
        <v>42723</v>
      </c>
      <c r="B964" s="56">
        <v>6026</v>
      </c>
      <c r="C964" s="51">
        <v>963</v>
      </c>
      <c r="D964" s="4" t="str">
        <f>LOOKUP($E964,OBRAS!$D:$D,OBRAS!C:C)</f>
        <v>REHABILITACION DE PAVIMENTOS DE VARIAS CALLES Y AVENIDAS EN LA LOCALIDAD DE ADIVINO</v>
      </c>
      <c r="E964" s="4" t="s">
        <v>1016</v>
      </c>
      <c r="F964" s="4" t="s">
        <v>224</v>
      </c>
      <c r="G964" s="4" t="str">
        <f>LOOKUP($E964,OBRAS!$D:$D,OBRAS!E:E)</f>
        <v>C-00052/0238</v>
      </c>
      <c r="H964" s="80" t="s">
        <v>221</v>
      </c>
      <c r="I964" s="6">
        <v>184483.25</v>
      </c>
      <c r="J964" s="6"/>
      <c r="K964" s="6">
        <f t="shared" si="241"/>
        <v>55344.98</v>
      </c>
      <c r="L964" s="6">
        <f t="shared" si="231"/>
        <v>129138.27</v>
      </c>
      <c r="M964" s="6">
        <f t="shared" si="235"/>
        <v>20662.12</v>
      </c>
      <c r="N964" s="6">
        <f t="shared" si="236"/>
        <v>149800.39000000001</v>
      </c>
      <c r="O964" s="6">
        <f>+ROUND(I964*0.005,2)</f>
        <v>922.42</v>
      </c>
      <c r="P964" s="6">
        <f t="shared" si="237"/>
        <v>148877.97</v>
      </c>
      <c r="Q964" s="4" t="str">
        <f>LOOKUP($E964,OBRAS!$D:$D,OBRAS!B:B)</f>
        <v>MOCUZARI CONSTRUCTORA, S.A. DE C.V.</v>
      </c>
      <c r="R964" s="4" t="str">
        <f>LOOKUP($E964,OBRAS!$D:$D,OBRAS!A:A)</f>
        <v>VILLA PESQUEIRA</v>
      </c>
      <c r="S964" s="4" t="str">
        <f>LOOKUP($E964,OBRAS!$D:$D,OBRAS!F:F)</f>
        <v>11000002002201E202K05186A614222165FM08</v>
      </c>
      <c r="T964" s="4" t="str">
        <f>LOOKUP($E964,OBRAS!$D:$D,OBRAS!G:G)</f>
        <v>AO-926006995-E136-2016</v>
      </c>
      <c r="U964" s="4" t="s">
        <v>863</v>
      </c>
      <c r="V964" s="89">
        <v>42759</v>
      </c>
      <c r="W964" s="6">
        <f>LOOKUP($E964,OBRAS!$D:$D,OBRAS!K:K)</f>
        <v>534054.88</v>
      </c>
      <c r="X964" s="109">
        <f t="shared" si="238"/>
        <v>0.4007</v>
      </c>
      <c r="Y964" s="109">
        <f t="shared" si="239"/>
        <v>0.80259999999999998</v>
      </c>
      <c r="Z964" s="109">
        <f t="shared" si="240"/>
        <v>0.86180000000000001</v>
      </c>
      <c r="AA964" s="4" t="str">
        <f>LOOKUP($E964,OBRAS!$D:$D,OBRAS!H:H)</f>
        <v>SH-NC-17-R-008</v>
      </c>
    </row>
    <row r="965" spans="1:27" ht="30" x14ac:dyDescent="0.25">
      <c r="A965" s="90">
        <v>42723</v>
      </c>
      <c r="B965" s="56">
        <v>6027</v>
      </c>
      <c r="C965" s="51">
        <v>964</v>
      </c>
      <c r="D965" s="4" t="str">
        <f>LOOKUP($E965,OBRAS!$D:$D,OBRAS!C:C)</f>
        <v>REHABILITACION DE PAVIMENTOS DE VARIAS CALLES Y AVENIDAD EN LA LOCALIDAD DE MATAPE</v>
      </c>
      <c r="E965" s="4" t="s">
        <v>997</v>
      </c>
      <c r="F965" s="4" t="s">
        <v>224</v>
      </c>
      <c r="G965" s="4" t="str">
        <f>LOOKUP($E965,OBRAS!$D:$D,OBRAS!E:E)</f>
        <v>C-00052/0198</v>
      </c>
      <c r="H965" s="80" t="s">
        <v>103</v>
      </c>
      <c r="I965" s="6">
        <v>414363.61</v>
      </c>
      <c r="J965" s="6"/>
      <c r="K965" s="6">
        <f t="shared" si="241"/>
        <v>124309.08</v>
      </c>
      <c r="L965" s="6">
        <f t="shared" si="231"/>
        <v>290054.53000000003</v>
      </c>
      <c r="M965" s="6">
        <f t="shared" si="235"/>
        <v>46408.72</v>
      </c>
      <c r="N965" s="6">
        <f t="shared" si="236"/>
        <v>336463.25</v>
      </c>
      <c r="O965" s="6">
        <f>+ROUND(I965*0.005,2)</f>
        <v>2071.8200000000002</v>
      </c>
      <c r="P965" s="6">
        <f t="shared" si="237"/>
        <v>334391.43</v>
      </c>
      <c r="Q965" s="4" t="str">
        <f>LOOKUP($E965,OBRAS!$D:$D,OBRAS!B:B)</f>
        <v>MOCUZARI CONSTRUCTORA, S.A. DE C.V.</v>
      </c>
      <c r="R965" s="4" t="str">
        <f>LOOKUP($E965,OBRAS!$D:$D,OBRAS!A:A)</f>
        <v>VILLA PESQUEIRA</v>
      </c>
      <c r="S965" s="4" t="str">
        <f>LOOKUP($E965,OBRAS!$D:$D,OBRAS!F:F)</f>
        <v>11000002002201E202K05186A614202165FC08</v>
      </c>
      <c r="T965" s="4" t="str">
        <f>LOOKUP($E965,OBRAS!$D:$D,OBRAS!G:G)</f>
        <v>IO-926006995-E126-2016</v>
      </c>
      <c r="U965" s="4" t="s">
        <v>863</v>
      </c>
      <c r="V965" s="89">
        <v>42759</v>
      </c>
      <c r="W965" s="6">
        <f>LOOKUP($E965,OBRAS!$D:$D,OBRAS!K:K)</f>
        <v>1199939.8899999999</v>
      </c>
      <c r="X965" s="109">
        <f t="shared" si="238"/>
        <v>0.40060000000000001</v>
      </c>
      <c r="Y965" s="109">
        <f t="shared" si="239"/>
        <v>1</v>
      </c>
      <c r="Z965" s="109">
        <f t="shared" si="240"/>
        <v>1</v>
      </c>
      <c r="AA965" s="4" t="str">
        <f>LOOKUP($E965,OBRAS!$D:$D,OBRAS!H:H)</f>
        <v>SH-NC-17-R-009</v>
      </c>
    </row>
    <row r="966" spans="1:27" ht="30" x14ac:dyDescent="0.25">
      <c r="A966" s="90">
        <v>42773</v>
      </c>
      <c r="B966" s="56">
        <v>657</v>
      </c>
      <c r="C966" s="51">
        <v>965</v>
      </c>
      <c r="D966" s="4" t="str">
        <f>LOOKUP($E966,OBRAS!$D:$D,OBRAS!C:C)</f>
        <v>REHABILITACION DE PAVIMENTOS DE VARIAS CALLES Y AVENIDAD EN LA LOCALIDAD DE MATAPE</v>
      </c>
      <c r="E966" s="4" t="s">
        <v>997</v>
      </c>
      <c r="F966" s="4" t="s">
        <v>224</v>
      </c>
      <c r="G966" s="4" t="str">
        <f>LOOKUP($E966,OBRAS!$D:$D,OBRAS!E:E)</f>
        <v>C-00052/0198</v>
      </c>
      <c r="H966" s="80" t="s">
        <v>221</v>
      </c>
      <c r="I966" s="6">
        <v>420268.53</v>
      </c>
      <c r="J966" s="6"/>
      <c r="K966" s="6">
        <f t="shared" si="241"/>
        <v>126080.56</v>
      </c>
      <c r="L966" s="6">
        <f t="shared" si="231"/>
        <v>294187.96999999997</v>
      </c>
      <c r="M966" s="6">
        <f t="shared" si="235"/>
        <v>47070.080000000002</v>
      </c>
      <c r="N966" s="6">
        <f t="shared" si="236"/>
        <v>341258.05</v>
      </c>
      <c r="O966" s="6">
        <f>+ROUND(I966*0.005,2)</f>
        <v>2101.34</v>
      </c>
      <c r="P966" s="6">
        <f t="shared" si="237"/>
        <v>339156.71</v>
      </c>
      <c r="Q966" s="4" t="str">
        <f>LOOKUP($E966,OBRAS!$D:$D,OBRAS!B:B)</f>
        <v>MOCUZARI CONSTRUCTORA, S.A. DE C.V.</v>
      </c>
      <c r="R966" s="4" t="str">
        <f>LOOKUP($E966,OBRAS!$D:$D,OBRAS!A:A)</f>
        <v>VILLA PESQUEIRA</v>
      </c>
      <c r="S966" s="4" t="str">
        <f>LOOKUP($E966,OBRAS!$D:$D,OBRAS!F:F)</f>
        <v>11000002002201E202K05186A614202165FC08</v>
      </c>
      <c r="T966" s="4" t="str">
        <f>LOOKUP($E966,OBRAS!$D:$D,OBRAS!G:G)</f>
        <v>IO-926006995-E126-2016</v>
      </c>
      <c r="U966" s="4" t="s">
        <v>863</v>
      </c>
      <c r="V966" s="89">
        <v>42804</v>
      </c>
      <c r="W966" s="6">
        <f>LOOKUP($E966,OBRAS!$D:$D,OBRAS!K:K)</f>
        <v>1199939.8899999999</v>
      </c>
      <c r="X966" s="109">
        <f t="shared" si="238"/>
        <v>0.40629999999999999</v>
      </c>
      <c r="Y966" s="109">
        <f t="shared" si="239"/>
        <v>1</v>
      </c>
      <c r="Z966" s="109">
        <f t="shared" si="240"/>
        <v>1</v>
      </c>
      <c r="AA966" s="4" t="str">
        <f>LOOKUP($E966,OBRAS!$D:$D,OBRAS!H:H)</f>
        <v>SH-NC-17-R-009</v>
      </c>
    </row>
    <row r="967" spans="1:27" ht="60" x14ac:dyDescent="0.25">
      <c r="A967" s="90">
        <v>42795</v>
      </c>
      <c r="B967" s="56">
        <v>1186</v>
      </c>
      <c r="C967" s="134">
        <v>966</v>
      </c>
      <c r="D967" s="4" t="str">
        <f>LOOKUP($E967,OBRAS!$D:$D,OBRAS!C:C)</f>
        <v>CONSERVACIÓN DEL TRAMO NOVILLO - BACANORA - SAHUARIPA -  SAN NICOLÁS EN VARIAS LOCALIDADES DE VARIOS MUNICIPIOS DEL ESTADO DE SONORA.</v>
      </c>
      <c r="E967" s="4" t="s">
        <v>554</v>
      </c>
      <c r="F967" s="4" t="s">
        <v>400</v>
      </c>
      <c r="G967" s="4" t="str">
        <f>LOOKUP($E967,OBRAS!$D:$D,OBRAS!E:E)</f>
        <v>C-00054/0055</v>
      </c>
      <c r="H967" s="80" t="s">
        <v>218</v>
      </c>
      <c r="I967" s="6">
        <v>6993152.5800000001</v>
      </c>
      <c r="J967" s="6"/>
      <c r="K967" s="6">
        <f t="shared" si="241"/>
        <v>2097945.77</v>
      </c>
      <c r="L967" s="6">
        <f t="shared" si="231"/>
        <v>4895206.8099999996</v>
      </c>
      <c r="M967" s="6">
        <f t="shared" si="235"/>
        <v>783233.09</v>
      </c>
      <c r="N967" s="6">
        <f t="shared" si="236"/>
        <v>5678439.9000000004</v>
      </c>
      <c r="O967" s="6">
        <f>+ROUND(I967*0.002,2)+ROUND(I967*0.0003,2)+ROUND(I967*0.0003,2)+ROUND(I967*0.0003,2)+ROUND(I967*0.002,2)</f>
        <v>34266.47</v>
      </c>
      <c r="P967" s="6">
        <f t="shared" si="237"/>
        <v>5644173.4299999997</v>
      </c>
      <c r="Q967" s="4" t="str">
        <f>LOOKUP($E967,OBRAS!$D:$D,OBRAS!B:B)</f>
        <v>CONSTRUCCIONES VILLA DE SERIS, S. A. DE C. V.</v>
      </c>
      <c r="R967" s="4" t="str">
        <f>LOOKUP($E967,OBRAS!$D:$D,OBRAS!A:A)</f>
        <v>VARIOS</v>
      </c>
      <c r="S967" s="4" t="str">
        <f>LOOKUP($E967,OBRAS!$D:$D,OBRAS!F:F)</f>
        <v>11000002003501E204K08063A625012162A213</v>
      </c>
      <c r="T967" s="4" t="str">
        <f>LOOKUP($E967,OBRAS!$D:$D,OBRAS!G:G)</f>
        <v>CE-926006995-E19-2016</v>
      </c>
      <c r="U967" s="4" t="s">
        <v>863</v>
      </c>
      <c r="V967" s="89">
        <v>42803</v>
      </c>
      <c r="W967" s="6">
        <f>LOOKUP($E967,OBRAS!$D:$D,OBRAS!K:K)</f>
        <v>112909841.56</v>
      </c>
      <c r="X967" s="109">
        <f t="shared" si="238"/>
        <v>7.1800000000000003E-2</v>
      </c>
      <c r="Y967" s="109">
        <f t="shared" si="239"/>
        <v>0.93110000000000004</v>
      </c>
      <c r="Z967" s="109">
        <f t="shared" si="240"/>
        <v>0.95179999999999998</v>
      </c>
      <c r="AA967" s="4" t="str">
        <f>LOOKUP($E967,OBRAS!$D:$D,OBRAS!H:H)</f>
        <v>SH-ED-17-R-004</v>
      </c>
    </row>
    <row r="968" spans="1:27" ht="60" x14ac:dyDescent="0.25">
      <c r="A968" s="90">
        <v>42723</v>
      </c>
      <c r="B968" s="56">
        <v>6030</v>
      </c>
      <c r="C968" s="51">
        <v>967</v>
      </c>
      <c r="D968" s="4" t="str">
        <f>LOOKUP($E968,OBRAS!$D:$D,OBRAS!C:C)</f>
        <v>PAVIMENTACION CON CONCRETO HIDRAULICO DE 15 CMS DE ESPESOR EN CALLE PARQUE BARRIO BAJO EN LA LOCALIDAD DE TECORIPA MUNICIPIO DE LA COLORADA, SONORA</v>
      </c>
      <c r="E968" s="4" t="s">
        <v>1214</v>
      </c>
      <c r="F968" s="4" t="s">
        <v>224</v>
      </c>
      <c r="G968" s="4" t="str">
        <f>LOOKUP($E968,OBRAS!$D:$D,OBRAS!E:E)</f>
        <v>C-00052/0216</v>
      </c>
      <c r="H968" s="80" t="s">
        <v>103</v>
      </c>
      <c r="I968" s="6">
        <v>129537.14</v>
      </c>
      <c r="J968" s="6"/>
      <c r="K968" s="6">
        <f t="shared" si="241"/>
        <v>38861.14</v>
      </c>
      <c r="L968" s="6">
        <f t="shared" si="231"/>
        <v>90676</v>
      </c>
      <c r="M968" s="6">
        <f t="shared" si="235"/>
        <v>14508.16</v>
      </c>
      <c r="N968" s="6">
        <f t="shared" si="236"/>
        <v>105184.16</v>
      </c>
      <c r="O968" s="6">
        <f>+ROUND(I968*0.005,2)</f>
        <v>647.69000000000005</v>
      </c>
      <c r="P968" s="6">
        <f t="shared" si="237"/>
        <v>104536.47</v>
      </c>
      <c r="Q968" s="4" t="str">
        <f>LOOKUP($E968,OBRAS!$D:$D,OBRAS!B:B)</f>
        <v>CONSTRUCTORES LISTA BLANCA, S.A.DE C.V.</v>
      </c>
      <c r="R968" s="4" t="str">
        <f>LOOKUP($E968,OBRAS!$D:$D,OBRAS!A:A)</f>
        <v>LA COLORADA</v>
      </c>
      <c r="S968" s="4" t="str">
        <f>LOOKUP($E968,OBRAS!$D:$D,OBRAS!F:F)</f>
        <v>11000002002201E202K05186A614202165FN08</v>
      </c>
      <c r="T968" s="4" t="str">
        <f>LOOKUP($E968,OBRAS!$D:$D,OBRAS!G:G)</f>
        <v>IO-926006995-E129-2016</v>
      </c>
      <c r="U968" s="4" t="s">
        <v>863</v>
      </c>
      <c r="V968" s="89">
        <v>42734</v>
      </c>
      <c r="W968" s="6">
        <f>LOOKUP($E968,OBRAS!$D:$D,OBRAS!K:K)</f>
        <v>1256127.72</v>
      </c>
      <c r="X968" s="109">
        <f t="shared" si="238"/>
        <v>0.1196</v>
      </c>
      <c r="Y968" s="109">
        <f t="shared" si="239"/>
        <v>0.88949999999999996</v>
      </c>
      <c r="Z968" s="109">
        <f t="shared" si="240"/>
        <v>0.88949999999999996</v>
      </c>
      <c r="AA968" s="4" t="str">
        <f>LOOKUP($E968,OBRAS!$D:$D,OBRAS!H:H)</f>
        <v>SH-NC-17-R-005</v>
      </c>
    </row>
    <row r="969" spans="1:27" ht="60" x14ac:dyDescent="0.25">
      <c r="A969" s="90">
        <v>42723</v>
      </c>
      <c r="B969" s="56">
        <v>6031</v>
      </c>
      <c r="C969" s="51">
        <v>968</v>
      </c>
      <c r="D969" s="4" t="str">
        <f>LOOKUP($E969,OBRAS!$D:$D,OBRAS!C:C)</f>
        <v>PAVIMENTACION CON CONCRETO HIDRAULICO DE 15 CMS DE ESPESOR EN CALLE PARQUE BARRIO BAJO EN LA LOCALIDAD DE TECORIPA MUNICIPIO DE LA COLORADA, SONORA</v>
      </c>
      <c r="E969" s="4" t="s">
        <v>1214</v>
      </c>
      <c r="F969" s="4" t="s">
        <v>224</v>
      </c>
      <c r="G969" s="4" t="str">
        <f>LOOKUP($E969,OBRAS!$D:$D,OBRAS!E:E)</f>
        <v>C-00052/0216</v>
      </c>
      <c r="H969" s="80" t="s">
        <v>221</v>
      </c>
      <c r="I969" s="6">
        <v>472830.5</v>
      </c>
      <c r="J969" s="6"/>
      <c r="K969" s="6">
        <f t="shared" si="241"/>
        <v>141849.15</v>
      </c>
      <c r="L969" s="6">
        <f t="shared" si="231"/>
        <v>330981.34999999998</v>
      </c>
      <c r="M969" s="6">
        <f t="shared" si="235"/>
        <v>52957.02</v>
      </c>
      <c r="N969" s="6">
        <f t="shared" si="236"/>
        <v>383938.37</v>
      </c>
      <c r="O969" s="6">
        <f>+ROUND(I969*0.005,2)</f>
        <v>2364.15</v>
      </c>
      <c r="P969" s="6">
        <f t="shared" si="237"/>
        <v>381574.22</v>
      </c>
      <c r="Q969" s="4" t="str">
        <f>LOOKUP($E969,OBRAS!$D:$D,OBRAS!B:B)</f>
        <v>CONSTRUCTORES LISTA BLANCA, S.A.DE C.V.</v>
      </c>
      <c r="R969" s="4" t="str">
        <f>LOOKUP($E969,OBRAS!$D:$D,OBRAS!A:A)</f>
        <v>LA COLORADA</v>
      </c>
      <c r="S969" s="4" t="str">
        <f>LOOKUP($E969,OBRAS!$D:$D,OBRAS!F:F)</f>
        <v>11000002002201E202K05186A614202165FN08</v>
      </c>
      <c r="T969" s="4" t="str">
        <f>LOOKUP($E969,OBRAS!$D:$D,OBRAS!G:G)</f>
        <v>IO-926006995-E129-2016</v>
      </c>
      <c r="U969" s="4" t="s">
        <v>863</v>
      </c>
      <c r="V969" s="89">
        <v>42734</v>
      </c>
      <c r="W969" s="6">
        <f>LOOKUP($E969,OBRAS!$D:$D,OBRAS!K:K)</f>
        <v>1256127.72</v>
      </c>
      <c r="X969" s="109">
        <f t="shared" si="238"/>
        <v>0.43659999999999999</v>
      </c>
      <c r="Y969" s="109">
        <f t="shared" si="239"/>
        <v>0.88949999999999996</v>
      </c>
      <c r="Z969" s="109">
        <f t="shared" si="240"/>
        <v>0.88949999999999996</v>
      </c>
      <c r="AA969" s="4" t="str">
        <f>LOOKUP($E969,OBRAS!$D:$D,OBRAS!H:H)</f>
        <v>SH-NC-17-R-005</v>
      </c>
    </row>
    <row r="970" spans="1:27" ht="30" x14ac:dyDescent="0.25">
      <c r="A970" s="90">
        <v>42723</v>
      </c>
      <c r="B970" s="56">
        <v>6032</v>
      </c>
      <c r="C970" s="51">
        <v>969</v>
      </c>
      <c r="D970" s="4" t="str">
        <f>LOOKUP($E970,OBRAS!$D:$D,OBRAS!C:C)</f>
        <v>PAVIMENTACION CON CONCRETO HIDRAULICO DEL BLVD. LAZARO GUTIERREZ DE LARA</v>
      </c>
      <c r="E970" s="4" t="s">
        <v>804</v>
      </c>
      <c r="F970" s="4"/>
      <c r="G970" s="4" t="str">
        <f>LOOKUP($E970,OBRAS!$D:$D,OBRAS!E:E)</f>
        <v>C-00052/0181</v>
      </c>
      <c r="H970" s="80" t="s">
        <v>221</v>
      </c>
      <c r="I970" s="6">
        <v>2631331.9</v>
      </c>
      <c r="J970" s="6"/>
      <c r="K970" s="6">
        <f t="shared" si="241"/>
        <v>789399.57</v>
      </c>
      <c r="L970" s="6">
        <f t="shared" ref="L970:L1001" si="242">I970-K970</f>
        <v>1841932.33</v>
      </c>
      <c r="M970" s="6">
        <f t="shared" si="235"/>
        <v>294709.17</v>
      </c>
      <c r="N970" s="6">
        <f t="shared" si="236"/>
        <v>2136641.5</v>
      </c>
      <c r="O970" s="6">
        <f>+ROUND(I970*0.002,2)+ROUND(I970*0.0003,2)+ROUND(I970*0.0003,2)+ROUND(I970*0.0003,2)+ROUND(I970*0.002,2)</f>
        <v>12893.52</v>
      </c>
      <c r="P970" s="6">
        <f t="shared" si="237"/>
        <v>2123747.98</v>
      </c>
      <c r="Q970" s="4" t="str">
        <f>LOOKUP($E970,OBRAS!$D:$D,OBRAS!B:B)</f>
        <v>PREMEZCLADOS NOGALES, S.A. DE C.V.</v>
      </c>
      <c r="R970" s="4" t="str">
        <f>LOOKUP($E970,OBRAS!$D:$D,OBRAS!A:A)</f>
        <v>CANANEA</v>
      </c>
      <c r="S970" s="4" t="str">
        <f>LOOKUP($E970,OBRAS!$D:$D,OBRAS!F:F)</f>
        <v>11000002002201E202K05186A614222155DM04</v>
      </c>
      <c r="T970" s="4" t="str">
        <f>LOOKUP($E970,OBRAS!$D:$D,OBRAS!G:G)</f>
        <v>CE-926006995-E81-2016</v>
      </c>
      <c r="U970" s="4" t="s">
        <v>863</v>
      </c>
      <c r="V970" s="89">
        <v>42732</v>
      </c>
      <c r="W970" s="6">
        <f>LOOKUP($E970,OBRAS!$D:$D,OBRAS!K:K)</f>
        <v>32938936.050000001</v>
      </c>
      <c r="X970" s="109">
        <f t="shared" si="238"/>
        <v>9.2700000000000005E-2</v>
      </c>
      <c r="Y970" s="109">
        <f t="shared" si="239"/>
        <v>0.31090000000000001</v>
      </c>
      <c r="Z970" s="109">
        <f t="shared" si="240"/>
        <v>0.39029999999999998</v>
      </c>
      <c r="AA970" s="4" t="str">
        <f>LOOKUP($E970,OBRAS!$D:$D,OBRAS!H:H)</f>
        <v>SH-FAFEF-17-R-003</v>
      </c>
    </row>
    <row r="971" spans="1:27" ht="30" x14ac:dyDescent="0.25">
      <c r="A971" s="90">
        <v>42723</v>
      </c>
      <c r="B971" s="56">
        <v>6033</v>
      </c>
      <c r="C971" s="51">
        <v>970</v>
      </c>
      <c r="D971" s="4" t="str">
        <f>LOOKUP($E971,OBRAS!$D:$D,OBRAS!C:C)</f>
        <v>CONSTRUCCION DE DENTRO DE ATENCION TEMPRANA EN EL DISTRITO DE NAVOJOA</v>
      </c>
      <c r="E971" s="4" t="s">
        <v>2015</v>
      </c>
      <c r="F971" s="4" t="s">
        <v>225</v>
      </c>
      <c r="G971" s="4" t="str">
        <f>LOOKUP($E971,OBRAS!$D:$D,OBRAS!E:E)</f>
        <v>C-00058/0019</v>
      </c>
      <c r="H971" s="80" t="s">
        <v>214</v>
      </c>
      <c r="I971" s="6">
        <v>573542.32999999996</v>
      </c>
      <c r="J971" s="6"/>
      <c r="K971" s="6">
        <v>0</v>
      </c>
      <c r="L971" s="6">
        <f t="shared" si="242"/>
        <v>573542.32999999996</v>
      </c>
      <c r="M971" s="6">
        <f t="shared" si="235"/>
        <v>91766.77</v>
      </c>
      <c r="N971" s="6">
        <f t="shared" si="236"/>
        <v>665309.1</v>
      </c>
      <c r="O971" s="6">
        <f>+ROUND(I971*0.005,2)</f>
        <v>2867.71</v>
      </c>
      <c r="P971" s="6">
        <f t="shared" si="237"/>
        <v>662441.39</v>
      </c>
      <c r="Q971" s="4" t="str">
        <f>LOOKUP($E971,OBRAS!$D:$D,OBRAS!B:B)</f>
        <v>GRUPO MESIS, S.A. DE C.V.</v>
      </c>
      <c r="R971" s="4" t="str">
        <f>LOOKUP($E971,OBRAS!$D:$D,OBRAS!A:A)</f>
        <v>NAVOJOA</v>
      </c>
      <c r="S971" s="4" t="str">
        <f>LOOKUP($E971,OBRAS!$D:$D,OBRAS!F:F)</f>
        <v>1000002001202E104K06104A622012155DM12</v>
      </c>
      <c r="T971" s="4" t="str">
        <f>LOOKUP($E971,OBRAS!$D:$D,OBRAS!G:G)</f>
        <v>LO-926006995-N52-2015</v>
      </c>
      <c r="U971" s="4" t="s">
        <v>863</v>
      </c>
      <c r="V971" s="89">
        <v>42766</v>
      </c>
      <c r="W971" s="6">
        <f>LOOKUP($E971,OBRAS!$D:$D,OBRAS!K:K)</f>
        <v>665309.1</v>
      </c>
      <c r="X971" s="109">
        <f t="shared" si="238"/>
        <v>1</v>
      </c>
      <c r="Y971" s="109">
        <f t="shared" si="239"/>
        <v>1</v>
      </c>
      <c r="Z971" s="109">
        <f t="shared" si="240"/>
        <v>1</v>
      </c>
      <c r="AA971" s="4" t="str">
        <f>LOOKUP($E971,OBRAS!$D:$D,OBRAS!H:H)</f>
        <v>SH-FAFEF-16-029</v>
      </c>
    </row>
    <row r="972" spans="1:27" ht="45" x14ac:dyDescent="0.25">
      <c r="A972" s="90">
        <v>42723</v>
      </c>
      <c r="B972" s="56">
        <v>6037</v>
      </c>
      <c r="C972" s="51">
        <v>971</v>
      </c>
      <c r="D972" s="4" t="str">
        <f>LOOKUP($E972,OBRAS!$D:$D,OBRAS!C:C)</f>
        <v>REHABILITACION PAVIMENTO CON CARPETA ASFALTICA EN CALLE MIGUEL HIDALGO EN LA LOCALIDAD Y MUNICIPIO DE ETCHOJOA</v>
      </c>
      <c r="E972" s="4" t="s">
        <v>2021</v>
      </c>
      <c r="F972" s="4"/>
      <c r="G972" s="4" t="str">
        <f>LOOKUP($E972,OBRAS!$D:$D,OBRAS!E:E)</f>
        <v>C-00052/0242</v>
      </c>
      <c r="H972" s="80" t="s">
        <v>103</v>
      </c>
      <c r="I972" s="6">
        <v>2531579.31</v>
      </c>
      <c r="J972" s="6"/>
      <c r="K972" s="6">
        <v>0</v>
      </c>
      <c r="L972" s="6">
        <f t="shared" si="242"/>
        <v>2531579.31</v>
      </c>
      <c r="M972" s="6">
        <f t="shared" si="235"/>
        <v>405052.69</v>
      </c>
      <c r="N972" s="6">
        <f t="shared" si="236"/>
        <v>2936632</v>
      </c>
      <c r="O972" s="6">
        <f>+ROUND(I972*0.002,2)+ROUND(I972*0.0003,2)+ROUND(I972*0.0003,2)+ROUND(I972*0.0003,2)+ROUND(I972*0.002,2)</f>
        <v>12404.73</v>
      </c>
      <c r="P972" s="6">
        <f t="shared" si="237"/>
        <v>2924227.27</v>
      </c>
      <c r="Q972" s="4" t="str">
        <f>LOOKUP($E972,OBRAS!$D:$D,OBRAS!B:B)</f>
        <v>GRUPO MESIS, S.A. DE C.V.</v>
      </c>
      <c r="R972" s="4" t="str">
        <f>LOOKUP($E972,OBRAS!$D:$D,OBRAS!A:A)</f>
        <v>ETCHOJOA</v>
      </c>
      <c r="S972" s="4" t="str">
        <f>LOOKUP($E972,OBRAS!$D:$D,OBRAS!F:F)</f>
        <v>11000002002201E202K05186A614202165DM12</v>
      </c>
      <c r="T972" s="4" t="str">
        <f>LOOKUP($E972,OBRAS!$D:$D,OBRAS!G:G)</f>
        <v>CE-926006995-E162-2016</v>
      </c>
      <c r="U972" s="4" t="s">
        <v>863</v>
      </c>
      <c r="V972" s="89">
        <v>42732</v>
      </c>
      <c r="W972" s="6">
        <f>LOOKUP($E972,OBRAS!$D:$D,OBRAS!K:K)</f>
        <v>6532283.4100000001</v>
      </c>
      <c r="X972" s="109">
        <f t="shared" si="238"/>
        <v>0.4496</v>
      </c>
      <c r="Y972" s="109">
        <f t="shared" si="239"/>
        <v>0.54800000000000004</v>
      </c>
      <c r="Z972" s="109">
        <f t="shared" si="240"/>
        <v>0.54790000000000005</v>
      </c>
      <c r="AA972" s="4" t="str">
        <f>LOOKUP($E972,OBRAS!$D:$D,OBRAS!H:H)</f>
        <v>SH-FAFEF-17-R-002</v>
      </c>
    </row>
    <row r="973" spans="1:27" ht="75" x14ac:dyDescent="0.25">
      <c r="A973" s="90">
        <v>42723</v>
      </c>
      <c r="B973" s="56">
        <v>6038</v>
      </c>
      <c r="C973" s="51">
        <v>972</v>
      </c>
      <c r="D973" s="4" t="str">
        <f>LOOKUP($E973,OBRAS!$D:$D,OBRAS!C:C)</f>
        <v>OBRA COMPLEMENTARIA DE CONSTRUCCION DE EDIFICIO PARA ALBERGAR JUZGADO DE ORALIDAD PENAL CON SEDE EN AGUA PRIETA, EN LA LOCALIDAD Y MUNICIPIO DE AGUA PRIETA, SONORA.</v>
      </c>
      <c r="E973" s="4" t="s">
        <v>2026</v>
      </c>
      <c r="F973" s="4"/>
      <c r="G973" s="4" t="str">
        <f>LOOKUP($E973,OBRAS!$D:$D,OBRAS!E:E)</f>
        <v>C-00058/0027</v>
      </c>
      <c r="H973" s="80" t="s">
        <v>103</v>
      </c>
      <c r="I973" s="6">
        <v>116605</v>
      </c>
      <c r="J973" s="6"/>
      <c r="K973" s="6">
        <v>0</v>
      </c>
      <c r="L973" s="6">
        <f t="shared" si="242"/>
        <v>116605</v>
      </c>
      <c r="M973" s="6">
        <f t="shared" si="235"/>
        <v>18656.8</v>
      </c>
      <c r="N973" s="6">
        <f t="shared" si="236"/>
        <v>135261.79999999999</v>
      </c>
      <c r="O973" s="6">
        <f>+ROUND(I973*0.002,2)+ROUND(I973*0.0003,2)+ROUND(I973*0.0003,2)+ROUND(I973*0.0003,2)+ROUND(I973*0.002,2)</f>
        <v>571.36</v>
      </c>
      <c r="P973" s="6">
        <f t="shared" si="237"/>
        <v>134690.44</v>
      </c>
      <c r="Q973" s="4" t="str">
        <f>LOOKUP($E973,OBRAS!$D:$D,OBRAS!B:B)</f>
        <v>INMOBILIARIA TIERRAS DEL DESIERTO, S. A. DE C. V.</v>
      </c>
      <c r="R973" s="4" t="str">
        <f>LOOKUP($E973,OBRAS!$D:$D,OBRAS!A:A)</f>
        <v>AGUA PRIETA</v>
      </c>
      <c r="S973" s="4" t="str">
        <f>LOOKUP($E973,OBRAS!$D:$D,OBRAS!F:F)</f>
        <v>11000002001202E104K06104A622012155DM04</v>
      </c>
      <c r="T973" s="4" t="str">
        <f>LOOKUP($E973,OBRAS!$D:$D,OBRAS!G:G)</f>
        <v>ADJUDICACIÓN DIRECTA</v>
      </c>
      <c r="U973" s="4" t="s">
        <v>863</v>
      </c>
      <c r="V973" s="89">
        <v>42732</v>
      </c>
      <c r="W973" s="6">
        <f>LOOKUP($E973,OBRAS!$D:$D,OBRAS!K:K)</f>
        <v>135261.79999999999</v>
      </c>
      <c r="X973" s="109">
        <f t="shared" si="238"/>
        <v>1</v>
      </c>
      <c r="Y973" s="109">
        <f t="shared" si="239"/>
        <v>1</v>
      </c>
      <c r="Z973" s="109">
        <f t="shared" si="240"/>
        <v>1</v>
      </c>
      <c r="AA973" s="4" t="str">
        <f>LOOKUP($E973,OBRAS!$D:$D,OBRAS!H:H)</f>
        <v>SH-FAFEF-16-031</v>
      </c>
    </row>
    <row r="974" spans="1:27" ht="60" x14ac:dyDescent="0.25">
      <c r="A974" s="90">
        <v>42723</v>
      </c>
      <c r="B974" s="56">
        <v>6040</v>
      </c>
      <c r="C974" s="51">
        <v>973</v>
      </c>
      <c r="D974" s="4" t="str">
        <f>LOOKUP($E974,OBRAS!$D:$D,OBRAS!C:C)</f>
        <v>CONSTRUCCION DE LINEA DE CONDUCCION DE POZO EXISTENTE A TANQUE DE ALMACENAMIENTO EN LA LOCALIDAD Y MUNICIPIO DE ALTAR.</v>
      </c>
      <c r="E974" s="4" t="s">
        <v>633</v>
      </c>
      <c r="F974" s="4"/>
      <c r="G974" s="4" t="str">
        <f>LOOKUP($E974,OBRAS!$D:$D,OBRAS!E:E)</f>
        <v>C-00050/0004</v>
      </c>
      <c r="H974" s="80" t="s">
        <v>55</v>
      </c>
      <c r="I974" s="6">
        <v>2766367.62</v>
      </c>
      <c r="J974" s="6"/>
      <c r="K974" s="6">
        <f>ROUND(I974*0.3,2)</f>
        <v>829910.29</v>
      </c>
      <c r="L974" s="6">
        <f t="shared" si="242"/>
        <v>1936457.33</v>
      </c>
      <c r="M974" s="6">
        <f t="shared" si="235"/>
        <v>309833.17</v>
      </c>
      <c r="N974" s="6">
        <f t="shared" si="236"/>
        <v>2246290.5</v>
      </c>
      <c r="O974" s="6">
        <f>+ROUND(I974*0.002,2)+ROUND(I974*0.0003,2)+ROUND(I974*0.0003,2)+ROUND(I974*0.0003,2)+ROUND(I974*0.002,2)</f>
        <v>13555.21</v>
      </c>
      <c r="P974" s="6">
        <f t="shared" si="237"/>
        <v>2232735.29</v>
      </c>
      <c r="Q974" s="4" t="str">
        <f>LOOKUP($E974,OBRAS!$D:$D,OBRAS!B:B)</f>
        <v>BARREDA PROYECTO Y CONSTRUCCIONES, S.A. DE C.V.</v>
      </c>
      <c r="R974" s="4" t="str">
        <f>LOOKUP($E974,OBRAS!$D:$D,OBRAS!A:A)</f>
        <v>ALTAR</v>
      </c>
      <c r="S974" s="4" t="str">
        <f>LOOKUP($E974,OBRAS!$D:$D,OBRAS!F:F)</f>
        <v>11000002002203E208K13021A614082162A202</v>
      </c>
      <c r="T974" s="4" t="str">
        <f>LOOKUP($E974,OBRAS!$D:$D,OBRAS!G:G)</f>
        <v>CE-926006995-E70-2016</v>
      </c>
      <c r="U974" s="4" t="s">
        <v>863</v>
      </c>
      <c r="V974" s="89">
        <v>42755</v>
      </c>
      <c r="W974" s="6">
        <f>LOOKUP($E974,OBRAS!$D:$D,OBRAS!K:K)</f>
        <v>11695805.57</v>
      </c>
      <c r="X974" s="109">
        <f t="shared" si="238"/>
        <v>0.27439999999999998</v>
      </c>
      <c r="Y974" s="109">
        <f t="shared" si="239"/>
        <v>0.65290000000000004</v>
      </c>
      <c r="Z974" s="109">
        <f t="shared" si="240"/>
        <v>0.75700000000000001</v>
      </c>
      <c r="AA974" s="4" t="str">
        <f>LOOKUP($E974,OBRAS!$D:$D,OBRAS!H:H)</f>
        <v>SH-ED-17-R-004</v>
      </c>
    </row>
    <row r="975" spans="1:27" ht="45" x14ac:dyDescent="0.25">
      <c r="A975" s="90">
        <v>42724</v>
      </c>
      <c r="B975" s="56">
        <v>6074</v>
      </c>
      <c r="C975" s="51">
        <v>974</v>
      </c>
      <c r="D975" s="4" t="str">
        <f>LOOKUP($E975,OBRAS!$D:$D,OBRAS!C:C)</f>
        <v>PAVIMENTACION CON CONCRETO HIDRAULICO EN LA CALLE BENITO JUAREZ EN LA LOCALIDAD DE SAHUARIPA</v>
      </c>
      <c r="E975" s="4" t="s">
        <v>1670</v>
      </c>
      <c r="F975" s="4" t="s">
        <v>224</v>
      </c>
      <c r="G975" s="4" t="str">
        <f>LOOKUP($E975,OBRAS!$D:$D,OBRAS!E:E)</f>
        <v>C-00052/0190</v>
      </c>
      <c r="H975" s="80" t="s">
        <v>103</v>
      </c>
      <c r="I975" s="6">
        <v>405693.8</v>
      </c>
      <c r="J975" s="6"/>
      <c r="K975" s="6">
        <f>ROUND(I975*0.3,2)</f>
        <v>121708.14</v>
      </c>
      <c r="L975" s="6">
        <f t="shared" si="242"/>
        <v>283985.65999999997</v>
      </c>
      <c r="M975" s="6">
        <f t="shared" si="235"/>
        <v>45437.71</v>
      </c>
      <c r="N975" s="6">
        <f t="shared" si="236"/>
        <v>329423.37</v>
      </c>
      <c r="O975" s="6">
        <f>+ROUND(I975*0.005,2)</f>
        <v>2028.47</v>
      </c>
      <c r="P975" s="6">
        <f t="shared" si="237"/>
        <v>327394.90000000002</v>
      </c>
      <c r="Q975" s="4" t="str">
        <f>LOOKUP($E975,OBRAS!$D:$D,OBRAS!B:B)</f>
        <v>CONSTRUVISAC, S.A. DE C.V.</v>
      </c>
      <c r="R975" s="4" t="str">
        <f>LOOKUP($E975,OBRAS!$D:$D,OBRAS!A:A)</f>
        <v>SAHUARIPA</v>
      </c>
      <c r="S975" s="4" t="str">
        <f>LOOKUP($E975,OBRAS!$D:$D,OBRAS!F:F)</f>
        <v>11000002002201E202K05186A614202165FC09</v>
      </c>
      <c r="T975" s="4" t="str">
        <f>LOOKUP($E975,OBRAS!$D:$D,OBRAS!G:G)</f>
        <v>IO-926006995-E158-2016</v>
      </c>
      <c r="U975" s="4" t="s">
        <v>863</v>
      </c>
      <c r="V975" s="89">
        <v>42759</v>
      </c>
      <c r="W975" s="6">
        <f>LOOKUP($E975,OBRAS!$D:$D,OBRAS!K:K)</f>
        <v>3795808.73</v>
      </c>
      <c r="X975" s="109">
        <f t="shared" si="238"/>
        <v>0.124</v>
      </c>
      <c r="Y975" s="109">
        <f t="shared" si="239"/>
        <v>0.124</v>
      </c>
      <c r="Z975" s="109">
        <f t="shared" si="240"/>
        <v>0.38679999999999998</v>
      </c>
      <c r="AA975" s="4" t="str">
        <f>LOOKUP($E975,OBRAS!$D:$D,OBRAS!H:H)</f>
        <v>SH-NC-17-R-009</v>
      </c>
    </row>
    <row r="976" spans="1:27" ht="45" x14ac:dyDescent="0.25">
      <c r="A976" s="90">
        <v>42768</v>
      </c>
      <c r="B976" s="56">
        <v>547</v>
      </c>
      <c r="C976" s="51">
        <v>975</v>
      </c>
      <c r="D976" s="4" t="str">
        <f>LOOKUP($E976,OBRAS!$D:$D,OBRAS!C:C)</f>
        <v>REHABILITACION DE PAVIMENTOS DE VARIAS CALLES CON MICROCARPETA EN LA LOCALIDAD Y MUNICIPIO DE PITIQUITO, SONORA</v>
      </c>
      <c r="E976" s="4" t="s">
        <v>937</v>
      </c>
      <c r="F976" s="4" t="s">
        <v>225</v>
      </c>
      <c r="G976" s="4" t="str">
        <f>LOOKUP($E976,OBRAS!$D:$D,OBRAS!E:E)</f>
        <v>C-00052/0211</v>
      </c>
      <c r="H976" s="80" t="s">
        <v>103</v>
      </c>
      <c r="I976" s="6">
        <v>367684.64</v>
      </c>
      <c r="J976" s="6"/>
      <c r="K976" s="6">
        <f>ROUND(I976*0.3,2)</f>
        <v>110305.39</v>
      </c>
      <c r="L976" s="6">
        <f t="shared" si="242"/>
        <v>257379.25</v>
      </c>
      <c r="M976" s="6">
        <f t="shared" si="235"/>
        <v>41180.68</v>
      </c>
      <c r="N976" s="6">
        <f t="shared" si="236"/>
        <v>298559.93</v>
      </c>
      <c r="O976" s="6">
        <f>+ROUND(I976*0.005,2)</f>
        <v>1838.42</v>
      </c>
      <c r="P976" s="6">
        <f t="shared" si="237"/>
        <v>296721.51</v>
      </c>
      <c r="Q976" s="4" t="str">
        <f>LOOKUP($E976,OBRAS!$D:$D,OBRAS!B:B)</f>
        <v>SOL Y MAR CONSTRUCCIONES JEEV, S. DE R. L. DE C. V.</v>
      </c>
      <c r="R976" s="4" t="str">
        <f>LOOKUP($E976,OBRAS!$D:$D,OBRAS!A:A)</f>
        <v>PITIQUITO</v>
      </c>
      <c r="S976" s="4" t="str">
        <f>LOOKUP($E976,OBRAS!$D:$D,OBRAS!F:F)</f>
        <v>11000002002201E202K05186A614202165FN02</v>
      </c>
      <c r="T976" s="4" t="str">
        <f>LOOKUP($E976,OBRAS!$D:$D,OBRAS!G:G)</f>
        <v>IO-926006995-E100-2016</v>
      </c>
      <c r="U976" s="4" t="s">
        <v>863</v>
      </c>
      <c r="V976" s="89">
        <v>42794</v>
      </c>
      <c r="W976" s="6">
        <f>LOOKUP($E976,OBRAS!$D:$D,OBRAS!K:K)</f>
        <v>3223256.02</v>
      </c>
      <c r="X976" s="109">
        <f t="shared" si="238"/>
        <v>0.1323</v>
      </c>
      <c r="Y976" s="109">
        <f t="shared" si="239"/>
        <v>0.95289999999999997</v>
      </c>
      <c r="Z976" s="109">
        <f t="shared" si="240"/>
        <v>0.96709999999999996</v>
      </c>
      <c r="AA976" s="4" t="str">
        <f>LOOKUP($E976,OBRAS!$D:$D,OBRAS!H:H)</f>
        <v>SH-NC-17-R-005</v>
      </c>
    </row>
    <row r="977" spans="1:27" ht="105" x14ac:dyDescent="0.25">
      <c r="A977" s="90">
        <v>42724</v>
      </c>
      <c r="B977" s="56">
        <v>6076</v>
      </c>
      <c r="C977" s="49">
        <v>976</v>
      </c>
      <c r="D977" s="4" t="str">
        <f>LOOKUP($E977,OBRAS!$D:$D,OBRAS!C:C)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977" s="4" t="s">
        <v>403</v>
      </c>
      <c r="F977" s="4"/>
      <c r="G977" s="4" t="str">
        <f>LOOKUP($E977,OBRAS!$D:$D,OBRAS!E:E)</f>
        <v>C-00098/0032</v>
      </c>
      <c r="H977" s="80" t="s">
        <v>214</v>
      </c>
      <c r="I977" s="6">
        <v>567225.07999999996</v>
      </c>
      <c r="J977" s="6"/>
      <c r="K977" s="6">
        <f>ROUND(I977*0.1,2)</f>
        <v>56722.51</v>
      </c>
      <c r="L977" s="6">
        <f t="shared" si="242"/>
        <v>510502.57</v>
      </c>
      <c r="M977" s="6">
        <f t="shared" si="235"/>
        <v>81680.41</v>
      </c>
      <c r="N977" s="6">
        <f t="shared" si="236"/>
        <v>592182.98</v>
      </c>
      <c r="O977" s="6">
        <f>+ROUND(I977*0.002,2)+ROUND(I977*0.0003,2)+ROUND(I977*0.0003,2)+ROUND(I977*0.0003,2)</f>
        <v>1644.96</v>
      </c>
      <c r="P977" s="6">
        <f t="shared" si="237"/>
        <v>590538.02</v>
      </c>
      <c r="Q977" s="4" t="str">
        <f>LOOKUP($E977,OBRAS!$D:$D,OBRAS!B:B)</f>
        <v>RL INFRAESTRUCTURA, S.A. DE C.V.</v>
      </c>
      <c r="R977" s="4" t="str">
        <f>LOOKUP($E977,OBRAS!$D:$D,OBRAS!A:A)</f>
        <v>VARIOS</v>
      </c>
      <c r="S977" s="4" t="str">
        <f>LOOKUP($E977,OBRAS!$D:$D,OBRAS!F:F)</f>
        <v>11000002003501E203K03203A625132161A013</v>
      </c>
      <c r="T977" s="4" t="str">
        <f>LOOKUP($E977,OBRAS!$D:$D,OBRAS!G:G)</f>
        <v>CE-926006995-E54-2016</v>
      </c>
      <c r="U977" s="4" t="s">
        <v>2238</v>
      </c>
      <c r="V977" s="89">
        <v>42741</v>
      </c>
      <c r="W977" s="6">
        <f>LOOKUP($E977,OBRAS!$D:$D,OBRAS!K:K)</f>
        <v>4605867.6500000004</v>
      </c>
      <c r="X977" s="109">
        <f t="shared" si="238"/>
        <v>0.1429</v>
      </c>
      <c r="Y977" s="109">
        <f t="shared" si="239"/>
        <v>1.0003</v>
      </c>
      <c r="Z977" s="109">
        <f t="shared" si="240"/>
        <v>1</v>
      </c>
      <c r="AA977" s="4" t="str">
        <f>LOOKUP($E977,OBRAS!$D:$D,OBRAS!H:H)</f>
        <v>SH-ED-16-039</v>
      </c>
    </row>
    <row r="978" spans="1:27" ht="60" x14ac:dyDescent="0.25">
      <c r="A978" s="90">
        <v>42724</v>
      </c>
      <c r="B978" s="56">
        <v>6077</v>
      </c>
      <c r="C978" s="136">
        <v>977</v>
      </c>
      <c r="D978" s="4" t="str">
        <f>LOOKUP($E978,OBRAS!$D:$D,OBRAS!C:C)</f>
        <v>SUPERVISION EXTERNA Y CONTROL DE CALIDAD CONCLUSION DE LA MODERNIZACION Y RECONSTRUCCION DEL TRAMO ESPERANZA - HORNOS (DEL KM 8 + 800 AL KM 17 + 400)</v>
      </c>
      <c r="E978" s="4" t="s">
        <v>291</v>
      </c>
      <c r="F978" s="4" t="s">
        <v>224</v>
      </c>
      <c r="G978" s="4" t="str">
        <f>LOOKUP($E978,OBRAS!$D:$D,OBRAS!E:E)</f>
        <v>C-00098/0021</v>
      </c>
      <c r="H978" s="80" t="s">
        <v>218</v>
      </c>
      <c r="I978" s="6">
        <v>137676.74</v>
      </c>
      <c r="J978" s="6"/>
      <c r="K978" s="6">
        <f>ROUND(I978*0.1,2)</f>
        <v>13767.67</v>
      </c>
      <c r="L978" s="6">
        <f t="shared" si="242"/>
        <v>123909.07</v>
      </c>
      <c r="M978" s="6">
        <f t="shared" si="235"/>
        <v>19825.45</v>
      </c>
      <c r="N978" s="6">
        <f t="shared" si="236"/>
        <v>143734.51999999999</v>
      </c>
      <c r="O978" s="6">
        <f>+ROUND(I978*0.002,2)+ROUND(I978*0.0003,2)+ROUND(I978*0.0003,2)+ROUND(I978*0.0003,2)</f>
        <v>399.25</v>
      </c>
      <c r="P978" s="6">
        <f t="shared" si="237"/>
        <v>143335.26999999999</v>
      </c>
      <c r="Q978" s="4" t="str">
        <f>LOOKUP($E978,OBRAS!$D:$D,OBRAS!B:B)</f>
        <v>OESTEC DE MEXICO SA DE CV</v>
      </c>
      <c r="R978" s="4" t="str">
        <f>LOOKUP($E978,OBRAS!$D:$D,OBRAS!A:A)</f>
        <v>VARIOS</v>
      </c>
      <c r="S978" s="4" t="str">
        <f>LOOKUP($E978,OBRAS!$D:$D,OBRAS!F:F)</f>
        <v>11000002003501E203K03203A625132161A013</v>
      </c>
      <c r="T978" s="4" t="str">
        <f>LOOKUP($E978,OBRAS!$D:$D,OBRAS!G:G)</f>
        <v>CE-926006995-E52-2016</v>
      </c>
      <c r="U978" s="4" t="s">
        <v>2238</v>
      </c>
      <c r="V978" s="89">
        <v>42741</v>
      </c>
      <c r="W978" s="6">
        <f>LOOKUP($E978,OBRAS!$D:$D,OBRAS!K:K)</f>
        <v>2445138.9700000002</v>
      </c>
      <c r="X978" s="109">
        <f t="shared" si="238"/>
        <v>6.5299999999999997E-2</v>
      </c>
      <c r="Y978" s="109">
        <f t="shared" si="239"/>
        <v>0.96409999999999996</v>
      </c>
      <c r="Z978" s="109">
        <f t="shared" si="240"/>
        <v>0.96760000000000002</v>
      </c>
      <c r="AA978" s="4" t="str">
        <f>LOOKUP($E978,OBRAS!$D:$D,OBRAS!H:H)</f>
        <v>SH-ED-16-040</v>
      </c>
    </row>
    <row r="979" spans="1:27" ht="45" x14ac:dyDescent="0.25">
      <c r="A979" s="90">
        <v>42796</v>
      </c>
      <c r="B979" s="56">
        <v>1281</v>
      </c>
      <c r="C979" s="136">
        <v>978</v>
      </c>
      <c r="D979" s="4" t="str">
        <f>LOOKUP($E979,OBRAS!$D:$D,OBRAS!C:C)</f>
        <v>RECONSTRUCCION DE CALLE 26 DEL KM 70+000 AL 101+300 EN VARIAS LOCALIDADES DEL MUNICIPIO DE HERMOSILLO, SONORA</v>
      </c>
      <c r="E979" s="4" t="s">
        <v>386</v>
      </c>
      <c r="F979" s="4" t="s">
        <v>248</v>
      </c>
      <c r="G979" s="4" t="str">
        <f>LOOKUP($E979,OBRAS!$D:$D,OBRAS!E:E)</f>
        <v>C-00054/0073</v>
      </c>
      <c r="H979" s="80" t="s">
        <v>218</v>
      </c>
      <c r="I979" s="6">
        <v>1019668.84</v>
      </c>
      <c r="J979" s="6"/>
      <c r="K979" s="6">
        <f>ROUND(I979*0.3,2)</f>
        <v>305900.65000000002</v>
      </c>
      <c r="L979" s="6">
        <f t="shared" si="242"/>
        <v>713768.19</v>
      </c>
      <c r="M979" s="6">
        <f t="shared" si="235"/>
        <v>114202.91</v>
      </c>
      <c r="N979" s="6">
        <f t="shared" si="236"/>
        <v>827971.1</v>
      </c>
      <c r="O979" s="6">
        <f>+ROUND(I979*0.002,2)+ROUND(I979*0.0003,2)+ROUND(I979*0.0003,2)+ROUND(I979*0.0003,2)+ROUND(I979*0.002,2)</f>
        <v>4996.38</v>
      </c>
      <c r="P979" s="6">
        <f t="shared" si="237"/>
        <v>822974.72</v>
      </c>
      <c r="Q979" s="4" t="str">
        <f>LOOKUP($E979,OBRAS!$D:$D,OBRAS!B:B)</f>
        <v>GYEMM INMOBILIARIA Y DISEÑOS EN INGENIERIA Y ARQUITECTURA, S.A. DE C.V.</v>
      </c>
      <c r="R979" s="4" t="str">
        <f>LOOKUP($E979,OBRAS!$D:$D,OBRAS!A:A)</f>
        <v>HERMOSILLO</v>
      </c>
      <c r="S979" s="4" t="str">
        <f>LOOKUP($E979,OBRAS!$D:$D,OBRAS!F:F)</f>
        <v>11000002003501E204K08063A625012162A207</v>
      </c>
      <c r="T979" s="4" t="str">
        <f>LOOKUP($E979,OBRAS!$D:$D,OBRAS!G:G)</f>
        <v>CE-926006995-E42-2016</v>
      </c>
      <c r="U979" s="4" t="s">
        <v>863</v>
      </c>
      <c r="V979" s="89">
        <v>42808</v>
      </c>
      <c r="W979" s="6">
        <f>LOOKUP($E979,OBRAS!$D:$D,OBRAS!K:K)</f>
        <v>45827894.390000001</v>
      </c>
      <c r="X979" s="109">
        <f t="shared" si="238"/>
        <v>2.58E-2</v>
      </c>
      <c r="Y979" s="109">
        <f t="shared" si="239"/>
        <v>0.50019999999999998</v>
      </c>
      <c r="Z979" s="109">
        <f t="shared" si="240"/>
        <v>0.65010000000000001</v>
      </c>
      <c r="AA979" s="4" t="str">
        <f>LOOKUP($E979,OBRAS!$D:$D,OBRAS!H:H)</f>
        <v>SH-ED-17-R-004</v>
      </c>
    </row>
    <row r="980" spans="1:27" ht="45" x14ac:dyDescent="0.25">
      <c r="A980" s="90">
        <v>42796</v>
      </c>
      <c r="B980" s="56">
        <v>1280</v>
      </c>
      <c r="C980" s="136">
        <v>979</v>
      </c>
      <c r="D980" s="4" t="str">
        <f>LOOKUP($E980,OBRAS!$D:$D,OBRAS!C:C)</f>
        <v>RECONSTRUCCION DE CALLE 26 DEL KM 70+000 AL 101+300 EN VARIAS LOCALIDADES DEL MUNICIPIO DE HERMOSILLO, SONORA</v>
      </c>
      <c r="E980" s="4" t="s">
        <v>386</v>
      </c>
      <c r="F980" s="4" t="s">
        <v>248</v>
      </c>
      <c r="G980" s="4" t="str">
        <f>LOOKUP($E980,OBRAS!$D:$D,OBRAS!E:E)</f>
        <v>C-00054/0073</v>
      </c>
      <c r="H980" s="80" t="s">
        <v>214</v>
      </c>
      <c r="I980" s="6">
        <v>1801736.21</v>
      </c>
      <c r="J980" s="6"/>
      <c r="K980" s="6">
        <f>ROUND(I980*0.3,2)</f>
        <v>540520.86</v>
      </c>
      <c r="L980" s="6">
        <f t="shared" si="242"/>
        <v>1261215.3500000001</v>
      </c>
      <c r="M980" s="6">
        <f t="shared" si="235"/>
        <v>201794.46</v>
      </c>
      <c r="N980" s="6">
        <f t="shared" si="236"/>
        <v>1463009.81</v>
      </c>
      <c r="O980" s="6">
        <f>+ROUND(I980*0.002,2)+ROUND(I980*0.0003,2)+ROUND(I980*0.0003,2)+ROUND(I980*0.0003,2)+ROUND(I980*0.002,2)</f>
        <v>8828.5</v>
      </c>
      <c r="P980" s="6">
        <f t="shared" si="237"/>
        <v>1454181.31</v>
      </c>
      <c r="Q980" s="4" t="str">
        <f>LOOKUP($E980,OBRAS!$D:$D,OBRAS!B:B)</f>
        <v>GYEMM INMOBILIARIA Y DISEÑOS EN INGENIERIA Y ARQUITECTURA, S.A. DE C.V.</v>
      </c>
      <c r="R980" s="4" t="str">
        <f>LOOKUP($E980,OBRAS!$D:$D,OBRAS!A:A)</f>
        <v>HERMOSILLO</v>
      </c>
      <c r="S980" s="4" t="str">
        <f>LOOKUP($E980,OBRAS!$D:$D,OBRAS!F:F)</f>
        <v>11000002003501E204K08063A625012162A207</v>
      </c>
      <c r="T980" s="4" t="str">
        <f>LOOKUP($E980,OBRAS!$D:$D,OBRAS!G:G)</f>
        <v>CE-926006995-E42-2016</v>
      </c>
      <c r="U980" s="4" t="s">
        <v>863</v>
      </c>
      <c r="V980" s="89">
        <v>42809</v>
      </c>
      <c r="W980" s="6">
        <f>LOOKUP($E980,OBRAS!$D:$D,OBRAS!K:K)</f>
        <v>45827894.390000001</v>
      </c>
      <c r="X980" s="109">
        <f t="shared" si="238"/>
        <v>4.5600000000000002E-2</v>
      </c>
      <c r="Y980" s="109">
        <f t="shared" si="239"/>
        <v>0.50019999999999998</v>
      </c>
      <c r="Z980" s="109">
        <f t="shared" si="240"/>
        <v>0.65010000000000001</v>
      </c>
      <c r="AA980" s="4" t="str">
        <f>LOOKUP($E980,OBRAS!$D:$D,OBRAS!H:H)</f>
        <v>SH-ED-17-R-004</v>
      </c>
    </row>
    <row r="981" spans="1:27" ht="45" x14ac:dyDescent="0.25">
      <c r="A981" s="90">
        <v>42787</v>
      </c>
      <c r="B981" s="56">
        <v>968</v>
      </c>
      <c r="C981" s="49">
        <v>980</v>
      </c>
      <c r="D981" s="4" t="str">
        <f>LOOKUP($E981,OBRAS!$D:$D,OBRAS!C:C)</f>
        <v>RECARPETEO CON MICROCARPETA ASFALTICA DE 3 CMS DE ESPESOR EN VARIAS CALLES Y AVENIDAS DE EMPALME</v>
      </c>
      <c r="E981" s="4" t="s">
        <v>337</v>
      </c>
      <c r="F981" s="4" t="s">
        <v>226</v>
      </c>
      <c r="G981" s="4" t="str">
        <f>LOOKUP($E981,OBRAS!$D:$D,OBRAS!E:E)</f>
        <v>C-00052/0241</v>
      </c>
      <c r="H981" s="80" t="s">
        <v>221</v>
      </c>
      <c r="I981" s="6">
        <v>250406.9</v>
      </c>
      <c r="J981" s="6"/>
      <c r="K981" s="6">
        <v>0</v>
      </c>
      <c r="L981" s="6">
        <f t="shared" si="242"/>
        <v>250406.9</v>
      </c>
      <c r="M981" s="6">
        <f t="shared" si="235"/>
        <v>40065.1</v>
      </c>
      <c r="N981" s="6">
        <f t="shared" si="236"/>
        <v>290472</v>
      </c>
      <c r="O981" s="6">
        <v>26386</v>
      </c>
      <c r="P981" s="6">
        <f t="shared" si="237"/>
        <v>264086</v>
      </c>
      <c r="Q981" s="4" t="str">
        <f>LOOKUP($E981,OBRAS!$D:$D,OBRAS!B:B)</f>
        <v>INGENIEROS CIVILES, S.A. DE C.V.</v>
      </c>
      <c r="R981" s="4" t="str">
        <f>LOOKUP($E981,OBRAS!$D:$D,OBRAS!A:A)</f>
        <v>EMPALME</v>
      </c>
      <c r="S981" s="4" t="str">
        <f>LOOKUP($E981,OBRAS!$D:$D,OBRAS!F:F)</f>
        <v>11000002002201E202K05186A614202165DM10</v>
      </c>
      <c r="T981" s="4" t="str">
        <f>LOOKUP($E981,OBRAS!$D:$D,OBRAS!G:G)</f>
        <v>XX-926006995-X35-2015</v>
      </c>
      <c r="U981" s="4" t="s">
        <v>863</v>
      </c>
      <c r="V981" s="89">
        <v>42810</v>
      </c>
      <c r="W981" s="6">
        <f>LOOKUP($E981,OBRAS!$D:$D,OBRAS!K:K)</f>
        <v>3275656.65</v>
      </c>
      <c r="X981" s="109">
        <f t="shared" si="238"/>
        <v>8.8700000000000001E-2</v>
      </c>
      <c r="Y981" s="109">
        <f t="shared" si="239"/>
        <v>0.98899999999999999</v>
      </c>
      <c r="Z981" s="109">
        <f t="shared" si="240"/>
        <v>0.71889999999999998</v>
      </c>
      <c r="AA981" s="4" t="str">
        <f>LOOKUP($E981,OBRAS!$D:$D,OBRAS!H:H)</f>
        <v>SH-FAFEF-17-R-002</v>
      </c>
    </row>
    <row r="982" spans="1:27" ht="45" x14ac:dyDescent="0.25">
      <c r="A982" s="90">
        <v>42724</v>
      </c>
      <c r="B982" s="56">
        <v>6081</v>
      </c>
      <c r="C982" s="51">
        <v>981</v>
      </c>
      <c r="D982" s="4" t="str">
        <f>LOOKUP($E982,OBRAS!$D:$D,OBRAS!C:C)</f>
        <v>SUPERVISION EXTERNA Y CONTROL DE CALIDAD DE LA MODERNIZACION DEL PERIFERICO PONIENTE (1 ETAPA), NAVOJOA</v>
      </c>
      <c r="E982" s="4" t="s">
        <v>495</v>
      </c>
      <c r="F982" s="4"/>
      <c r="G982" s="4" t="str">
        <f>LOOKUP($E982,OBRAS!$D:$D,OBRAS!E:E)</f>
        <v>C-00098/0022</v>
      </c>
      <c r="H982" s="80" t="s">
        <v>15</v>
      </c>
      <c r="I982" s="6">
        <v>607181</v>
      </c>
      <c r="J982" s="6"/>
      <c r="K982" s="6">
        <f>ROUND(I982*0.1,2)</f>
        <v>60718.1</v>
      </c>
      <c r="L982" s="6">
        <f t="shared" si="242"/>
        <v>546462.9</v>
      </c>
      <c r="M982" s="6">
        <f t="shared" si="235"/>
        <v>87434.06</v>
      </c>
      <c r="N982" s="6">
        <f t="shared" si="236"/>
        <v>633896.95999999996</v>
      </c>
      <c r="O982" s="6">
        <f>+ROUND(I982*0.002,2)+ROUND(I982*0.0003,2)+ROUND(I982*0.0003,2)+ROUND(I982*0.0003,2)</f>
        <v>1760.81</v>
      </c>
      <c r="P982" s="6">
        <f t="shared" si="237"/>
        <v>632136.15</v>
      </c>
      <c r="Q982" s="4" t="str">
        <f>LOOKUP($E982,OBRAS!$D:$D,OBRAS!B:B)</f>
        <v>UNIVERSO ROJO, S.A. DE C.V.</v>
      </c>
      <c r="R982" s="4" t="str">
        <f>LOOKUP($E982,OBRAS!$D:$D,OBRAS!A:A)</f>
        <v>NAVOJOA</v>
      </c>
      <c r="S982" s="4" t="str">
        <f>LOOKUP($E982,OBRAS!$D:$D,OBRAS!F:F)</f>
        <v>11000002002207E201K02104A622212161A013</v>
      </c>
      <c r="T982" s="4" t="str">
        <f>LOOKUP($E982,OBRAS!$D:$D,OBRAS!G:G)</f>
        <v>CE-926006995-E65-2016</v>
      </c>
      <c r="U982" s="4" t="s">
        <v>863</v>
      </c>
      <c r="V982" s="89">
        <v>42781</v>
      </c>
      <c r="W982" s="6">
        <f>LOOKUP($E982,OBRAS!$D:$D,OBRAS!K:K)</f>
        <v>4585637.5999999996</v>
      </c>
      <c r="X982" s="109">
        <f t="shared" si="238"/>
        <v>0.15359999999999999</v>
      </c>
      <c r="Y982" s="109">
        <f t="shared" si="239"/>
        <v>0.70589999999999997</v>
      </c>
      <c r="Z982" s="109">
        <f t="shared" si="240"/>
        <v>0.73529999999999995</v>
      </c>
      <c r="AA982" s="4" t="str">
        <f>LOOKUP($E982,OBRAS!$D:$D,OBRAS!H:H)</f>
        <v>SH-ED-16-061</v>
      </c>
    </row>
    <row r="983" spans="1:27" ht="45" x14ac:dyDescent="0.25">
      <c r="A983" s="90">
        <v>42724</v>
      </c>
      <c r="B983" s="56">
        <v>6082</v>
      </c>
      <c r="C983" s="49">
        <v>982</v>
      </c>
      <c r="D983" s="4" t="str">
        <f>LOOKUP($E983,OBRAS!$D:$D,OBRAS!C:C)</f>
        <v>REHABILITACION DE PAVIMENTOS A BASE DE RECARPETEO EN AVE JOSE S. HEALY, AVE JOSE CARMELO Y PERIMETRAL NORTE</v>
      </c>
      <c r="E983" s="4" t="s">
        <v>872</v>
      </c>
      <c r="F983" s="4" t="s">
        <v>224</v>
      </c>
      <c r="G983" s="4" t="str">
        <f>LOOKUP($E983,OBRAS!$D:$D,OBRAS!E:E)</f>
        <v>C-00052/0178</v>
      </c>
      <c r="H983" s="80" t="s">
        <v>55</v>
      </c>
      <c r="I983" s="6">
        <v>9174256.5899999999</v>
      </c>
      <c r="J983" s="6"/>
      <c r="K983" s="6">
        <f>ROUND(I983*0.3,2)</f>
        <v>2752276.98</v>
      </c>
      <c r="L983" s="6">
        <f t="shared" si="242"/>
        <v>6421979.6100000003</v>
      </c>
      <c r="M983" s="6">
        <f t="shared" si="235"/>
        <v>1027516.74</v>
      </c>
      <c r="N983" s="6">
        <f t="shared" si="236"/>
        <v>7449496.3499999996</v>
      </c>
      <c r="O983" s="6">
        <f>+ROUND(I983*0.005,2)</f>
        <v>45871.28</v>
      </c>
      <c r="P983" s="6">
        <f t="shared" si="237"/>
        <v>7403625.0700000003</v>
      </c>
      <c r="Q983" s="4" t="str">
        <f>LOOKUP($E983,OBRAS!$D:$D,OBRAS!B:B)</f>
        <v>GRUPO CONSTRUCCIONES PLANIFICADAS, SA DE CV</v>
      </c>
      <c r="R983" s="4" t="str">
        <f>LOOKUP($E983,OBRAS!$D:$D,OBRAS!A:A)</f>
        <v>HERMOSILLO</v>
      </c>
      <c r="S983" s="4" t="str">
        <f>LOOKUP($E983,OBRAS!$D:$D,OBRAS!F:F)</f>
        <v>11000002002201E202K05186A614202165CN07</v>
      </c>
      <c r="T983" s="4" t="str">
        <f>LOOKUP($E983,OBRAS!$D:$D,OBRAS!G:G)</f>
        <v>LO-926006995-E86-2016</v>
      </c>
      <c r="U983" s="4" t="s">
        <v>863</v>
      </c>
      <c r="V983" s="89">
        <v>42759</v>
      </c>
      <c r="W983" s="6">
        <f>LOOKUP($E983,OBRAS!$D:$D,OBRAS!K:K)</f>
        <v>26153970.379999999</v>
      </c>
      <c r="X983" s="109">
        <f t="shared" si="238"/>
        <v>0.40689999999999998</v>
      </c>
      <c r="Y983" s="109">
        <f t="shared" si="239"/>
        <v>0.94479999999999997</v>
      </c>
      <c r="Z983" s="109">
        <f t="shared" si="240"/>
        <v>0.96140000000000003</v>
      </c>
      <c r="AA983" s="4" t="str">
        <f>LOOKUP($E983,OBRAS!$D:$D,OBRAS!H:H)</f>
        <v>SH-NC-17-R-004</v>
      </c>
    </row>
    <row r="984" spans="1:27" ht="60" x14ac:dyDescent="0.25">
      <c r="A984" s="90">
        <v>42724</v>
      </c>
      <c r="B984" s="56">
        <v>6083</v>
      </c>
      <c r="C984" s="136">
        <v>983</v>
      </c>
      <c r="D984" s="4" t="str">
        <f>LOOKUP($E984,OBRAS!$D:$D,OBRAS!C:C)</f>
        <v>SUPERVISION EXTERNA Y CONTROL DE CALIDAD DE LA OBRA: CONSTRUCCION DE PUENTE VEHICULAR SOBRE RIO MAYO, EN EL PERIFERICO PONIENTE EN NAVOJOA</v>
      </c>
      <c r="E984" s="4" t="s">
        <v>822</v>
      </c>
      <c r="F984" s="4"/>
      <c r="G984" s="4" t="str">
        <f>LOOKUP($E984,OBRAS!$D:$D,OBRAS!E:E)</f>
        <v>C-00098/0021</v>
      </c>
      <c r="H984" s="80" t="s">
        <v>55</v>
      </c>
      <c r="I984" s="6">
        <v>601330.54</v>
      </c>
      <c r="J984" s="6"/>
      <c r="K984" s="6">
        <f>ROUND(I984*0.1,2)</f>
        <v>60133.05</v>
      </c>
      <c r="L984" s="6">
        <f t="shared" si="242"/>
        <v>541197.49</v>
      </c>
      <c r="M984" s="6">
        <f t="shared" si="235"/>
        <v>86591.6</v>
      </c>
      <c r="N984" s="6">
        <f t="shared" si="236"/>
        <v>627789.09</v>
      </c>
      <c r="O984" s="6">
        <f>+ROUND(I984*0.002,2)+ROUND(I984*0.0003,2)+ROUND(I984*0.0003,2)+ROUND(I984*0.0003,2)</f>
        <v>1743.86</v>
      </c>
      <c r="P984" s="6">
        <f t="shared" si="237"/>
        <v>626045.23</v>
      </c>
      <c r="Q984" s="4" t="str">
        <f>LOOKUP($E984,OBRAS!$D:$D,OBRAS!B:B)</f>
        <v>CONSTRUCCIONES ALVERLI DEL NOROESTE, S. A. DE C. V.</v>
      </c>
      <c r="R984" s="4" t="str">
        <f>LOOKUP($E984,OBRAS!$D:$D,OBRAS!A:A)</f>
        <v>NAVOJOA</v>
      </c>
      <c r="S984" s="4" t="str">
        <f>LOOKUP($E984,OBRAS!$D:$D,OBRAS!F:F)</f>
        <v>11000002003501E203K03203A625132161A013</v>
      </c>
      <c r="T984" s="4" t="str">
        <f>LOOKUP($E984,OBRAS!$D:$D,OBRAS!G:G)</f>
        <v>CE-926006995-E88-2016</v>
      </c>
      <c r="U984" s="4" t="s">
        <v>2238</v>
      </c>
      <c r="V984" s="89">
        <v>42741</v>
      </c>
      <c r="W984" s="6">
        <f>LOOKUP($E984,OBRAS!$D:$D,OBRAS!K:K)</f>
        <v>3398669.09</v>
      </c>
      <c r="X984" s="109">
        <f t="shared" si="238"/>
        <v>0.20519999999999999</v>
      </c>
      <c r="Y984" s="109">
        <f t="shared" si="239"/>
        <v>0.57640000000000002</v>
      </c>
      <c r="Z984" s="109">
        <f t="shared" si="240"/>
        <v>0.61880000000000002</v>
      </c>
      <c r="AA984" s="4" t="str">
        <f>LOOKUP($E984,OBRAS!$D:$D,OBRAS!H:H)</f>
        <v>SH-ED-16-093</v>
      </c>
    </row>
    <row r="985" spans="1:27" ht="45" x14ac:dyDescent="0.25">
      <c r="A985" s="90">
        <v>42724</v>
      </c>
      <c r="B985" s="56">
        <v>6088</v>
      </c>
      <c r="C985" s="51">
        <v>984</v>
      </c>
      <c r="D985" s="4" t="str">
        <f>LOOKUP($E985,OBRAS!$D:$D,OBRAS!C:C)</f>
        <v>TERMINACION DE LA REMODELACION DEL AREA DE ATENCION TEMPRANA DEL CENTRO INTEGRAL DE JUSTICIA EN EL DISTRITO DE NOGALES</v>
      </c>
      <c r="E985" s="4" t="s">
        <v>2030</v>
      </c>
      <c r="F985" s="4"/>
      <c r="G985" s="4" t="str">
        <f>LOOKUP($E985,OBRAS!$D:$D,OBRAS!E:E)</f>
        <v>C-00058/0019</v>
      </c>
      <c r="H985" s="80" t="s">
        <v>103</v>
      </c>
      <c r="I985" s="6">
        <v>705843.97</v>
      </c>
      <c r="J985" s="6"/>
      <c r="K985" s="6">
        <v>0</v>
      </c>
      <c r="L985" s="6">
        <f t="shared" si="242"/>
        <v>705843.97</v>
      </c>
      <c r="M985" s="6">
        <f t="shared" si="235"/>
        <v>112935.03999999999</v>
      </c>
      <c r="N985" s="6">
        <f t="shared" si="236"/>
        <v>818779.01</v>
      </c>
      <c r="O985" s="6">
        <f>+ROUND(I985*0.005,2)</f>
        <v>3529.22</v>
      </c>
      <c r="P985" s="6">
        <f t="shared" si="237"/>
        <v>815249.79</v>
      </c>
      <c r="Q985" s="4" t="str">
        <f>LOOKUP($E985,OBRAS!$D:$D,OBRAS!B:B)</f>
        <v>EDIFICACIONES Y PROYECTOS MOCELIK, S.A. DE C.V.</v>
      </c>
      <c r="R985" s="4" t="str">
        <f>LOOKUP($E985,OBRAS!$D:$D,OBRAS!A:A)</f>
        <v>NOGALES</v>
      </c>
      <c r="S985" s="4" t="str">
        <f>LOOKUP($E985,OBRAS!$D:$D,OBRAS!F:F)</f>
        <v>11000002001202E104K06104A622032155DM03</v>
      </c>
      <c r="T985" s="4" t="str">
        <f>LOOKUP($E985,OBRAS!$D:$D,OBRAS!G:G)</f>
        <v>ADJUDICACIÓN DIRECTA</v>
      </c>
      <c r="U985" s="4" t="s">
        <v>863</v>
      </c>
      <c r="V985" s="89">
        <v>42734</v>
      </c>
      <c r="W985" s="6">
        <f>LOOKUP($E985,OBRAS!$D:$D,OBRAS!K:K)</f>
        <v>818779.01</v>
      </c>
      <c r="X985" s="109">
        <f t="shared" si="238"/>
        <v>1</v>
      </c>
      <c r="Y985" s="109">
        <f t="shared" si="239"/>
        <v>1</v>
      </c>
      <c r="Z985" s="109">
        <f t="shared" si="240"/>
        <v>1</v>
      </c>
      <c r="AA985" s="4" t="str">
        <f>LOOKUP($E985,OBRAS!$D:$D,OBRAS!H:H)</f>
        <v>SH-FAFEF-16-029</v>
      </c>
    </row>
    <row r="986" spans="1:27" ht="30" x14ac:dyDescent="0.25">
      <c r="A986" s="90">
        <v>42724</v>
      </c>
      <c r="B986" s="56">
        <v>6089</v>
      </c>
      <c r="C986" s="51">
        <v>985</v>
      </c>
      <c r="D986" s="4" t="str">
        <f>LOOKUP($E986,OBRAS!$D:$D,OBRAS!C:C)</f>
        <v>CONSTRUCCION DE EDIFICIO PARA ALBERGAR EL JUZGADO DE ORALIDAD PENAL DE NOGALES</v>
      </c>
      <c r="E986" s="4" t="s">
        <v>2000</v>
      </c>
      <c r="F986" s="4" t="s">
        <v>895</v>
      </c>
      <c r="G986" s="4" t="str">
        <f>LOOKUP($E986,OBRAS!$D:$D,OBRAS!E:E)</f>
        <v>C-00058/0021</v>
      </c>
      <c r="H986" s="80" t="s">
        <v>264</v>
      </c>
      <c r="I986" s="6">
        <v>279235.46000000002</v>
      </c>
      <c r="J986" s="6"/>
      <c r="K986" s="6">
        <v>0</v>
      </c>
      <c r="L986" s="6">
        <f t="shared" si="242"/>
        <v>279235.46000000002</v>
      </c>
      <c r="M986" s="6">
        <f t="shared" si="235"/>
        <v>44677.67</v>
      </c>
      <c r="N986" s="6">
        <f t="shared" si="236"/>
        <v>323913.13</v>
      </c>
      <c r="O986" s="6">
        <f>+ROUND(I986*0.005,2)</f>
        <v>1396.18</v>
      </c>
      <c r="P986" s="6">
        <f t="shared" si="237"/>
        <v>322516.95</v>
      </c>
      <c r="Q986" s="4" t="str">
        <f>LOOKUP($E986,OBRAS!$D:$D,OBRAS!B:B)</f>
        <v>REVAL DESARROLLOS Y MATERIALES, S.A. DE C.V.</v>
      </c>
      <c r="R986" s="4" t="str">
        <f>LOOKUP($E986,OBRAS!$D:$D,OBRAS!A:A)</f>
        <v>NOGALES</v>
      </c>
      <c r="S986" s="4" t="str">
        <f>LOOKUP($E986,OBRAS!$D:$D,OBRAS!F:F)</f>
        <v>11000002001202E104K06104A622012155DM03</v>
      </c>
      <c r="T986" s="4" t="str">
        <f>LOOKUP($E986,OBRAS!$D:$D,OBRAS!G:G)</f>
        <v>LO-926006995-N54-2015</v>
      </c>
      <c r="U986" s="4" t="s">
        <v>863</v>
      </c>
      <c r="V986" s="89">
        <v>42734</v>
      </c>
      <c r="W986" s="6">
        <f>LOOKUP($E986,OBRAS!$D:$D,OBRAS!K:K)</f>
        <v>2446622.4</v>
      </c>
      <c r="X986" s="109">
        <f t="shared" si="238"/>
        <v>0.13239999999999999</v>
      </c>
      <c r="Y986" s="109">
        <f t="shared" si="239"/>
        <v>2.6322999999999999</v>
      </c>
      <c r="Z986" s="109">
        <f t="shared" si="240"/>
        <v>2.6324000000000001</v>
      </c>
      <c r="AA986" s="4" t="str">
        <f>LOOKUP($E986,OBRAS!$D:$D,OBRAS!H:H)</f>
        <v>SH-FAFEF-16-029</v>
      </c>
    </row>
    <row r="987" spans="1:27" ht="45" x14ac:dyDescent="0.25">
      <c r="A987" s="90">
        <v>42725</v>
      </c>
      <c r="B987" s="56">
        <v>6120</v>
      </c>
      <c r="C987" s="51">
        <v>986</v>
      </c>
      <c r="D987" s="4" t="str">
        <f>LOOKUP($E987,OBRAS!$D:$D,OBRAS!C:C)</f>
        <v>TERMINACION DE LA CONSTRUCCION DE EDIFICIO PARA ALBERGAR JUZGADO DE ORALIDAD PENAL CON SEDE EN AGUA PRIETA</v>
      </c>
      <c r="E987" s="4" t="s">
        <v>2028</v>
      </c>
      <c r="F987" s="4"/>
      <c r="G987" s="4" t="str">
        <f>LOOKUP($E987,OBRAS!$D:$D,OBRAS!E:E)</f>
        <v>C-00058/0016</v>
      </c>
      <c r="H987" s="80" t="s">
        <v>103</v>
      </c>
      <c r="I987" s="6">
        <v>276056.03000000003</v>
      </c>
      <c r="J987" s="6"/>
      <c r="K987" s="6">
        <v>0</v>
      </c>
      <c r="L987" s="6">
        <f t="shared" si="242"/>
        <v>276056.03000000003</v>
      </c>
      <c r="M987" s="6">
        <f t="shared" si="235"/>
        <v>44168.959999999999</v>
      </c>
      <c r="N987" s="6">
        <f t="shared" si="236"/>
        <v>320224.99</v>
      </c>
      <c r="O987" s="6">
        <f>+ROUND(I987*0.002,2)+ROUND(I987*0.0003,2)+ROUND(I987*0.0003,2)+ROUND(I987*0.0003,2)+ROUND(I987*0.002,2)</f>
        <v>1352.68</v>
      </c>
      <c r="P987" s="6">
        <f t="shared" si="237"/>
        <v>318872.31</v>
      </c>
      <c r="Q987" s="4" t="str">
        <f>LOOKUP($E987,OBRAS!$D:$D,OBRAS!B:B)</f>
        <v>INMOBILIARIA TIERRAS DEL DESIERTO, S. A. DE C. V.</v>
      </c>
      <c r="R987" s="4" t="str">
        <f>LOOKUP($E987,OBRAS!$D:$D,OBRAS!A:A)</f>
        <v>AGUA PRIETA</v>
      </c>
      <c r="S987" s="4" t="str">
        <f>LOOKUP($E987,OBRAS!$D:$D,OBRAS!F:F)</f>
        <v>11000002001202E104K06104A622012135DM04</v>
      </c>
      <c r="T987" s="4" t="str">
        <f>LOOKUP($E987,OBRAS!$D:$D,OBRAS!G:G)</f>
        <v>ADJUDICACIÓN DIRECTA</v>
      </c>
      <c r="U987" s="4" t="s">
        <v>864</v>
      </c>
      <c r="V987" s="89">
        <v>42732</v>
      </c>
      <c r="W987" s="6">
        <f>LOOKUP($E987,OBRAS!$D:$D,OBRAS!K:K)</f>
        <v>593752.25</v>
      </c>
      <c r="X987" s="109">
        <f t="shared" si="238"/>
        <v>0.5393</v>
      </c>
      <c r="Y987" s="109">
        <f t="shared" si="239"/>
        <v>1</v>
      </c>
      <c r="Z987" s="109">
        <f t="shared" si="240"/>
        <v>1</v>
      </c>
      <c r="AA987" s="4" t="str">
        <f>LOOKUP($E987,OBRAS!$D:$D,OBRAS!H:H)</f>
        <v>SH-FAFEF-16-027.</v>
      </c>
    </row>
    <row r="988" spans="1:27" ht="45" x14ac:dyDescent="0.25">
      <c r="A988" s="90">
        <v>42725</v>
      </c>
      <c r="B988" s="56">
        <v>6121</v>
      </c>
      <c r="C988" s="51">
        <v>987</v>
      </c>
      <c r="D988" s="4" t="str">
        <f>LOOKUP($E988,OBRAS!$D:$D,OBRAS!C:C)</f>
        <v>TERMINACION DE LA CONSTRUCCION DE EDIFICIO PARA ALBERGAR JUZGADO DE ORALIDAD PENAL CON SEDE EN AGUA PRIETA</v>
      </c>
      <c r="E988" s="4" t="s">
        <v>2028</v>
      </c>
      <c r="F988" s="4"/>
      <c r="G988" s="4" t="str">
        <f>LOOKUP($E988,OBRAS!$D:$D,OBRAS!E:E)</f>
        <v>C-00058/0016</v>
      </c>
      <c r="H988" s="80" t="s">
        <v>221</v>
      </c>
      <c r="I988" s="6">
        <v>191371.38</v>
      </c>
      <c r="J988" s="6"/>
      <c r="K988" s="6">
        <v>0</v>
      </c>
      <c r="L988" s="6">
        <f t="shared" si="242"/>
        <v>191371.38</v>
      </c>
      <c r="M988" s="6">
        <f t="shared" si="235"/>
        <v>30619.42</v>
      </c>
      <c r="N988" s="6">
        <f t="shared" si="236"/>
        <v>221990.8</v>
      </c>
      <c r="O988" s="6">
        <f>+ROUND(I988*0.002,2)+ROUND(I988*0.0003,2)+ROUND(I988*0.0003,2)+ROUND(I988*0.0003,2)+ROUND(I988*0.002,2)</f>
        <v>937.71</v>
      </c>
      <c r="P988" s="6">
        <f t="shared" si="237"/>
        <v>221053.09</v>
      </c>
      <c r="Q988" s="4" t="str">
        <f>LOOKUP($E988,OBRAS!$D:$D,OBRAS!B:B)</f>
        <v>INMOBILIARIA TIERRAS DEL DESIERTO, S. A. DE C. V.</v>
      </c>
      <c r="R988" s="4" t="str">
        <f>LOOKUP($E988,OBRAS!$D:$D,OBRAS!A:A)</f>
        <v>AGUA PRIETA</v>
      </c>
      <c r="S988" s="4" t="str">
        <f>LOOKUP($E988,OBRAS!$D:$D,OBRAS!F:F)</f>
        <v>11000002001202E104K06104A622012135DM04</v>
      </c>
      <c r="T988" s="4" t="str">
        <f>LOOKUP($E988,OBRAS!$D:$D,OBRAS!G:G)</f>
        <v>ADJUDICACIÓN DIRECTA</v>
      </c>
      <c r="U988" s="4" t="s">
        <v>864</v>
      </c>
      <c r="V988" s="89">
        <v>42732</v>
      </c>
      <c r="W988" s="6">
        <f>LOOKUP($E988,OBRAS!$D:$D,OBRAS!K:K)</f>
        <v>593752.25</v>
      </c>
      <c r="X988" s="109">
        <f t="shared" si="238"/>
        <v>0.37390000000000001</v>
      </c>
      <c r="Y988" s="109">
        <f t="shared" si="239"/>
        <v>1</v>
      </c>
      <c r="Z988" s="109">
        <f t="shared" si="240"/>
        <v>1</v>
      </c>
      <c r="AA988" s="4" t="str">
        <f>LOOKUP($E988,OBRAS!$D:$D,OBRAS!H:H)</f>
        <v>SH-FAFEF-16-027.</v>
      </c>
    </row>
    <row r="989" spans="1:27" ht="45" x14ac:dyDescent="0.25">
      <c r="A989" s="90">
        <v>42725</v>
      </c>
      <c r="B989" s="56">
        <v>6122</v>
      </c>
      <c r="C989" s="51">
        <v>988</v>
      </c>
      <c r="D989" s="4" t="str">
        <f>LOOKUP($E989,OBRAS!$D:$D,OBRAS!C:C)</f>
        <v>TERMINACION DE LA CONSTRUCCION DE EDIFICIO PARA ALBERGAR JUZGADO DE ORALIDAD PENAL CON SEDE EN AGUA PRIETA</v>
      </c>
      <c r="E989" s="4" t="s">
        <v>2028</v>
      </c>
      <c r="F989" s="4"/>
      <c r="G989" s="4" t="str">
        <f>LOOKUP($E989,OBRAS!$D:$D,OBRAS!E:E)</f>
        <v>C-00058/0016</v>
      </c>
      <c r="H989" s="80" t="s">
        <v>55</v>
      </c>
      <c r="I989" s="6">
        <v>44427.97</v>
      </c>
      <c r="J989" s="6"/>
      <c r="K989" s="6">
        <v>0</v>
      </c>
      <c r="L989" s="6">
        <f t="shared" si="242"/>
        <v>44427.97</v>
      </c>
      <c r="M989" s="6">
        <f t="shared" si="235"/>
        <v>7108.48</v>
      </c>
      <c r="N989" s="6">
        <f t="shared" si="236"/>
        <v>51536.45</v>
      </c>
      <c r="O989" s="6">
        <f>+ROUND(I989*0.002,2)+ROUND(I989*0.0003,2)+ROUND(I989*0.0003,2)+ROUND(I989*0.0003,2)+ROUND(I989*0.002,2)</f>
        <v>217.71</v>
      </c>
      <c r="P989" s="6">
        <f t="shared" si="237"/>
        <v>51318.74</v>
      </c>
      <c r="Q989" s="4" t="str">
        <f>LOOKUP($E989,OBRAS!$D:$D,OBRAS!B:B)</f>
        <v>INMOBILIARIA TIERRAS DEL DESIERTO, S. A. DE C. V.</v>
      </c>
      <c r="R989" s="4" t="str">
        <f>LOOKUP($E989,OBRAS!$D:$D,OBRAS!A:A)</f>
        <v>AGUA PRIETA</v>
      </c>
      <c r="S989" s="4" t="str">
        <f>LOOKUP($E989,OBRAS!$D:$D,OBRAS!F:F)</f>
        <v>11000002001202E104K06104A622012135DM04</v>
      </c>
      <c r="T989" s="4" t="str">
        <f>LOOKUP($E989,OBRAS!$D:$D,OBRAS!G:G)</f>
        <v>ADJUDICACIÓN DIRECTA</v>
      </c>
      <c r="U989" s="4" t="s">
        <v>863</v>
      </c>
      <c r="V989" s="89">
        <v>42732</v>
      </c>
      <c r="W989" s="6">
        <f>LOOKUP($E989,OBRAS!$D:$D,OBRAS!K:K)</f>
        <v>593752.25</v>
      </c>
      <c r="X989" s="109">
        <f t="shared" si="238"/>
        <v>8.6800000000000002E-2</v>
      </c>
      <c r="Y989" s="109">
        <f t="shared" si="239"/>
        <v>1</v>
      </c>
      <c r="Z989" s="109">
        <f t="shared" si="240"/>
        <v>1</v>
      </c>
      <c r="AA989" s="4" t="str">
        <f>LOOKUP($E989,OBRAS!$D:$D,OBRAS!H:H)</f>
        <v>SH-FAFEF-16-027.</v>
      </c>
    </row>
    <row r="990" spans="1:27" ht="45" x14ac:dyDescent="0.25">
      <c r="A990" s="90">
        <v>42781</v>
      </c>
      <c r="B990" s="56">
        <v>822</v>
      </c>
      <c r="C990" s="51">
        <v>989</v>
      </c>
      <c r="D990" s="4" t="str">
        <f>LOOKUP($E990,OBRAS!$D:$D,OBRAS!C:C)</f>
        <v>PAVIMENTACION CON CONCRETO HIDRAHULICO DE AVENIDA PROFA. JULIA GALAZ EN LA LOCALIDAD DE BACADEHUACHI</v>
      </c>
      <c r="E990" s="4" t="s">
        <v>1446</v>
      </c>
      <c r="F990" s="4" t="s">
        <v>225</v>
      </c>
      <c r="G990" s="4" t="str">
        <f>LOOKUP($E990,OBRAS!$D:$D,OBRAS!E:E)</f>
        <v>C-00052/0233</v>
      </c>
      <c r="H990" s="80" t="s">
        <v>103</v>
      </c>
      <c r="I990" s="6">
        <v>244780.94</v>
      </c>
      <c r="J990" s="6"/>
      <c r="K990" s="6">
        <f>ROUND(I990*0.3,2)</f>
        <v>73434.28</v>
      </c>
      <c r="L990" s="6">
        <f t="shared" si="242"/>
        <v>171346.66</v>
      </c>
      <c r="M990" s="6">
        <f t="shared" si="235"/>
        <v>27415.47</v>
      </c>
      <c r="N990" s="6">
        <f t="shared" si="236"/>
        <v>198762.13</v>
      </c>
      <c r="O990" s="6">
        <f>+ROUND(I990*0.005,2)</f>
        <v>1223.9000000000001</v>
      </c>
      <c r="P990" s="6">
        <f t="shared" si="237"/>
        <v>197538.23</v>
      </c>
      <c r="Q990" s="4" t="str">
        <f>LOOKUP($E990,OBRAS!$D:$D,OBRAS!B:B)</f>
        <v>ADOBE DESARROLLOS, S.A. DE C.V.</v>
      </c>
      <c r="R990" s="4" t="str">
        <f>LOOKUP($E990,OBRAS!$D:$D,OBRAS!A:A)</f>
        <v>BACADEHUACHI</v>
      </c>
      <c r="S990" s="4" t="str">
        <f>LOOKUP($E990,OBRAS!$D:$D,OBRAS!F:F)</f>
        <v>1000002002201E202K05186A614202165FM06</v>
      </c>
      <c r="T990" s="4" t="str">
        <f>LOOKUP($E990,OBRAS!$D:$D,OBRAS!G:G)</f>
        <v>IO-926006995-E144-2016</v>
      </c>
      <c r="U990" s="4" t="s">
        <v>863</v>
      </c>
      <c r="V990" s="89">
        <v>42804</v>
      </c>
      <c r="W990" s="6">
        <f>LOOKUP($E990,OBRAS!$D:$D,OBRAS!K:K)</f>
        <v>1590534.08</v>
      </c>
      <c r="X990" s="109">
        <f t="shared" si="238"/>
        <v>0.17849999999999999</v>
      </c>
      <c r="Y990" s="109">
        <f t="shared" si="239"/>
        <v>0.17849999999999999</v>
      </c>
      <c r="Z990" s="109">
        <f t="shared" si="240"/>
        <v>0.42499999999999999</v>
      </c>
      <c r="AA990" s="4" t="str">
        <f>LOOKUP($E990,OBRAS!$D:$D,OBRAS!H:H)</f>
        <v>SH-NC-17-R-008</v>
      </c>
    </row>
    <row r="991" spans="1:27" ht="45" x14ac:dyDescent="0.25">
      <c r="A991" s="90">
        <v>42773</v>
      </c>
      <c r="B991" s="56">
        <v>654</v>
      </c>
      <c r="C991" s="51">
        <v>990</v>
      </c>
      <c r="D991" s="4" t="str">
        <f>LOOKUP($E991,OBRAS!$D:$D,OBRAS!C:C)</f>
        <v>PAVIMENTACION CON CONCRETO HIDRAULICO DE 15 CMS DE ESPESOR EN CALLE 3 EN LA LOCALIDAD DE NACORI CHICO</v>
      </c>
      <c r="E991" s="4" t="s">
        <v>1488</v>
      </c>
      <c r="F991" s="4" t="s">
        <v>224</v>
      </c>
      <c r="G991" s="4" t="str">
        <f>LOOKUP($E991,OBRAS!$D:$D,OBRAS!E:E)</f>
        <v>C-00052/0186</v>
      </c>
      <c r="H991" s="80" t="s">
        <v>103</v>
      </c>
      <c r="I991" s="6">
        <v>174647.02</v>
      </c>
      <c r="J991" s="6"/>
      <c r="K991" s="6">
        <f>ROUND(I991*0.3,2)</f>
        <v>52394.11</v>
      </c>
      <c r="L991" s="6">
        <f t="shared" si="242"/>
        <v>122252.91</v>
      </c>
      <c r="M991" s="6">
        <f t="shared" si="235"/>
        <v>19560.47</v>
      </c>
      <c r="N991" s="6">
        <f t="shared" si="236"/>
        <v>141813.38</v>
      </c>
      <c r="O991" s="6">
        <f>+ROUND(I991*0.005,2)</f>
        <v>873.24</v>
      </c>
      <c r="P991" s="6">
        <f t="shared" si="237"/>
        <v>140940.14000000001</v>
      </c>
      <c r="Q991" s="4" t="str">
        <f>LOOKUP($E991,OBRAS!$D:$D,OBRAS!B:B)</f>
        <v>ADOBE DESARROLLOS, S.A. DE C.V.</v>
      </c>
      <c r="R991" s="4" t="str">
        <f>LOOKUP($E991,OBRAS!$D:$D,OBRAS!A:A)</f>
        <v>NACORI CHICO</v>
      </c>
      <c r="S991" s="4" t="str">
        <f>LOOKUP($E991,OBRAS!$D:$D,OBRAS!F:F)</f>
        <v>11000002002201E202K05186A614202165FC06</v>
      </c>
      <c r="T991" s="4" t="str">
        <f>LOOKUP($E991,OBRAS!$D:$D,OBRAS!G:G)</f>
        <v>IO-926006995-E135-2016</v>
      </c>
      <c r="U991" s="4" t="s">
        <v>863</v>
      </c>
      <c r="V991" s="89">
        <v>42794</v>
      </c>
      <c r="W991" s="6">
        <f>LOOKUP($E991,OBRAS!$D:$D,OBRAS!K:K)</f>
        <v>1916424.39</v>
      </c>
      <c r="X991" s="109">
        <f t="shared" si="238"/>
        <v>0.1057</v>
      </c>
      <c r="Y991" s="109">
        <f t="shared" si="239"/>
        <v>1</v>
      </c>
      <c r="Z991" s="109">
        <f t="shared" si="240"/>
        <v>1</v>
      </c>
      <c r="AA991" s="4" t="str">
        <f>LOOKUP($E991,OBRAS!$D:$D,OBRAS!H:H)</f>
        <v>SH-NC-17-R-009</v>
      </c>
    </row>
    <row r="992" spans="1:27" ht="30" x14ac:dyDescent="0.25">
      <c r="A992" s="90">
        <v>42725</v>
      </c>
      <c r="B992" s="56">
        <v>6125</v>
      </c>
      <c r="C992" s="51">
        <v>991</v>
      </c>
      <c r="D992" s="4" t="str">
        <f>LOOKUP($E992,OBRAS!$D:$D,OBRAS!C:C)</f>
        <v>CONSERVACION Y RECONSTRUCCION DEL TRAMO MAZATAN-HERMOSILLO</v>
      </c>
      <c r="E992" s="4" t="s">
        <v>600</v>
      </c>
      <c r="F992" s="4" t="s">
        <v>895</v>
      </c>
      <c r="G992" s="4" t="str">
        <f>LOOKUP($E992,OBRAS!$D:$D,OBRAS!E:E)</f>
        <v>C-00054/0062</v>
      </c>
      <c r="H992" s="80" t="s">
        <v>15</v>
      </c>
      <c r="I992" s="6">
        <v>1225156.76</v>
      </c>
      <c r="J992" s="6"/>
      <c r="K992" s="6">
        <f>ROUND(I992*0.3,2)</f>
        <v>367547.03</v>
      </c>
      <c r="L992" s="6">
        <f t="shared" si="242"/>
        <v>857609.73</v>
      </c>
      <c r="M992" s="6">
        <f t="shared" si="235"/>
        <v>137217.56</v>
      </c>
      <c r="N992" s="6">
        <f t="shared" si="236"/>
        <v>994827.29</v>
      </c>
      <c r="O992" s="6">
        <f>+ROUND(I992*0.002,2)+ROUND(I992*0.0003,2)+ROUND(I992*0.0003,2)+ROUND(I992*0.0003,2)+ROUND(I992*0.002,2)</f>
        <v>6003.27</v>
      </c>
      <c r="P992" s="6">
        <f t="shared" si="237"/>
        <v>988824.02</v>
      </c>
      <c r="Q992" s="4" t="str">
        <f>LOOKUP($E992,OBRAS!$D:$D,OBRAS!B:B)</f>
        <v>TECNOASFALTOS Y TERRACERIAS, S.A. DE C.V.</v>
      </c>
      <c r="R992" s="4" t="str">
        <f>LOOKUP($E992,OBRAS!$D:$D,OBRAS!A:A)</f>
        <v>VARIOS</v>
      </c>
      <c r="S992" s="4" t="str">
        <f>LOOKUP($E992,OBRAS!$D:$D,OBRAS!F:F)</f>
        <v>11000002003501E203K03203A625012162A213</v>
      </c>
      <c r="T992" s="4" t="str">
        <f>LOOKUP($E992,OBRAS!$D:$D,OBRAS!G:G)</f>
        <v>CE-926006995-E26-2016</v>
      </c>
      <c r="U992" s="4" t="s">
        <v>863</v>
      </c>
      <c r="V992" s="89">
        <v>42780</v>
      </c>
      <c r="W992" s="6">
        <f>LOOKUP($E992,OBRAS!$D:$D,OBRAS!K:K)</f>
        <v>25694303.850000001</v>
      </c>
      <c r="X992" s="109">
        <f t="shared" si="238"/>
        <v>5.5300000000000002E-2</v>
      </c>
      <c r="Y992" s="109">
        <f t="shared" si="239"/>
        <v>1</v>
      </c>
      <c r="Z992" s="109">
        <f t="shared" si="240"/>
        <v>1</v>
      </c>
      <c r="AA992" s="4" t="str">
        <f>LOOKUP($E992,OBRAS!$D:$D,OBRAS!H:H)</f>
        <v>SH-ED-16-023</v>
      </c>
    </row>
    <row r="993" spans="1:27" ht="60" x14ac:dyDescent="0.25">
      <c r="A993" s="90">
        <v>42801</v>
      </c>
      <c r="B993" s="56">
        <v>1413</v>
      </c>
      <c r="C993" s="136">
        <v>992</v>
      </c>
      <c r="D993" s="4" t="str">
        <f>LOOKUP($E993,OBRAS!$D:$D,OBRAS!C:C)</f>
        <v>PAVIMENTACION CON CONCRETO HIDRAULICO DE LAS CALLES NACOZARI, CAJEME Y LA AV. PLUTARCO ELIAS CALLES EN LA LOCALIDAD DE YÉCORA</v>
      </c>
      <c r="E993" s="4" t="s">
        <v>1467</v>
      </c>
      <c r="F993" s="4" t="s">
        <v>224</v>
      </c>
      <c r="G993" s="4" t="str">
        <f>LOOKUP($E993,OBRAS!$D:$D,OBRAS!E:E)</f>
        <v>C-00052/0188</v>
      </c>
      <c r="H993" s="80" t="s">
        <v>103</v>
      </c>
      <c r="I993" s="6">
        <v>208113.71</v>
      </c>
      <c r="J993" s="6"/>
      <c r="K993" s="6">
        <f>ROUND(I993*0.3,2)</f>
        <v>62434.11</v>
      </c>
      <c r="L993" s="6">
        <f t="shared" si="242"/>
        <v>145679.6</v>
      </c>
      <c r="M993" s="6">
        <f t="shared" si="235"/>
        <v>23308.74</v>
      </c>
      <c r="N993" s="6">
        <f t="shared" si="236"/>
        <v>168988.34</v>
      </c>
      <c r="O993" s="6">
        <f>+ROUND(I993*0.005,2)</f>
        <v>1040.57</v>
      </c>
      <c r="P993" s="6">
        <f t="shared" si="237"/>
        <v>167947.77</v>
      </c>
      <c r="Q993" s="4" t="str">
        <f>LOOKUP($E993,OBRAS!$D:$D,OBRAS!B:B)</f>
        <v>JASA INSTALACIONES Y ALCANTARILLADO, S.A. DE C.V.</v>
      </c>
      <c r="R993" s="4" t="str">
        <f>LOOKUP($E993,OBRAS!$D:$D,OBRAS!A:A)</f>
        <v>YECORA</v>
      </c>
      <c r="S993" s="4" t="str">
        <f>LOOKUP($E993,OBRAS!$D:$D,OBRAS!F:F)</f>
        <v>11000002002201E202K05186A614202165FC09</v>
      </c>
      <c r="T993" s="4" t="str">
        <f>LOOKUP($E993,OBRAS!$D:$D,OBRAS!G:G)</f>
        <v>IO-926006995-E128-2016</v>
      </c>
      <c r="U993" s="4" t="s">
        <v>864</v>
      </c>
      <c r="V993" s="89">
        <v>42816</v>
      </c>
      <c r="W993" s="6">
        <f>LOOKUP($E993,OBRAS!$D:$D,OBRAS!K:K)</f>
        <v>3909669.34</v>
      </c>
      <c r="X993" s="109">
        <f t="shared" si="238"/>
        <v>6.1699999999999998E-2</v>
      </c>
      <c r="Y993" s="109">
        <f t="shared" si="239"/>
        <v>6.1699999999999998E-2</v>
      </c>
      <c r="Z993" s="109">
        <f t="shared" si="240"/>
        <v>0.34320000000000001</v>
      </c>
      <c r="AA993" s="4" t="str">
        <f>LOOKUP($E993,OBRAS!$D:$D,OBRAS!H:H)</f>
        <v>SH-NC-17-R-009</v>
      </c>
    </row>
    <row r="994" spans="1:27" ht="75" x14ac:dyDescent="0.25">
      <c r="A994" s="90">
        <v>42725</v>
      </c>
      <c r="B994" s="56">
        <v>6127</v>
      </c>
      <c r="C994" s="51">
        <v>993</v>
      </c>
      <c r="D994" s="4" t="str">
        <f>LOOKUP($E994,OBRAS!$D:$D,OBRAS!C:C)</f>
        <v>SUPERVISION EXTERNA Y CONTROL DE CALIDAD DE CONSERVACION Y RECONSTRUCCION DEL TRAMO NOVILLO - BACANORA - SAHUARIPA - SAN NICOLAS EN VARIAS LOCALIDADES DE VARIOS MUNICIPIOS DEL ESTADO DE SONORA.</v>
      </c>
      <c r="E994" s="4" t="s">
        <v>436</v>
      </c>
      <c r="F994" s="4"/>
      <c r="G994" s="4" t="str">
        <f>LOOKUP($E994,OBRAS!$D:$D,OBRAS!E:E)</f>
        <v>C-00098/0021</v>
      </c>
      <c r="H994" s="80" t="s">
        <v>103</v>
      </c>
      <c r="I994" s="6">
        <v>487068.87</v>
      </c>
      <c r="J994" s="6"/>
      <c r="K994" s="6">
        <f>ROUND(I994*0.1,2)</f>
        <v>48706.89</v>
      </c>
      <c r="L994" s="6">
        <f t="shared" si="242"/>
        <v>438361.98</v>
      </c>
      <c r="M994" s="6">
        <f t="shared" ref="M994:M1025" si="243">ROUND(L994*0.16,2)</f>
        <v>70137.919999999998</v>
      </c>
      <c r="N994" s="6">
        <f t="shared" ref="N994:N1025" si="244">M994+L994</f>
        <v>508499.9</v>
      </c>
      <c r="O994" s="6">
        <f>+ROUND(I994*0.002,2)+ROUND(I994*0.0003,2)+ROUND(I994*0.0003,2)+ROUND(I994*0.0003,2)</f>
        <v>1412.5</v>
      </c>
      <c r="P994" s="6">
        <f t="shared" ref="P994:P1025" si="245">N994-O994</f>
        <v>507087.4</v>
      </c>
      <c r="Q994" s="4" t="str">
        <f>LOOKUP($E994,OBRAS!$D:$D,OBRAS!B:B)</f>
        <v>LABORATORIO, ESTUDIOS Y SERVICIOS PROFESIONALES DE INGENIERIA, S.A. DE C.V.</v>
      </c>
      <c r="R994" s="4" t="str">
        <f>LOOKUP($E994,OBRAS!$D:$D,OBRAS!A:A)</f>
        <v>VARIOS</v>
      </c>
      <c r="S994" s="4" t="str">
        <f>LOOKUP($E994,OBRAS!$D:$D,OBRAS!F:F)</f>
        <v>11000002003501E203K03203A625132161A013</v>
      </c>
      <c r="T994" s="4" t="str">
        <f>LOOKUP($E994,OBRAS!$D:$D,OBRAS!G:G)</f>
        <v>CE-926006995-E51-2016</v>
      </c>
      <c r="U994" s="4" t="s">
        <v>2238</v>
      </c>
      <c r="V994" s="89">
        <v>42741</v>
      </c>
      <c r="W994" s="6">
        <f>LOOKUP($E994,OBRAS!$D:$D,OBRAS!K:K)</f>
        <v>3389999.24</v>
      </c>
      <c r="X994" s="109">
        <f t="shared" ref="X994:X1025" si="246">IF(H994&lt;&gt;"ANTICIPO",I994/(W994/1.16),"")</f>
        <v>0.16669999999999999</v>
      </c>
      <c r="Y994" s="109">
        <f t="shared" ref="Y994:Y1025" si="247">SUMIF(E:E,E994,X:X)</f>
        <v>0.16669999999999999</v>
      </c>
      <c r="Z994" s="109">
        <f t="shared" ref="Z994:Z1025" si="248">SUMIF(E:E,E994,N:N)/W994</f>
        <v>0.25</v>
      </c>
      <c r="AA994" s="4" t="str">
        <f>LOOKUP($E994,OBRAS!$D:$D,OBRAS!H:H)</f>
        <v>SH-ED-16-040</v>
      </c>
    </row>
    <row r="995" spans="1:27" ht="75" x14ac:dyDescent="0.25">
      <c r="A995" s="90">
        <v>42725</v>
      </c>
      <c r="B995" s="56">
        <v>6128</v>
      </c>
      <c r="C995" s="51">
        <v>994</v>
      </c>
      <c r="D995" s="4" t="str">
        <f>LOOKUP($E995,OBRAS!$D:$D,OBRAS!C:C)</f>
        <v>CONSERVACIÓN Y RECONSTRUCCION DEL TRAMO MAZATÁN-VILLA PESQUEIRA-SAN PEDRO DE LA CUEVA EN LA REGION DE LA SIERRA EN VARIAS LOCALIDADES DE VARIOS MUNICIPIOS EN SONORA.</v>
      </c>
      <c r="E995" s="4" t="s">
        <v>590</v>
      </c>
      <c r="F995" s="4" t="s">
        <v>225</v>
      </c>
      <c r="G995" s="4" t="str">
        <f>LOOKUP($E995,OBRAS!$D:$D,OBRAS!E:E)</f>
        <v>C-00054/0057</v>
      </c>
      <c r="H995" s="80" t="s">
        <v>215</v>
      </c>
      <c r="I995" s="6">
        <v>4809871.47</v>
      </c>
      <c r="J995" s="6"/>
      <c r="K995" s="6">
        <f>ROUND(I995*0.3,2)</f>
        <v>1442961.44</v>
      </c>
      <c r="L995" s="6">
        <f t="shared" si="242"/>
        <v>3366910.03</v>
      </c>
      <c r="M995" s="6">
        <f t="shared" si="243"/>
        <v>538705.6</v>
      </c>
      <c r="N995" s="6">
        <f t="shared" si="244"/>
        <v>3905615.63</v>
      </c>
      <c r="O995" s="6">
        <f>+ROUND(I995*0.002,2)+ROUND(I995*0.0003,2)+ROUND(I995*0.0003,2)+ROUND(I995*0.0003,2)+ROUND(I995*0.002,2)</f>
        <v>23568.36</v>
      </c>
      <c r="P995" s="6">
        <f t="shared" si="245"/>
        <v>3882047.27</v>
      </c>
      <c r="Q995" s="4" t="str">
        <f>LOOKUP($E995,OBRAS!$D:$D,OBRAS!B:B)</f>
        <v>GRUPO EMPRESARIAL BABASAC, S. A. DE C. V.</v>
      </c>
      <c r="R995" s="4" t="str">
        <f>LOOKUP($E995,OBRAS!$D:$D,OBRAS!A:A)</f>
        <v>VARIOS</v>
      </c>
      <c r="S995" s="4" t="str">
        <f>LOOKUP($E995,OBRAS!$D:$D,OBRAS!F:F)</f>
        <v>1100002003501E204K08063A625012162A213</v>
      </c>
      <c r="T995" s="4" t="str">
        <f>LOOKUP($E995,OBRAS!$D:$D,OBRAS!G:G)</f>
        <v>CE-926006995-E21-2016</v>
      </c>
      <c r="U995" s="4" t="s">
        <v>863</v>
      </c>
      <c r="V995" s="89">
        <v>42762</v>
      </c>
      <c r="W995" s="6">
        <f>LOOKUP($E995,OBRAS!$D:$D,OBRAS!K:K)</f>
        <v>33809827.159999996</v>
      </c>
      <c r="X995" s="109">
        <f t="shared" si="246"/>
        <v>0.16500000000000001</v>
      </c>
      <c r="Y995" s="109">
        <f t="shared" si="247"/>
        <v>0.89859999999999995</v>
      </c>
      <c r="Z995" s="109">
        <f t="shared" si="248"/>
        <v>0.92900000000000005</v>
      </c>
      <c r="AA995" s="4" t="str">
        <f>LOOKUP($E995,OBRAS!$D:$D,OBRAS!H:H)</f>
        <v>SH-ED-17-R-013</v>
      </c>
    </row>
    <row r="996" spans="1:27" ht="105" x14ac:dyDescent="0.25">
      <c r="A996" s="90">
        <v>42725</v>
      </c>
      <c r="B996" s="56">
        <v>6129</v>
      </c>
      <c r="C996" s="51">
        <v>995</v>
      </c>
      <c r="D996" s="4" t="str">
        <f>LOOKUP($E996,OBRAS!$D:$D,OBRAS!C:C)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996" s="4" t="s">
        <v>403</v>
      </c>
      <c r="F996" s="4"/>
      <c r="G996" s="4" t="str">
        <f>LOOKUP($E996,OBRAS!$D:$D,OBRAS!E:E)</f>
        <v>C-00098/0032</v>
      </c>
      <c r="H996" s="80" t="s">
        <v>218</v>
      </c>
      <c r="I996" s="6">
        <v>567225.07999999996</v>
      </c>
      <c r="J996" s="6"/>
      <c r="K996" s="6">
        <f>ROUND(I996*0.1,2)</f>
        <v>56722.51</v>
      </c>
      <c r="L996" s="6">
        <f t="shared" si="242"/>
        <v>510502.57</v>
      </c>
      <c r="M996" s="6">
        <f t="shared" si="243"/>
        <v>81680.41</v>
      </c>
      <c r="N996" s="6">
        <f t="shared" si="244"/>
        <v>592182.98</v>
      </c>
      <c r="O996" s="6">
        <f>+ROUND(I996*0.002,2)+ROUND(I996*0.0003,2)+ROUND(I996*0.0003,2)+ROUND(I996*0.0003,2)</f>
        <v>1644.96</v>
      </c>
      <c r="P996" s="6">
        <f t="shared" si="245"/>
        <v>590538.02</v>
      </c>
      <c r="Q996" s="4" t="str">
        <f>LOOKUP($E996,OBRAS!$D:$D,OBRAS!B:B)</f>
        <v>RL INFRAESTRUCTURA, S.A. DE C.V.</v>
      </c>
      <c r="R996" s="4" t="str">
        <f>LOOKUP($E996,OBRAS!$D:$D,OBRAS!A:A)</f>
        <v>VARIOS</v>
      </c>
      <c r="S996" s="4" t="str">
        <f>LOOKUP($E996,OBRAS!$D:$D,OBRAS!F:F)</f>
        <v>11000002003501E203K03203A625132161A013</v>
      </c>
      <c r="T996" s="4" t="str">
        <f>LOOKUP($E996,OBRAS!$D:$D,OBRAS!G:G)</f>
        <v>CE-926006995-E54-2016</v>
      </c>
      <c r="U996" s="4" t="s">
        <v>2238</v>
      </c>
      <c r="V996" s="89">
        <v>42741</v>
      </c>
      <c r="W996" s="6">
        <f>LOOKUP($E996,OBRAS!$D:$D,OBRAS!K:K)</f>
        <v>4605867.6500000004</v>
      </c>
      <c r="X996" s="109">
        <f t="shared" si="246"/>
        <v>0.1429</v>
      </c>
      <c r="Y996" s="109">
        <f t="shared" si="247"/>
        <v>1.0003</v>
      </c>
      <c r="Z996" s="109">
        <f t="shared" si="248"/>
        <v>1</v>
      </c>
      <c r="AA996" s="4" t="str">
        <f>LOOKUP($E996,OBRAS!$D:$D,OBRAS!H:H)</f>
        <v>SH-ED-16-039</v>
      </c>
    </row>
    <row r="997" spans="1:27" ht="60" x14ac:dyDescent="0.25">
      <c r="A997" s="90">
        <v>42725</v>
      </c>
      <c r="B997" s="56">
        <v>6131</v>
      </c>
      <c r="C997" s="51">
        <v>996</v>
      </c>
      <c r="D997" s="4" t="str">
        <f>LOOKUP($E997,OBRAS!$D:$D,OBRAS!C:C)</f>
        <v>SUPERVISION EXTERNA Y CONTROL DE CALIDAD DE RECONSTRUCCION DEL CAMINO HERMOSILLO-BAHIA DE KINO EN VARIAS LOCALIADES DEL MUNICIPIO DE HERMOSILLO, SONORA.</v>
      </c>
      <c r="E997" s="4" t="s">
        <v>421</v>
      </c>
      <c r="F997" s="4"/>
      <c r="G997" s="4" t="str">
        <f>LOOKUP($E997,OBRAS!$D:$D,OBRAS!E:E)</f>
        <v>C-00098/0021</v>
      </c>
      <c r="H997" s="80" t="s">
        <v>218</v>
      </c>
      <c r="I997" s="6">
        <v>122721.14</v>
      </c>
      <c r="J997" s="6"/>
      <c r="K997" s="6">
        <f>ROUND(I997*0.1,2)</f>
        <v>12272.11</v>
      </c>
      <c r="L997" s="6">
        <f t="shared" si="242"/>
        <v>110449.03</v>
      </c>
      <c r="M997" s="6">
        <f t="shared" si="243"/>
        <v>17671.84</v>
      </c>
      <c r="N997" s="6">
        <f t="shared" si="244"/>
        <v>128120.87</v>
      </c>
      <c r="O997" s="6">
        <f>+ROUND(I997*0.002,2)+ROUND(I997*0.0003,2)+ROUND(I997*0.0003,2)+ROUND(I997*0.0003,2)</f>
        <v>355.9</v>
      </c>
      <c r="P997" s="6">
        <f t="shared" si="245"/>
        <v>127764.97</v>
      </c>
      <c r="Q997" s="4" t="str">
        <f>LOOKUP($E997,OBRAS!$D:$D,OBRAS!B:B)</f>
        <v>SEI TETRA, S. A. DE C. V.</v>
      </c>
      <c r="R997" s="4" t="str">
        <f>LOOKUP($E997,OBRAS!$D:$D,OBRAS!A:A)</f>
        <v>HERMOSILLO</v>
      </c>
      <c r="S997" s="4" t="str">
        <f>LOOKUP($E997,OBRAS!$D:$D,OBRAS!F:F)</f>
        <v>11000002003501E203K03203A625132161A013</v>
      </c>
      <c r="T997" s="4" t="str">
        <f>LOOKUP($E997,OBRAS!$D:$D,OBRAS!G:G)</f>
        <v>CE-926006995-E49-2016</v>
      </c>
      <c r="U997" s="4" t="s">
        <v>2238</v>
      </c>
      <c r="V997" s="89">
        <v>42741</v>
      </c>
      <c r="W997" s="6">
        <f>LOOKUP($E997,OBRAS!$D:$D,OBRAS!K:K)</f>
        <v>1146994.1499999999</v>
      </c>
      <c r="X997" s="109">
        <f t="shared" si="246"/>
        <v>0.1241</v>
      </c>
      <c r="Y997" s="109">
        <f t="shared" si="247"/>
        <v>1</v>
      </c>
      <c r="Z997" s="109">
        <f t="shared" si="248"/>
        <v>1</v>
      </c>
      <c r="AA997" s="4" t="str">
        <f>LOOKUP($E997,OBRAS!$D:$D,OBRAS!H:H)</f>
        <v>SH-ED-16-040</v>
      </c>
    </row>
    <row r="998" spans="1:27" ht="45" x14ac:dyDescent="0.25">
      <c r="A998" s="90">
        <v>42725</v>
      </c>
      <c r="B998" s="56">
        <v>6134</v>
      </c>
      <c r="C998" s="49">
        <v>997</v>
      </c>
      <c r="D998" s="4" t="str">
        <f>LOOKUP($E998,OBRAS!$D:$D,OBRAS!C:C)</f>
        <v>TERMINACION DE LA REHABILITACION DE EDIFICIO PARA ALBERGAR JUZGADO DE ORALIDAD PENAL CON SEDE EN SAN LUIS RIO COLORADO</v>
      </c>
      <c r="E998" s="4" t="s">
        <v>2035</v>
      </c>
      <c r="F998" s="4"/>
      <c r="G998" s="4" t="str">
        <f>LOOKUP($E998,OBRAS!$D:$D,OBRAS!E:E)</f>
        <v>C-00058/0020</v>
      </c>
      <c r="H998" s="80" t="s">
        <v>103</v>
      </c>
      <c r="I998" s="6">
        <v>707577.01</v>
      </c>
      <c r="J998" s="6"/>
      <c r="K998" s="6">
        <v>0</v>
      </c>
      <c r="L998" s="6">
        <f t="shared" si="242"/>
        <v>707577.01</v>
      </c>
      <c r="M998" s="6">
        <f t="shared" si="243"/>
        <v>113212.32</v>
      </c>
      <c r="N998" s="6">
        <f t="shared" si="244"/>
        <v>820789.33</v>
      </c>
      <c r="O998" s="6">
        <f>+ROUND(I998*0.002,2)+ROUND(I998*0.0003,2)+ROUND(I998*0.0003,2)+ROUND(I998*0.0003,2)+ROUND(I998*0.002,2)</f>
        <v>3467.11</v>
      </c>
      <c r="P998" s="6">
        <f t="shared" si="245"/>
        <v>817322.22</v>
      </c>
      <c r="Q998" s="4" t="str">
        <f>LOOKUP($E998,OBRAS!$D:$D,OBRAS!B:B)</f>
        <v>URBANIZADORA OASIS, S.A. DE C.V.</v>
      </c>
      <c r="R998" s="4" t="str">
        <f>LOOKUP($E998,OBRAS!$D:$D,OBRAS!A:A)</f>
        <v>SAN LUIS RIO COLORADO</v>
      </c>
      <c r="S998" s="4" t="str">
        <f>LOOKUP($E998,OBRAS!$D:$D,OBRAS!F:F)</f>
        <v>11000002001202E104K06104A622032155DM01</v>
      </c>
      <c r="T998" s="4" t="str">
        <f>LOOKUP($E998,OBRAS!$D:$D,OBRAS!G:G)</f>
        <v>ADJUDICACIÓN DIRECTA</v>
      </c>
      <c r="U998" s="4" t="s">
        <v>863</v>
      </c>
      <c r="V998" s="89">
        <v>42734</v>
      </c>
      <c r="W998" s="6">
        <f>LOOKUP($E998,OBRAS!$D:$D,OBRAS!K:K)</f>
        <v>820789.33</v>
      </c>
      <c r="X998" s="109">
        <f t="shared" si="246"/>
        <v>1</v>
      </c>
      <c r="Y998" s="109">
        <f t="shared" si="247"/>
        <v>1</v>
      </c>
      <c r="Z998" s="109">
        <f t="shared" si="248"/>
        <v>1</v>
      </c>
      <c r="AA998" s="4" t="str">
        <f>LOOKUP($E998,OBRAS!$D:$D,OBRAS!H:H)</f>
        <v>SH-FAFEF-16-029</v>
      </c>
    </row>
    <row r="999" spans="1:27" x14ac:dyDescent="0.25">
      <c r="A999" s="90">
        <v>42725</v>
      </c>
      <c r="B999" s="56">
        <v>6139</v>
      </c>
      <c r="C999" s="51">
        <v>998</v>
      </c>
      <c r="D999" s="4" t="e">
        <f>LOOKUP($E999,OBRAS!$D:$D,OBRAS!C:C)</f>
        <v>#N/A</v>
      </c>
      <c r="E999" s="4"/>
      <c r="F999" s="4" t="s">
        <v>224</v>
      </c>
      <c r="G999" s="4" t="e">
        <f>LOOKUP($E999,OBRAS!$D:$D,OBRAS!E:E)</f>
        <v>#N/A</v>
      </c>
      <c r="H999" s="80" t="s">
        <v>15</v>
      </c>
      <c r="I999" s="6"/>
      <c r="J999" s="6"/>
      <c r="K999" s="6">
        <v>0</v>
      </c>
      <c r="L999" s="6">
        <f t="shared" si="242"/>
        <v>0</v>
      </c>
      <c r="M999" s="6">
        <f t="shared" si="243"/>
        <v>0</v>
      </c>
      <c r="N999" s="6">
        <f t="shared" si="244"/>
        <v>0</v>
      </c>
      <c r="O999" s="6">
        <f>+ROUND(I999*0.005,2)</f>
        <v>0</v>
      </c>
      <c r="P999" s="6">
        <f t="shared" si="245"/>
        <v>0</v>
      </c>
      <c r="Q999" s="4" t="e">
        <f>LOOKUP($E999,OBRAS!$D:$D,OBRAS!B:B)</f>
        <v>#N/A</v>
      </c>
      <c r="R999" s="4" t="e">
        <f>LOOKUP($E999,OBRAS!$D:$D,OBRAS!A:A)</f>
        <v>#N/A</v>
      </c>
      <c r="S999" s="4" t="e">
        <f>LOOKUP($E999,OBRAS!$D:$D,OBRAS!F:F)</f>
        <v>#N/A</v>
      </c>
      <c r="T999" s="4" t="e">
        <f>LOOKUP($E999,OBRAS!$D:$D,OBRAS!G:G)</f>
        <v>#N/A</v>
      </c>
      <c r="U999" s="4"/>
      <c r="V999" s="89">
        <v>42725</v>
      </c>
      <c r="W999" s="6" t="e">
        <f>LOOKUP($E999,OBRAS!$D:$D,OBRAS!K:K)</f>
        <v>#N/A</v>
      </c>
      <c r="X999" s="109" t="e">
        <f t="shared" si="246"/>
        <v>#N/A</v>
      </c>
      <c r="Y999" s="109">
        <f t="shared" si="247"/>
        <v>0</v>
      </c>
      <c r="Z999" s="109" t="e">
        <f t="shared" si="248"/>
        <v>#N/A</v>
      </c>
      <c r="AA999" s="4" t="e">
        <f>LOOKUP($E999,OBRAS!$D:$D,OBRAS!H:H)</f>
        <v>#N/A</v>
      </c>
    </row>
    <row r="1000" spans="1:27" ht="60" x14ac:dyDescent="0.25">
      <c r="A1000" s="90">
        <v>42725</v>
      </c>
      <c r="B1000" s="56">
        <v>6140</v>
      </c>
      <c r="C1000" s="51">
        <v>999</v>
      </c>
      <c r="D1000" s="4" t="str">
        <f>LOOKUP($E1000,OBRAS!$D:$D,OBRAS!C:C)</f>
        <v>CONSERVACION Y RECONSTRUCCION DE CARRETERAS ALIMENTADORAS REGION GUAYMAS-EMPALME, TRAMO: URSULO GALVAN-JUNELANCAHUI, DEL KM 0+000 AL KM 5+600</v>
      </c>
      <c r="E1000" s="4" t="s">
        <v>550</v>
      </c>
      <c r="F1000" s="4" t="s">
        <v>1913</v>
      </c>
      <c r="G1000" s="4" t="str">
        <f>LOOKUP($E1000,OBRAS!$D:$D,OBRAS!E:E)</f>
        <v>C-00054/0060</v>
      </c>
      <c r="H1000" s="80" t="s">
        <v>15</v>
      </c>
      <c r="I1000" s="6">
        <v>1953474.39</v>
      </c>
      <c r="J1000" s="6"/>
      <c r="K1000" s="6">
        <f>ROUND(I1000*0.3,2)</f>
        <v>586042.31999999995</v>
      </c>
      <c r="L1000" s="6">
        <f t="shared" si="242"/>
        <v>1367432.07</v>
      </c>
      <c r="M1000" s="6">
        <f t="shared" si="243"/>
        <v>218789.13</v>
      </c>
      <c r="N1000" s="6">
        <f t="shared" si="244"/>
        <v>1586221.2</v>
      </c>
      <c r="O1000" s="6">
        <f>+ROUND(I1000*0.002,2)+ROUND(I1000*0.0003,2)+ROUND(I1000*0.0003,2)+ROUND(I1000*0.0003,2)+ROUND(I1000*0.002,2)</f>
        <v>9572.02</v>
      </c>
      <c r="P1000" s="6">
        <f t="shared" si="245"/>
        <v>1576649.18</v>
      </c>
      <c r="Q1000" s="4" t="str">
        <f>LOOKUP($E1000,OBRAS!$D:$D,OBRAS!B:B)</f>
        <v>ACQUA  DREN  INGENIERIA S.A. DE C.V.</v>
      </c>
      <c r="R1000" s="4" t="str">
        <f>LOOKUP($E1000,OBRAS!$D:$D,OBRAS!A:A)</f>
        <v>VARIOS</v>
      </c>
      <c r="S1000" s="4" t="str">
        <f>LOOKUP($E1000,OBRAS!$D:$D,OBRAS!F:F)</f>
        <v>11000002003501E204K08063A625012162A213</v>
      </c>
      <c r="T1000" s="4" t="str">
        <f>LOOKUP($E1000,OBRAS!$D:$D,OBRAS!G:G)</f>
        <v>CE-926006995-E24-2016</v>
      </c>
      <c r="U1000" s="4" t="s">
        <v>863</v>
      </c>
      <c r="V1000" s="89">
        <v>42780</v>
      </c>
      <c r="W1000" s="6">
        <f>LOOKUP($E1000,OBRAS!$D:$D,OBRAS!K:K)</f>
        <v>14898875.880000001</v>
      </c>
      <c r="X1000" s="109">
        <f t="shared" si="246"/>
        <v>0.15210000000000001</v>
      </c>
      <c r="Y1000" s="109">
        <f t="shared" si="247"/>
        <v>0.60219999999999996</v>
      </c>
      <c r="Z1000" s="109">
        <f t="shared" si="248"/>
        <v>0.72150000000000003</v>
      </c>
      <c r="AA1000" s="4" t="str">
        <f>LOOKUP($E1000,OBRAS!$D:$D,OBRAS!H:H)</f>
        <v>SH-ED-17-R-013</v>
      </c>
    </row>
    <row r="1001" spans="1:27" ht="60" x14ac:dyDescent="0.25">
      <c r="A1001" s="90">
        <v>42768</v>
      </c>
      <c r="B1001" s="56">
        <v>544</v>
      </c>
      <c r="C1001" s="51">
        <v>1000</v>
      </c>
      <c r="D1001" s="4" t="str">
        <f>LOOKUP($E1001,OBRAS!$D:$D,OBRAS!C:C)</f>
        <v>REHABILITACION DE PAVIMENTOS A BASE DE RECARPETEO EN CALLE MONTEVERDE ENTRE BLVD. PROGRESO Y VERACRUZ EN LA LOCALIDAD Y MUNICIPIO DE HERMOSILLO, SONORA</v>
      </c>
      <c r="E1001" s="4" t="s">
        <v>777</v>
      </c>
      <c r="F1001" s="4" t="s">
        <v>225</v>
      </c>
      <c r="G1001" s="4" t="str">
        <f>LOOKUP($E1001,OBRAS!$D:$D,OBRAS!E:E)</f>
        <v>C-00052/0175</v>
      </c>
      <c r="H1001" s="80" t="s">
        <v>215</v>
      </c>
      <c r="I1001" s="6">
        <v>1590549.59</v>
      </c>
      <c r="J1001" s="6"/>
      <c r="K1001" s="6">
        <f>ROUND(I1001*0.3,2)</f>
        <v>477164.88</v>
      </c>
      <c r="L1001" s="6">
        <f t="shared" si="242"/>
        <v>1113384.71</v>
      </c>
      <c r="M1001" s="6">
        <f t="shared" si="243"/>
        <v>178141.55</v>
      </c>
      <c r="N1001" s="6">
        <f t="shared" si="244"/>
        <v>1291526.26</v>
      </c>
      <c r="O1001" s="6">
        <f>+ROUND(I1001*0.005,2)</f>
        <v>7952.75</v>
      </c>
      <c r="P1001" s="6">
        <f t="shared" si="245"/>
        <v>1283573.51</v>
      </c>
      <c r="Q1001" s="4" t="str">
        <f>LOOKUP($E1001,OBRAS!$D:$D,OBRAS!B:B)</f>
        <v>PROYECTOS Y CONSTRUCCIONES VIRGO, S. A. DE C. V.</v>
      </c>
      <c r="R1001" s="4" t="str">
        <f>LOOKUP($E1001,OBRAS!$D:$D,OBRAS!A:A)</f>
        <v>HERMOSILLO</v>
      </c>
      <c r="S1001" s="4" t="str">
        <f>LOOKUP($E1001,OBRAS!$D:$D,OBRAS!F:F)</f>
        <v>11000002002201E202K05186A614202165CN07</v>
      </c>
      <c r="T1001" s="4" t="str">
        <f>LOOKUP($E1001,OBRAS!$D:$D,OBRAS!G:G)</f>
        <v>LO-926006995-E84-2016</v>
      </c>
      <c r="U1001" s="4" t="s">
        <v>864</v>
      </c>
      <c r="V1001" s="89">
        <v>42811</v>
      </c>
      <c r="W1001" s="6">
        <f>LOOKUP($E1001,OBRAS!$D:$D,OBRAS!K:K)</f>
        <v>19539418.57</v>
      </c>
      <c r="X1001" s="109">
        <f t="shared" si="246"/>
        <v>9.4399999999999998E-2</v>
      </c>
      <c r="Y1001" s="109">
        <f t="shared" si="247"/>
        <v>0.97240000000000004</v>
      </c>
      <c r="Z1001" s="109">
        <f t="shared" si="248"/>
        <v>0.98070000000000002</v>
      </c>
      <c r="AA1001" s="4" t="str">
        <f>LOOKUP($E1001,OBRAS!$D:$D,OBRAS!H:H)</f>
        <v>SH-NC-17-R-004</v>
      </c>
    </row>
    <row r="1002" spans="1:27" ht="30" x14ac:dyDescent="0.25">
      <c r="A1002" s="90">
        <v>42796</v>
      </c>
      <c r="B1002" s="56">
        <v>1277</v>
      </c>
      <c r="C1002" s="51">
        <v>1001</v>
      </c>
      <c r="D1002" s="4" t="str">
        <f>LOOKUP($E1002,OBRAS!$D:$D,OBRAS!C:C)</f>
        <v>CONSERVACION Y RECONSTRUCCION DEL TRAMO EL CRUCERO- VILLA HIDALGO (KM 0+000 AL 28+500)</v>
      </c>
      <c r="E1002" s="4" t="s">
        <v>607</v>
      </c>
      <c r="F1002" s="4" t="s">
        <v>225</v>
      </c>
      <c r="G1002" s="4" t="str">
        <f>LOOKUP($E1002,OBRAS!$D:$D,OBRAS!E:E)</f>
        <v>C-00054/0068</v>
      </c>
      <c r="H1002" s="80" t="s">
        <v>215</v>
      </c>
      <c r="I1002" s="6">
        <v>2828872.63</v>
      </c>
      <c r="J1002" s="6"/>
      <c r="K1002" s="6">
        <f>ROUND(I1002*0.3,2)</f>
        <v>848661.79</v>
      </c>
      <c r="L1002" s="6">
        <f t="shared" ref="L1002:L1030" si="249">I1002-K1002</f>
        <v>1980210.84</v>
      </c>
      <c r="M1002" s="6">
        <f t="shared" si="243"/>
        <v>316833.73</v>
      </c>
      <c r="N1002" s="6">
        <f t="shared" si="244"/>
        <v>2297044.5699999998</v>
      </c>
      <c r="O1002" s="6">
        <f>+ROUND(I1002*0.002,2)+ROUND(I1002*0.0003,2)+ROUND(I1002*0.0003,2)+ROUND(I1002*0.0003,2)+ROUND(I1002*0.002,2)</f>
        <v>13861.48</v>
      </c>
      <c r="P1002" s="6">
        <f t="shared" si="245"/>
        <v>2283183.09</v>
      </c>
      <c r="Q1002" s="4" t="str">
        <f>LOOKUP($E1002,OBRAS!$D:$D,OBRAS!B:B)</f>
        <v>CONSTRUCTORA SAITE, S.A. DE C.V.</v>
      </c>
      <c r="R1002" s="4" t="str">
        <f>LOOKUP($E1002,OBRAS!$D:$D,OBRAS!A:A)</f>
        <v>VARIOS</v>
      </c>
      <c r="S1002" s="4" t="str">
        <f>LOOKUP($E1002,OBRAS!$D:$D,OBRAS!F:F)</f>
        <v>11000002003501E204K08063A625012162A213</v>
      </c>
      <c r="T1002" s="4" t="str">
        <f>LOOKUP($E1002,OBRAS!$D:$D,OBRAS!G:G)</f>
        <v>CE-926006995-E35-2016</v>
      </c>
      <c r="U1002" s="4" t="s">
        <v>865</v>
      </c>
      <c r="V1002" s="89">
        <v>42817</v>
      </c>
      <c r="W1002" s="6">
        <f>LOOKUP($E1002,OBRAS!$D:$D,OBRAS!K:K)</f>
        <v>27782320.260000002</v>
      </c>
      <c r="X1002" s="109">
        <f t="shared" si="246"/>
        <v>0.1181</v>
      </c>
      <c r="Y1002" s="109">
        <f t="shared" si="247"/>
        <v>0.29220000000000002</v>
      </c>
      <c r="Z1002" s="109">
        <f t="shared" si="248"/>
        <v>0.50460000000000005</v>
      </c>
      <c r="AA1002" s="4" t="str">
        <f>LOOKUP($E1002,OBRAS!$D:$D,OBRAS!H:H)</f>
        <v>SH-ED-17-R-013</v>
      </c>
    </row>
    <row r="1003" spans="1:27" ht="90" x14ac:dyDescent="0.25">
      <c r="A1003" s="90">
        <v>42725</v>
      </c>
      <c r="B1003" s="56">
        <v>6154</v>
      </c>
      <c r="C1003" s="51">
        <v>1002</v>
      </c>
      <c r="D1003" s="4" t="str">
        <f>LOOKUP($E1003,OBRAS!$D:$D,OBRAS!C:C)</f>
        <v>SUPERVISION EXTERNA Y CONTROL DE CALIDAD DE CONSERVACION Y RECONSTRUCCION DEL TRAMO MOCTEZUMA - EL CRUCERO (TRAMO KM 164+500 AL KM 210+750) EN LA REGION DE LA SIERRA EN VARIAS LOCALIDADES DE VARIOS MUNICPIOS DEL ESTADO DE SONORA.</v>
      </c>
      <c r="E1003" s="4" t="s">
        <v>320</v>
      </c>
      <c r="F1003" s="4"/>
      <c r="G1003" s="4" t="str">
        <f>LOOKUP($E1003,OBRAS!$D:$D,OBRAS!E:E)</f>
        <v>C-00098/0021</v>
      </c>
      <c r="H1003" s="80" t="s">
        <v>214</v>
      </c>
      <c r="I1003" s="6">
        <v>236819.84</v>
      </c>
      <c r="J1003" s="6"/>
      <c r="K1003" s="6">
        <v>23682</v>
      </c>
      <c r="L1003" s="6">
        <f t="shared" si="249"/>
        <v>213137.84</v>
      </c>
      <c r="M1003" s="6">
        <f t="shared" si="243"/>
        <v>34102.050000000003</v>
      </c>
      <c r="N1003" s="6">
        <f t="shared" si="244"/>
        <v>247239.89</v>
      </c>
      <c r="O1003" s="6">
        <f>+ROUND(I1003*0.002,2)+ROUND(I1003*0.0003,2)+ROUND(I1003*0.0003,2)+ROUND(I1003*0.0003,2)</f>
        <v>686.79</v>
      </c>
      <c r="P1003" s="6">
        <f t="shared" si="245"/>
        <v>246553.1</v>
      </c>
      <c r="Q1003" s="4" t="str">
        <f>LOOKUP($E1003,OBRAS!$D:$D,OBRAS!B:B)</f>
        <v>PROYECTOS Y SUPERVISION, J.H. ROMERO, S.A. DE C.V.</v>
      </c>
      <c r="R1003" s="4" t="str">
        <f>LOOKUP($E1003,OBRAS!$D:$D,OBRAS!A:A)</f>
        <v>VARIOS</v>
      </c>
      <c r="S1003" s="4" t="str">
        <f>LOOKUP($E1003,OBRAS!$D:$D,OBRAS!F:F)</f>
        <v>11000002003501E203K03203A625132161A013</v>
      </c>
      <c r="T1003" s="4" t="str">
        <f>LOOKUP($E1003,OBRAS!$D:$D,OBRAS!G:G)</f>
        <v>CE-926006995-E50-2016</v>
      </c>
      <c r="U1003" s="4" t="s">
        <v>2238</v>
      </c>
      <c r="V1003" s="89">
        <v>42741</v>
      </c>
      <c r="W1003" s="6">
        <f>LOOKUP($E1003,OBRAS!$D:$D,OBRAS!K:K)</f>
        <v>1648266.09</v>
      </c>
      <c r="X1003" s="109">
        <f t="shared" si="246"/>
        <v>0.16669999999999999</v>
      </c>
      <c r="Y1003" s="109">
        <f t="shared" si="247"/>
        <v>1.0002</v>
      </c>
      <c r="Z1003" s="109">
        <f t="shared" si="248"/>
        <v>1</v>
      </c>
      <c r="AA1003" s="4" t="str">
        <f>LOOKUP($E1003,OBRAS!$D:$D,OBRAS!H:H)</f>
        <v>SH-ED-16-040</v>
      </c>
    </row>
    <row r="1004" spans="1:27" ht="60" x14ac:dyDescent="0.25">
      <c r="A1004" s="90">
        <v>42725</v>
      </c>
      <c r="C1004" s="51">
        <v>1003</v>
      </c>
      <c r="D1004" s="4" t="str">
        <f>LOOKUP($E1004,OBRAS!$D:$D,OBRAS!C:C)</f>
        <v>OBRAS DE REHABILITACION Y CONSTRUCCION DE NUEVOS ESPACIOS EN EL DELFINARIO SONORA EN LA LOCALIDAD DE SAN CARLOS, MUNICIPIO DE GUAYMAS</v>
      </c>
      <c r="E1004" s="4" t="s">
        <v>2040</v>
      </c>
      <c r="F1004" s="4"/>
      <c r="G1004" s="4" t="str">
        <f>LOOKUP($E1004,OBRAS!$D:$D,OBRAS!E:E)</f>
        <v>C-00061/0024.</v>
      </c>
      <c r="H1004" s="80" t="s">
        <v>23</v>
      </c>
      <c r="I1004" s="6">
        <v>4163486.62</v>
      </c>
      <c r="J1004" s="6"/>
      <c r="K1004" s="6">
        <v>0</v>
      </c>
      <c r="L1004" s="6">
        <f t="shared" si="249"/>
        <v>4163486.62</v>
      </c>
      <c r="M1004" s="6">
        <f t="shared" si="243"/>
        <v>666157.86</v>
      </c>
      <c r="N1004" s="6">
        <f t="shared" si="244"/>
        <v>4829644.4800000004</v>
      </c>
      <c r="O1004" s="6">
        <v>0</v>
      </c>
      <c r="P1004" s="6">
        <f t="shared" si="245"/>
        <v>4829644.4800000004</v>
      </c>
      <c r="Q1004" s="4" t="str">
        <f>LOOKUP($E1004,OBRAS!$D:$D,OBRAS!B:B)</f>
        <v>CONSTRUCTORA MIRAMAR, S.A. DE C.V.</v>
      </c>
      <c r="R1004" s="4" t="str">
        <f>LOOKUP($E1004,OBRAS!$D:$D,OBRAS!A:A)</f>
        <v>GUAYMAS</v>
      </c>
      <c r="S1004" s="4" t="str">
        <f>LOOKUP($E1004,OBRAS!$D:$D,OBRAS!F:F)</f>
        <v>11000002002202E401K04039A612032161A010</v>
      </c>
      <c r="T1004" s="4" t="str">
        <f>LOOKUP($E1004,OBRAS!$D:$D,OBRAS!G:G)</f>
        <v>CE-926006995-E170-2016</v>
      </c>
      <c r="U1004" s="4" t="s">
        <v>863</v>
      </c>
      <c r="V1004" s="89">
        <v>42762</v>
      </c>
      <c r="W1004" s="6">
        <f>LOOKUP($E1004,OBRAS!$D:$D,OBRAS!K:K)</f>
        <v>16098814.93</v>
      </c>
      <c r="X1004" s="109" t="str">
        <f t="shared" si="246"/>
        <v/>
      </c>
      <c r="Y1004" s="109">
        <f t="shared" si="247"/>
        <v>0.29599999999999999</v>
      </c>
      <c r="Z1004" s="109">
        <f t="shared" si="248"/>
        <v>0.50719999999999998</v>
      </c>
      <c r="AA1004" s="4" t="str">
        <f>LOOKUP($E1004,OBRAS!$D:$D,OBRAS!H:H)</f>
        <v>SH-ED-17-R-003</v>
      </c>
    </row>
    <row r="1005" spans="1:27" ht="45" x14ac:dyDescent="0.25">
      <c r="A1005" s="90">
        <v>42768</v>
      </c>
      <c r="B1005" s="56">
        <v>549</v>
      </c>
      <c r="C1005" s="49">
        <v>1004</v>
      </c>
      <c r="D1005" s="4" t="str">
        <f>LOOKUP($E1005,OBRAS!$D:$D,OBRAS!C:C)</f>
        <v>REHABILITACION DE PAVIMENTOS EN 13 CALLES DE CD. OBREGON ORIENTE</v>
      </c>
      <c r="E1005" s="4" t="s">
        <v>1480</v>
      </c>
      <c r="F1005" s="4" t="s">
        <v>217</v>
      </c>
      <c r="G1005" s="4" t="str">
        <f>LOOKUP($E1005,OBRAS!$D:$D,OBRAS!E:E)</f>
        <v>C-00052/0221</v>
      </c>
      <c r="H1005" s="80" t="s">
        <v>103</v>
      </c>
      <c r="I1005" s="6">
        <v>3557815.02</v>
      </c>
      <c r="J1005" s="6"/>
      <c r="K1005" s="6">
        <f>ROUND(I1005*0.3,2)</f>
        <v>1067344.51</v>
      </c>
      <c r="L1005" s="6">
        <f t="shared" si="249"/>
        <v>2490470.5099999998</v>
      </c>
      <c r="M1005" s="6">
        <f t="shared" si="243"/>
        <v>398475.28</v>
      </c>
      <c r="N1005" s="6">
        <f t="shared" si="244"/>
        <v>2888945.79</v>
      </c>
      <c r="O1005" s="6">
        <f>+ROUND(I1005*0.005,2)</f>
        <v>17789.080000000002</v>
      </c>
      <c r="P1005" s="6">
        <f t="shared" si="245"/>
        <v>2871156.71</v>
      </c>
      <c r="Q1005" s="4" t="str">
        <f>LOOKUP($E1005,OBRAS!$D:$D,OBRAS!B:B)</f>
        <v>INMOBILIARIA Y CONSTRUCTORA HARBOR, S.A. DE C.V.</v>
      </c>
      <c r="R1005" s="4" t="str">
        <f>LOOKUP($E1005,OBRAS!$D:$D,OBRAS!A:A)</f>
        <v>CAJEME</v>
      </c>
      <c r="S1005" s="4" t="str">
        <f>LOOKUP($E1005,OBRAS!$D:$D,OBRAS!F:F)</f>
        <v>11000002002201E202K05186A614202165FN11</v>
      </c>
      <c r="T1005" s="4" t="str">
        <f>LOOKUP($E1005,OBRAS!$D:$D,OBRAS!G:G)</f>
        <v>LO-926006995-E110-2016</v>
      </c>
      <c r="U1005" s="4" t="s">
        <v>863</v>
      </c>
      <c r="V1005" s="89">
        <v>42789</v>
      </c>
      <c r="W1005" s="6">
        <f>LOOKUP($E1005,OBRAS!$D:$D,OBRAS!K:K)</f>
        <v>18299948.469999999</v>
      </c>
      <c r="X1005" s="109">
        <f t="shared" si="246"/>
        <v>0.22550000000000001</v>
      </c>
      <c r="Y1005" s="109">
        <f t="shared" si="247"/>
        <v>0.43049999999999999</v>
      </c>
      <c r="Z1005" s="109">
        <f t="shared" si="248"/>
        <v>0.60129999999999995</v>
      </c>
      <c r="AA1005" s="4" t="str">
        <f>LOOKUP($E1005,OBRAS!$D:$D,OBRAS!H:H)</f>
        <v>SH-NC-17-R-005</v>
      </c>
    </row>
    <row r="1006" spans="1:27" ht="30" x14ac:dyDescent="0.25">
      <c r="A1006" s="90">
        <v>42795</v>
      </c>
      <c r="B1006" s="56">
        <v>1222</v>
      </c>
      <c r="C1006" s="51">
        <v>1005</v>
      </c>
      <c r="D1006" s="4" t="str">
        <f>LOOKUP($E1006,OBRAS!$D:$D,OBRAS!C:C)</f>
        <v>MODERNIZACION DEL PERIFERICO PONIENTE (1 ETAPA), NAVOJOA</v>
      </c>
      <c r="E1006" s="4" t="s">
        <v>536</v>
      </c>
      <c r="F1006" s="4" t="s">
        <v>2412</v>
      </c>
      <c r="G1006" s="4" t="str">
        <f>LOOKUP($E1006,OBRAS!$D:$D,OBRAS!E:E)</f>
        <v>C-00052/0171</v>
      </c>
      <c r="H1006" s="80" t="s">
        <v>214</v>
      </c>
      <c r="I1006" s="6">
        <v>7799261.0800000001</v>
      </c>
      <c r="J1006" s="6"/>
      <c r="K1006" s="6">
        <f>ROUND(I1006*0.3,2)</f>
        <v>2339778.3199999998</v>
      </c>
      <c r="L1006" s="6">
        <f t="shared" si="249"/>
        <v>5459482.7599999998</v>
      </c>
      <c r="M1006" s="6">
        <f t="shared" si="243"/>
        <v>873517.24</v>
      </c>
      <c r="N1006" s="6">
        <f t="shared" si="244"/>
        <v>6333000</v>
      </c>
      <c r="O1006" s="6">
        <f>+ROUND(I1006*0.002,2)+ROUND(I1006*0.0003,2)+ROUND(I1006*0.0003,2)+ROUND(I1006*0.0003,2)+ROUND(I1006*0.002,2)</f>
        <v>38216.379999999997</v>
      </c>
      <c r="P1006" s="6">
        <f t="shared" si="245"/>
        <v>6294783.6200000001</v>
      </c>
      <c r="Q1006" s="4" t="str">
        <f>LOOKUP($E1006,OBRAS!$D:$D,OBRAS!B:B)</f>
        <v>LC PROYECTOS Y CONSTRUCCIONES S.A. DE C.V.</v>
      </c>
      <c r="R1006" s="4" t="str">
        <f>LOOKUP($E1006,OBRAS!$D:$D,OBRAS!A:A)</f>
        <v>NAVOJOA</v>
      </c>
      <c r="S1006" s="4" t="str">
        <f>LOOKUP($E1006,OBRAS!$D:$D,OBRAS!F:F)</f>
        <v>11000002002201E202K05186A614202162A212</v>
      </c>
      <c r="T1006" s="4" t="str">
        <f>LOOKUP($E1006,OBRAS!$D:$D,OBRAS!G:G)</f>
        <v>CE-926006995-E15-2016</v>
      </c>
      <c r="U1006" s="4" t="s">
        <v>864</v>
      </c>
      <c r="V1006" s="89">
        <v>42810</v>
      </c>
      <c r="W1006" s="6">
        <f>LOOKUP($E1006,OBRAS!$D:$D,OBRAS!K:K)</f>
        <v>154846331.36000001</v>
      </c>
      <c r="X1006" s="109">
        <f t="shared" si="246"/>
        <v>5.8400000000000001E-2</v>
      </c>
      <c r="Y1006" s="109">
        <f t="shared" si="247"/>
        <v>0.83420000000000005</v>
      </c>
      <c r="Z1006" s="109">
        <f t="shared" si="248"/>
        <v>0.88400000000000001</v>
      </c>
      <c r="AA1006" s="4" t="str">
        <f>LOOKUP($E1006,OBRAS!$D:$D,OBRAS!H:H)</f>
        <v>SH-ED-17-R-004</v>
      </c>
    </row>
    <row r="1007" spans="1:27" ht="75" x14ac:dyDescent="0.25">
      <c r="A1007" s="90">
        <v>42726</v>
      </c>
      <c r="B1007" s="56">
        <v>6187</v>
      </c>
      <c r="C1007" s="51">
        <v>1006</v>
      </c>
      <c r="D1007" s="4" t="str">
        <f>LOOKUP($E1007,OBRAS!$D:$D,OBRAS!C:C)</f>
        <v>SUPERVISION EXTERNA Y CONTROL DE CALIDAD DE MODERIZACION Y RECONSTRUCCION DEL TRAMO ETCHOJOA - BACOBAMPO EN VARIAS LOCALIDADES DEL MUNICIPIO DE ETCHOJOA, SONORA.</v>
      </c>
      <c r="E1007" s="4" t="s">
        <v>428</v>
      </c>
      <c r="F1007" s="4"/>
      <c r="G1007" s="4" t="str">
        <f>LOOKUP($E1007,OBRAS!$D:$D,OBRAS!E:E)</f>
        <v>C-00098/0021</v>
      </c>
      <c r="H1007" s="80" t="s">
        <v>214</v>
      </c>
      <c r="I1007" s="6">
        <v>279955</v>
      </c>
      <c r="J1007" s="6"/>
      <c r="K1007" s="6">
        <f>ROUND(I1007*0.1,2)</f>
        <v>27995.5</v>
      </c>
      <c r="L1007" s="6">
        <f t="shared" si="249"/>
        <v>251959.5</v>
      </c>
      <c r="M1007" s="6">
        <f t="shared" si="243"/>
        <v>40313.519999999997</v>
      </c>
      <c r="N1007" s="6">
        <f t="shared" si="244"/>
        <v>292273.02</v>
      </c>
      <c r="O1007" s="6">
        <f>+ROUND(I1007*0.002,2)+ROUND(I1007*0.0003,2)+ROUND(I1007*0.0003,2)+ROUND(I1007*0.0003,2)</f>
        <v>811.88</v>
      </c>
      <c r="P1007" s="6">
        <f t="shared" si="245"/>
        <v>291461.14</v>
      </c>
      <c r="Q1007" s="4" t="str">
        <f>LOOKUP($E1007,OBRAS!$D:$D,OBRAS!B:B)</f>
        <v>CONSTRUCCIONES MAGUS, S.A. DE C.V.</v>
      </c>
      <c r="R1007" s="4" t="str">
        <f>LOOKUP($E1007,OBRAS!$D:$D,OBRAS!A:A)</f>
        <v>ETCHOJOA</v>
      </c>
      <c r="S1007" s="4" t="str">
        <f>LOOKUP($E1007,OBRAS!$D:$D,OBRAS!F:F)</f>
        <v>11000002003501E203K03203A625132161A013</v>
      </c>
      <c r="T1007" s="4" t="str">
        <f>LOOKUP($E1007,OBRAS!$D:$D,OBRAS!G:G)</f>
        <v>CE-926006995-E53-2016</v>
      </c>
      <c r="U1007" s="4" t="s">
        <v>2238</v>
      </c>
      <c r="V1007" s="89">
        <v>42745</v>
      </c>
      <c r="W1007" s="6">
        <f>LOOKUP($E1007,OBRAS!$D:$D,OBRAS!K:K)</f>
        <v>1948486.8</v>
      </c>
      <c r="X1007" s="109">
        <f t="shared" si="246"/>
        <v>0.16669999999999999</v>
      </c>
      <c r="Y1007" s="109">
        <f t="shared" si="247"/>
        <v>1.0002</v>
      </c>
      <c r="Z1007" s="109">
        <f t="shared" si="248"/>
        <v>1</v>
      </c>
      <c r="AA1007" s="4" t="str">
        <f>LOOKUP($E1007,OBRAS!$D:$D,OBRAS!H:H)</f>
        <v>SH-ED-16-040</v>
      </c>
    </row>
    <row r="1008" spans="1:27" ht="45" x14ac:dyDescent="0.25">
      <c r="A1008" s="90">
        <v>42773</v>
      </c>
      <c r="B1008" s="56">
        <v>655</v>
      </c>
      <c r="C1008" s="51">
        <v>1007</v>
      </c>
      <c r="D1008" s="4" t="str">
        <f>LOOKUP($E1008,OBRAS!$D:$D,OBRAS!C:C)</f>
        <v>PAVIMENTACION CON CONCRETO HIDRAULICO EN LA AVENIDA DE LA CASA EN LA LOCALIDAD DE BACERAC</v>
      </c>
      <c r="E1008" s="4" t="s">
        <v>1453</v>
      </c>
      <c r="F1008" s="4" t="s">
        <v>224</v>
      </c>
      <c r="G1008" s="4" t="str">
        <f>LOOKUP($E1008,OBRAS!$D:$D,OBRAS!E:E)</f>
        <v>C-00052/0196</v>
      </c>
      <c r="H1008" s="80" t="s">
        <v>103</v>
      </c>
      <c r="I1008" s="6">
        <v>117548.77</v>
      </c>
      <c r="J1008" s="6"/>
      <c r="K1008" s="6">
        <f>ROUND(I1008*0.3,2)</f>
        <v>35264.629999999997</v>
      </c>
      <c r="L1008" s="6">
        <f t="shared" si="249"/>
        <v>82284.14</v>
      </c>
      <c r="M1008" s="6">
        <f t="shared" si="243"/>
        <v>13165.46</v>
      </c>
      <c r="N1008" s="6">
        <f t="shared" si="244"/>
        <v>95449.600000000006</v>
      </c>
      <c r="O1008" s="6">
        <f>+ROUND(I1008*0.005,2)</f>
        <v>587.74</v>
      </c>
      <c r="P1008" s="6">
        <f t="shared" si="245"/>
        <v>94861.86</v>
      </c>
      <c r="Q1008" s="4" t="str">
        <f>LOOKUP($E1008,OBRAS!$D:$D,OBRAS!B:B)</f>
        <v>ADOBE DESARROLLOS, S.A. DE C.V.</v>
      </c>
      <c r="R1008" s="4" t="str">
        <f>LOOKUP($E1008,OBRAS!$D:$D,OBRAS!A:A)</f>
        <v>BACERAC</v>
      </c>
      <c r="S1008" s="4" t="str">
        <f>LOOKUP($E1008,OBRAS!$D:$D,OBRAS!F:F)</f>
        <v>11000002002201E202K05186A614202165FC06</v>
      </c>
      <c r="T1008" s="4" t="str">
        <f>LOOKUP($E1008,OBRAS!$D:$D,OBRAS!G:G)</f>
        <v>IO-926006995-E138-2016</v>
      </c>
      <c r="U1008" s="4" t="s">
        <v>863</v>
      </c>
      <c r="V1008" s="89">
        <v>42794</v>
      </c>
      <c r="W1008" s="6">
        <f>LOOKUP($E1008,OBRAS!$D:$D,OBRAS!K:K)</f>
        <v>1318284.3999999999</v>
      </c>
      <c r="X1008" s="109">
        <f t="shared" si="246"/>
        <v>0.10340000000000001</v>
      </c>
      <c r="Y1008" s="109">
        <f t="shared" si="247"/>
        <v>0.99990000000000001</v>
      </c>
      <c r="Z1008" s="109">
        <f t="shared" si="248"/>
        <v>1</v>
      </c>
      <c r="AA1008" s="4" t="str">
        <f>LOOKUP($E1008,OBRAS!$D:$D,OBRAS!H:H)</f>
        <v>SH-NC-17-R-009</v>
      </c>
    </row>
    <row r="1009" spans="1:27" ht="45" x14ac:dyDescent="0.25">
      <c r="A1009" s="90">
        <v>42773</v>
      </c>
      <c r="B1009" s="56">
        <v>656</v>
      </c>
      <c r="C1009" s="51">
        <v>1008</v>
      </c>
      <c r="D1009" s="4" t="str">
        <f>LOOKUP($E1009,OBRAS!$D:$D,OBRAS!C:C)</f>
        <v>PAVIMENTACION CON CONCRETO HIDRAULICO EN LA CALLE LOS OLIVOS EN LA LOCALIDAD DE BAVIACORA</v>
      </c>
      <c r="E1009" s="4" t="s">
        <v>1614</v>
      </c>
      <c r="F1009" s="4" t="s">
        <v>217</v>
      </c>
      <c r="G1009" s="4" t="str">
        <f>LOOKUP($E1009,OBRAS!$D:$D,OBRAS!E:E)</f>
        <v>C-00052/0183</v>
      </c>
      <c r="H1009" s="80" t="s">
        <v>103</v>
      </c>
      <c r="I1009" s="6">
        <v>441118.19</v>
      </c>
      <c r="J1009" s="6"/>
      <c r="K1009" s="6">
        <f>ROUND(I1009*0.3,2)</f>
        <v>132335.46</v>
      </c>
      <c r="L1009" s="6">
        <f t="shared" si="249"/>
        <v>308782.73</v>
      </c>
      <c r="M1009" s="6">
        <f t="shared" si="243"/>
        <v>49405.24</v>
      </c>
      <c r="N1009" s="6">
        <f t="shared" si="244"/>
        <v>358187.97</v>
      </c>
      <c r="O1009" s="6">
        <f>+ROUND(I1009*0.005,2)</f>
        <v>2205.59</v>
      </c>
      <c r="P1009" s="6">
        <f t="shared" si="245"/>
        <v>355982.38</v>
      </c>
      <c r="Q1009" s="4" t="str">
        <f>LOOKUP($E1009,OBRAS!$D:$D,OBRAS!B:B)</f>
        <v>VALPA SUPERVISIONES, S.A. DE C.V.</v>
      </c>
      <c r="R1009" s="4" t="str">
        <f>LOOKUP($E1009,OBRAS!$D:$D,OBRAS!A:A)</f>
        <v>BAVIACORA</v>
      </c>
      <c r="S1009" s="4" t="str">
        <f>LOOKUP($E1009,OBRAS!$D:$D,OBRAS!F:F)</f>
        <v>11000002002201E202K05186A614202165FC05</v>
      </c>
      <c r="T1009" s="4" t="str">
        <f>LOOKUP($E1009,OBRAS!$D:$D,OBRAS!G:G)</f>
        <v>IO-926006995-E132-2016</v>
      </c>
      <c r="U1009" s="4" t="s">
        <v>863</v>
      </c>
      <c r="V1009" s="89">
        <v>42804</v>
      </c>
      <c r="W1009" s="6">
        <f>LOOKUP($E1009,OBRAS!$D:$D,OBRAS!K:K)</f>
        <v>1797489.34</v>
      </c>
      <c r="X1009" s="109">
        <f t="shared" si="246"/>
        <v>0.28470000000000001</v>
      </c>
      <c r="Y1009" s="109">
        <f t="shared" si="247"/>
        <v>0.28470000000000001</v>
      </c>
      <c r="Z1009" s="109">
        <f t="shared" si="248"/>
        <v>0.49740000000000001</v>
      </c>
      <c r="AA1009" s="4" t="str">
        <f>LOOKUP($E1009,OBRAS!$D:$D,OBRAS!H:H)</f>
        <v>SH-NC-17-R-009</v>
      </c>
    </row>
    <row r="1010" spans="1:27" ht="60" x14ac:dyDescent="0.25">
      <c r="A1010" s="90">
        <v>42726</v>
      </c>
      <c r="B1010" s="56">
        <v>6190</v>
      </c>
      <c r="C1010" s="51">
        <v>1009</v>
      </c>
      <c r="D1010" s="4" t="str">
        <f>LOOKUP($E1010,OBRAS!$D:$D,OBRAS!C:C)</f>
        <v>SUPERVISION EXTERNA Y CONTROL DE CALIDAD DE LA REHABILITACION DE RED DE CARRETERAS ALIMENTADORAS EN LA REGION DEL RIO SONORA; SUBTRAMO KM 0+000 AL KM 75+000</v>
      </c>
      <c r="E1010" s="4" t="s">
        <v>732</v>
      </c>
      <c r="F1010" s="4"/>
      <c r="G1010" s="4" t="str">
        <f>LOOKUP($E1010,OBRAS!$D:$D,OBRAS!E:E)</f>
        <v>C-00098/0021</v>
      </c>
      <c r="H1010" s="80" t="s">
        <v>748</v>
      </c>
      <c r="I1010" s="6">
        <v>314627.24</v>
      </c>
      <c r="J1010" s="6"/>
      <c r="K1010" s="6">
        <v>0</v>
      </c>
      <c r="L1010" s="6">
        <f t="shared" si="249"/>
        <v>314627.24</v>
      </c>
      <c r="M1010" s="6">
        <f t="shared" si="243"/>
        <v>50340.36</v>
      </c>
      <c r="N1010" s="6">
        <f t="shared" si="244"/>
        <v>364967.6</v>
      </c>
      <c r="O1010" s="6">
        <f>+ROUND(I1010*0.002,2)+ROUND(I1010*0.0003,2)+ROUND(I1010*0.0003,2)+ROUND(I1010*0.0003,2)</f>
        <v>912.42</v>
      </c>
      <c r="P1010" s="6">
        <f t="shared" si="245"/>
        <v>364055.18</v>
      </c>
      <c r="Q1010" s="4" t="str">
        <f>LOOKUP($E1010,OBRAS!$D:$D,OBRAS!B:B)</f>
        <v>ESCOBO S.A. DE C.V.</v>
      </c>
      <c r="R1010" s="4" t="str">
        <f>LOOKUP($E1010,OBRAS!$D:$D,OBRAS!A:A)</f>
        <v>VARIOS</v>
      </c>
      <c r="S1010" s="4" t="str">
        <f>LOOKUP($E1010,OBRAS!$D:$D,OBRAS!F:F)</f>
        <v>11000002003501E203K03203A625132161A013</v>
      </c>
      <c r="T1010" s="4" t="str">
        <f>LOOKUP($E1010,OBRAS!$D:$D,OBRAS!G:G)</f>
        <v>CE-966006995-E67-2016</v>
      </c>
      <c r="U1010" s="4" t="s">
        <v>2238</v>
      </c>
      <c r="V1010" s="89">
        <v>42745</v>
      </c>
      <c r="W1010" s="6">
        <f>LOOKUP($E1010,OBRAS!$D:$D,OBRAS!K:K)</f>
        <v>2329580.42</v>
      </c>
      <c r="X1010" s="109">
        <f t="shared" si="246"/>
        <v>0.15670000000000001</v>
      </c>
      <c r="Y1010" s="109">
        <f t="shared" si="247"/>
        <v>0.92679999999999996</v>
      </c>
      <c r="Z1010" s="109">
        <f t="shared" si="248"/>
        <v>0.92669999999999997</v>
      </c>
      <c r="AA1010" s="4" t="str">
        <f>LOOKUP($E1010,OBRAS!$D:$D,OBRAS!H:H)</f>
        <v>SH-ED-16-060</v>
      </c>
    </row>
    <row r="1011" spans="1:27" ht="105" x14ac:dyDescent="0.25">
      <c r="A1011" s="90">
        <v>42726</v>
      </c>
      <c r="B1011" s="56">
        <v>6191</v>
      </c>
      <c r="C1011" s="51">
        <v>1010</v>
      </c>
      <c r="D1011" s="4" t="str">
        <f>LOOKUP($E1011,OBRAS!$D:$D,OBRAS!C:C)</f>
        <v>VERIFICACION DE CALIDAD DE LAS PRUEBAS Y MATERIALES UTILIZADOS EN LA RECONSTRUCCION DE LA RED DE CARRETERAS ESTATALES Y EL CUMPLIMIENTO DE LAS ESPECIFICACIONES Y NORMATIVIDAD TECNICA DE SCT APLICABLES EN VARIAS LOCALIDADES Y VARIOS MUNICIPIOS DEL ESTADO DE SONORA.</v>
      </c>
      <c r="E1011" s="4" t="s">
        <v>403</v>
      </c>
      <c r="F1011" s="4"/>
      <c r="G1011" s="4" t="str">
        <f>LOOKUP($E1011,OBRAS!$D:$D,OBRAS!E:E)</f>
        <v>C-00098/0032</v>
      </c>
      <c r="H1011" s="80" t="s">
        <v>220</v>
      </c>
      <c r="I1011" s="6">
        <v>470796.81</v>
      </c>
      <c r="J1011" s="6"/>
      <c r="K1011" s="6">
        <f>ROUND(I1011*0.1,2)</f>
        <v>47079.68</v>
      </c>
      <c r="L1011" s="6">
        <f t="shared" si="249"/>
        <v>423717.13</v>
      </c>
      <c r="M1011" s="6">
        <f t="shared" si="243"/>
        <v>67794.740000000005</v>
      </c>
      <c r="N1011" s="6">
        <f t="shared" si="244"/>
        <v>491511.87</v>
      </c>
      <c r="O1011" s="6">
        <f>+ROUND(I1011*0.002,2)+ROUND(I1011*0.0003,2)+ROUND(I1011*0.0003,2)+ROUND(I1011*0.0003,2)</f>
        <v>1365.31</v>
      </c>
      <c r="P1011" s="6">
        <f t="shared" si="245"/>
        <v>490146.56</v>
      </c>
      <c r="Q1011" s="4" t="str">
        <f>LOOKUP($E1011,OBRAS!$D:$D,OBRAS!B:B)</f>
        <v>RL INFRAESTRUCTURA, S.A. DE C.V.</v>
      </c>
      <c r="R1011" s="4" t="str">
        <f>LOOKUP($E1011,OBRAS!$D:$D,OBRAS!A:A)</f>
        <v>VARIOS</v>
      </c>
      <c r="S1011" s="4" t="str">
        <f>LOOKUP($E1011,OBRAS!$D:$D,OBRAS!F:F)</f>
        <v>11000002003501E203K03203A625132161A013</v>
      </c>
      <c r="T1011" s="4" t="str">
        <f>LOOKUP($E1011,OBRAS!$D:$D,OBRAS!G:G)</f>
        <v>CE-926006995-E54-2016</v>
      </c>
      <c r="U1011" s="4" t="s">
        <v>2238</v>
      </c>
      <c r="V1011" s="89">
        <v>42745</v>
      </c>
      <c r="W1011" s="6">
        <f>LOOKUP($E1011,OBRAS!$D:$D,OBRAS!K:K)</f>
        <v>4605867.6500000004</v>
      </c>
      <c r="X1011" s="109">
        <f t="shared" si="246"/>
        <v>0.1186</v>
      </c>
      <c r="Y1011" s="109">
        <f t="shared" si="247"/>
        <v>1.0003</v>
      </c>
      <c r="Z1011" s="109">
        <f t="shared" si="248"/>
        <v>1</v>
      </c>
      <c r="AA1011" s="4" t="str">
        <f>LOOKUP($E1011,OBRAS!$D:$D,OBRAS!H:H)</f>
        <v>SH-ED-16-039</v>
      </c>
    </row>
    <row r="1012" spans="1:27" ht="60" x14ac:dyDescent="0.25">
      <c r="A1012" s="90">
        <v>42726</v>
      </c>
      <c r="B1012" s="56">
        <v>6191</v>
      </c>
      <c r="C1012" s="51">
        <v>1011</v>
      </c>
      <c r="D1012" s="4" t="str">
        <f>LOOKUP($E1012,OBRAS!$D:$D,OBRAS!C:C)</f>
        <v>SUPERVISION EXTERNA Y CONTROL DE CALIDAD DE LA REHABILITACION DE RED DE CARRETERAS ALIMENTADORAS EN LA REGION DEL RIO SONORA; SUBTRAMO KM 0+000 AL KM 75+000</v>
      </c>
      <c r="E1012" s="4" t="s">
        <v>732</v>
      </c>
      <c r="F1012" s="4"/>
      <c r="G1012" s="4" t="str">
        <f>LOOKUP($E1012,OBRAS!$D:$D,OBRAS!E:E)</f>
        <v>C-00098/0021</v>
      </c>
      <c r="H1012" s="80" t="s">
        <v>249</v>
      </c>
      <c r="I1012" s="6">
        <v>174049.1</v>
      </c>
      <c r="J1012" s="6"/>
      <c r="K1012" s="6">
        <v>0</v>
      </c>
      <c r="L1012" s="6">
        <f t="shared" si="249"/>
        <v>174049.1</v>
      </c>
      <c r="M1012" s="6">
        <f t="shared" si="243"/>
        <v>27847.86</v>
      </c>
      <c r="N1012" s="6">
        <f t="shared" si="244"/>
        <v>201896.95999999999</v>
      </c>
      <c r="O1012" s="6">
        <f>+ROUND(I1012*0.002,2)+ROUND(I1012*0.0003,2)+ROUND(I1012*0.0003,2)+ROUND(I1012*0.0003,2)</f>
        <v>504.73</v>
      </c>
      <c r="P1012" s="6">
        <f t="shared" si="245"/>
        <v>201392.23</v>
      </c>
      <c r="Q1012" s="4" t="str">
        <f>LOOKUP($E1012,OBRAS!$D:$D,OBRAS!B:B)</f>
        <v>ESCOBO S.A. DE C.V.</v>
      </c>
      <c r="R1012" s="4" t="str">
        <f>LOOKUP($E1012,OBRAS!$D:$D,OBRAS!A:A)</f>
        <v>VARIOS</v>
      </c>
      <c r="S1012" s="4" t="str">
        <f>LOOKUP($E1012,OBRAS!$D:$D,OBRAS!F:F)</f>
        <v>11000002003501E203K03203A625132161A013</v>
      </c>
      <c r="T1012" s="4" t="str">
        <f>LOOKUP($E1012,OBRAS!$D:$D,OBRAS!G:G)</f>
        <v>CE-966006995-E67-2016</v>
      </c>
      <c r="U1012" s="4" t="s">
        <v>2238</v>
      </c>
      <c r="V1012" s="89">
        <v>42745</v>
      </c>
      <c r="W1012" s="6">
        <f>LOOKUP($E1012,OBRAS!$D:$D,OBRAS!K:K)</f>
        <v>2329580.42</v>
      </c>
      <c r="X1012" s="109">
        <f t="shared" si="246"/>
        <v>8.6699999999999999E-2</v>
      </c>
      <c r="Y1012" s="109">
        <f t="shared" si="247"/>
        <v>0.92679999999999996</v>
      </c>
      <c r="Z1012" s="109">
        <f t="shared" si="248"/>
        <v>0.92669999999999997</v>
      </c>
      <c r="AA1012" s="4" t="str">
        <f>LOOKUP($E1012,OBRAS!$D:$D,OBRAS!H:H)</f>
        <v>SH-ED-16-060</v>
      </c>
    </row>
    <row r="1013" spans="1:27" ht="75" x14ac:dyDescent="0.25">
      <c r="A1013" s="90">
        <v>42726</v>
      </c>
      <c r="B1013" s="56">
        <v>6192</v>
      </c>
      <c r="C1013" s="51">
        <v>1012</v>
      </c>
      <c r="D1013" s="4" t="str">
        <f>LOOKUP($E1013,OBRAS!$D:$D,OBRAS!C:C)</f>
        <v>REHABILITACION DE EDIFICIO PARA ALBERGAR JUZGADO DE ORALIDAD PENAL DEL DISTRITO JUDICIAL CON SEDE EN HERMOSILLO 2DA ETAPA (SEGUNDO NIVEL) EN LA LOCALIDAD Y MUNICIPIO DE HERMOSILLO, SONORA.</v>
      </c>
      <c r="E1013" s="4" t="s">
        <v>707</v>
      </c>
      <c r="F1013" s="4" t="s">
        <v>224</v>
      </c>
      <c r="G1013" s="4" t="str">
        <f>LOOKUP($E1013,OBRAS!$D:$D,OBRAS!E:E)</f>
        <v>C-00058/0010</v>
      </c>
      <c r="H1013" s="80" t="s">
        <v>55</v>
      </c>
      <c r="I1013" s="6">
        <v>577612.23</v>
      </c>
      <c r="J1013" s="6"/>
      <c r="K1013" s="6">
        <f>ROUND(I1013*0.3,2)</f>
        <v>173283.67</v>
      </c>
      <c r="L1013" s="6">
        <f t="shared" si="249"/>
        <v>404328.56</v>
      </c>
      <c r="M1013" s="6">
        <f t="shared" si="243"/>
        <v>64692.57</v>
      </c>
      <c r="N1013" s="6">
        <f t="shared" si="244"/>
        <v>469021.13</v>
      </c>
      <c r="O1013" s="6">
        <f>+ROUND(I1013*0.002,2)+ROUND(I1013*0.0003,2)+ROUND(I1013*0.0003,2)+ROUND(I1013*0.0003,2)+ROUND(I1013*0.002,2)</f>
        <v>2830.28</v>
      </c>
      <c r="P1013" s="6">
        <f t="shared" si="245"/>
        <v>466190.85</v>
      </c>
      <c r="Q1013" s="4" t="str">
        <f>LOOKUP($E1013,OBRAS!$D:$D,OBRAS!B:B)</f>
        <v>INMOBILIARIA TIERRAS DEL DESIERTO, S.A. DE C.V.</v>
      </c>
      <c r="R1013" s="4" t="str">
        <f>LOOKUP($E1013,OBRAS!$D:$D,OBRAS!A:A)</f>
        <v>HERMOSILLO</v>
      </c>
      <c r="S1013" s="4" t="str">
        <f>LOOKUP($E1013,OBRAS!$D:$D,OBRAS!F:F)</f>
        <v>11000002001202E105K13041A622032165DM07</v>
      </c>
      <c r="T1013" s="4" t="str">
        <f>LOOKUP($E1013,OBRAS!$D:$D,OBRAS!G:G)</f>
        <v>LICITACIÓN SIMPLIFICADA</v>
      </c>
      <c r="U1013" s="4" t="s">
        <v>863</v>
      </c>
      <c r="V1013" s="89">
        <v>42734</v>
      </c>
      <c r="W1013" s="6">
        <f>LOOKUP($E1013,OBRAS!$D:$D,OBRAS!K:K)</f>
        <v>2145846.29</v>
      </c>
      <c r="X1013" s="109">
        <f t="shared" si="246"/>
        <v>0.31219999999999998</v>
      </c>
      <c r="Y1013" s="109">
        <f t="shared" si="247"/>
        <v>1.1404000000000001</v>
      </c>
      <c r="Z1013" s="109">
        <f t="shared" si="248"/>
        <v>1.0005999999999999</v>
      </c>
      <c r="AA1013" s="4" t="str">
        <f>LOOKUP($E1013,OBRAS!$D:$D,OBRAS!H:H)</f>
        <v>SH-FAFEF-17-R-002</v>
      </c>
    </row>
    <row r="1014" spans="1:27" ht="30" x14ac:dyDescent="0.25">
      <c r="A1014" s="90">
        <v>42726</v>
      </c>
      <c r="B1014" s="56">
        <v>6195</v>
      </c>
      <c r="C1014" s="51">
        <v>1013</v>
      </c>
      <c r="D1014" s="4" t="str">
        <f>LOOKUP($E1014,OBRAS!$D:$D,OBRAS!C:C)</f>
        <v>EQUIPAMIENTO DE GIMNASIO DE HALTEROFILIA EN UNIDAD DEPORTIVA GUAYMAS SUR</v>
      </c>
      <c r="E1014" s="4" t="s">
        <v>2043</v>
      </c>
      <c r="F1014" s="4" t="s">
        <v>224</v>
      </c>
      <c r="G1014" s="4" t="str">
        <f>LOOKUP($E1014,OBRAS!$D:$D,OBRAS!E:E)</f>
        <v>C-00064/0043</v>
      </c>
      <c r="H1014" s="80" t="s">
        <v>55</v>
      </c>
      <c r="I1014" s="6">
        <v>786915</v>
      </c>
      <c r="J1014" s="6"/>
      <c r="K1014" s="6">
        <v>0</v>
      </c>
      <c r="L1014" s="6">
        <f t="shared" si="249"/>
        <v>786915</v>
      </c>
      <c r="M1014" s="6">
        <f t="shared" si="243"/>
        <v>125906.4</v>
      </c>
      <c r="N1014" s="6">
        <f t="shared" si="244"/>
        <v>912821.4</v>
      </c>
      <c r="O1014" s="6">
        <f>+ROUND(I1014*0.005,2)</f>
        <v>3934.58</v>
      </c>
      <c r="P1014" s="6">
        <f t="shared" si="245"/>
        <v>908886.82</v>
      </c>
      <c r="Q1014" s="4" t="str">
        <f>LOOKUP($E1014,OBRAS!$D:$D,OBRAS!B:B)</f>
        <v>SEINMI, S.A. DE C.V.</v>
      </c>
      <c r="R1014" s="4" t="str">
        <f>LOOKUP($E1014,OBRAS!$D:$D,OBRAS!A:A)</f>
        <v>GUAYMAS</v>
      </c>
      <c r="S1014" s="4" t="str">
        <f>LOOKUP($E1014,OBRAS!$D:$D,OBRAS!F:F)</f>
        <v>11000002002401E406K07203A612112161A010</v>
      </c>
      <c r="T1014" s="4">
        <f>LOOKUP($E1014,OBRAS!$D:$D,OBRAS!G:G)</f>
        <v>0</v>
      </c>
      <c r="U1014" s="4" t="s">
        <v>2238</v>
      </c>
      <c r="V1014" s="89">
        <v>42741</v>
      </c>
      <c r="W1014" s="6">
        <f>LOOKUP($E1014,OBRAS!$D:$D,OBRAS!K:K)</f>
        <v>10287366.43</v>
      </c>
      <c r="X1014" s="109">
        <f t="shared" si="246"/>
        <v>8.8700000000000001E-2</v>
      </c>
      <c r="Y1014" s="109">
        <f t="shared" si="247"/>
        <v>8.8700000000000001E-2</v>
      </c>
      <c r="Z1014" s="109">
        <f t="shared" si="248"/>
        <v>8.8700000000000001E-2</v>
      </c>
      <c r="AA1014" s="4" t="str">
        <f>LOOKUP($E1014,OBRAS!$D:$D,OBRAS!H:H)</f>
        <v>SH-ED-16-226</v>
      </c>
    </row>
    <row r="1015" spans="1:27" ht="30" x14ac:dyDescent="0.25">
      <c r="A1015" s="90">
        <v>42730</v>
      </c>
      <c r="B1015" s="56">
        <v>6245</v>
      </c>
      <c r="C1015" s="51">
        <v>1014</v>
      </c>
      <c r="D1015" s="4" t="str">
        <f>LOOKUP($E1015,OBRAS!$D:$D,OBRAS!C:C)</f>
        <v>REHABILITACION Y EQUIPAMIENTO DE LA UNIDAD DEPORTIVA AURELIO RODRIGUEZ</v>
      </c>
      <c r="E1015" s="4" t="s">
        <v>2057</v>
      </c>
      <c r="F1015" s="4"/>
      <c r="G1015" s="4" t="str">
        <f>LOOKUP($E1015,OBRAS!$D:$D,OBRAS!E:E)</f>
        <v>C-00064/0042</v>
      </c>
      <c r="H1015" s="80" t="s">
        <v>103</v>
      </c>
      <c r="I1015" s="6">
        <v>1214323.1499999999</v>
      </c>
      <c r="J1015" s="6"/>
      <c r="K1015" s="6">
        <v>0</v>
      </c>
      <c r="L1015" s="6">
        <f t="shared" si="249"/>
        <v>1214323.1499999999</v>
      </c>
      <c r="M1015" s="6">
        <f t="shared" si="243"/>
        <v>194291.7</v>
      </c>
      <c r="N1015" s="6">
        <f t="shared" si="244"/>
        <v>1408614.85</v>
      </c>
      <c r="O1015" s="6">
        <f>+ROUND(I1015*0.002,2)+ROUND(I1015*0.0003,2)+ROUND(I1015*0.0003,2)+ROUND(I1015*0.0003,2)+ROUND(I1015*0.002,2)</f>
        <v>5950.2</v>
      </c>
      <c r="P1015" s="6">
        <f t="shared" si="245"/>
        <v>1402664.65</v>
      </c>
      <c r="Q1015" s="4" t="str">
        <f>LOOKUP($E1015,OBRAS!$D:$D,OBRAS!B:B)</f>
        <v>KONSTRIKSYON, S.A. DE C.V.</v>
      </c>
      <c r="R1015" s="4" t="str">
        <f>LOOKUP($E1015,OBRAS!$D:$D,OBRAS!A:A)</f>
        <v>CANANEA</v>
      </c>
      <c r="S1015" s="4" t="str">
        <f>LOOKUP($E1015,OBRAS!$D:$D,OBRAS!F:F)</f>
        <v>11000002002401E406K07203A612112165DM04</v>
      </c>
      <c r="T1015" s="4" t="str">
        <f>LOOKUP($E1015,OBRAS!$D:$D,OBRAS!G:G)</f>
        <v>LICITACIÓN SIMPLIFICADA</v>
      </c>
      <c r="U1015" s="4" t="s">
        <v>863</v>
      </c>
      <c r="V1015" s="89">
        <v>42734</v>
      </c>
      <c r="W1015" s="6">
        <f>LOOKUP($E1015,OBRAS!$D:$D,OBRAS!K:K)</f>
        <v>1408614.85</v>
      </c>
      <c r="X1015" s="109">
        <f t="shared" si="246"/>
        <v>1</v>
      </c>
      <c r="Y1015" s="109">
        <f t="shared" si="247"/>
        <v>1</v>
      </c>
      <c r="Z1015" s="109">
        <f t="shared" si="248"/>
        <v>1</v>
      </c>
      <c r="AA1015" s="4" t="str">
        <f>LOOKUP($E1015,OBRAS!$D:$D,OBRAS!H:H)</f>
        <v>SH-FAFEF-16-023</v>
      </c>
    </row>
    <row r="1016" spans="1:27" ht="45" x14ac:dyDescent="0.25">
      <c r="A1016" s="90">
        <v>42781</v>
      </c>
      <c r="B1016" s="56">
        <v>820</v>
      </c>
      <c r="C1016" s="51">
        <v>1015</v>
      </c>
      <c r="D1016" s="4" t="str">
        <f>LOOKUP($E1016,OBRAS!$D:$D,OBRAS!C:C)</f>
        <v>PAVIMENTACIÓN CON CARPETA ASFALTICA DE 5CMS DE ESPESOR EN 3 CALLES, GENERAL PLUTARCO ELIAS CALLES</v>
      </c>
      <c r="E1016" s="4" t="s">
        <v>1770</v>
      </c>
      <c r="F1016" s="4" t="s">
        <v>217</v>
      </c>
      <c r="G1016" s="4" t="str">
        <f>LOOKUP($E1016,OBRAS!$D:$D,OBRAS!E:E)</f>
        <v>C-00052/0176</v>
      </c>
      <c r="H1016" s="80" t="s">
        <v>103</v>
      </c>
      <c r="I1016" s="6">
        <v>379371.73</v>
      </c>
      <c r="J1016" s="6"/>
      <c r="K1016" s="6">
        <f>ROUND(I1016*0.3,2)</f>
        <v>113811.52</v>
      </c>
      <c r="L1016" s="6">
        <f t="shared" si="249"/>
        <v>265560.21000000002</v>
      </c>
      <c r="M1016" s="6">
        <f t="shared" si="243"/>
        <v>42489.63</v>
      </c>
      <c r="N1016" s="6">
        <f t="shared" si="244"/>
        <v>308049.84000000003</v>
      </c>
      <c r="O1016" s="6">
        <f>+ROUND(I1016*0.005,2)</f>
        <v>1896.86</v>
      </c>
      <c r="P1016" s="6">
        <f t="shared" si="245"/>
        <v>306152.98</v>
      </c>
      <c r="Q1016" s="4" t="str">
        <f>LOOKUP($E1016,OBRAS!$D:$D,OBRAS!B:B)</f>
        <v>CONSTRUSERVICIOS Y EDIFICACIONES BAJAMAR DE MEXICO S.A. DE C.V.</v>
      </c>
      <c r="R1016" s="4" t="str">
        <f>LOOKUP($E1016,OBRAS!$D:$D,OBRAS!A:A)</f>
        <v>GRAL. PLUTARCO ELIAS CALLES</v>
      </c>
      <c r="S1016" s="4" t="str">
        <f>LOOKUP($E1016,OBRAS!$D:$D,OBRAS!F:F)</f>
        <v>11000002002201E202K05186A614202165CN01</v>
      </c>
      <c r="T1016" s="4" t="str">
        <f>LOOKUP($E1016,OBRAS!$D:$D,OBRAS!G:G)</f>
        <v>IO-926006995-E159-2016</v>
      </c>
      <c r="U1016" s="4" t="s">
        <v>864</v>
      </c>
      <c r="V1016" s="89">
        <v>42802</v>
      </c>
      <c r="W1016" s="6">
        <f>LOOKUP($E1016,OBRAS!$D:$D,OBRAS!K:K)</f>
        <v>5165280.09</v>
      </c>
      <c r="X1016" s="109">
        <f t="shared" si="246"/>
        <v>8.5199999999999998E-2</v>
      </c>
      <c r="Y1016" s="109">
        <f t="shared" si="247"/>
        <v>0.85419999999999996</v>
      </c>
      <c r="Z1016" s="109">
        <f t="shared" si="248"/>
        <v>0.89790000000000003</v>
      </c>
      <c r="AA1016" s="4" t="str">
        <f>LOOKUP($E1016,OBRAS!$D:$D,OBRAS!H:H)</f>
        <v>SH-NC-17-R-004</v>
      </c>
    </row>
    <row r="1017" spans="1:27" ht="45" x14ac:dyDescent="0.25">
      <c r="A1017" s="90">
        <v>42795</v>
      </c>
      <c r="B1017" s="56">
        <v>1223</v>
      </c>
      <c r="C1017" s="51">
        <v>1016</v>
      </c>
      <c r="D1017" s="4" t="str">
        <f>LOOKUP($E1017,OBRAS!$D:$D,OBRAS!C:C)</f>
        <v>CONSTRUCCIÓN DE CENTRO DE REHABILITACIÓN Y EDUCACIÓN ESPECIAL, CD. OBREGON, CAJEME</v>
      </c>
      <c r="E1017" s="4" t="s">
        <v>621</v>
      </c>
      <c r="F1017" s="4" t="s">
        <v>225</v>
      </c>
      <c r="G1017" s="4" t="str">
        <f>LOOKUP($E1017,OBRAS!$D:$D,OBRAS!E:E)</f>
        <v>C-00119/0001</v>
      </c>
      <c r="H1017" s="80" t="s">
        <v>103</v>
      </c>
      <c r="I1017" s="6">
        <v>1176189.71</v>
      </c>
      <c r="J1017" s="6"/>
      <c r="K1017" s="6">
        <f>ROUND(I1017*0.3,2)</f>
        <v>352856.91</v>
      </c>
      <c r="L1017" s="6">
        <f t="shared" si="249"/>
        <v>823332.8</v>
      </c>
      <c r="M1017" s="6">
        <f t="shared" si="243"/>
        <v>131733.25</v>
      </c>
      <c r="N1017" s="6">
        <f t="shared" si="244"/>
        <v>955066.05</v>
      </c>
      <c r="O1017" s="6">
        <f>+ROUND(I1017*0.002,2)+ROUND(I1017*0.0003,2)+ROUND(I1017*0.0003,2)+ROUND(I1017*0.0003,2)+ROUND(I1017*0.002,2)</f>
        <v>5763.34</v>
      </c>
      <c r="P1017" s="6">
        <f t="shared" si="245"/>
        <v>949302.71</v>
      </c>
      <c r="Q1017" s="4" t="str">
        <f>LOOKUP($E1017,OBRAS!$D:$D,OBRAS!B:B)</f>
        <v>PROYECTOS Y CONSTRUCCIONES ALHER, S.A. DE C.V.</v>
      </c>
      <c r="R1017" s="4" t="str">
        <f>LOOKUP($E1017,OBRAS!$D:$D,OBRAS!A:A)</f>
        <v>CAJEME</v>
      </c>
      <c r="S1017" s="4" t="str">
        <f>LOOKUP($E1017,OBRAS!$D:$D,OBRAS!F:F)</f>
        <v>11000002002303E412K27152A622102162A211</v>
      </c>
      <c r="T1017" s="4" t="str">
        <f>LOOKUP($E1017,OBRAS!$D:$D,OBRAS!G:G)</f>
        <v>CE-926006995-E61-2016</v>
      </c>
      <c r="U1017" s="4" t="s">
        <v>864</v>
      </c>
      <c r="V1017" s="89">
        <v>42816</v>
      </c>
      <c r="W1017" s="6">
        <f>LOOKUP($E1017,OBRAS!$D:$D,OBRAS!K:K)</f>
        <v>38949797.340000004</v>
      </c>
      <c r="X1017" s="109">
        <f t="shared" si="246"/>
        <v>3.5000000000000003E-2</v>
      </c>
      <c r="Y1017" s="109">
        <f t="shared" si="247"/>
        <v>0.1762</v>
      </c>
      <c r="Z1017" s="109">
        <f t="shared" si="248"/>
        <v>0.4229</v>
      </c>
      <c r="AA1017" s="4" t="str">
        <f>LOOKUP($E1017,OBRAS!$D:$D,OBRAS!H:H)</f>
        <v>SH-ED-17-R-004</v>
      </c>
    </row>
    <row r="1018" spans="1:27" ht="45" x14ac:dyDescent="0.25">
      <c r="A1018" s="90">
        <v>42795</v>
      </c>
      <c r="B1018" s="56">
        <v>1224</v>
      </c>
      <c r="C1018" s="51">
        <v>1017</v>
      </c>
      <c r="D1018" s="4" t="str">
        <f>LOOKUP($E1018,OBRAS!$D:$D,OBRAS!C:C)</f>
        <v>CONSTRUCCIÓN DE CENTRO DE REHABILITACIÓN Y EDUCACIÓN ESPECIAL, CD. OBREGON, CAJEME</v>
      </c>
      <c r="E1018" s="4" t="s">
        <v>621</v>
      </c>
      <c r="F1018" s="4" t="s">
        <v>225</v>
      </c>
      <c r="G1018" s="4" t="str">
        <f>LOOKUP($E1018,OBRAS!$D:$D,OBRAS!E:E)</f>
        <v>C-00119/0001</v>
      </c>
      <c r="H1018" s="80" t="s">
        <v>221</v>
      </c>
      <c r="I1018" s="6">
        <v>854721.16</v>
      </c>
      <c r="J1018" s="6"/>
      <c r="K1018" s="6">
        <f>ROUND(I1018*0.3,2)</f>
        <v>256416.35</v>
      </c>
      <c r="L1018" s="6">
        <f t="shared" si="249"/>
        <v>598304.81000000006</v>
      </c>
      <c r="M1018" s="6">
        <f t="shared" si="243"/>
        <v>95728.77</v>
      </c>
      <c r="N1018" s="6">
        <f t="shared" si="244"/>
        <v>694033.58</v>
      </c>
      <c r="O1018" s="6">
        <f>+ROUND(I1018*0.002,2)+ROUND(I1018*0.0003,2)+ROUND(I1018*0.0003,2)+ROUND(I1018*0.0003,2)+ROUND(I1018*0.002,2)</f>
        <v>4188.1400000000003</v>
      </c>
      <c r="P1018" s="6">
        <f t="shared" si="245"/>
        <v>689845.44</v>
      </c>
      <c r="Q1018" s="4" t="str">
        <f>LOOKUP($E1018,OBRAS!$D:$D,OBRAS!B:B)</f>
        <v>PROYECTOS Y CONSTRUCCIONES ALHER, S.A. DE C.V.</v>
      </c>
      <c r="R1018" s="4" t="str">
        <f>LOOKUP($E1018,OBRAS!$D:$D,OBRAS!A:A)</f>
        <v>CAJEME</v>
      </c>
      <c r="S1018" s="4" t="str">
        <f>LOOKUP($E1018,OBRAS!$D:$D,OBRAS!F:F)</f>
        <v>11000002002303E412K27152A622102162A211</v>
      </c>
      <c r="T1018" s="4" t="str">
        <f>LOOKUP($E1018,OBRAS!$D:$D,OBRAS!G:G)</f>
        <v>CE-926006995-E61-2016</v>
      </c>
      <c r="U1018" s="4" t="s">
        <v>864</v>
      </c>
      <c r="V1018" s="89">
        <v>42816</v>
      </c>
      <c r="W1018" s="6">
        <f>LOOKUP($E1018,OBRAS!$D:$D,OBRAS!K:K)</f>
        <v>38949797.340000004</v>
      </c>
      <c r="X1018" s="109">
        <f t="shared" si="246"/>
        <v>2.5499999999999998E-2</v>
      </c>
      <c r="Y1018" s="109">
        <f t="shared" si="247"/>
        <v>0.1762</v>
      </c>
      <c r="Z1018" s="109">
        <f t="shared" si="248"/>
        <v>0.4229</v>
      </c>
      <c r="AA1018" s="4" t="str">
        <f>LOOKUP($E1018,OBRAS!$D:$D,OBRAS!H:H)</f>
        <v>SH-ED-17-R-004</v>
      </c>
    </row>
    <row r="1019" spans="1:27" ht="60" x14ac:dyDescent="0.25">
      <c r="A1019" s="90">
        <v>42730</v>
      </c>
      <c r="B1019" s="56">
        <v>6249</v>
      </c>
      <c r="C1019" s="132">
        <v>1018</v>
      </c>
      <c r="D1019" s="4" t="str">
        <f>LOOKUP($E1019,OBRAS!$D:$D,OBRAS!C:C)</f>
        <v>CONSTRUCCION DE LA CARRETERA E.C. 4 SUR (ALFREDO V. BONFIL) TRAMO DEL KM 1+700 AL KM 5+600 EN VARIAS LOCALIDADES DEL MUNICIPIO DE HERMOSILLO</v>
      </c>
      <c r="E1019" s="4" t="s">
        <v>364</v>
      </c>
      <c r="F1019" s="4" t="s">
        <v>895</v>
      </c>
      <c r="G1019" s="4" t="str">
        <f>LOOKUP($E1019,OBRAS!$D:$D,OBRAS!E:E)</f>
        <v>C-00054/0066</v>
      </c>
      <c r="H1019" s="80" t="s">
        <v>15</v>
      </c>
      <c r="I1019" s="6">
        <v>2004737.48</v>
      </c>
      <c r="J1019" s="6"/>
      <c r="K1019" s="6">
        <f>ROUND(I1019*0.3,2)</f>
        <v>601421.24</v>
      </c>
      <c r="L1019" s="6">
        <f t="shared" si="249"/>
        <v>1403316.24</v>
      </c>
      <c r="M1019" s="6">
        <f t="shared" si="243"/>
        <v>224530.6</v>
      </c>
      <c r="N1019" s="6">
        <f t="shared" si="244"/>
        <v>1627846.84</v>
      </c>
      <c r="O1019" s="6">
        <f>+ROUND(I1019*0.002,2)+ROUND(I1019*0.0003,2)+ROUND(I1019*0.0003,2)+ROUND(I1019*0.0003,2)+ROUND(I1019*0.002,2)</f>
        <v>9823.2000000000007</v>
      </c>
      <c r="P1019" s="6">
        <f t="shared" si="245"/>
        <v>1618023.64</v>
      </c>
      <c r="Q1019" s="4" t="str">
        <f>LOOKUP($E1019,OBRAS!$D:$D,OBRAS!B:B)</f>
        <v>EDIFICACIONES Y PROYECTOS MOCELIK, S.A. DE C.V.</v>
      </c>
      <c r="R1019" s="4" t="str">
        <f>LOOKUP($E1019,OBRAS!$D:$D,OBRAS!A:A)</f>
        <v>HERMOSILLO</v>
      </c>
      <c r="S1019" s="4" t="str">
        <f>LOOKUP($E1019,OBRAS!$D:$D,OBRAS!F:F)</f>
        <v>11000002003501E204K08063A625012162A213</v>
      </c>
      <c r="T1019" s="4" t="str">
        <f>LOOKUP($E1019,OBRAS!$D:$D,OBRAS!G:G)</f>
        <v>CE-926006995-E34-2016</v>
      </c>
      <c r="U1019" s="4" t="s">
        <v>863</v>
      </c>
      <c r="V1019" s="89">
        <v>42762</v>
      </c>
      <c r="W1019" s="6">
        <f>LOOKUP($E1019,OBRAS!$D:$D,OBRAS!K:K)</f>
        <v>23895598.399999999</v>
      </c>
      <c r="X1019" s="109">
        <f t="shared" si="246"/>
        <v>9.7299999999999998E-2</v>
      </c>
      <c r="Y1019" s="109">
        <f t="shared" si="247"/>
        <v>0.98550000000000004</v>
      </c>
      <c r="Z1019" s="109">
        <f t="shared" si="248"/>
        <v>0.98980000000000001</v>
      </c>
      <c r="AA1019" s="4" t="str">
        <f>LOOKUP($E1019,OBRAS!$D:$D,OBRAS!H:H)</f>
        <v>SH-ED-17-R-013</v>
      </c>
    </row>
    <row r="1020" spans="1:27" ht="45" x14ac:dyDescent="0.25">
      <c r="A1020" s="90">
        <v>42731</v>
      </c>
      <c r="B1020" s="56">
        <v>6269</v>
      </c>
      <c r="C1020" s="51">
        <v>1019</v>
      </c>
      <c r="D1020" s="4" t="str">
        <f>LOOKUP($E1020,OBRAS!$D:$D,OBRAS!C:C)</f>
        <v>OBRA COMPLEMENTARIA PARA LA REMODELACION DE CENTRO INTEGRAL DE JUSTICIA EN EL DISTRITO DE HERMOSILLO.</v>
      </c>
      <c r="E1020" s="4" t="s">
        <v>2051</v>
      </c>
      <c r="F1020" s="4"/>
      <c r="G1020" s="4" t="str">
        <f>LOOKUP($E1020,OBRAS!$D:$D,OBRAS!E:E)</f>
        <v>C-00058/0031</v>
      </c>
      <c r="H1020" s="80" t="s">
        <v>103</v>
      </c>
      <c r="I1020" s="6">
        <v>730336</v>
      </c>
      <c r="J1020" s="6"/>
      <c r="K1020" s="6">
        <v>0</v>
      </c>
      <c r="L1020" s="6">
        <f t="shared" si="249"/>
        <v>730336</v>
      </c>
      <c r="M1020" s="6">
        <f t="shared" si="243"/>
        <v>116853.75999999999</v>
      </c>
      <c r="N1020" s="6">
        <f t="shared" si="244"/>
        <v>847189.76</v>
      </c>
      <c r="O1020" s="6">
        <f>+ROUND(I1020*0.002,2)+ROUND(I1020*0.0003,2)+ROUND(I1020*0.0003,2)+ROUND(I1020*0.0003,2)+ROUND(I1020*0.002,2)</f>
        <v>3578.64</v>
      </c>
      <c r="P1020" s="6">
        <f t="shared" si="245"/>
        <v>843611.12</v>
      </c>
      <c r="Q1020" s="4" t="str">
        <f>LOOKUP($E1020,OBRAS!$D:$D,OBRAS!B:B)</f>
        <v>PALO FIERRO CONSTRUCCIONES, S.A. DE C.V.</v>
      </c>
      <c r="R1020" s="4" t="str">
        <f>LOOKUP($E1020,OBRAS!$D:$D,OBRAS!A:A)</f>
        <v>HERMOSILLO</v>
      </c>
      <c r="S1020" s="4" t="str">
        <f>LOOKUP($E1020,OBRAS!$D:$D,OBRAS!F:F)</f>
        <v>11000002001202E104K06104A622012165DM07</v>
      </c>
      <c r="T1020" s="4" t="str">
        <f>LOOKUP($E1020,OBRAS!$D:$D,OBRAS!G:G)</f>
        <v>ADJUDICACIÓN DIRECTA</v>
      </c>
      <c r="U1020" s="4" t="s">
        <v>863</v>
      </c>
      <c r="V1020" s="89">
        <v>42734</v>
      </c>
      <c r="W1020" s="6">
        <f>LOOKUP($E1020,OBRAS!$D:$D,OBRAS!K:K)</f>
        <v>847189.76</v>
      </c>
      <c r="X1020" s="109">
        <f t="shared" si="246"/>
        <v>1</v>
      </c>
      <c r="Y1020" s="109">
        <f t="shared" si="247"/>
        <v>1</v>
      </c>
      <c r="Z1020" s="109">
        <f t="shared" si="248"/>
        <v>1</v>
      </c>
      <c r="AA1020" s="4" t="str">
        <f>LOOKUP($E1020,OBRAS!$D:$D,OBRAS!H:H)</f>
        <v>SH-FAFEF-16-031</v>
      </c>
    </row>
    <row r="1021" spans="1:27" ht="60" x14ac:dyDescent="0.25">
      <c r="A1021" s="90">
        <v>42731</v>
      </c>
      <c r="B1021" s="56">
        <v>6270</v>
      </c>
      <c r="C1021" s="51">
        <v>1020</v>
      </c>
      <c r="D1021" s="4" t="str">
        <f>LOOKUP($E1021,OBRAS!$D:$D,OBRAS!C:C)</f>
        <v>SUPERVISION EXTERNA Y CONTROL DE CALIDAD DE LA OBRA: CREACION DEL CENTRO DE JUSTICIA PARA LAS MUJERES EN LA LOCALIDAD Y MUNICIPIO DE HERMOSILLO.</v>
      </c>
      <c r="E1021" s="4" t="s">
        <v>2058</v>
      </c>
      <c r="F1021" s="4"/>
      <c r="G1021" s="4" t="str">
        <f>LOOKUP($E1021,OBRAS!$D:$D,OBRAS!E:E)</f>
        <v>C-00058/0026</v>
      </c>
      <c r="H1021" s="80" t="s">
        <v>103</v>
      </c>
      <c r="I1021" s="6">
        <v>201343.89</v>
      </c>
      <c r="J1021" s="6"/>
      <c r="K1021" s="6">
        <v>0</v>
      </c>
      <c r="L1021" s="6">
        <f t="shared" si="249"/>
        <v>201343.89</v>
      </c>
      <c r="M1021" s="6">
        <f t="shared" si="243"/>
        <v>32215.02</v>
      </c>
      <c r="N1021" s="6">
        <f t="shared" si="244"/>
        <v>233558.91</v>
      </c>
      <c r="O1021" s="6">
        <f>+ROUND(I1021*0.005,2)</f>
        <v>1006.72</v>
      </c>
      <c r="P1021" s="6">
        <f t="shared" si="245"/>
        <v>232552.19</v>
      </c>
      <c r="Q1021" s="4" t="str">
        <f>LOOKUP($E1021,OBRAS!$D:$D,OBRAS!B:B)</f>
        <v>CASA FUTURA GISA, S.A. DE C.V.</v>
      </c>
      <c r="R1021" s="4" t="str">
        <f>LOOKUP($E1021,OBRAS!$D:$D,OBRAS!A:A)</f>
        <v>HERMOSILLO</v>
      </c>
      <c r="S1021" s="4" t="str">
        <f>LOOKUP($E1021,OBRAS!$D:$D,OBRAS!F:F)</f>
        <v>11000002001202E105K03205K622012165HR07</v>
      </c>
      <c r="T1021" s="4" t="str">
        <f>LOOKUP($E1021,OBRAS!$D:$D,OBRAS!G:G)</f>
        <v>ADJUDICACIÓN DIRECTA</v>
      </c>
      <c r="U1021" s="4" t="s">
        <v>863</v>
      </c>
      <c r="V1021" s="89">
        <v>42734</v>
      </c>
      <c r="W1021" s="6">
        <f>LOOKUP($E1021,OBRAS!$D:$D,OBRAS!K:K)</f>
        <v>233558.91</v>
      </c>
      <c r="X1021" s="109">
        <f t="shared" si="246"/>
        <v>1</v>
      </c>
      <c r="Y1021" s="109">
        <f t="shared" si="247"/>
        <v>1</v>
      </c>
      <c r="Z1021" s="109">
        <f t="shared" si="248"/>
        <v>1</v>
      </c>
      <c r="AA1021" s="4" t="str">
        <f>LOOKUP($E1021,OBRAS!$D:$D,OBRAS!H:H)</f>
        <v>SH-NC-16-148</v>
      </c>
    </row>
    <row r="1022" spans="1:27" ht="60" x14ac:dyDescent="0.25">
      <c r="A1022" s="90">
        <v>42731</v>
      </c>
      <c r="B1022" s="56">
        <v>6271</v>
      </c>
      <c r="C1022" s="51">
        <v>1021</v>
      </c>
      <c r="D1022" s="4" t="str">
        <f>LOOKUP($E1022,OBRAS!$D:$D,OBRAS!C:C)</f>
        <v>TERMINACION DE LA AMPLIACION DE EDIFICIO PARA ALBERGAR JUZGADO DE ORALIDAD PENAL CON SEDE EN LA LOCALIDAD Y MUNICIPIO DE SONORA.</v>
      </c>
      <c r="E1022" s="4" t="s">
        <v>2065</v>
      </c>
      <c r="F1022" s="4"/>
      <c r="G1022" s="4" t="str">
        <f>LOOKUP($E1022,OBRAS!$D:$D,OBRAS!E:E)</f>
        <v>C-00058/0023</v>
      </c>
      <c r="H1022" s="80" t="s">
        <v>103</v>
      </c>
      <c r="I1022" s="6">
        <v>1817416.57</v>
      </c>
      <c r="J1022" s="6"/>
      <c r="K1022" s="6">
        <v>0</v>
      </c>
      <c r="L1022" s="6">
        <f t="shared" si="249"/>
        <v>1817416.57</v>
      </c>
      <c r="M1022" s="6">
        <f t="shared" si="243"/>
        <v>290786.65000000002</v>
      </c>
      <c r="N1022" s="6">
        <f t="shared" si="244"/>
        <v>2108203.2200000002</v>
      </c>
      <c r="O1022" s="6">
        <f>+ROUND(I1022*0.002,2)+ROUND(I1022*0.0003,2)+ROUND(I1022*0.0003,2)+ROUND(I1022*0.0003,2)+ROUND(I1022*0.002,2)</f>
        <v>8905.32</v>
      </c>
      <c r="P1022" s="6">
        <f t="shared" si="245"/>
        <v>2099297.9</v>
      </c>
      <c r="Q1022" s="4" t="str">
        <f>LOOKUP($E1022,OBRAS!$D:$D,OBRAS!B:B)</f>
        <v>GRUPO GUIMEL, S.A. DE C.V.</v>
      </c>
      <c r="R1022" s="4" t="str">
        <f>LOOKUP($E1022,OBRAS!$D:$D,OBRAS!A:A)</f>
        <v>NAVOJOA</v>
      </c>
      <c r="S1022" s="4" t="str">
        <f>LOOKUP($E1022,OBRAS!$D:$D,OBRAS!F:F)</f>
        <v>11000002001202E104A62202165DM12</v>
      </c>
      <c r="T1022" s="4" t="str">
        <f>LOOKUP($E1022,OBRAS!$D:$D,OBRAS!G:G)</f>
        <v>LICITACIÓN SIMPLIFICADA</v>
      </c>
      <c r="U1022" s="4" t="s">
        <v>863</v>
      </c>
      <c r="V1022" s="89">
        <v>42734</v>
      </c>
      <c r="W1022" s="6">
        <f>LOOKUP($E1022,OBRAS!$D:$D,OBRAS!K:K)</f>
        <v>2108203.2200000002</v>
      </c>
      <c r="X1022" s="109">
        <f t="shared" si="246"/>
        <v>1</v>
      </c>
      <c r="Y1022" s="109">
        <f t="shared" si="247"/>
        <v>1</v>
      </c>
      <c r="Z1022" s="109">
        <f t="shared" si="248"/>
        <v>1</v>
      </c>
      <c r="AA1022" s="4" t="str">
        <f>LOOKUP($E1022,OBRAS!$D:$D,OBRAS!H:H)</f>
        <v>SH-FAFEF-16-028</v>
      </c>
    </row>
    <row r="1023" spans="1:27" ht="45" x14ac:dyDescent="0.25">
      <c r="C1023" s="51">
        <v>1022</v>
      </c>
      <c r="D1023" s="4" t="str">
        <f>LOOKUP($E1023,OBRAS!$D:$D,OBRAS!C:C)</f>
        <v>CREACION DEL CENTRO DE JUSTICIA PARA LAS MUJERES EN LA LOCALIDAD Y MUNICIPIO DE HERMOSILLO, SONORA.</v>
      </c>
      <c r="E1023" s="4" t="s">
        <v>2068</v>
      </c>
      <c r="F1023" s="4"/>
      <c r="G1023" s="4" t="str">
        <f>LOOKUP($E1023,OBRAS!$D:$D,OBRAS!E:E)</f>
        <v>C-00058/0026</v>
      </c>
      <c r="H1023" s="80" t="s">
        <v>23</v>
      </c>
      <c r="I1023" s="6">
        <v>7402658.6699999999</v>
      </c>
      <c r="J1023" s="6"/>
      <c r="K1023" s="6">
        <v>0</v>
      </c>
      <c r="L1023" s="6">
        <f t="shared" si="249"/>
        <v>7402658.6699999999</v>
      </c>
      <c r="M1023" s="6">
        <f t="shared" si="243"/>
        <v>1184425.3899999999</v>
      </c>
      <c r="N1023" s="6">
        <f t="shared" si="244"/>
        <v>8587084.0600000005</v>
      </c>
      <c r="O1023" s="6">
        <v>0</v>
      </c>
      <c r="P1023" s="6">
        <f t="shared" si="245"/>
        <v>8587084.0600000005</v>
      </c>
      <c r="Q1023" s="4" t="str">
        <f>LOOKUP($E1023,OBRAS!$D:$D,OBRAS!B:B)</f>
        <v>GRUPO CONSTRUCTOR TERRO, S.A. DE C.V.</v>
      </c>
      <c r="R1023" s="4" t="str">
        <f>LOOKUP($E1023,OBRAS!$D:$D,OBRAS!A:A)</f>
        <v>HERMOSILLO</v>
      </c>
      <c r="S1023" s="4" t="str">
        <f>LOOKUP($E1023,OBRAS!$D:$D,OBRAS!F:F)</f>
        <v>11000002001202E105K13041K622012172A207</v>
      </c>
      <c r="T1023" s="4" t="str">
        <f>LOOKUP($E1023,OBRAS!$D:$D,OBRAS!G:G)</f>
        <v>LO-926006995-E164-2016</v>
      </c>
      <c r="U1023" s="4" t="s">
        <v>864</v>
      </c>
      <c r="V1023" s="89">
        <v>42810</v>
      </c>
      <c r="W1023" s="6">
        <f>LOOKUP($E1023,OBRAS!$D:$D,OBRAS!K:K)</f>
        <v>28623613.550000001</v>
      </c>
      <c r="X1023" s="109" t="str">
        <f t="shared" si="246"/>
        <v/>
      </c>
      <c r="Y1023" s="109">
        <f t="shared" si="247"/>
        <v>0</v>
      </c>
      <c r="Z1023" s="109">
        <f t="shared" si="248"/>
        <v>0.3</v>
      </c>
      <c r="AA1023" s="4" t="str">
        <f>LOOKUP($E1023,OBRAS!$D:$D,OBRAS!H:H)</f>
        <v>SH-ED-17-009</v>
      </c>
    </row>
    <row r="1024" spans="1:27" ht="45" x14ac:dyDescent="0.25">
      <c r="A1024" s="90">
        <v>42731</v>
      </c>
      <c r="B1024" s="56">
        <v>6300</v>
      </c>
      <c r="C1024" s="51">
        <v>1023</v>
      </c>
      <c r="D1024" s="4" t="str">
        <f>LOOKUP($E1024,OBRAS!$D:$D,OBRAS!C:C)</f>
        <v>DIRECTOR RESPONSABLE DE OBRA: CREACION DEL CENTRO DE JUSTICIA PARA LAS MUJERES EN LA LOCALIDAD Y MUNICIPIO DE SONORA.</v>
      </c>
      <c r="E1024" s="4" t="s">
        <v>2074</v>
      </c>
      <c r="F1024" s="4"/>
      <c r="G1024" s="4" t="str">
        <f>LOOKUP($E1024,OBRAS!$D:$D,OBRAS!E:E)</f>
        <v>C-00058/0026</v>
      </c>
      <c r="H1024" s="80" t="s">
        <v>103</v>
      </c>
      <c r="I1024" s="6">
        <v>550000</v>
      </c>
      <c r="J1024" s="6"/>
      <c r="K1024" s="6">
        <v>0</v>
      </c>
      <c r="L1024" s="6">
        <f t="shared" si="249"/>
        <v>550000</v>
      </c>
      <c r="M1024" s="6">
        <f t="shared" si="243"/>
        <v>88000</v>
      </c>
      <c r="N1024" s="6">
        <f t="shared" si="244"/>
        <v>638000</v>
      </c>
      <c r="O1024" s="6">
        <f>+ROUND(I1024*0.005,2)</f>
        <v>2750</v>
      </c>
      <c r="P1024" s="6">
        <f t="shared" si="245"/>
        <v>635250</v>
      </c>
      <c r="Q1024" s="4" t="str">
        <f>LOOKUP($E1024,OBRAS!$D:$D,OBRAS!B:B)</f>
        <v>ING. JULIO CESAR FERRA GUTIERREZ</v>
      </c>
      <c r="R1024" s="4" t="str">
        <f>LOOKUP($E1024,OBRAS!$D:$D,OBRAS!A:A)</f>
        <v>HERMOSILLO</v>
      </c>
      <c r="S1024" s="4" t="str">
        <f>LOOKUP($E1024,OBRAS!$D:$D,OBRAS!F:F)</f>
        <v>11000002001202E105K03205K622012165HR07</v>
      </c>
      <c r="T1024" s="4" t="str">
        <f>LOOKUP($E1024,OBRAS!$D:$D,OBRAS!G:G)</f>
        <v>ADJUDICACIÓN DIRECTA</v>
      </c>
      <c r="U1024" s="4" t="s">
        <v>863</v>
      </c>
      <c r="V1024" s="89">
        <v>42734</v>
      </c>
      <c r="W1024" s="6">
        <f>LOOKUP($E1024,OBRAS!$D:$D,OBRAS!K:K)</f>
        <v>638000</v>
      </c>
      <c r="X1024" s="109">
        <f t="shared" si="246"/>
        <v>1</v>
      </c>
      <c r="Y1024" s="109">
        <f t="shared" si="247"/>
        <v>1</v>
      </c>
      <c r="Z1024" s="109">
        <f t="shared" si="248"/>
        <v>1</v>
      </c>
      <c r="AA1024" s="4" t="str">
        <f>LOOKUP($E1024,OBRAS!$D:$D,OBRAS!H:H)</f>
        <v>SH-NC-16-148</v>
      </c>
    </row>
    <row r="1025" spans="1:27" ht="60" x14ac:dyDescent="0.25">
      <c r="C1025" s="51">
        <v>1024</v>
      </c>
      <c r="D1025" s="4" t="str">
        <f>LOOKUP($E1025,OBRAS!$D:$D,OBRAS!C:C)</f>
        <v>TERMINACION DE LA AMPLIACION DE EDIFICIO PARA ALBERGAR JUZGADO DE ORALIDAD PENAL CON SEDE EN LA LOCALIDAD Y MUNICIPIO DE CABORCA, SONORA.</v>
      </c>
      <c r="E1025" s="4" t="s">
        <v>2075</v>
      </c>
      <c r="F1025" s="4"/>
      <c r="G1025" s="4" t="str">
        <f>LOOKUP($E1025,OBRAS!$D:$D,OBRAS!E:E)</f>
        <v>C-00058/0025</v>
      </c>
      <c r="H1025" s="80" t="s">
        <v>103</v>
      </c>
      <c r="I1025" s="6">
        <v>1783147.72</v>
      </c>
      <c r="J1025" s="6"/>
      <c r="K1025" s="6">
        <v>0</v>
      </c>
      <c r="L1025" s="6">
        <f t="shared" si="249"/>
        <v>1783147.72</v>
      </c>
      <c r="M1025" s="6">
        <f t="shared" si="243"/>
        <v>285303.64</v>
      </c>
      <c r="N1025" s="6">
        <f t="shared" si="244"/>
        <v>2068451.36</v>
      </c>
      <c r="O1025" s="6">
        <f t="shared" ref="O1025:O1033" si="250">+ROUND(I1025*0.002,2)+ROUND(I1025*0.0003,2)+ROUND(I1025*0.0003,2)+ROUND(I1025*0.0003,2)+ROUND(I1025*0.002,2)</f>
        <v>8737.42</v>
      </c>
      <c r="P1025" s="6">
        <f t="shared" si="245"/>
        <v>2059713.94</v>
      </c>
      <c r="Q1025" s="4" t="str">
        <f>LOOKUP($E1025,OBRAS!$D:$D,OBRAS!B:B)</f>
        <v>ZERO EDIFICACIONES,S.A. DE C.V.</v>
      </c>
      <c r="R1025" s="4" t="str">
        <f>LOOKUP($E1025,OBRAS!$D:$D,OBRAS!A:A)</f>
        <v>CABORCA</v>
      </c>
      <c r="S1025" s="4" t="str">
        <f>LOOKUP($E1025,OBRAS!$D:$D,OBRAS!F:F)</f>
        <v>11000002001202E104K06104A622022165DM02</v>
      </c>
      <c r="T1025" s="4" t="str">
        <f>LOOKUP($E1025,OBRAS!$D:$D,OBRAS!G:G)</f>
        <v>LICITACIÓN SIMPLIFICADA</v>
      </c>
      <c r="U1025" s="4" t="s">
        <v>863</v>
      </c>
      <c r="V1025" s="89">
        <v>42759</v>
      </c>
      <c r="W1025" s="6">
        <f>LOOKUP($E1025,OBRAS!$D:$D,OBRAS!K:K)</f>
        <v>2068451.35</v>
      </c>
      <c r="X1025" s="109">
        <f t="shared" si="246"/>
        <v>1</v>
      </c>
      <c r="Y1025" s="109">
        <f t="shared" si="247"/>
        <v>1</v>
      </c>
      <c r="Z1025" s="109">
        <f t="shared" si="248"/>
        <v>1</v>
      </c>
      <c r="AA1025" s="4" t="str">
        <f>LOOKUP($E1025,OBRAS!$D:$D,OBRAS!H:H)</f>
        <v>SH-FAFEF-16-028</v>
      </c>
    </row>
    <row r="1026" spans="1:27" ht="75" x14ac:dyDescent="0.25">
      <c r="C1026" s="51">
        <v>1025</v>
      </c>
      <c r="D1026" s="4" t="str">
        <f>LOOKUP($E1026,OBRAS!$D:$D,OBRAS!C:C)</f>
        <v>OBRA COMPLEMENTARIA PARA LA CONSTRUCCION Y REMODELACION DEL CENTRO DE ATENCION TEMPRANA EN EL DISTRITO DE SAN LUIS RIO COLORADO EN LA LOCALIDAD Y MUNICIPIO DE SAN LUIS RIO COLORADO, SONORA.</v>
      </c>
      <c r="E1026" s="4" t="s">
        <v>2077</v>
      </c>
      <c r="F1026" s="4"/>
      <c r="G1026" s="4" t="str">
        <f>LOOKUP($E1026,OBRAS!$D:$D,OBRAS!E:E)</f>
        <v>C-00058/0029</v>
      </c>
      <c r="H1026" s="80" t="s">
        <v>103</v>
      </c>
      <c r="I1026" s="6">
        <v>1786421.24</v>
      </c>
      <c r="J1026" s="6"/>
      <c r="K1026" s="6">
        <v>0</v>
      </c>
      <c r="L1026" s="6">
        <f t="shared" si="249"/>
        <v>1786421.24</v>
      </c>
      <c r="M1026" s="6">
        <f t="shared" ref="M1026:M1057" si="251">ROUND(L1026*0.16,2)</f>
        <v>285827.40000000002</v>
      </c>
      <c r="N1026" s="6">
        <f t="shared" ref="N1026:N1057" si="252">M1026+L1026</f>
        <v>2072248.64</v>
      </c>
      <c r="O1026" s="6">
        <f t="shared" si="250"/>
        <v>8753.4699999999993</v>
      </c>
      <c r="P1026" s="6">
        <f t="shared" ref="P1026:P1057" si="253">N1026-O1026</f>
        <v>2063495.17</v>
      </c>
      <c r="Q1026" s="4" t="str">
        <f>LOOKUP($E1026,OBRAS!$D:$D,OBRAS!B:B)</f>
        <v>URBANIZADORA OASIS, S.A. DE C.V.</v>
      </c>
      <c r="R1026" s="4" t="str">
        <f>LOOKUP($E1026,OBRAS!$D:$D,OBRAS!A:A)</f>
        <v>SAN LUIS RIO COLORADO</v>
      </c>
      <c r="S1026" s="4" t="str">
        <f>LOOKUP($E1026,OBRAS!$D:$D,OBRAS!F:F)</f>
        <v>11000002001202E104K06104A622012155DM01</v>
      </c>
      <c r="T1026" s="4" t="str">
        <f>LOOKUP($E1026,OBRAS!$D:$D,OBRAS!G:G)</f>
        <v>LICITACIÓN SIMPLIFICADA</v>
      </c>
      <c r="U1026" s="4" t="s">
        <v>863</v>
      </c>
      <c r="V1026" s="89">
        <v>42767</v>
      </c>
      <c r="W1026" s="6">
        <f>LOOKUP($E1026,OBRAS!$D:$D,OBRAS!K:K)</f>
        <v>2072248.64</v>
      </c>
      <c r="X1026" s="109">
        <f t="shared" ref="X1026:X1057" si="254">IF(H1026&lt;&gt;"ANTICIPO",I1026/(W1026/1.16),"")</f>
        <v>1</v>
      </c>
      <c r="Y1026" s="109">
        <f t="shared" ref="Y1026:Y1057" si="255">SUMIF(E:E,E1026,X:X)</f>
        <v>1</v>
      </c>
      <c r="Z1026" s="109">
        <f t="shared" ref="Z1026:Z1057" si="256">SUMIF(E:E,E1026,N:N)/W1026</f>
        <v>1</v>
      </c>
      <c r="AA1026" s="4" t="str">
        <f>LOOKUP($E1026,OBRAS!$D:$D,OBRAS!H:H)</f>
        <v>SH-FAFEF-16-031</v>
      </c>
    </row>
    <row r="1027" spans="1:27" ht="75" x14ac:dyDescent="0.25">
      <c r="C1027" s="51">
        <v>1026</v>
      </c>
      <c r="D1027" s="4" t="str">
        <f>LOOKUP($E1027,OBRAS!$D:$D,OBRAS!C:C)</f>
        <v>OBRA COMPLEMENTARIA PARA LA CONSTRUCCION DE CENTRO DE ATENCION TEMPRANA EN EL DISTRITO DE ALTAR, CON SEDE EN LA LOCALIDAD Y MUNICIPIO DE CABORCA, SONORA</v>
      </c>
      <c r="E1027" s="4" t="s">
        <v>2076</v>
      </c>
      <c r="F1027" s="4"/>
      <c r="G1027" s="4" t="str">
        <f>LOOKUP($E1027,OBRAS!$D:$D,OBRAS!E:E)</f>
        <v>C-00058/0032</v>
      </c>
      <c r="H1027" s="80" t="s">
        <v>103</v>
      </c>
      <c r="I1027" s="6">
        <v>371952.99</v>
      </c>
      <c r="J1027" s="6"/>
      <c r="K1027" s="6">
        <v>0</v>
      </c>
      <c r="L1027" s="6">
        <f t="shared" si="249"/>
        <v>371952.99</v>
      </c>
      <c r="M1027" s="6">
        <f t="shared" si="251"/>
        <v>59512.480000000003</v>
      </c>
      <c r="N1027" s="6">
        <f t="shared" si="252"/>
        <v>431465.47</v>
      </c>
      <c r="O1027" s="6">
        <f t="shared" si="250"/>
        <v>1822.59</v>
      </c>
      <c r="P1027" s="6">
        <f t="shared" si="253"/>
        <v>429642.88</v>
      </c>
      <c r="Q1027" s="4" t="str">
        <f>LOOKUP($E1027,OBRAS!$D:$D,OBRAS!B:B)</f>
        <v>ZERO EDIFICACIONES,S.A. DE C.V.</v>
      </c>
      <c r="R1027" s="4" t="str">
        <f>LOOKUP($E1027,OBRAS!$D:$D,OBRAS!A:A)</f>
        <v>CABORCA</v>
      </c>
      <c r="S1027" s="4" t="str">
        <f>LOOKUP($E1027,OBRAS!$D:$D,OBRAS!F:F)</f>
        <v>11000002001202E104K06104A622012165DM02C</v>
      </c>
      <c r="T1027" s="4" t="str">
        <f>LOOKUP($E1027,OBRAS!$D:$D,OBRAS!G:G)</f>
        <v>LICITACIÓN SIMPLIFICADA</v>
      </c>
      <c r="U1027" s="4" t="s">
        <v>863</v>
      </c>
      <c r="V1027" s="89">
        <v>42759</v>
      </c>
      <c r="W1027" s="6">
        <f>LOOKUP($E1027,OBRAS!$D:$D,OBRAS!K:K)</f>
        <v>2104279.17</v>
      </c>
      <c r="X1027" s="109">
        <f t="shared" si="254"/>
        <v>0.20499999999999999</v>
      </c>
      <c r="Y1027" s="109">
        <f t="shared" si="255"/>
        <v>1.0042</v>
      </c>
      <c r="Z1027" s="109">
        <f t="shared" si="256"/>
        <v>1.0042</v>
      </c>
      <c r="AA1027" s="4" t="str">
        <f>LOOKUP($E1027,OBRAS!$D:$D,OBRAS!H:H)</f>
        <v>SH-FAFEF-16-032</v>
      </c>
    </row>
    <row r="1028" spans="1:27" ht="75" x14ac:dyDescent="0.25">
      <c r="C1028" s="51">
        <v>1027</v>
      </c>
      <c r="D1028" s="4" t="str">
        <f>LOOKUP($E1028,OBRAS!$D:$D,OBRAS!C:C)</f>
        <v>OBRA COMPLEMENTARIA PARA LA CONSTRUCCION DE CENTRO DE ATENCION TEMPRANA EN EL DISTRITO DE ALTAR, CON SEDE EN LA LOCALIDAD Y MUNICIPIO DE CABORCA, SONORA</v>
      </c>
      <c r="E1028" s="4" t="s">
        <v>2076</v>
      </c>
      <c r="F1028" s="4"/>
      <c r="G1028" s="4" t="str">
        <f>LOOKUP($E1028,OBRAS!$D:$D,OBRAS!E:E)</f>
        <v>C-00058/0032</v>
      </c>
      <c r="H1028" s="80" t="s">
        <v>221</v>
      </c>
      <c r="I1028" s="6">
        <v>1449776.02</v>
      </c>
      <c r="J1028" s="6"/>
      <c r="K1028" s="6">
        <v>0</v>
      </c>
      <c r="L1028" s="6">
        <f t="shared" si="249"/>
        <v>1449776.02</v>
      </c>
      <c r="M1028" s="6">
        <f t="shared" si="251"/>
        <v>231964.16</v>
      </c>
      <c r="N1028" s="6">
        <f t="shared" si="252"/>
        <v>1681740.18</v>
      </c>
      <c r="O1028" s="6">
        <f t="shared" si="250"/>
        <v>7103.89</v>
      </c>
      <c r="P1028" s="6">
        <f t="shared" si="253"/>
        <v>1674636.29</v>
      </c>
      <c r="Q1028" s="4" t="str">
        <f>LOOKUP($E1028,OBRAS!$D:$D,OBRAS!B:B)</f>
        <v>ZERO EDIFICACIONES,S.A. DE C.V.</v>
      </c>
      <c r="R1028" s="4" t="str">
        <f>LOOKUP($E1028,OBRAS!$D:$D,OBRAS!A:A)</f>
        <v>CABORCA</v>
      </c>
      <c r="S1028" s="4" t="str">
        <f>LOOKUP($E1028,OBRAS!$D:$D,OBRAS!F:F)</f>
        <v>11000002001202E104K06104A622012165DM02C</v>
      </c>
      <c r="T1028" s="4" t="str">
        <f>LOOKUP($E1028,OBRAS!$D:$D,OBRAS!G:G)</f>
        <v>LICITACIÓN SIMPLIFICADA</v>
      </c>
      <c r="U1028" s="4" t="s">
        <v>863</v>
      </c>
      <c r="V1028" s="89">
        <v>42759</v>
      </c>
      <c r="W1028" s="6">
        <f>LOOKUP($E1028,OBRAS!$D:$D,OBRAS!K:K)</f>
        <v>2104279.17</v>
      </c>
      <c r="X1028" s="109">
        <f t="shared" si="254"/>
        <v>0.79920000000000002</v>
      </c>
      <c r="Y1028" s="109">
        <f t="shared" si="255"/>
        <v>1.0042</v>
      </c>
      <c r="Z1028" s="109">
        <f t="shared" si="256"/>
        <v>1.0042</v>
      </c>
      <c r="AA1028" s="4" t="str">
        <f>LOOKUP($E1028,OBRAS!$D:$D,OBRAS!H:H)</f>
        <v>SH-FAFEF-16-032</v>
      </c>
    </row>
    <row r="1029" spans="1:27" ht="45" x14ac:dyDescent="0.25">
      <c r="A1029" s="90">
        <v>42787</v>
      </c>
      <c r="B1029" s="56">
        <v>971</v>
      </c>
      <c r="C1029" s="132">
        <v>1028</v>
      </c>
      <c r="D1029" s="4" t="str">
        <f>LOOKUP($E1029,OBRAS!$D:$D,OBRAS!C:C)</f>
        <v>REHABILITACION DEL DELFINARIO SONORA(SEGUNDA ETAPA) EN LA LOCALIDAD DE SAN CARLOS, MUNICIPIO DE GUAYMAS</v>
      </c>
      <c r="E1029" s="4" t="s">
        <v>1746</v>
      </c>
      <c r="F1029" s="4" t="s">
        <v>217</v>
      </c>
      <c r="G1029" s="4" t="str">
        <f>LOOKUP($E1029,OBRAS!$D:$D,OBRAS!E:E)</f>
        <v>C-00061/0018</v>
      </c>
      <c r="H1029" s="80" t="s">
        <v>103</v>
      </c>
      <c r="I1029" s="6">
        <v>6604489.3700000001</v>
      </c>
      <c r="J1029" s="6"/>
      <c r="K1029" s="6">
        <v>2131451.0299999998</v>
      </c>
      <c r="L1029" s="6">
        <f t="shared" si="249"/>
        <v>4473038.34</v>
      </c>
      <c r="M1029" s="6">
        <f t="shared" si="251"/>
        <v>715686.13</v>
      </c>
      <c r="N1029" s="6">
        <f t="shared" si="252"/>
        <v>5188724.47</v>
      </c>
      <c r="O1029" s="6">
        <f t="shared" si="250"/>
        <v>32362.01</v>
      </c>
      <c r="P1029" s="6">
        <f t="shared" si="253"/>
        <v>5156362.46</v>
      </c>
      <c r="Q1029" s="4" t="str">
        <f>LOOKUP($E1029,OBRAS!$D:$D,OBRAS!B:B)</f>
        <v>CONSTRUCTORA MIRAMAR, S.A. DE C.V.</v>
      </c>
      <c r="R1029" s="4" t="str">
        <f>LOOKUP($E1029,OBRAS!$D:$D,OBRAS!A:A)</f>
        <v>GUAYMAS</v>
      </c>
      <c r="S1029" s="4" t="str">
        <f>LOOKUP($E1029,OBRAS!$D:$D,OBRAS!F:F)</f>
        <v>11000002002202E401K04039A612032165DM10</v>
      </c>
      <c r="T1029" s="4" t="str">
        <f>LOOKUP($E1029,OBRAS!$D:$D,OBRAS!G:G)</f>
        <v>CE-926006995-E161-2016</v>
      </c>
      <c r="U1029" s="4" t="s">
        <v>863</v>
      </c>
      <c r="V1029" s="89">
        <v>42794</v>
      </c>
      <c r="W1029" s="6">
        <f>LOOKUP($E1029,OBRAS!$D:$D,OBRAS!K:K)</f>
        <v>8591026.3200000003</v>
      </c>
      <c r="X1029" s="109">
        <f t="shared" si="254"/>
        <v>0.89180000000000004</v>
      </c>
      <c r="Y1029" s="109">
        <f t="shared" si="255"/>
        <v>0.89180000000000004</v>
      </c>
      <c r="Z1029" s="109">
        <f t="shared" si="256"/>
        <v>0.89180000000000004</v>
      </c>
      <c r="AA1029" s="4" t="str">
        <f>LOOKUP($E1029,OBRAS!$D:$D,OBRAS!H:H)</f>
        <v>SH-FAFEF-17-R-001</v>
      </c>
    </row>
    <row r="1030" spans="1:27" ht="45" x14ac:dyDescent="0.25">
      <c r="A1030" s="90">
        <v>42793</v>
      </c>
      <c r="B1030" s="56">
        <v>1063</v>
      </c>
      <c r="C1030" s="132">
        <v>1029</v>
      </c>
      <c r="D1030" s="4" t="str">
        <f>LOOKUP($E1030,OBRAS!$D:$D,OBRAS!C:C)</f>
        <v>REHABILITACION PAVIMENTO CON CARPETA ASFALTICA EN CALLE MIGUEL HIDALGO EN LA LOCALIDAD Y MUNICIPIO DE ETCHOJOA</v>
      </c>
      <c r="E1030" s="4" t="s">
        <v>2021</v>
      </c>
      <c r="F1030" s="4" t="s">
        <v>217</v>
      </c>
      <c r="G1030" s="4" t="str">
        <f>LOOKUP($E1030,OBRAS!$D:$D,OBRAS!E:E)</f>
        <v>C-00052/0242</v>
      </c>
      <c r="H1030" s="80" t="s">
        <v>221</v>
      </c>
      <c r="I1030" s="6">
        <f>642539.68/1.16</f>
        <v>553913.52</v>
      </c>
      <c r="J1030" s="6"/>
      <c r="K1030" s="6">
        <v>0</v>
      </c>
      <c r="L1030" s="6">
        <f t="shared" si="249"/>
        <v>553913.52</v>
      </c>
      <c r="M1030" s="6">
        <f t="shared" si="251"/>
        <v>88626.16</v>
      </c>
      <c r="N1030" s="6">
        <f t="shared" si="252"/>
        <v>642539.68000000005</v>
      </c>
      <c r="O1030" s="6">
        <f t="shared" si="250"/>
        <v>2714.17</v>
      </c>
      <c r="P1030" s="6">
        <f t="shared" si="253"/>
        <v>639825.51</v>
      </c>
      <c r="Q1030" s="4" t="str">
        <f>LOOKUP($E1030,OBRAS!$D:$D,OBRAS!B:B)</f>
        <v>GRUPO MESIS, S.A. DE C.V.</v>
      </c>
      <c r="R1030" s="4" t="str">
        <f>LOOKUP($E1030,OBRAS!$D:$D,OBRAS!A:A)</f>
        <v>ETCHOJOA</v>
      </c>
      <c r="S1030" s="4" t="str">
        <f>LOOKUP($E1030,OBRAS!$D:$D,OBRAS!F:F)</f>
        <v>11000002002201E202K05186A614202165DM12</v>
      </c>
      <c r="T1030" s="4" t="str">
        <f>LOOKUP($E1030,OBRAS!$D:$D,OBRAS!G:G)</f>
        <v>CE-926006995-E162-2016</v>
      </c>
      <c r="U1030" s="4" t="s">
        <v>866</v>
      </c>
      <c r="V1030" s="89">
        <v>42810</v>
      </c>
      <c r="W1030" s="6">
        <f>LOOKUP($E1030,OBRAS!$D:$D,OBRAS!K:K)</f>
        <v>6532283.4100000001</v>
      </c>
      <c r="X1030" s="109">
        <f t="shared" si="254"/>
        <v>9.8400000000000001E-2</v>
      </c>
      <c r="Y1030" s="109">
        <f t="shared" si="255"/>
        <v>0.54800000000000004</v>
      </c>
      <c r="Z1030" s="109">
        <f t="shared" si="256"/>
        <v>0.54790000000000005</v>
      </c>
      <c r="AA1030" s="4" t="str">
        <f>LOOKUP($E1030,OBRAS!$D:$D,OBRAS!H:H)</f>
        <v>SH-FAFEF-17-R-002</v>
      </c>
    </row>
    <row r="1031" spans="1:27" ht="30" x14ac:dyDescent="0.25">
      <c r="C1031" s="140">
        <v>1030</v>
      </c>
      <c r="D1031" s="4" t="str">
        <f>LOOKUP($E1031,OBRAS!$D:$D,OBRAS!C:C)</f>
        <v>OBRAS DE REHABILITACION DEL DELFINARIO SONORA (PRIMERA ETAPA)</v>
      </c>
      <c r="E1031" s="4" t="s">
        <v>603</v>
      </c>
      <c r="F1031" s="4" t="s">
        <v>224</v>
      </c>
      <c r="G1031" s="4" t="str">
        <f>LOOKUP($E1031,OBRAS!$D:$D,OBRAS!E:E)</f>
        <v>C-00061/0013</v>
      </c>
      <c r="H1031" s="80" t="s">
        <v>15</v>
      </c>
      <c r="I1031" s="6">
        <v>2751453.46</v>
      </c>
      <c r="J1031" s="6"/>
      <c r="K1031" s="6">
        <f>ROUND(I1031*0.3,2)+116.15</f>
        <v>825552.19</v>
      </c>
      <c r="L1031" s="6">
        <v>1925901.27</v>
      </c>
      <c r="M1031" s="6">
        <f t="shared" si="251"/>
        <v>308144.2</v>
      </c>
      <c r="N1031" s="6">
        <f t="shared" si="252"/>
        <v>2234045.4700000002</v>
      </c>
      <c r="O1031" s="6">
        <f t="shared" si="250"/>
        <v>13482.14</v>
      </c>
      <c r="P1031" s="6">
        <f t="shared" si="253"/>
        <v>2220563.33</v>
      </c>
      <c r="Q1031" s="4" t="str">
        <f>LOOKUP($E1031,OBRAS!$D:$D,OBRAS!B:B)</f>
        <v>CONSTRUCTORA MIRAMAR, S.A. DE C.V.</v>
      </c>
      <c r="R1031" s="4" t="str">
        <f>LOOKUP($E1031,OBRAS!$D:$D,OBRAS!A:A)</f>
        <v>GUAYMAS</v>
      </c>
      <c r="S1031" s="4" t="str">
        <f>LOOKUP($E1031,OBRAS!$D:$D,OBRAS!F:F)</f>
        <v>11000002002202E401K04039A622032165DM10</v>
      </c>
      <c r="T1031" s="4" t="str">
        <f>LOOKUP($E1031,OBRAS!$D:$D,OBRAS!G:G)</f>
        <v>CE-926006995-E37-2016</v>
      </c>
      <c r="U1031" s="4" t="s">
        <v>869</v>
      </c>
      <c r="V1031" s="89">
        <v>42748</v>
      </c>
      <c r="W1031" s="6">
        <f>LOOKUP($E1031,OBRAS!$D:$D,OBRAS!K:K)</f>
        <v>34216706.5</v>
      </c>
      <c r="X1031" s="109">
        <f t="shared" si="254"/>
        <v>9.3299999999999994E-2</v>
      </c>
      <c r="Y1031" s="109">
        <f t="shared" si="255"/>
        <v>0.9748</v>
      </c>
      <c r="Z1031" s="109">
        <f t="shared" si="256"/>
        <v>0.9819</v>
      </c>
      <c r="AA1031" s="4" t="str">
        <f>LOOKUP($E1031,OBRAS!$D:$D,OBRAS!H:H)</f>
        <v>SH-FAFEF-17-R-002</v>
      </c>
    </row>
    <row r="1032" spans="1:27" ht="75" x14ac:dyDescent="0.25">
      <c r="C1032" s="140">
        <v>1031</v>
      </c>
      <c r="D1032" s="4" t="str">
        <f>LOOKUP($E1032,OBRAS!$D:$D,OBRAS!C:C)</f>
        <v>REHABILITACION DE EDIFICIO PARA ALBERGAR JUZGADO DE ORALIDAD PENAL DEL DISTRITO JUDICIAL CON SEDE EN HERMOSILLO 2DA ETAPA (SEGUNDO NIVEL) EN LA LOCALIDAD Y MUNICIPIO DE HERMOSILLO, SONORA.</v>
      </c>
      <c r="E1032" s="4" t="s">
        <v>707</v>
      </c>
      <c r="F1032" s="4"/>
      <c r="G1032" s="4" t="str">
        <f>LOOKUP($E1032,OBRAS!$D:$D,OBRAS!E:E)</f>
        <v>C-00058/0010</v>
      </c>
      <c r="H1032" s="80" t="s">
        <v>215</v>
      </c>
      <c r="I1032" s="141">
        <v>862631.56</v>
      </c>
      <c r="J1032" s="141"/>
      <c r="K1032" s="6">
        <v>258789.47</v>
      </c>
      <c r="L1032" s="6">
        <f t="shared" ref="L1032:L1063" si="257">I1032-K1032</f>
        <v>603842.09</v>
      </c>
      <c r="M1032" s="6">
        <f t="shared" si="251"/>
        <v>96614.73</v>
      </c>
      <c r="N1032" s="6">
        <f t="shared" si="252"/>
        <v>700456.82</v>
      </c>
      <c r="O1032" s="6">
        <f t="shared" si="250"/>
        <v>4226.8900000000003</v>
      </c>
      <c r="P1032" s="6">
        <f t="shared" si="253"/>
        <v>696229.93</v>
      </c>
      <c r="Q1032" s="4" t="str">
        <f>LOOKUP($E1032,OBRAS!$D:$D,OBRAS!B:B)</f>
        <v>INMOBILIARIA TIERRAS DEL DESIERTO, S.A. DE C.V.</v>
      </c>
      <c r="R1032" s="4" t="str">
        <f>LOOKUP($E1032,OBRAS!$D:$D,OBRAS!A:A)</f>
        <v>HERMOSILLO</v>
      </c>
      <c r="S1032" s="4" t="str">
        <f>LOOKUP($E1032,OBRAS!$D:$D,OBRAS!F:F)</f>
        <v>11000002001202E105K13041A622032165DM07</v>
      </c>
      <c r="T1032" s="4" t="str">
        <f>LOOKUP($E1032,OBRAS!$D:$D,OBRAS!G:G)</f>
        <v>LICITACIÓN SIMPLIFICADA</v>
      </c>
      <c r="U1032" s="4" t="s">
        <v>869</v>
      </c>
      <c r="V1032" s="89">
        <v>42748</v>
      </c>
      <c r="W1032" s="6">
        <f>LOOKUP($E1032,OBRAS!$D:$D,OBRAS!K:K)</f>
        <v>2145846.29</v>
      </c>
      <c r="X1032" s="109">
        <f t="shared" si="254"/>
        <v>0.46629999999999999</v>
      </c>
      <c r="Y1032" s="109">
        <f t="shared" si="255"/>
        <v>1.1404000000000001</v>
      </c>
      <c r="Z1032" s="109">
        <f t="shared" si="256"/>
        <v>1.0005999999999999</v>
      </c>
      <c r="AA1032" s="4" t="str">
        <f>LOOKUP($E1032,OBRAS!$D:$D,OBRAS!H:H)</f>
        <v>SH-FAFEF-17-R-002</v>
      </c>
    </row>
    <row r="1033" spans="1:27" ht="30" x14ac:dyDescent="0.25">
      <c r="C1033" s="140">
        <v>1032</v>
      </c>
      <c r="D1033" s="4" t="str">
        <f>LOOKUP($E1033,OBRAS!$D:$D,OBRAS!C:C)</f>
        <v>MODERNIZACIÓN DE LA CALLE ROSALES, ETAPA 1 EN  HERMOSILLO, SONORA.</v>
      </c>
      <c r="E1033" s="4" t="s">
        <v>858</v>
      </c>
      <c r="F1033" s="4"/>
      <c r="G1033" s="4" t="str">
        <f>LOOKUP($E1033,OBRAS!$D:$D,OBRAS!E:E)</f>
        <v>C-00052/0180</v>
      </c>
      <c r="H1033" s="80" t="s">
        <v>55</v>
      </c>
      <c r="I1033" s="6">
        <v>1585142.16</v>
      </c>
      <c r="J1033" s="6"/>
      <c r="K1033" s="6">
        <f t="shared" ref="K1033:K1042" si="258">ROUND(I1033*0.3,2)</f>
        <v>475542.65</v>
      </c>
      <c r="L1033" s="6">
        <f t="shared" si="257"/>
        <v>1109599.51</v>
      </c>
      <c r="M1033" s="6">
        <f t="shared" si="251"/>
        <v>177535.92</v>
      </c>
      <c r="N1033" s="6">
        <f t="shared" si="252"/>
        <v>1287135.43</v>
      </c>
      <c r="O1033" s="6">
        <f t="shared" si="250"/>
        <v>7767.18</v>
      </c>
      <c r="P1033" s="6">
        <f t="shared" si="253"/>
        <v>1279368.25</v>
      </c>
      <c r="Q1033" s="4" t="str">
        <f>LOOKUP($E1033,OBRAS!$D:$D,OBRAS!B:B)</f>
        <v>CONSTRUCTORA PARGEL, S. A. DE C. V.</v>
      </c>
      <c r="R1033" s="4" t="str">
        <f>LOOKUP($E1033,OBRAS!$D:$D,OBRAS!A:A)</f>
        <v>HERMOSILLO</v>
      </c>
      <c r="S1033" s="4" t="str">
        <f>LOOKUP($E1033,OBRAS!$D:$D,OBRAS!F:F)</f>
        <v>11000002002201E202K05251A614202165DM07</v>
      </c>
      <c r="T1033" s="4" t="str">
        <f>LOOKUP($E1033,OBRAS!$D:$D,OBRAS!G:G)</f>
        <v>CE-926006995-E80-2016</v>
      </c>
      <c r="U1033" s="4" t="s">
        <v>870</v>
      </c>
      <c r="V1033" s="89">
        <v>42748</v>
      </c>
      <c r="W1033" s="6">
        <f>LOOKUP($E1033,OBRAS!$D:$D,OBRAS!K:K)</f>
        <v>29931744.359999999</v>
      </c>
      <c r="X1033" s="109">
        <f t="shared" si="254"/>
        <v>6.1400000000000003E-2</v>
      </c>
      <c r="Y1033" s="109">
        <f t="shared" si="255"/>
        <v>0.1181</v>
      </c>
      <c r="Z1033" s="109">
        <f t="shared" si="256"/>
        <v>0.38179999999999997</v>
      </c>
      <c r="AA1033" s="4" t="str">
        <f>LOOKUP($E1033,OBRAS!$D:$D,OBRAS!H:H)</f>
        <v>SH-FAFEF-17-R-001</v>
      </c>
    </row>
    <row r="1034" spans="1:27" ht="30" x14ac:dyDescent="0.25">
      <c r="A1034" s="90">
        <v>42768</v>
      </c>
      <c r="B1034" s="56">
        <v>552</v>
      </c>
      <c r="C1034" s="51">
        <v>1033</v>
      </c>
      <c r="D1034" s="4" t="str">
        <f>LOOKUP($E1034,OBRAS!$D:$D,OBRAS!C:C)</f>
        <v>PAVIMENTACION CON CONCRETO HIDRAULICO DE 15CM DE ESPESOR DE LA CALLE 16 DE SEPTIEMBRE</v>
      </c>
      <c r="E1034" s="4" t="s">
        <v>1620</v>
      </c>
      <c r="F1034" s="4" t="s">
        <v>217</v>
      </c>
      <c r="G1034" s="4" t="str">
        <f>LOOKUP($E1034,OBRAS!$D:$D,OBRAS!E:E)</f>
        <v>C-00052/0207</v>
      </c>
      <c r="H1034" s="80" t="s">
        <v>103</v>
      </c>
      <c r="I1034" s="6">
        <v>662295.06999999995</v>
      </c>
      <c r="J1034" s="6"/>
      <c r="K1034" s="6">
        <f t="shared" si="258"/>
        <v>198688.52</v>
      </c>
      <c r="L1034" s="6">
        <f t="shared" si="257"/>
        <v>463606.55</v>
      </c>
      <c r="M1034" s="6">
        <f t="shared" si="251"/>
        <v>74177.05</v>
      </c>
      <c r="N1034" s="6">
        <f t="shared" si="252"/>
        <v>537783.6</v>
      </c>
      <c r="O1034" s="6">
        <f t="shared" ref="O1034:O1042" si="259">+ROUND(I1034*0.005,2)</f>
        <v>3311.48</v>
      </c>
      <c r="P1034" s="6">
        <f t="shared" si="253"/>
        <v>534472.12</v>
      </c>
      <c r="Q1034" s="4" t="str">
        <f>LOOKUP($E1034,OBRAS!$D:$D,OBRAS!B:B)</f>
        <v>CONSTRUCTORA GARPE, S.A. DE C.V.</v>
      </c>
      <c r="R1034" s="4" t="str">
        <f>LOOKUP($E1034,OBRAS!$D:$D,OBRAS!A:A)</f>
        <v>BACUM</v>
      </c>
      <c r="S1034" s="4" t="str">
        <f>LOOKUP($E1034,OBRAS!$D:$D,OBRAS!F:F)</f>
        <v>11000002002201E202K05186A614202165FN10</v>
      </c>
      <c r="T1034" s="4" t="str">
        <f>LOOKUP($E1034,OBRAS!$D:$D,OBRAS!G:G)</f>
        <v>IO-926006995-E152-2016</v>
      </c>
      <c r="U1034" s="4" t="s">
        <v>863</v>
      </c>
      <c r="V1034" s="89">
        <v>42804</v>
      </c>
      <c r="W1034" s="6">
        <f>LOOKUP($E1034,OBRAS!$D:$D,OBRAS!K:K)</f>
        <v>3690591.47</v>
      </c>
      <c r="X1034" s="109">
        <f t="shared" si="254"/>
        <v>0.2082</v>
      </c>
      <c r="Y1034" s="109">
        <f t="shared" si="255"/>
        <v>0.94330000000000003</v>
      </c>
      <c r="Z1034" s="109">
        <f t="shared" si="256"/>
        <v>0.96030000000000004</v>
      </c>
      <c r="AA1034" s="4" t="str">
        <f>LOOKUP($E1034,OBRAS!$D:$D,OBRAS!H:H)</f>
        <v>SH-NC-17-R-005</v>
      </c>
    </row>
    <row r="1035" spans="1:27" ht="60" x14ac:dyDescent="0.25">
      <c r="A1035" s="90">
        <v>42768</v>
      </c>
      <c r="B1035" s="56">
        <v>553</v>
      </c>
      <c r="C1035" s="51">
        <v>1034</v>
      </c>
      <c r="D1035" s="4" t="str">
        <f>LOOKUP($E1035,OBRAS!$D:$D,OBRAS!C:C)</f>
        <v>REHABILITACION DE PAVIMENTOS A BASE DE RECARPETEO CON CARPETA ASFALTICA DE 3CM ESPESOR, EN 12 CALLES DE LA LOCALIDAD DE EMPALME</v>
      </c>
      <c r="E1035" s="4" t="s">
        <v>914</v>
      </c>
      <c r="F1035" s="4" t="s">
        <v>217</v>
      </c>
      <c r="G1035" s="4" t="str">
        <f>LOOKUP($E1035,OBRAS!$D:$D,OBRAS!E:E)</f>
        <v>C-00052/0231</v>
      </c>
      <c r="H1035" s="80" t="s">
        <v>103</v>
      </c>
      <c r="I1035" s="6">
        <v>143525.47</v>
      </c>
      <c r="J1035" s="6"/>
      <c r="K1035" s="6">
        <f t="shared" si="258"/>
        <v>43057.64</v>
      </c>
      <c r="L1035" s="6">
        <f t="shared" si="257"/>
        <v>100467.83</v>
      </c>
      <c r="M1035" s="6">
        <f t="shared" si="251"/>
        <v>16074.85</v>
      </c>
      <c r="N1035" s="6">
        <f t="shared" si="252"/>
        <v>116542.68</v>
      </c>
      <c r="O1035" s="6">
        <f t="shared" si="259"/>
        <v>717.63</v>
      </c>
      <c r="P1035" s="6">
        <f t="shared" si="253"/>
        <v>115825.05</v>
      </c>
      <c r="Q1035" s="4" t="str">
        <f>LOOKUP($E1035,OBRAS!$D:$D,OBRAS!B:B)</f>
        <v>CONCRETOS Y AGREGADOS DE CAJEME, S.A. DE C.V.</v>
      </c>
      <c r="R1035" s="4" t="str">
        <f>LOOKUP($E1035,OBRAS!$D:$D,OBRAS!A:A)</f>
        <v>EMPALME</v>
      </c>
      <c r="S1035" s="4" t="str">
        <f>LOOKUP($E1035,OBRAS!$D:$D,OBRAS!F:F)</f>
        <v>11000002002201E202K05186A614202165CN07</v>
      </c>
      <c r="T1035" s="4" t="str">
        <f>LOOKUP($E1035,OBRAS!$D:$D,OBRAS!G:G)</f>
        <v>LO-926006995-E92-2016</v>
      </c>
      <c r="U1035" s="4" t="s">
        <v>863</v>
      </c>
      <c r="V1035" s="89">
        <v>42789</v>
      </c>
      <c r="W1035" s="6">
        <f>LOOKUP($E1035,OBRAS!$D:$D,OBRAS!K:K)</f>
        <v>10237851.949999999</v>
      </c>
      <c r="X1035" s="109">
        <f t="shared" si="254"/>
        <v>1.6299999999999999E-2</v>
      </c>
      <c r="Y1035" s="109">
        <f t="shared" si="255"/>
        <v>1.6299999999999999E-2</v>
      </c>
      <c r="Z1035" s="109">
        <f t="shared" si="256"/>
        <v>0.31140000000000001</v>
      </c>
      <c r="AA1035" s="4" t="str">
        <f>LOOKUP($E1035,OBRAS!$D:$D,OBRAS!H:H)</f>
        <v>SH-NC-17-R-005</v>
      </c>
    </row>
    <row r="1036" spans="1:27" ht="45" x14ac:dyDescent="0.25">
      <c r="A1036" s="90">
        <v>42768</v>
      </c>
      <c r="B1036" s="56">
        <v>554</v>
      </c>
      <c r="C1036" s="51">
        <v>1035</v>
      </c>
      <c r="D1036" s="4" t="str">
        <f>LOOKUP($E1036,OBRAS!$D:$D,OBRAS!C:C)</f>
        <v>REHABILITACION DE PAVIMENTOS EN 12 CALLES DE CD. OBREGON NORTE EN LA LOCALIDAD DE CD. OBREGON MUNICIPIO DE CAJEME, SONORA.</v>
      </c>
      <c r="E1036" s="4" t="s">
        <v>930</v>
      </c>
      <c r="F1036" s="4" t="s">
        <v>217</v>
      </c>
      <c r="G1036" s="4" t="str">
        <f>LOOKUP($E1036,OBRAS!$D:$D,OBRAS!E:E)</f>
        <v>C-00052/0219</v>
      </c>
      <c r="H1036" s="80" t="s">
        <v>55</v>
      </c>
      <c r="I1036" s="6">
        <v>2292086.63</v>
      </c>
      <c r="J1036" s="6"/>
      <c r="K1036" s="6">
        <f t="shared" si="258"/>
        <v>687625.99</v>
      </c>
      <c r="L1036" s="6">
        <f t="shared" si="257"/>
        <v>1604460.64</v>
      </c>
      <c r="M1036" s="6">
        <f t="shared" si="251"/>
        <v>256713.7</v>
      </c>
      <c r="N1036" s="6">
        <f t="shared" si="252"/>
        <v>1861174.34</v>
      </c>
      <c r="O1036" s="6">
        <f t="shared" si="259"/>
        <v>11460.43</v>
      </c>
      <c r="P1036" s="6">
        <f t="shared" si="253"/>
        <v>1849713.91</v>
      </c>
      <c r="Q1036" s="4" t="str">
        <f>LOOKUP($E1036,OBRAS!$D:$D,OBRAS!B:B)</f>
        <v>EDIFICACION INTEGRAL DEL NOROESTE S. A. DE C. V.</v>
      </c>
      <c r="R1036" s="4" t="str">
        <f>LOOKUP($E1036,OBRAS!$D:$D,OBRAS!A:A)</f>
        <v>CAJEME</v>
      </c>
      <c r="S1036" s="4" t="str">
        <f>LOOKUP($E1036,OBRAS!$D:$D,OBRAS!F:F)</f>
        <v>11000002002201E202K05186A614202165FN11</v>
      </c>
      <c r="T1036" s="4" t="str">
        <f>LOOKUP($E1036,OBRAS!$D:$D,OBRAS!G:G)</f>
        <v>LO-926006995-E97-2016</v>
      </c>
      <c r="U1036" s="4" t="s">
        <v>863</v>
      </c>
      <c r="V1036" s="89">
        <v>42804</v>
      </c>
      <c r="W1036" s="6">
        <f>LOOKUP($E1036,OBRAS!$D:$D,OBRAS!K:K)</f>
        <v>15642799.039999999</v>
      </c>
      <c r="X1036" s="109">
        <f t="shared" si="254"/>
        <v>0.17</v>
      </c>
      <c r="Y1036" s="109">
        <f t="shared" si="255"/>
        <v>0.6623</v>
      </c>
      <c r="Z1036" s="109">
        <f t="shared" si="256"/>
        <v>0.76370000000000005</v>
      </c>
      <c r="AA1036" s="4" t="str">
        <f>LOOKUP($E1036,OBRAS!$D:$D,OBRAS!H:H)</f>
        <v>SH-NC-17-R-005</v>
      </c>
    </row>
    <row r="1037" spans="1:27" ht="45" x14ac:dyDescent="0.25">
      <c r="A1037" s="90">
        <v>42768</v>
      </c>
      <c r="B1037" s="56">
        <v>555</v>
      </c>
      <c r="C1037" s="51">
        <v>1036</v>
      </c>
      <c r="D1037" s="4" t="str">
        <f>LOOKUP($E1037,OBRAS!$D:$D,OBRAS!C:C)</f>
        <v>REHABILITACION DE PAVIMENTOS EN 13 CALLES DE CD. OBREGON ORIENTE</v>
      </c>
      <c r="E1037" s="4" t="s">
        <v>1480</v>
      </c>
      <c r="F1037" s="4" t="s">
        <v>217</v>
      </c>
      <c r="G1037" s="4" t="str">
        <f>LOOKUP($E1037,OBRAS!$D:$D,OBRAS!E:E)</f>
        <v>C-00052/0221</v>
      </c>
      <c r="H1037" s="80" t="s">
        <v>221</v>
      </c>
      <c r="I1037" s="6">
        <v>1561226.29</v>
      </c>
      <c r="J1037" s="6"/>
      <c r="K1037" s="6">
        <f t="shared" si="258"/>
        <v>468367.89</v>
      </c>
      <c r="L1037" s="6">
        <f t="shared" si="257"/>
        <v>1092858.3999999999</v>
      </c>
      <c r="M1037" s="6">
        <f t="shared" si="251"/>
        <v>174857.34</v>
      </c>
      <c r="N1037" s="6">
        <f t="shared" si="252"/>
        <v>1267715.74</v>
      </c>
      <c r="O1037" s="6">
        <f t="shared" si="259"/>
        <v>7806.13</v>
      </c>
      <c r="P1037" s="6">
        <f t="shared" si="253"/>
        <v>1259909.6100000001</v>
      </c>
      <c r="Q1037" s="4" t="str">
        <f>LOOKUP($E1037,OBRAS!$D:$D,OBRAS!B:B)</f>
        <v>INMOBILIARIA Y CONSTRUCTORA HARBOR, S.A. DE C.V.</v>
      </c>
      <c r="R1037" s="4" t="str">
        <f>LOOKUP($E1037,OBRAS!$D:$D,OBRAS!A:A)</f>
        <v>CAJEME</v>
      </c>
      <c r="S1037" s="4" t="str">
        <f>LOOKUP($E1037,OBRAS!$D:$D,OBRAS!F:F)</f>
        <v>11000002002201E202K05186A614202165FN11</v>
      </c>
      <c r="T1037" s="4" t="str">
        <f>LOOKUP($E1037,OBRAS!$D:$D,OBRAS!G:G)</f>
        <v>LO-926006995-E110-2016</v>
      </c>
      <c r="U1037" s="4" t="s">
        <v>863</v>
      </c>
      <c r="V1037" s="89">
        <v>42789</v>
      </c>
      <c r="W1037" s="6">
        <f>LOOKUP($E1037,OBRAS!$D:$D,OBRAS!K:K)</f>
        <v>18299948.469999999</v>
      </c>
      <c r="X1037" s="109">
        <f t="shared" si="254"/>
        <v>9.9000000000000005E-2</v>
      </c>
      <c r="Y1037" s="109">
        <f t="shared" si="255"/>
        <v>0.43049999999999999</v>
      </c>
      <c r="Z1037" s="109">
        <f t="shared" si="256"/>
        <v>0.60129999999999995</v>
      </c>
      <c r="AA1037" s="4" t="str">
        <f>LOOKUP($E1037,OBRAS!$D:$D,OBRAS!H:H)</f>
        <v>SH-NC-17-R-005</v>
      </c>
    </row>
    <row r="1038" spans="1:27" ht="60" x14ac:dyDescent="0.25">
      <c r="A1038" s="90">
        <v>42768</v>
      </c>
      <c r="B1038" s="56">
        <v>556</v>
      </c>
      <c r="C1038" s="51">
        <v>1037</v>
      </c>
      <c r="D1038" s="4" t="str">
        <f>LOOKUP($E1038,OBRAS!$D:$D,OBRAS!C:C)</f>
        <v>REHABILITACION DE PAVIMENTOS A BASE DE RECARPETEO CON CARPETA ASFALTICA DE 3CM ESPESOR, EN 12 CALLES DE LA LOCALIDAD DE EMPALME</v>
      </c>
      <c r="E1038" s="4" t="s">
        <v>914</v>
      </c>
      <c r="F1038" s="4" t="s">
        <v>217</v>
      </c>
      <c r="G1038" s="4" t="str">
        <f>LOOKUP($E1038,OBRAS!$D:$D,OBRAS!E:E)</f>
        <v>C-00052/0231</v>
      </c>
      <c r="H1038" s="80" t="s">
        <v>221</v>
      </c>
      <c r="I1038" s="6">
        <v>1.25</v>
      </c>
      <c r="J1038" s="6"/>
      <c r="K1038" s="6">
        <f t="shared" si="258"/>
        <v>0.38</v>
      </c>
      <c r="L1038" s="6">
        <f t="shared" si="257"/>
        <v>0.87</v>
      </c>
      <c r="M1038" s="6">
        <f t="shared" si="251"/>
        <v>0.14000000000000001</v>
      </c>
      <c r="N1038" s="6">
        <f t="shared" si="252"/>
        <v>1.01</v>
      </c>
      <c r="O1038" s="6">
        <f t="shared" si="259"/>
        <v>0.01</v>
      </c>
      <c r="P1038" s="6">
        <f t="shared" si="253"/>
        <v>1</v>
      </c>
      <c r="Q1038" s="4" t="str">
        <f>LOOKUP($E1038,OBRAS!$D:$D,OBRAS!B:B)</f>
        <v>CONCRETOS Y AGREGADOS DE CAJEME, S.A. DE C.V.</v>
      </c>
      <c r="R1038" s="4" t="str">
        <f>LOOKUP($E1038,OBRAS!$D:$D,OBRAS!A:A)</f>
        <v>EMPALME</v>
      </c>
      <c r="S1038" s="4" t="str">
        <f>LOOKUP($E1038,OBRAS!$D:$D,OBRAS!F:F)</f>
        <v>11000002002201E202K05186A614202165CN07</v>
      </c>
      <c r="T1038" s="4" t="str">
        <f>LOOKUP($E1038,OBRAS!$D:$D,OBRAS!G:G)</f>
        <v>LO-926006995-E92-2016</v>
      </c>
      <c r="U1038" s="4" t="s">
        <v>863</v>
      </c>
      <c r="V1038" s="89">
        <v>42789</v>
      </c>
      <c r="W1038" s="6">
        <f>LOOKUP($E1038,OBRAS!$D:$D,OBRAS!K:K)</f>
        <v>10237851.949999999</v>
      </c>
      <c r="X1038" s="109">
        <f t="shared" si="254"/>
        <v>0</v>
      </c>
      <c r="Y1038" s="109">
        <f t="shared" si="255"/>
        <v>1.6299999999999999E-2</v>
      </c>
      <c r="Z1038" s="109">
        <f t="shared" si="256"/>
        <v>0.31140000000000001</v>
      </c>
      <c r="AA1038" s="4" t="str">
        <f>LOOKUP($E1038,OBRAS!$D:$D,OBRAS!H:H)</f>
        <v>SH-NC-17-R-005</v>
      </c>
    </row>
    <row r="1039" spans="1:27" ht="45" x14ac:dyDescent="0.25">
      <c r="A1039" s="90">
        <v>42768</v>
      </c>
      <c r="B1039" s="56">
        <v>557</v>
      </c>
      <c r="C1039" s="51">
        <v>1038</v>
      </c>
      <c r="D1039" s="4" t="str">
        <f>LOOKUP($E1039,OBRAS!$D:$D,OBRAS!C:C)</f>
        <v>REHABILITACION DE PAVIMENTOS A BASE DE RECARPETEO EN BLVD. LUIS ENCINAS ENTRE BENITO JUAREZ Y PERIFERICO ORIENTE</v>
      </c>
      <c r="E1039" s="4" t="s">
        <v>1725</v>
      </c>
      <c r="F1039" s="4" t="s">
        <v>217</v>
      </c>
      <c r="G1039" s="4" t="str">
        <f>LOOKUP($E1039,OBRAS!$D:$D,OBRAS!E:E)</f>
        <v>C-00052/0226</v>
      </c>
      <c r="H1039" s="80" t="s">
        <v>103</v>
      </c>
      <c r="I1039" s="6">
        <v>2152681.91</v>
      </c>
      <c r="J1039" s="6"/>
      <c r="K1039" s="6">
        <f t="shared" si="258"/>
        <v>645804.56999999995</v>
      </c>
      <c r="L1039" s="6">
        <f t="shared" si="257"/>
        <v>1506877.34</v>
      </c>
      <c r="M1039" s="6">
        <f t="shared" si="251"/>
        <v>241100.37</v>
      </c>
      <c r="N1039" s="6">
        <f t="shared" si="252"/>
        <v>1747977.71</v>
      </c>
      <c r="O1039" s="6">
        <f t="shared" si="259"/>
        <v>10763.41</v>
      </c>
      <c r="P1039" s="6">
        <f t="shared" si="253"/>
        <v>1737214.3</v>
      </c>
      <c r="Q1039" s="4" t="str">
        <f>LOOKUP($E1039,OBRAS!$D:$D,OBRAS!B:B)</f>
        <v>EDIFICACIONES Y PROYECTOS MOCELIK, S.A. DE C.V.</v>
      </c>
      <c r="R1039" s="4" t="str">
        <f>LOOKUP($E1039,OBRAS!$D:$D,OBRAS!A:A)</f>
        <v>HERMOSILLO</v>
      </c>
      <c r="S1039" s="4" t="str">
        <f>LOOKUP($E1039,OBRAS!$D:$D,OBRAS!F:F)</f>
        <v>11000002002201E202K05186A614202165FN07</v>
      </c>
      <c r="T1039" s="4" t="str">
        <f>LOOKUP($E1039,OBRAS!$D:$D,OBRAS!G:G)</f>
        <v>LO-926006995-E94-2016</v>
      </c>
      <c r="U1039" s="4" t="s">
        <v>863</v>
      </c>
      <c r="V1039" s="89">
        <v>42804</v>
      </c>
      <c r="W1039" s="6">
        <f>LOOKUP($E1039,OBRAS!$D:$D,OBRAS!K:K)</f>
        <v>14497968.359999999</v>
      </c>
      <c r="X1039" s="109">
        <f t="shared" si="254"/>
        <v>0.17219999999999999</v>
      </c>
      <c r="Y1039" s="109">
        <f t="shared" si="255"/>
        <v>0.79359999999999997</v>
      </c>
      <c r="Z1039" s="109">
        <f t="shared" si="256"/>
        <v>0.85560000000000003</v>
      </c>
      <c r="AA1039" s="4" t="str">
        <f>LOOKUP($E1039,OBRAS!$D:$D,OBRAS!H:H)</f>
        <v>SH-NC-17-R-005</v>
      </c>
    </row>
    <row r="1040" spans="1:27" ht="45" x14ac:dyDescent="0.25">
      <c r="A1040" s="90">
        <v>42768</v>
      </c>
      <c r="B1040" s="56">
        <v>558</v>
      </c>
      <c r="C1040" s="51">
        <v>1039</v>
      </c>
      <c r="D1040" s="4" t="str">
        <f>LOOKUP($E1040,OBRAS!$D:$D,OBRAS!C:C)</f>
        <v>PAVIMENTACION CON CONCRETO HIDRAULICO DE CALLE SIN NOMBRE EN LA LOCALIDAD DE MAZATAN</v>
      </c>
      <c r="E1040" s="4" t="s">
        <v>959</v>
      </c>
      <c r="F1040" s="4" t="s">
        <v>225</v>
      </c>
      <c r="G1040" s="4" t="str">
        <f>LOOKUP($E1040,OBRAS!$D:$D,OBRAS!E:E)</f>
        <v>C-00052/0205</v>
      </c>
      <c r="H1040" s="80" t="s">
        <v>221</v>
      </c>
      <c r="I1040" s="6">
        <v>712084.6</v>
      </c>
      <c r="J1040" s="6"/>
      <c r="K1040" s="6">
        <f t="shared" si="258"/>
        <v>213625.38</v>
      </c>
      <c r="L1040" s="6">
        <f t="shared" si="257"/>
        <v>498459.22</v>
      </c>
      <c r="M1040" s="6">
        <f t="shared" si="251"/>
        <v>79753.48</v>
      </c>
      <c r="N1040" s="6">
        <f t="shared" si="252"/>
        <v>578212.69999999995</v>
      </c>
      <c r="O1040" s="6">
        <f t="shared" si="259"/>
        <v>3560.42</v>
      </c>
      <c r="P1040" s="6">
        <f t="shared" si="253"/>
        <v>574652.28</v>
      </c>
      <c r="Q1040" s="4" t="str">
        <f>LOOKUP($E1040,OBRAS!$D:$D,OBRAS!B:B)</f>
        <v>CONSTRUCTORES LISTA BLANCA, S.A.DE C.V.</v>
      </c>
      <c r="R1040" s="4" t="str">
        <f>LOOKUP($E1040,OBRAS!$D:$D,OBRAS!A:A)</f>
        <v>MAZATAN</v>
      </c>
      <c r="S1040" s="4" t="str">
        <f>LOOKUP($E1040,OBRAS!$D:$D,OBRAS!F:F)</f>
        <v>11000002002201E202K05186A614202165FN08</v>
      </c>
      <c r="T1040" s="4" t="str">
        <f>LOOKUP($E1040,OBRAS!$D:$D,OBRAS!G:G)</f>
        <v>AO-926006995-E122-2016</v>
      </c>
      <c r="U1040" s="4" t="s">
        <v>863</v>
      </c>
      <c r="V1040" s="89">
        <v>42794</v>
      </c>
      <c r="W1040" s="6">
        <f>LOOKUP($E1040,OBRAS!$D:$D,OBRAS!K:K)</f>
        <v>861118.9</v>
      </c>
      <c r="X1040" s="109">
        <f t="shared" si="254"/>
        <v>0.95920000000000005</v>
      </c>
      <c r="Y1040" s="109">
        <f t="shared" si="255"/>
        <v>1</v>
      </c>
      <c r="Z1040" s="109">
        <f t="shared" si="256"/>
        <v>1</v>
      </c>
      <c r="AA1040" s="4" t="str">
        <f>LOOKUP($E1040,OBRAS!$D:$D,OBRAS!H:H)</f>
        <v>SH-NC-17-R-005</v>
      </c>
    </row>
    <row r="1041" spans="1:27" ht="45" x14ac:dyDescent="0.25">
      <c r="A1041" s="90">
        <v>42781</v>
      </c>
      <c r="B1041" s="56">
        <v>826</v>
      </c>
      <c r="C1041" s="51">
        <v>1040</v>
      </c>
      <c r="D1041" s="4" t="str">
        <f>LOOKUP($E1041,OBRAS!$D:$D,OBRAS!C:C)</f>
        <v>PAVIMENTACION CON CONCRETO HIDRAULICO DE CALLE SIN NOMBRE EN LA LOCALIDAD DE MAZATAN</v>
      </c>
      <c r="E1041" s="4" t="s">
        <v>959</v>
      </c>
      <c r="F1041" s="4" t="s">
        <v>225</v>
      </c>
      <c r="G1041" s="4" t="str">
        <f>LOOKUP($E1041,OBRAS!$D:$D,OBRAS!E:E)</f>
        <v>C-00052/0205</v>
      </c>
      <c r="H1041" s="80" t="s">
        <v>103</v>
      </c>
      <c r="I1041" s="6">
        <v>30259.279999999999</v>
      </c>
      <c r="J1041" s="6"/>
      <c r="K1041" s="6">
        <f t="shared" si="258"/>
        <v>9077.7800000000007</v>
      </c>
      <c r="L1041" s="6">
        <f t="shared" si="257"/>
        <v>21181.5</v>
      </c>
      <c r="M1041" s="6">
        <f t="shared" si="251"/>
        <v>3389.04</v>
      </c>
      <c r="N1041" s="6">
        <f t="shared" si="252"/>
        <v>24570.54</v>
      </c>
      <c r="O1041" s="6">
        <f t="shared" si="259"/>
        <v>151.30000000000001</v>
      </c>
      <c r="P1041" s="6">
        <f t="shared" si="253"/>
        <v>24419.24</v>
      </c>
      <c r="Q1041" s="4" t="str">
        <f>LOOKUP($E1041,OBRAS!$D:$D,OBRAS!B:B)</f>
        <v>CONSTRUCTORES LISTA BLANCA, S.A.DE C.V.</v>
      </c>
      <c r="R1041" s="4" t="str">
        <f>LOOKUP($E1041,OBRAS!$D:$D,OBRAS!A:A)</f>
        <v>MAZATAN</v>
      </c>
      <c r="S1041" s="4" t="str">
        <f>LOOKUP($E1041,OBRAS!$D:$D,OBRAS!F:F)</f>
        <v>11000002002201E202K05186A614202165FN08</v>
      </c>
      <c r="T1041" s="4" t="str">
        <f>LOOKUP($E1041,OBRAS!$D:$D,OBRAS!G:G)</f>
        <v>AO-926006995-E122-2016</v>
      </c>
      <c r="U1041" s="4" t="s">
        <v>863</v>
      </c>
      <c r="V1041" s="89">
        <v>42794</v>
      </c>
      <c r="W1041" s="6">
        <f>LOOKUP($E1041,OBRAS!$D:$D,OBRAS!K:K)</f>
        <v>861118.9</v>
      </c>
      <c r="X1041" s="109">
        <f t="shared" si="254"/>
        <v>4.0800000000000003E-2</v>
      </c>
      <c r="Y1041" s="109">
        <f t="shared" si="255"/>
        <v>1</v>
      </c>
      <c r="Z1041" s="109">
        <f t="shared" si="256"/>
        <v>1</v>
      </c>
      <c r="AA1041" s="4" t="str">
        <f>LOOKUP($E1041,OBRAS!$D:$D,OBRAS!H:H)</f>
        <v>SH-NC-17-R-005</v>
      </c>
    </row>
    <row r="1042" spans="1:27" ht="45" x14ac:dyDescent="0.25">
      <c r="A1042" s="90">
        <v>42768</v>
      </c>
      <c r="B1042" s="56">
        <v>560</v>
      </c>
      <c r="C1042" s="51">
        <v>1041</v>
      </c>
      <c r="D1042" s="4" t="str">
        <f>LOOKUP($E1042,OBRAS!$D:$D,OBRAS!C:C)</f>
        <v>PAVIMENTACION CON CARPETA ASFALTICA EN LAS CALLES AV. SAN LUIS, ALVARO OBREGON Y ABELARDO L. RODRIGUEZ</v>
      </c>
      <c r="E1042" s="4" t="s">
        <v>1652</v>
      </c>
      <c r="F1042" s="4" t="s">
        <v>217</v>
      </c>
      <c r="G1042" s="4" t="str">
        <f>LOOKUP($E1042,OBRAS!$D:$D,OBRAS!E:E)</f>
        <v>C-00052/0229</v>
      </c>
      <c r="H1042" s="80" t="s">
        <v>103</v>
      </c>
      <c r="I1042" s="6">
        <v>73538.09</v>
      </c>
      <c r="J1042" s="6"/>
      <c r="K1042" s="6">
        <f t="shared" si="258"/>
        <v>22061.43</v>
      </c>
      <c r="L1042" s="6">
        <f t="shared" si="257"/>
        <v>51476.66</v>
      </c>
      <c r="M1042" s="6">
        <f t="shared" si="251"/>
        <v>8236.27</v>
      </c>
      <c r="N1042" s="6">
        <f t="shared" si="252"/>
        <v>59712.93</v>
      </c>
      <c r="O1042" s="6">
        <f t="shared" si="259"/>
        <v>367.69</v>
      </c>
      <c r="P1042" s="6">
        <f t="shared" si="253"/>
        <v>59345.24</v>
      </c>
      <c r="Q1042" s="4" t="str">
        <f>LOOKUP($E1042,OBRAS!$D:$D,OBRAS!B:B)</f>
        <v>BARREDA PROYECTO Y CONSTRUCCIONES, S.A. DE C.V.</v>
      </c>
      <c r="R1042" s="4" t="str">
        <f>LOOKUP($E1042,OBRAS!$D:$D,OBRAS!A:A)</f>
        <v>S.L.R.C.</v>
      </c>
      <c r="S1042" s="4" t="str">
        <f>LOOKUP($E1042,OBRAS!$D:$D,OBRAS!F:F)</f>
        <v>11000002002201E202K05186A614202165FN01</v>
      </c>
      <c r="T1042" s="4" t="str">
        <f>LOOKUP($E1042,OBRAS!$D:$D,OBRAS!G:G)</f>
        <v>LO-926006995-E125-2016</v>
      </c>
      <c r="U1042" s="4" t="s">
        <v>863</v>
      </c>
      <c r="V1042" s="89">
        <v>42794</v>
      </c>
      <c r="W1042" s="6">
        <f>LOOKUP($E1042,OBRAS!$D:$D,OBRAS!K:K)</f>
        <v>9494347.9299999997</v>
      </c>
      <c r="X1042" s="109">
        <f t="shared" si="254"/>
        <v>8.9999999999999993E-3</v>
      </c>
      <c r="Y1042" s="109">
        <f t="shared" si="255"/>
        <v>0.30559999999999998</v>
      </c>
      <c r="Z1042" s="109">
        <f t="shared" si="256"/>
        <v>0.51390000000000002</v>
      </c>
      <c r="AA1042" s="4" t="str">
        <f>LOOKUP($E1042,OBRAS!$D:$D,OBRAS!H:H)</f>
        <v>SH-NC-17-R-005</v>
      </c>
    </row>
    <row r="1043" spans="1:27" ht="60" x14ac:dyDescent="0.25">
      <c r="C1043" s="51">
        <v>1042</v>
      </c>
      <c r="D1043" s="4" t="str">
        <f>LOOKUP($E1043,OBRAS!$D:$D,OBRAS!C:C)</f>
        <v>RECARPETEO CON MICROCARPETA ASFALTICA DE 3.0 CMS DE ESPESOR EN VARIAS CALLES Y AVENIDAS EN LA LOCALIDAD Y MUNICIPIO DE MAGDALENA</v>
      </c>
      <c r="E1043" s="4" t="s">
        <v>2222</v>
      </c>
      <c r="F1043" s="4" t="s">
        <v>224</v>
      </c>
      <c r="G1043" s="4" t="str">
        <f>LOOKUP($E1043,OBRAS!$D:$D,OBRAS!E:E)</f>
        <v>C-00052/0245</v>
      </c>
      <c r="H1043" s="80" t="s">
        <v>23</v>
      </c>
      <c r="I1043" s="6">
        <v>1341919.3500000001</v>
      </c>
      <c r="J1043" s="6"/>
      <c r="K1043" s="6">
        <v>0</v>
      </c>
      <c r="L1043" s="6">
        <f t="shared" si="257"/>
        <v>1341919.3500000001</v>
      </c>
      <c r="M1043" s="6">
        <f t="shared" si="251"/>
        <v>214707.1</v>
      </c>
      <c r="N1043" s="6">
        <f t="shared" si="252"/>
        <v>1556626.45</v>
      </c>
      <c r="O1043" s="6">
        <v>0</v>
      </c>
      <c r="P1043" s="6">
        <f t="shared" si="253"/>
        <v>1556626.45</v>
      </c>
      <c r="Q1043" s="4" t="str">
        <f>LOOKUP($E1043,OBRAS!$D:$D,OBRAS!B:B)</f>
        <v>PROMOCIONES TESIA, S.A. DE C.V.</v>
      </c>
      <c r="R1043" s="4" t="str">
        <f>LOOKUP($E1043,OBRAS!$D:$D,OBRAS!A:A)</f>
        <v xml:space="preserve"> MAGDALENA</v>
      </c>
      <c r="S1043" s="4" t="str">
        <f>LOOKUP($E1043,OBRAS!$D:$D,OBRAS!F:F)</f>
        <v>11000002002201E202K05186A614202165FQ03</v>
      </c>
      <c r="T1043" s="4" t="str">
        <f>LOOKUP($E1043,OBRAS!$D:$D,OBRAS!G:G)</f>
        <v>IO-926006995-E179-2016</v>
      </c>
      <c r="U1043" s="4" t="s">
        <v>863</v>
      </c>
      <c r="V1043" s="89">
        <v>42789</v>
      </c>
      <c r="W1043" s="6">
        <f>LOOKUP($E1043,OBRAS!$D:$D,OBRAS!K:K)</f>
        <v>5188754.83</v>
      </c>
      <c r="X1043" s="109" t="str">
        <f t="shared" si="254"/>
        <v/>
      </c>
      <c r="Y1043" s="109">
        <f t="shared" si="255"/>
        <v>0</v>
      </c>
      <c r="Z1043" s="109">
        <f t="shared" si="256"/>
        <v>0.3</v>
      </c>
      <c r="AA1043" s="4" t="str">
        <f>LOOKUP($E1043,OBRAS!$D:$D,OBRAS!H:H)</f>
        <v>SH-NC-17-R-006</v>
      </c>
    </row>
    <row r="1044" spans="1:27" ht="60" x14ac:dyDescent="0.25">
      <c r="C1044" s="51">
        <v>1043</v>
      </c>
      <c r="D1044" s="4" t="str">
        <f>LOOKUP($E1044,OBRAS!$D:$D,OBRAS!C:C)</f>
        <v>REHABILITACION DE PAVIMENTOS A BASE DE RECARPETEO EN BLVD. MORELOS ENTRE BLVD. RODRIGUEZ E IGNACIO SOTO, EN LA CIUDAD DE HERMOSILLO</v>
      </c>
      <c r="E1044" s="4" t="s">
        <v>2223</v>
      </c>
      <c r="F1044" s="4" t="s">
        <v>224</v>
      </c>
      <c r="G1044" s="4" t="str">
        <f>LOOKUP($E1044,OBRAS!$D:$D,OBRAS!E:E)</f>
        <v>C-00052/0250</v>
      </c>
      <c r="H1044" s="80" t="s">
        <v>23</v>
      </c>
      <c r="I1044" s="6">
        <v>1678504.09</v>
      </c>
      <c r="J1044" s="6"/>
      <c r="K1044" s="6">
        <v>0</v>
      </c>
      <c r="L1044" s="6">
        <f t="shared" si="257"/>
        <v>1678504.09</v>
      </c>
      <c r="M1044" s="6">
        <f t="shared" si="251"/>
        <v>268560.65000000002</v>
      </c>
      <c r="N1044" s="6">
        <f t="shared" si="252"/>
        <v>1947064.74</v>
      </c>
      <c r="O1044" s="6">
        <v>0</v>
      </c>
      <c r="P1044" s="6">
        <f t="shared" si="253"/>
        <v>1947064.74</v>
      </c>
      <c r="Q1044" s="4" t="str">
        <f>LOOKUP($E1044,OBRAS!$D:$D,OBRAS!B:B)</f>
        <v>REVAL DESARROLLOS Y MATERIALES, S.A. DE C.V.</v>
      </c>
      <c r="R1044" s="4" t="str">
        <f>LOOKUP($E1044,OBRAS!$D:$D,OBRAS!A:A)</f>
        <v>HERMOSILLO</v>
      </c>
      <c r="S1044" s="4" t="str">
        <f>LOOKUP($E1044,OBRAS!$D:$D,OBRAS!F:F)</f>
        <v>11000002002201E202K05186A614202165FQ07</v>
      </c>
      <c r="T1044" s="4" t="str">
        <f>LOOKUP($E1044,OBRAS!$D:$D,OBRAS!G:G)</f>
        <v>IO-926006995-E181-2016</v>
      </c>
      <c r="U1044" s="4" t="s">
        <v>863</v>
      </c>
      <c r="V1044" s="89">
        <v>42794</v>
      </c>
      <c r="W1044" s="6">
        <f>LOOKUP($E1044,OBRAS!$D:$D,OBRAS!K:K)</f>
        <v>6490215.8099999996</v>
      </c>
      <c r="X1044" s="109" t="str">
        <f t="shared" si="254"/>
        <v/>
      </c>
      <c r="Y1044" s="109">
        <f t="shared" si="255"/>
        <v>0</v>
      </c>
      <c r="Z1044" s="109">
        <f t="shared" si="256"/>
        <v>0.3</v>
      </c>
      <c r="AA1044" s="4" t="str">
        <f>LOOKUP($E1044,OBRAS!$D:$D,OBRAS!H:H)</f>
        <v>SH-NC-17-R-006</v>
      </c>
    </row>
    <row r="1045" spans="1:27" ht="75" x14ac:dyDescent="0.25">
      <c r="C1045" s="51">
        <v>1044</v>
      </c>
      <c r="D1045" s="4" t="str">
        <f>LOOKUP($E1045,OBRAS!$D:$D,OBRAS!C:C)</f>
        <v>REHABILITACION DE PAVIMENTOS A BASE DE RECARPETEO EN CALLE LOPEZ DEL CASTILLO ENTRE YECORA Y ALBERTO GUTIERREZ Y CALLE DR. OLIVARES ENTRE BLVD. PROGRESO Y JOSE CARMELO, EN LA CIUDAD DE HERMOSILLO</v>
      </c>
      <c r="E1045" s="4" t="s">
        <v>2224</v>
      </c>
      <c r="F1045" s="4" t="s">
        <v>224</v>
      </c>
      <c r="G1045" s="4" t="str">
        <f>LOOKUP($E1045,OBRAS!$D:$D,OBRAS!E:E)</f>
        <v>C-00052/0249</v>
      </c>
      <c r="H1045" s="80" t="s">
        <v>23</v>
      </c>
      <c r="I1045" s="6">
        <v>7280259.2800000003</v>
      </c>
      <c r="J1045" s="6"/>
      <c r="K1045" s="6">
        <v>0</v>
      </c>
      <c r="L1045" s="6">
        <f t="shared" si="257"/>
        <v>7280259.2800000003</v>
      </c>
      <c r="M1045" s="6">
        <f t="shared" si="251"/>
        <v>1164841.48</v>
      </c>
      <c r="N1045" s="6">
        <f t="shared" si="252"/>
        <v>8445100.7599999998</v>
      </c>
      <c r="O1045" s="6">
        <v>0</v>
      </c>
      <c r="P1045" s="6">
        <f t="shared" si="253"/>
        <v>8445100.7599999998</v>
      </c>
      <c r="Q1045" s="4" t="str">
        <f>LOOKUP($E1045,OBRAS!$D:$D,OBRAS!B:B)</f>
        <v>GRUPO CONSTRUCCIONES PLANIFICADAS, SA DE CV</v>
      </c>
      <c r="R1045" s="4" t="str">
        <f>LOOKUP($E1045,OBRAS!$D:$D,OBRAS!A:A)</f>
        <v>HERMOSILLO</v>
      </c>
      <c r="S1045" s="4" t="str">
        <f>LOOKUP($E1045,OBRAS!$D:$D,OBRAS!F:F)</f>
        <v>11000002002201E202K05186A614202165FQ07</v>
      </c>
      <c r="T1045" s="4" t="str">
        <f>LOOKUP($E1045,OBRAS!$D:$D,OBRAS!G:G)</f>
        <v>LO-926006995-E174-2016</v>
      </c>
      <c r="U1045" s="4" t="s">
        <v>863</v>
      </c>
      <c r="V1045" s="89">
        <v>42788</v>
      </c>
      <c r="W1045" s="6">
        <f>LOOKUP($E1045,OBRAS!$D:$D,OBRAS!K:K)</f>
        <v>28150335.899999999</v>
      </c>
      <c r="X1045" s="109" t="str">
        <f t="shared" si="254"/>
        <v/>
      </c>
      <c r="Y1045" s="109">
        <f t="shared" si="255"/>
        <v>0.19719999999999999</v>
      </c>
      <c r="Z1045" s="109">
        <f t="shared" si="256"/>
        <v>0.43809999999999999</v>
      </c>
      <c r="AA1045" s="4" t="str">
        <f>LOOKUP($E1045,OBRAS!$D:$D,OBRAS!H:H)</f>
        <v>SH-NC-17-R-006</v>
      </c>
    </row>
    <row r="1046" spans="1:27" ht="45" x14ac:dyDescent="0.25">
      <c r="C1046" s="51">
        <v>1045</v>
      </c>
      <c r="D1046" s="4" t="str">
        <f>LOOKUP($E1046,OBRAS!$D:$D,OBRAS!C:C)</f>
        <v>REHABILITACION DE PAVIMENTOS DE VARIAS CALLES Y AVENIDAS, EN LA LOCALIDAD DE AGUA PRIETA, MUNICIPIO DE AGUA PRIETA</v>
      </c>
      <c r="E1046" s="4" t="s">
        <v>2225</v>
      </c>
      <c r="F1046" s="4" t="s">
        <v>224</v>
      </c>
      <c r="G1046" s="4" t="str">
        <f>LOOKUP($E1046,OBRAS!$D:$D,OBRAS!E:E)</f>
        <v>C-00052/0247</v>
      </c>
      <c r="H1046" s="80" t="s">
        <v>23</v>
      </c>
      <c r="I1046" s="6">
        <v>1600043.29</v>
      </c>
      <c r="J1046" s="6"/>
      <c r="K1046" s="6">
        <v>0</v>
      </c>
      <c r="L1046" s="6">
        <f t="shared" si="257"/>
        <v>1600043.29</v>
      </c>
      <c r="M1046" s="6">
        <f t="shared" si="251"/>
        <v>256006.93</v>
      </c>
      <c r="N1046" s="6">
        <f t="shared" si="252"/>
        <v>1856050.22</v>
      </c>
      <c r="O1046" s="6">
        <v>0</v>
      </c>
      <c r="P1046" s="6">
        <f t="shared" si="253"/>
        <v>1856050.22</v>
      </c>
      <c r="Q1046" s="4" t="str">
        <f>LOOKUP($E1046,OBRAS!$D:$D,OBRAS!B:B)</f>
        <v>ALAMOS INGENIERIA, SA DE CV</v>
      </c>
      <c r="R1046" s="4" t="str">
        <f>LOOKUP($E1046,OBRAS!$D:$D,OBRAS!A:A)</f>
        <v>AGUA PRIETA</v>
      </c>
      <c r="S1046" s="4" t="str">
        <f>LOOKUP($E1046,OBRAS!$D:$D,OBRAS!F:F)</f>
        <v>11000002002201E202K05186A614202165FQ04</v>
      </c>
      <c r="T1046" s="4" t="str">
        <f>LOOKUP($E1046,OBRAS!$D:$D,OBRAS!G:G)</f>
        <v>IO-926006995-E182-2016</v>
      </c>
      <c r="U1046" s="4" t="s">
        <v>863</v>
      </c>
      <c r="V1046" s="89">
        <v>42802</v>
      </c>
      <c r="W1046" s="6">
        <f>LOOKUP($E1046,OBRAS!$D:$D,OBRAS!K:K)</f>
        <v>6186834.0700000003</v>
      </c>
      <c r="X1046" s="109" t="str">
        <f t="shared" si="254"/>
        <v/>
      </c>
      <c r="Y1046" s="109">
        <f t="shared" si="255"/>
        <v>0</v>
      </c>
      <c r="Z1046" s="109">
        <f t="shared" si="256"/>
        <v>0.3</v>
      </c>
      <c r="AA1046" s="4" t="str">
        <f>LOOKUP($E1046,OBRAS!$D:$D,OBRAS!H:H)</f>
        <v>SH-NC-17-R-006</v>
      </c>
    </row>
    <row r="1047" spans="1:27" ht="45" x14ac:dyDescent="0.25">
      <c r="C1047" s="51">
        <v>1046</v>
      </c>
      <c r="D1047" s="4" t="str">
        <f>LOOKUP($E1047,OBRAS!$D:$D,OBRAS!C:C)</f>
        <v>REHABILITACION DE PAVIMENTOS DE 15 CALLES EN LA LOCALIDAD DE SANTA ANA, MUNICIPIO DE SANTA ANA</v>
      </c>
      <c r="E1047" s="47" t="s">
        <v>2228</v>
      </c>
      <c r="F1047" s="4" t="s">
        <v>2231</v>
      </c>
      <c r="G1047" s="4" t="str">
        <f>LOOKUP($E1047,OBRAS!$D:$D,OBRAS!E:E)</f>
        <v xml:space="preserve">C-00052/0244 </v>
      </c>
      <c r="H1047" s="80" t="s">
        <v>23</v>
      </c>
      <c r="I1047" s="6">
        <v>1859784.34</v>
      </c>
      <c r="J1047" s="6"/>
      <c r="K1047" s="6">
        <v>0</v>
      </c>
      <c r="L1047" s="6">
        <f t="shared" si="257"/>
        <v>1859784.34</v>
      </c>
      <c r="M1047" s="6">
        <f t="shared" si="251"/>
        <v>297565.49</v>
      </c>
      <c r="N1047" s="6">
        <f t="shared" si="252"/>
        <v>2157349.83</v>
      </c>
      <c r="O1047" s="6">
        <v>0</v>
      </c>
      <c r="P1047" s="6">
        <f t="shared" si="253"/>
        <v>2157349.83</v>
      </c>
      <c r="Q1047" s="4" t="str">
        <f>LOOKUP($E1047,OBRAS!$D:$D,OBRAS!B:B)</f>
        <v>SUPERVISION Y CONTROL DE CALIDAD LEYZA, S.A. DE C.V.</v>
      </c>
      <c r="R1047" s="4" t="str">
        <f>LOOKUP($E1047,OBRAS!$D:$D,OBRAS!A:A)</f>
        <v>SANTA ANA</v>
      </c>
      <c r="S1047" s="4" t="str">
        <f>LOOKUP($E1047,OBRAS!$D:$D,OBRAS!F:F)</f>
        <v>11000002002201E202K05186A614202165FQ03</v>
      </c>
      <c r="T1047" s="4" t="str">
        <f>LOOKUP($E1047,OBRAS!$D:$D,OBRAS!G:G)</f>
        <v>IO-926006995-E180-2016</v>
      </c>
      <c r="U1047" s="4" t="s">
        <v>863</v>
      </c>
      <c r="V1047" s="89">
        <v>42795</v>
      </c>
      <c r="W1047" s="6">
        <f>LOOKUP($E1047,OBRAS!$D:$D,OBRAS!K:K)</f>
        <v>7191166.0899999999</v>
      </c>
      <c r="X1047" s="109" t="str">
        <f t="shared" si="254"/>
        <v/>
      </c>
      <c r="Y1047" s="109">
        <f t="shared" si="255"/>
        <v>0</v>
      </c>
      <c r="Z1047" s="109">
        <f t="shared" si="256"/>
        <v>0.3</v>
      </c>
      <c r="AA1047" s="4" t="str">
        <f>LOOKUP($E1047,OBRAS!$D:$D,OBRAS!H:H)</f>
        <v>SH-NC-17-R-006</v>
      </c>
    </row>
    <row r="1048" spans="1:27" ht="45" x14ac:dyDescent="0.25">
      <c r="C1048" s="51">
        <v>1047</v>
      </c>
      <c r="D1048" s="4" t="str">
        <f>LOOKUP($E1048,OBRAS!$D:$D,OBRAS!C:C)</f>
        <v>PAVIMENTACION DE VARIAS CALLES Y AVENIDAS EN LA LOCALIDAD DE ETCHOJOA Y MUNICIPIO DE ETCHOJOA</v>
      </c>
      <c r="E1048" s="4" t="s">
        <v>2229</v>
      </c>
      <c r="F1048" s="4" t="s">
        <v>224</v>
      </c>
      <c r="G1048" s="4" t="str">
        <f>LOOKUP($E1048,OBRAS!$D:$D,OBRAS!E:E)</f>
        <v xml:space="preserve">C-00052/0246 </v>
      </c>
      <c r="H1048" s="80" t="s">
        <v>23</v>
      </c>
      <c r="I1048" s="6">
        <v>3221628.4</v>
      </c>
      <c r="J1048" s="6"/>
      <c r="K1048" s="6">
        <v>0</v>
      </c>
      <c r="L1048" s="6">
        <f t="shared" si="257"/>
        <v>3221628.4</v>
      </c>
      <c r="M1048" s="6">
        <f t="shared" si="251"/>
        <v>515460.54</v>
      </c>
      <c r="N1048" s="6">
        <f t="shared" si="252"/>
        <v>3737088.94</v>
      </c>
      <c r="O1048" s="6">
        <v>0</v>
      </c>
      <c r="P1048" s="6">
        <f t="shared" si="253"/>
        <v>3737088.94</v>
      </c>
      <c r="Q1048" s="4" t="str">
        <f>LOOKUP($E1048,OBRAS!$D:$D,OBRAS!B:B)</f>
        <v>CEBB TERRACERIA Y PAVIMENTOS S.A DE C.V.</v>
      </c>
      <c r="R1048" s="4" t="str">
        <f>LOOKUP($E1048,OBRAS!$D:$D,OBRAS!A:A)</f>
        <v>ETCHOJOA</v>
      </c>
      <c r="S1048" s="4" t="str">
        <f>LOOKUP($E1048,OBRAS!$D:$D,OBRAS!F:F)</f>
        <v>11000002002201E202K05186A614202165FQ12</v>
      </c>
      <c r="T1048" s="4" t="str">
        <f>LOOKUP($E1048,OBRAS!$D:$D,OBRAS!G:G)</f>
        <v>LO-926006995-E172-2016</v>
      </c>
      <c r="U1048" s="4" t="s">
        <v>863</v>
      </c>
      <c r="V1048" s="89">
        <v>42795</v>
      </c>
      <c r="W1048" s="6">
        <f>LOOKUP($E1048,OBRAS!$D:$D,OBRAS!K:K)</f>
        <v>12456963.140000001</v>
      </c>
      <c r="X1048" s="109" t="str">
        <f t="shared" si="254"/>
        <v/>
      </c>
      <c r="Y1048" s="109">
        <f t="shared" si="255"/>
        <v>0</v>
      </c>
      <c r="Z1048" s="109">
        <f t="shared" si="256"/>
        <v>0.3</v>
      </c>
      <c r="AA1048" s="4" t="str">
        <f>LOOKUP($E1048,OBRAS!$D:$D,OBRAS!H:H)</f>
        <v>SH-NC-17-R-006</v>
      </c>
    </row>
    <row r="1049" spans="1:27" ht="60" x14ac:dyDescent="0.25">
      <c r="A1049" s="90">
        <v>42773</v>
      </c>
      <c r="B1049" s="56">
        <v>643</v>
      </c>
      <c r="C1049" s="51">
        <v>1048</v>
      </c>
      <c r="D1049" s="4" t="str">
        <f>LOOKUP($E1049,OBRAS!$D:$D,OBRAS!C:C)</f>
        <v>PAVIMENTACION CON CONCRETO HIDRAULICO DE CALLE GRAL. ESTEBAN BACA CALDERON ENTRE BENITO JUAREZ Y RAHAM EN LA LOCALIDAD Y MUNICIPIO DE SAN IGNACIO RIO MUERTO</v>
      </c>
      <c r="E1049" s="4" t="s">
        <v>1235</v>
      </c>
      <c r="F1049" s="4" t="s">
        <v>224</v>
      </c>
      <c r="G1049" s="4" t="str">
        <f>LOOKUP($E1049,OBRAS!$D:$D,OBRAS!E:E)</f>
        <v>C-00052/0187</v>
      </c>
      <c r="H1049" s="80" t="s">
        <v>221</v>
      </c>
      <c r="I1049" s="6">
        <v>431163.64</v>
      </c>
      <c r="J1049" s="6"/>
      <c r="K1049" s="6">
        <f>ROUND(I1049*0.3,2)</f>
        <v>129349.09</v>
      </c>
      <c r="L1049" s="6">
        <f t="shared" si="257"/>
        <v>301814.55</v>
      </c>
      <c r="M1049" s="6">
        <f t="shared" si="251"/>
        <v>48290.33</v>
      </c>
      <c r="N1049" s="6">
        <f t="shared" si="252"/>
        <v>350104.88</v>
      </c>
      <c r="O1049" s="6">
        <f t="shared" ref="O1049:O1057" si="260">+ROUND(I1049*0.005,2)</f>
        <v>2155.8200000000002</v>
      </c>
      <c r="P1049" s="6">
        <f t="shared" si="253"/>
        <v>347949.06</v>
      </c>
      <c r="Q1049" s="4" t="str">
        <f>LOOKUP($E1049,OBRAS!$D:$D,OBRAS!B:B)</f>
        <v>GRUPO PROFING CONSTRUCCIONES Y DESARROLLOS, S. A. DE C. V.</v>
      </c>
      <c r="R1049" s="4" t="str">
        <f>LOOKUP($E1049,OBRAS!$D:$D,OBRAS!A:A)</f>
        <v>SAN IGNACIO RIO MUERTO</v>
      </c>
      <c r="S1049" s="4" t="str">
        <f>LOOKUP($E1049,OBRAS!$D:$D,OBRAS!F:F)</f>
        <v>11000002002201E202K05186A614202165FC10</v>
      </c>
      <c r="T1049" s="4" t="str">
        <f>LOOKUP($E1049,OBRAS!$D:$D,OBRAS!G:G)</f>
        <v>LO-926006995-E113-2016</v>
      </c>
      <c r="U1049" s="4" t="s">
        <v>864</v>
      </c>
      <c r="V1049" s="89">
        <v>42802</v>
      </c>
      <c r="W1049" s="6">
        <f>LOOKUP($E1049,OBRAS!$D:$D,OBRAS!K:K)</f>
        <v>8795522.2799999993</v>
      </c>
      <c r="X1049" s="109">
        <f t="shared" si="254"/>
        <v>5.6899999999999999E-2</v>
      </c>
      <c r="Y1049" s="109">
        <f t="shared" si="255"/>
        <v>0.48780000000000001</v>
      </c>
      <c r="Z1049" s="109">
        <f t="shared" si="256"/>
        <v>0.64149999999999996</v>
      </c>
      <c r="AA1049" s="4" t="str">
        <f>LOOKUP($E1049,OBRAS!$D:$D,OBRAS!H:H)</f>
        <v>SH-NC-17-R-009</v>
      </c>
    </row>
    <row r="1050" spans="1:27" ht="60" x14ac:dyDescent="0.25">
      <c r="A1050" s="90">
        <v>42773</v>
      </c>
      <c r="B1050" s="56">
        <v>644</v>
      </c>
      <c r="C1050" s="51">
        <v>1049</v>
      </c>
      <c r="D1050" s="4" t="str">
        <f>LOOKUP($E1050,OBRAS!$D:$D,OBRAS!C:C)</f>
        <v>PAVIMENTACION CON CARPETA ASFALTICA DE 5CMS DE ESPESOR DE LA AVENIDA FABRICA DE LOS ANGELES Y AV. PRINCIPAL DE LA LOCALIDAD FABRICA DE LOS ANGELES</v>
      </c>
      <c r="E1050" s="4" t="s">
        <v>907</v>
      </c>
      <c r="F1050" s="4" t="s">
        <v>401</v>
      </c>
      <c r="G1050" s="4" t="str">
        <f>LOOKUP($E1050,OBRAS!$D:$D,OBRAS!E:E)</f>
        <v>C-00052/0200</v>
      </c>
      <c r="H1050" s="80" t="s">
        <v>221</v>
      </c>
      <c r="I1050" s="6">
        <v>1227740.57</v>
      </c>
      <c r="J1050" s="6"/>
      <c r="K1050" s="6">
        <f>ROUND(I1050*0.3,2)</f>
        <v>368322.17</v>
      </c>
      <c r="L1050" s="6">
        <f t="shared" si="257"/>
        <v>859418.4</v>
      </c>
      <c r="M1050" s="6">
        <f t="shared" si="251"/>
        <v>137506.94</v>
      </c>
      <c r="N1050" s="6">
        <f t="shared" si="252"/>
        <v>996925.34</v>
      </c>
      <c r="O1050" s="6">
        <f t="shared" si="260"/>
        <v>6138.7</v>
      </c>
      <c r="P1050" s="6">
        <f t="shared" si="253"/>
        <v>990786.64</v>
      </c>
      <c r="Q1050" s="4" t="str">
        <f>LOOKUP($E1050,OBRAS!$D:$D,OBRAS!B:B)</f>
        <v>PROYECTOS Y EDIFICACIONES RANDA, S.A. DE C.V.</v>
      </c>
      <c r="R1050" s="4" t="str">
        <f>LOOKUP($E1050,OBRAS!$D:$D,OBRAS!A:A)</f>
        <v>SAN MIGUEL DE HORCASITAS</v>
      </c>
      <c r="S1050" s="4" t="str">
        <f>LOOKUP($E1050,OBRAS!$D:$D,OBRAS!F:F)</f>
        <v>11000002002201E202K05186A614202165FC05</v>
      </c>
      <c r="T1050" s="4" t="str">
        <f>LOOKUP($E1050,OBRAS!$D:$D,OBRAS!G:G)</f>
        <v>IO-926006995-E104-2016</v>
      </c>
      <c r="U1050" s="4" t="s">
        <v>863</v>
      </c>
      <c r="V1050" s="89">
        <v>42804</v>
      </c>
      <c r="W1050" s="6">
        <f>LOOKUP($E1050,OBRAS!$D:$D,OBRAS!K:K)</f>
        <v>3979000.91</v>
      </c>
      <c r="X1050" s="109">
        <f t="shared" si="254"/>
        <v>0.3579</v>
      </c>
      <c r="Y1050" s="109">
        <f t="shared" si="255"/>
        <v>0.91039999999999999</v>
      </c>
      <c r="Z1050" s="109">
        <f t="shared" si="256"/>
        <v>0.93730000000000002</v>
      </c>
      <c r="AA1050" s="4" t="str">
        <f>LOOKUP($E1050,OBRAS!$D:$D,OBRAS!H:H)</f>
        <v>SH-NC-17-R-009</v>
      </c>
    </row>
    <row r="1051" spans="1:27" ht="45" x14ac:dyDescent="0.25">
      <c r="A1051" s="90">
        <v>42773</v>
      </c>
      <c r="B1051" s="56">
        <v>645</v>
      </c>
      <c r="C1051" s="51">
        <v>1050</v>
      </c>
      <c r="D1051" s="4" t="str">
        <f>LOOKUP($E1051,OBRAS!$D:$D,OBRAS!C:C)</f>
        <v>PAVIMENTACION CON CONCRETO HIDRAULICO DE 15CMS DE ESPESOR EN CALLE MORELIA EN LA LOCALIDAD DE CARBO</v>
      </c>
      <c r="E1051" s="4" t="s">
        <v>1638</v>
      </c>
      <c r="F1051" s="4" t="s">
        <v>224</v>
      </c>
      <c r="G1051" s="4" t="str">
        <f>LOOKUP($E1051,OBRAS!$D:$D,OBRAS!E:E)</f>
        <v>C-00052/0191</v>
      </c>
      <c r="H1051" s="80" t="s">
        <v>221</v>
      </c>
      <c r="I1051" s="6">
        <v>1068389.3999999999</v>
      </c>
      <c r="J1051" s="6"/>
      <c r="K1051" s="6">
        <f>ROUND(I1051*0.3,2)</f>
        <v>320516.82</v>
      </c>
      <c r="L1051" s="6">
        <f t="shared" si="257"/>
        <v>747872.58</v>
      </c>
      <c r="M1051" s="6">
        <f t="shared" si="251"/>
        <v>119659.61</v>
      </c>
      <c r="N1051" s="6">
        <f t="shared" si="252"/>
        <v>867532.19</v>
      </c>
      <c r="O1051" s="6">
        <f t="shared" si="260"/>
        <v>5341.95</v>
      </c>
      <c r="P1051" s="6">
        <f t="shared" si="253"/>
        <v>862190.24</v>
      </c>
      <c r="Q1051" s="4" t="str">
        <f>LOOKUP($E1051,OBRAS!$D:$D,OBRAS!B:B)</f>
        <v>RUVERSA, S.A. DE C.V.</v>
      </c>
      <c r="R1051" s="4" t="str">
        <f>LOOKUP($E1051,OBRAS!$D:$D,OBRAS!A:A)</f>
        <v>CARBO</v>
      </c>
      <c r="S1051" s="4" t="str">
        <f>LOOKUP($E1051,OBRAS!$D:$D,OBRAS!F:F)</f>
        <v>11000002002201E202K05186A614202165FC05</v>
      </c>
      <c r="T1051" s="4" t="str">
        <f>LOOKUP($E1051,OBRAS!$D:$D,OBRAS!G:G)</f>
        <v>IO-926006995-E143-2016</v>
      </c>
      <c r="U1051" s="4" t="s">
        <v>863</v>
      </c>
      <c r="V1051" s="89">
        <v>42804</v>
      </c>
      <c r="W1051" s="6">
        <f>LOOKUP($E1051,OBRAS!$D:$D,OBRAS!K:K)</f>
        <v>2609103.9500000002</v>
      </c>
      <c r="X1051" s="109">
        <f t="shared" si="254"/>
        <v>0.47499999999999998</v>
      </c>
      <c r="Y1051" s="109">
        <f t="shared" si="255"/>
        <v>1</v>
      </c>
      <c r="Z1051" s="109">
        <f t="shared" si="256"/>
        <v>0.99990000000000001</v>
      </c>
      <c r="AA1051" s="4" t="str">
        <f>LOOKUP($E1051,OBRAS!$D:$D,OBRAS!H:H)</f>
        <v>SH-NC-17-R-009</v>
      </c>
    </row>
    <row r="1052" spans="1:27" ht="45" x14ac:dyDescent="0.25">
      <c r="A1052" s="90">
        <v>42773</v>
      </c>
      <c r="B1052" s="56">
        <v>646</v>
      </c>
      <c r="C1052" s="51">
        <v>1051</v>
      </c>
      <c r="D1052" s="4" t="str">
        <f>LOOKUP($E1052,OBRAS!$D:$D,OBRAS!C:C)</f>
        <v>PAVIMENTACION CON CONCRETO HIDRAULICO DE 15CMS DE ESPESOR EN CALLE MORELIA EN LA LOCALIDAD DE CARBO</v>
      </c>
      <c r="E1052" s="4" t="s">
        <v>1638</v>
      </c>
      <c r="F1052" s="4" t="s">
        <v>224</v>
      </c>
      <c r="G1052" s="4" t="str">
        <f>LOOKUP($E1052,OBRAS!$D:$D,OBRAS!E:E)</f>
        <v>C-00052/0191</v>
      </c>
      <c r="H1052" s="80" t="s">
        <v>55</v>
      </c>
      <c r="I1052" s="6">
        <v>1024477.47</v>
      </c>
      <c r="J1052" s="6"/>
      <c r="K1052" s="6">
        <v>307388.18</v>
      </c>
      <c r="L1052" s="6">
        <f t="shared" si="257"/>
        <v>717089.29</v>
      </c>
      <c r="M1052" s="6">
        <f t="shared" si="251"/>
        <v>114734.29</v>
      </c>
      <c r="N1052" s="6">
        <f t="shared" si="252"/>
        <v>831823.58</v>
      </c>
      <c r="O1052" s="6">
        <f t="shared" si="260"/>
        <v>5122.3900000000003</v>
      </c>
      <c r="P1052" s="6">
        <f t="shared" si="253"/>
        <v>826701.19</v>
      </c>
      <c r="Q1052" s="4" t="str">
        <f>LOOKUP($E1052,OBRAS!$D:$D,OBRAS!B:B)</f>
        <v>RUVERSA, S.A. DE C.V.</v>
      </c>
      <c r="R1052" s="4" t="str">
        <f>LOOKUP($E1052,OBRAS!$D:$D,OBRAS!A:A)</f>
        <v>CARBO</v>
      </c>
      <c r="S1052" s="4" t="str">
        <f>LOOKUP($E1052,OBRAS!$D:$D,OBRAS!F:F)</f>
        <v>11000002002201E202K05186A614202165FC05</v>
      </c>
      <c r="T1052" s="4" t="str">
        <f>LOOKUP($E1052,OBRAS!$D:$D,OBRAS!G:G)</f>
        <v>IO-926006995-E143-2016</v>
      </c>
      <c r="U1052" s="4" t="s">
        <v>863</v>
      </c>
      <c r="V1052" s="89">
        <v>42804</v>
      </c>
      <c r="W1052" s="6">
        <f>LOOKUP($E1052,OBRAS!$D:$D,OBRAS!K:K)</f>
        <v>2609103.9500000002</v>
      </c>
      <c r="X1052" s="109">
        <f t="shared" si="254"/>
        <v>0.45550000000000002</v>
      </c>
      <c r="Y1052" s="109">
        <f t="shared" si="255"/>
        <v>1</v>
      </c>
      <c r="Z1052" s="109">
        <f t="shared" si="256"/>
        <v>0.99990000000000001</v>
      </c>
      <c r="AA1052" s="4" t="str">
        <f>LOOKUP($E1052,OBRAS!$D:$D,OBRAS!H:H)</f>
        <v>SH-NC-17-R-009</v>
      </c>
    </row>
    <row r="1053" spans="1:27" ht="45" x14ac:dyDescent="0.25">
      <c r="A1053" s="90">
        <v>42773</v>
      </c>
      <c r="B1053" s="56">
        <v>647</v>
      </c>
      <c r="C1053" s="51">
        <v>1052</v>
      </c>
      <c r="D1053" s="4" t="str">
        <f>LOOKUP($E1053,OBRAS!$D:$D,OBRAS!C:C)</f>
        <v>REHABILITACION DE PAVIMENTOS A BASE DE RECARPETEO EN 4 CALLES EN LAS COLONIAS AL NORTE DE LA CIUDAD HEROICA GUAYMAS</v>
      </c>
      <c r="E1053" s="4" t="s">
        <v>1731</v>
      </c>
      <c r="F1053" s="4" t="s">
        <v>217</v>
      </c>
      <c r="G1053" s="4" t="str">
        <f>LOOKUP($E1053,OBRAS!$D:$D,OBRAS!E:E)</f>
        <v>C-00052/0230</v>
      </c>
      <c r="H1053" s="80" t="s">
        <v>103</v>
      </c>
      <c r="I1053" s="6">
        <v>528501.12</v>
      </c>
      <c r="J1053" s="6"/>
      <c r="K1053" s="6">
        <f>ROUND(I1053*0.3,2)</f>
        <v>158550.34</v>
      </c>
      <c r="L1053" s="6">
        <f t="shared" si="257"/>
        <v>369950.78</v>
      </c>
      <c r="M1053" s="6">
        <f t="shared" si="251"/>
        <v>59192.12</v>
      </c>
      <c r="N1053" s="6">
        <f t="shared" si="252"/>
        <v>429142.9</v>
      </c>
      <c r="O1053" s="6">
        <f t="shared" si="260"/>
        <v>2642.51</v>
      </c>
      <c r="P1053" s="6">
        <f t="shared" si="253"/>
        <v>426500.39</v>
      </c>
      <c r="Q1053" s="4" t="str">
        <f>LOOKUP($E1053,OBRAS!$D:$D,OBRAS!B:B)</f>
        <v>EDIFICACIONES Y PROYECTOS MOCELIK, S.A. DE C.V.</v>
      </c>
      <c r="R1053" s="4" t="str">
        <f>LOOKUP($E1053,OBRAS!$D:$D,OBRAS!A:A)</f>
        <v>GUAYMAS</v>
      </c>
      <c r="S1053" s="4" t="str">
        <f>LOOKUP($E1053,OBRAS!$D:$D,OBRAS!F:F)</f>
        <v>11000002002201E202K05186A614202165FN10</v>
      </c>
      <c r="T1053" s="4" t="str">
        <f>LOOKUP($E1053,OBRAS!$D:$D,OBRAS!G:G)</f>
        <v>IO-926006995-E103-2016</v>
      </c>
      <c r="U1053" s="4" t="s">
        <v>863</v>
      </c>
      <c r="V1053" s="89">
        <v>42804</v>
      </c>
      <c r="W1053" s="6">
        <f>LOOKUP($E1053,OBRAS!$D:$D,OBRAS!K:K)</f>
        <v>6446641.3200000003</v>
      </c>
      <c r="X1053" s="109">
        <f t="shared" si="254"/>
        <v>9.5100000000000004E-2</v>
      </c>
      <c r="Y1053" s="109">
        <f t="shared" si="255"/>
        <v>9.5100000000000004E-2</v>
      </c>
      <c r="Z1053" s="109">
        <f t="shared" si="256"/>
        <v>0.36659999999999998</v>
      </c>
      <c r="AA1053" s="4" t="str">
        <f>LOOKUP($E1053,OBRAS!$D:$D,OBRAS!H:H)</f>
        <v>SH-NC-17-R-005</v>
      </c>
    </row>
    <row r="1054" spans="1:27" ht="30" x14ac:dyDescent="0.25">
      <c r="A1054" s="90">
        <v>42774</v>
      </c>
      <c r="B1054" s="56">
        <v>677</v>
      </c>
      <c r="C1054" s="51">
        <v>1053</v>
      </c>
      <c r="D1054" s="4" t="str">
        <f>LOOKUP($E1054,OBRAS!$D:$D,OBRAS!C:C)</f>
        <v>REHABILITACION DE PAVIMENTOS DE 9 CALLES EN LA LOCALIDAD DE TERRENATE</v>
      </c>
      <c r="E1054" s="4" t="s">
        <v>1462</v>
      </c>
      <c r="F1054" s="4" t="s">
        <v>224</v>
      </c>
      <c r="G1054" s="4" t="str">
        <f>LOOKUP($E1054,OBRAS!$D:$D,OBRAS!E:E)</f>
        <v>C-00052/0208</v>
      </c>
      <c r="H1054" s="80" t="s">
        <v>103</v>
      </c>
      <c r="I1054" s="6">
        <v>1616152.3</v>
      </c>
      <c r="J1054" s="6"/>
      <c r="K1054" s="6">
        <f>ROUND(I1054*0.3,2)</f>
        <v>484845.69</v>
      </c>
      <c r="L1054" s="6">
        <f t="shared" si="257"/>
        <v>1131306.6100000001</v>
      </c>
      <c r="M1054" s="6">
        <f t="shared" si="251"/>
        <v>181009.06</v>
      </c>
      <c r="N1054" s="6">
        <f t="shared" si="252"/>
        <v>1312315.67</v>
      </c>
      <c r="O1054" s="6">
        <f t="shared" si="260"/>
        <v>8080.76</v>
      </c>
      <c r="P1054" s="6">
        <f t="shared" si="253"/>
        <v>1304234.9099999999</v>
      </c>
      <c r="Q1054" s="4" t="str">
        <f>LOOKUP($E1054,OBRAS!$D:$D,OBRAS!B:B)</f>
        <v>CW METAL S.A DE C.V.</v>
      </c>
      <c r="R1054" s="4" t="str">
        <f>LOOKUP($E1054,OBRAS!$D:$D,OBRAS!A:A)</f>
        <v>IMURIS</v>
      </c>
      <c r="S1054" s="4" t="str">
        <f>LOOKUP($E1054,OBRAS!$D:$D,OBRAS!F:F)</f>
        <v>11000002002201E202K05186A614202165FN03</v>
      </c>
      <c r="T1054" s="4" t="str">
        <f>LOOKUP($E1054,OBRAS!$D:$D,OBRAS!G:G)</f>
        <v>IO-926006995-E133-2016</v>
      </c>
      <c r="U1054" s="4" t="s">
        <v>863</v>
      </c>
      <c r="V1054" s="89">
        <v>42804</v>
      </c>
      <c r="W1054" s="6">
        <f>LOOKUP($E1054,OBRAS!$D:$D,OBRAS!K:K)</f>
        <v>2899984.17</v>
      </c>
      <c r="X1054" s="109">
        <f t="shared" si="254"/>
        <v>0.64649999999999996</v>
      </c>
      <c r="Y1054" s="109">
        <f t="shared" si="255"/>
        <v>0.64649999999999996</v>
      </c>
      <c r="Z1054" s="109">
        <f t="shared" si="256"/>
        <v>0.75249999999999995</v>
      </c>
      <c r="AA1054" s="4" t="str">
        <f>LOOKUP($E1054,OBRAS!$D:$D,OBRAS!H:H)</f>
        <v>SH-NC-17-R-005</v>
      </c>
    </row>
    <row r="1055" spans="1:27" ht="30" x14ac:dyDescent="0.25">
      <c r="A1055" s="90">
        <v>42774</v>
      </c>
      <c r="B1055" s="56">
        <v>678</v>
      </c>
      <c r="C1055" s="51">
        <v>1054</v>
      </c>
      <c r="D1055" s="4" t="str">
        <f>LOOKUP($E1055,OBRAS!$D:$D,OBRAS!C:C)</f>
        <v>REHABILITACION DE PAVIMENTOS DE 4 CALLES EN LA LOCALIDAD DE IMURIS</v>
      </c>
      <c r="E1055" s="4" t="s">
        <v>1483</v>
      </c>
      <c r="F1055" s="4" t="s">
        <v>224</v>
      </c>
      <c r="G1055" s="4" t="str">
        <f>LOOKUP($E1055,OBRAS!$D:$D,OBRAS!E:E)</f>
        <v>C-00052/0210</v>
      </c>
      <c r="H1055" s="80" t="s">
        <v>103</v>
      </c>
      <c r="I1055" s="6">
        <v>1116715.6299999999</v>
      </c>
      <c r="J1055" s="6"/>
      <c r="K1055" s="6">
        <f>ROUND(I1055*0.3,2)</f>
        <v>335014.69</v>
      </c>
      <c r="L1055" s="6">
        <f t="shared" si="257"/>
        <v>781700.94</v>
      </c>
      <c r="M1055" s="6">
        <f t="shared" si="251"/>
        <v>125072.15</v>
      </c>
      <c r="N1055" s="6">
        <f t="shared" si="252"/>
        <v>906773.09</v>
      </c>
      <c r="O1055" s="6">
        <f t="shared" si="260"/>
        <v>5583.58</v>
      </c>
      <c r="P1055" s="6">
        <f t="shared" si="253"/>
        <v>901189.51</v>
      </c>
      <c r="Q1055" s="4" t="str">
        <f>LOOKUP($E1055,OBRAS!$D:$D,OBRAS!B:B)</f>
        <v>CW METAL S.A DE C.V.</v>
      </c>
      <c r="R1055" s="4" t="str">
        <f>LOOKUP($E1055,OBRAS!$D:$D,OBRAS!A:A)</f>
        <v>IMURIS</v>
      </c>
      <c r="S1055" s="4" t="str">
        <f>LOOKUP($E1055,OBRAS!$D:$D,OBRAS!F:F)</f>
        <v>11000002002201E202K05186A614202165FN03</v>
      </c>
      <c r="T1055" s="4" t="str">
        <f>LOOKUP($E1055,OBRAS!$D:$D,OBRAS!G:G)</f>
        <v>IO-926006995-E130-2016</v>
      </c>
      <c r="U1055" s="4" t="s">
        <v>863</v>
      </c>
      <c r="V1055" s="89">
        <v>42804</v>
      </c>
      <c r="W1055" s="6">
        <f>LOOKUP($E1055,OBRAS!$D:$D,OBRAS!K:K)</f>
        <v>2725991.13</v>
      </c>
      <c r="X1055" s="109">
        <f t="shared" si="254"/>
        <v>0.47520000000000001</v>
      </c>
      <c r="Y1055" s="109">
        <f t="shared" si="255"/>
        <v>0.47520000000000001</v>
      </c>
      <c r="Z1055" s="109">
        <f t="shared" si="256"/>
        <v>0.63260000000000005</v>
      </c>
      <c r="AA1055" s="4" t="str">
        <f>LOOKUP($E1055,OBRAS!$D:$D,OBRAS!H:H)</f>
        <v>SH-NC-17-R-005</v>
      </c>
    </row>
    <row r="1056" spans="1:27" ht="45" x14ac:dyDescent="0.25">
      <c r="A1056" s="90">
        <v>42774</v>
      </c>
      <c r="B1056" s="56">
        <v>679</v>
      </c>
      <c r="C1056" s="51">
        <v>1055</v>
      </c>
      <c r="D1056" s="4" t="str">
        <f>LOOKUP($E1056,OBRAS!$D:$D,OBRAS!C:C)</f>
        <v>REHABILITACION DE PAVIMENTOS DE AV. MIGUEL HIDALGO EN LA LOCALIDAD Y MUNICIPIO DE SANTA CRUZ, SONORA.</v>
      </c>
      <c r="E1056" s="4" t="s">
        <v>900</v>
      </c>
      <c r="F1056" s="4" t="s">
        <v>217</v>
      </c>
      <c r="G1056" s="4" t="str">
        <f>LOOKUP($E1056,OBRAS!$D:$D,OBRAS!E:E)</f>
        <v>C-00052/0203</v>
      </c>
      <c r="H1056" s="80" t="s">
        <v>103</v>
      </c>
      <c r="I1056" s="6">
        <v>256149.22</v>
      </c>
      <c r="J1056" s="6"/>
      <c r="K1056" s="6">
        <f>ROUND(I1056*0.3,2)</f>
        <v>76844.77</v>
      </c>
      <c r="L1056" s="6">
        <f t="shared" si="257"/>
        <v>179304.45</v>
      </c>
      <c r="M1056" s="6">
        <f t="shared" si="251"/>
        <v>28688.71</v>
      </c>
      <c r="N1056" s="6">
        <f t="shared" si="252"/>
        <v>207993.16</v>
      </c>
      <c r="O1056" s="6">
        <f t="shared" si="260"/>
        <v>1280.75</v>
      </c>
      <c r="P1056" s="6">
        <f t="shared" si="253"/>
        <v>206712.41</v>
      </c>
      <c r="Q1056" s="4" t="str">
        <f>LOOKUP($E1056,OBRAS!$D:$D,OBRAS!B:B)</f>
        <v>PROMOCIONES TESIA, S.A. DE C.V.</v>
      </c>
      <c r="R1056" s="4" t="str">
        <f>LOOKUP($E1056,OBRAS!$D:$D,OBRAS!A:A)</f>
        <v>SANTA CRUZ</v>
      </c>
      <c r="S1056" s="4" t="str">
        <f>LOOKUP($E1056,OBRAS!$D:$D,OBRAS!F:F)</f>
        <v>11000002002201E202K05186A614202165FN03</v>
      </c>
      <c r="T1056" s="4" t="str">
        <f>LOOKUP($E1056,OBRAS!$D:$D,OBRAS!G:G)</f>
        <v>AO-926006995-E111-2016</v>
      </c>
      <c r="U1056" s="4" t="s">
        <v>863</v>
      </c>
      <c r="V1056" s="89">
        <v>42794</v>
      </c>
      <c r="W1056" s="6">
        <f>LOOKUP($E1056,OBRAS!$D:$D,OBRAS!K:K)</f>
        <v>851581.37</v>
      </c>
      <c r="X1056" s="109">
        <f t="shared" si="254"/>
        <v>0.34889999999999999</v>
      </c>
      <c r="Y1056" s="109">
        <f t="shared" si="255"/>
        <v>0.97230000000000005</v>
      </c>
      <c r="Z1056" s="109">
        <f t="shared" si="256"/>
        <v>0.97219999999999995</v>
      </c>
      <c r="AA1056" s="4" t="str">
        <f>LOOKUP($E1056,OBRAS!$D:$D,OBRAS!H:H)</f>
        <v>SH-NC-17-R-005</v>
      </c>
    </row>
    <row r="1057" spans="1:27" ht="45" x14ac:dyDescent="0.25">
      <c r="A1057" s="90">
        <v>42774</v>
      </c>
      <c r="B1057" s="56">
        <v>680</v>
      </c>
      <c r="C1057" s="51">
        <v>1056</v>
      </c>
      <c r="D1057" s="4" t="str">
        <f>LOOKUP($E1057,OBRAS!$D:$D,OBRAS!C:C)</f>
        <v>REHABILITACION DE PAVIMENTOS DE AV. MIGUEL HIDALGO EN LA LOCALIDAD Y MUNICIPIO DE SANTA CRUZ, SONORA.</v>
      </c>
      <c r="E1057" s="4" t="s">
        <v>900</v>
      </c>
      <c r="F1057" s="4" t="s">
        <v>217</v>
      </c>
      <c r="G1057" s="4" t="str">
        <f>LOOKUP($E1057,OBRAS!$D:$D,OBRAS!E:E)</f>
        <v>C-00052/0203</v>
      </c>
      <c r="H1057" s="80" t="s">
        <v>221</v>
      </c>
      <c r="I1057" s="6">
        <v>440657.01</v>
      </c>
      <c r="J1057" s="6"/>
      <c r="K1057" s="6">
        <f>ROUND(I1057*0.3,2)</f>
        <v>132197.1</v>
      </c>
      <c r="L1057" s="6">
        <f t="shared" si="257"/>
        <v>308459.90999999997</v>
      </c>
      <c r="M1057" s="6">
        <f t="shared" si="251"/>
        <v>49353.59</v>
      </c>
      <c r="N1057" s="6">
        <f t="shared" si="252"/>
        <v>357813.5</v>
      </c>
      <c r="O1057" s="6">
        <f t="shared" si="260"/>
        <v>2203.29</v>
      </c>
      <c r="P1057" s="6">
        <f t="shared" si="253"/>
        <v>355610.21</v>
      </c>
      <c r="Q1057" s="4" t="str">
        <f>LOOKUP($E1057,OBRAS!$D:$D,OBRAS!B:B)</f>
        <v>PROMOCIONES TESIA, S.A. DE C.V.</v>
      </c>
      <c r="R1057" s="4" t="str">
        <f>LOOKUP($E1057,OBRAS!$D:$D,OBRAS!A:A)</f>
        <v>SANTA CRUZ</v>
      </c>
      <c r="S1057" s="4" t="str">
        <f>LOOKUP($E1057,OBRAS!$D:$D,OBRAS!F:F)</f>
        <v>11000002002201E202K05186A614202165FN03</v>
      </c>
      <c r="T1057" s="4" t="str">
        <f>LOOKUP($E1057,OBRAS!$D:$D,OBRAS!G:G)</f>
        <v>AO-926006995-E111-2016</v>
      </c>
      <c r="U1057" s="4" t="s">
        <v>863</v>
      </c>
      <c r="V1057" s="89">
        <v>42794</v>
      </c>
      <c r="W1057" s="6">
        <f>LOOKUP($E1057,OBRAS!$D:$D,OBRAS!K:K)</f>
        <v>851581.37</v>
      </c>
      <c r="X1057" s="109">
        <f t="shared" si="254"/>
        <v>0.60029999999999994</v>
      </c>
      <c r="Y1057" s="109">
        <f t="shared" si="255"/>
        <v>0.97230000000000005</v>
      </c>
      <c r="Z1057" s="109">
        <f t="shared" si="256"/>
        <v>0.97219999999999995</v>
      </c>
      <c r="AA1057" s="4" t="str">
        <f>LOOKUP($E1057,OBRAS!$D:$D,OBRAS!H:H)</f>
        <v>SH-NC-17-R-005</v>
      </c>
    </row>
    <row r="1058" spans="1:27" ht="75" x14ac:dyDescent="0.25">
      <c r="C1058" s="51">
        <v>1057</v>
      </c>
      <c r="D1058" s="4" t="str">
        <f>LOOKUP($E1058,OBRAS!$D:$D,OBRAS!C:C)</f>
        <v>REHABILITACION DE PAVIMENTOS A BASE DE RECARPETEO DE LA CALLE ISRAEL GONZALEZ ENTRE AVENIDA SEGURO SOCIAL Y CALLE UNO, Y CALLE GRAL. PIÑA ENTRE PERIFERICO NORTE Y AVE. GASTON MADRID, EN LA CIUDAD DE HERMOSILLO</v>
      </c>
      <c r="E1058" s="4" t="s">
        <v>2233</v>
      </c>
      <c r="F1058" s="4" t="s">
        <v>224</v>
      </c>
      <c r="G1058" s="4" t="str">
        <f>LOOKUP($E1058,OBRAS!$D:$D,OBRAS!E:E)</f>
        <v>C-00052/0248</v>
      </c>
      <c r="H1058" s="80" t="s">
        <v>23</v>
      </c>
      <c r="I1058" s="6">
        <v>2461180.62</v>
      </c>
      <c r="J1058" s="6"/>
      <c r="K1058" s="6">
        <v>0</v>
      </c>
      <c r="L1058" s="6">
        <f t="shared" si="257"/>
        <v>2461180.62</v>
      </c>
      <c r="M1058" s="6">
        <f t="shared" ref="M1058:M1089" si="261">ROUND(L1058*0.16,2)</f>
        <v>393788.9</v>
      </c>
      <c r="N1058" s="6">
        <f t="shared" ref="N1058:N1089" si="262">M1058+L1058</f>
        <v>2854969.52</v>
      </c>
      <c r="O1058" s="6">
        <v>0</v>
      </c>
      <c r="P1058" s="6">
        <f t="shared" ref="P1058:P1089" si="263">N1058-O1058</f>
        <v>2854969.52</v>
      </c>
      <c r="Q1058" s="4" t="str">
        <f>LOOKUP($E1058,OBRAS!$D:$D,OBRAS!B:B)</f>
        <v>PROYECTOS Y CONSTRUCCIONES VIRGO, S.A. DE C.V.</v>
      </c>
      <c r="R1058" s="4" t="str">
        <f>LOOKUP($E1058,OBRAS!$D:$D,OBRAS!A:A)</f>
        <v>HERMOSILLO</v>
      </c>
      <c r="S1058" s="4" t="str">
        <f>LOOKUP($E1058,OBRAS!$D:$D,OBRAS!F:F)</f>
        <v>11000002002201E202K05186A614202165FQ07</v>
      </c>
      <c r="T1058" s="4" t="str">
        <f>LOOKUP($E1058,OBRAS!$D:$D,OBRAS!G:G)</f>
        <v>LO-926006995-E173-2016</v>
      </c>
      <c r="U1058" s="4" t="s">
        <v>863</v>
      </c>
      <c r="V1058" s="89">
        <v>42795</v>
      </c>
      <c r="W1058" s="6">
        <f>LOOKUP($E1058,OBRAS!$D:$D,OBRAS!K:K)</f>
        <v>9516565.0800000001</v>
      </c>
      <c r="X1058" s="109" t="str">
        <f t="shared" ref="X1058:X1089" si="264">IF(H1058&lt;&gt;"ANTICIPO",I1058/(W1058/1.16),"")</f>
        <v/>
      </c>
      <c r="Y1058" s="109">
        <f t="shared" ref="Y1058:Y1089" si="265">SUMIF(E:E,E1058,X:X)</f>
        <v>0</v>
      </c>
      <c r="Z1058" s="109">
        <f t="shared" ref="Z1058:Z1089" si="266">SUMIF(E:E,E1058,N:N)/W1058</f>
        <v>0.3</v>
      </c>
      <c r="AA1058" s="4" t="str">
        <f>LOOKUP($E1058,OBRAS!$D:$D,OBRAS!H:H)</f>
        <v>SH-NC-17-R-006</v>
      </c>
    </row>
    <row r="1059" spans="1:27" ht="45" x14ac:dyDescent="0.25">
      <c r="C1059" s="51">
        <v>1058</v>
      </c>
      <c r="D1059" s="4" t="str">
        <f>LOOKUP($E1059,OBRAS!$D:$D,OBRAS!C:C)</f>
        <v>REHABILITACION DE PAVIMENTOS DE 24 CALLES EN LA LOCALIDAD DE HUATABAMPO, MUNICIPIO DE HUATABAMPO</v>
      </c>
      <c r="E1059" s="4" t="s">
        <v>2236</v>
      </c>
      <c r="F1059" s="4" t="s">
        <v>224</v>
      </c>
      <c r="G1059" s="4" t="str">
        <f>LOOKUP($E1059,OBRAS!$D:$D,OBRAS!E:E)</f>
        <v xml:space="preserve">C-00052/0243 </v>
      </c>
      <c r="H1059" s="80" t="s">
        <v>23</v>
      </c>
      <c r="I1059" s="6">
        <v>4189927.26</v>
      </c>
      <c r="J1059" s="6"/>
      <c r="K1059" s="6">
        <v>0</v>
      </c>
      <c r="L1059" s="6">
        <f t="shared" si="257"/>
        <v>4189927.26</v>
      </c>
      <c r="M1059" s="6">
        <f t="shared" si="261"/>
        <v>670388.36</v>
      </c>
      <c r="N1059" s="6">
        <f t="shared" si="262"/>
        <v>4860315.62</v>
      </c>
      <c r="O1059" s="6">
        <v>0</v>
      </c>
      <c r="P1059" s="6">
        <f t="shared" si="263"/>
        <v>4860315.62</v>
      </c>
      <c r="Q1059" s="4" t="str">
        <f>LOOKUP($E1059,OBRAS!$D:$D,OBRAS!B:B)</f>
        <v>EDIFICACIONES BOZA S.A. DE C.V.</v>
      </c>
      <c r="R1059" s="4" t="str">
        <f>LOOKUP($E1059,OBRAS!$D:$D,OBRAS!A:A)</f>
        <v>HUATABAMPO</v>
      </c>
      <c r="S1059" s="4" t="str">
        <f>LOOKUP($E1059,OBRAS!$D:$D,OBRAS!F:F)</f>
        <v>11000002002201E202K05186A614202165FQ12</v>
      </c>
      <c r="T1059" s="4" t="str">
        <f>LOOKUP($E1059,OBRAS!$D:$D,OBRAS!G:G)</f>
        <v>LO-926006995-E171-2016</v>
      </c>
      <c r="U1059" s="4" t="s">
        <v>863</v>
      </c>
      <c r="V1059" s="89">
        <v>42794</v>
      </c>
      <c r="W1059" s="6">
        <f>LOOKUP($E1059,OBRAS!$D:$D,OBRAS!K:K)</f>
        <v>16201052.08</v>
      </c>
      <c r="X1059" s="109" t="str">
        <f t="shared" si="264"/>
        <v/>
      </c>
      <c r="Y1059" s="109">
        <f t="shared" si="265"/>
        <v>0</v>
      </c>
      <c r="Z1059" s="109">
        <f t="shared" si="266"/>
        <v>0.3</v>
      </c>
      <c r="AA1059" s="4" t="str">
        <f>LOOKUP($E1059,OBRAS!$D:$D,OBRAS!H:H)</f>
        <v>SH-NC-17-R-006</v>
      </c>
    </row>
    <row r="1060" spans="1:27" ht="60" x14ac:dyDescent="0.25">
      <c r="C1060" s="51">
        <v>1059</v>
      </c>
      <c r="D1060" s="4" t="str">
        <f>LOOKUP($E1060,OBRAS!$D:$D,OBRAS!C:C)</f>
        <v>RECONSTRUCCION DE LA CALLE 20 SUR DEL KM 0+000 AL KM 27+000 (PRIMERA ETAPA) EN VARIAS LOCALIDADES DEL MUNICIPIO DE HERMOSILLO, SONORA</v>
      </c>
      <c r="E1060" s="4" t="s">
        <v>2285</v>
      </c>
      <c r="F1060" s="4" t="s">
        <v>224</v>
      </c>
      <c r="G1060" s="4" t="str">
        <f>LOOKUP($E1060,OBRAS!$D:$D,OBRAS!E:E)</f>
        <v>C-00054/0079</v>
      </c>
      <c r="H1060" s="80" t="s">
        <v>23</v>
      </c>
      <c r="I1060" s="6">
        <v>4010207.23</v>
      </c>
      <c r="J1060" s="6"/>
      <c r="K1060" s="6">
        <v>0</v>
      </c>
      <c r="L1060" s="6">
        <f t="shared" si="257"/>
        <v>4010207.23</v>
      </c>
      <c r="M1060" s="6">
        <f t="shared" si="261"/>
        <v>641633.16</v>
      </c>
      <c r="N1060" s="6">
        <f t="shared" si="262"/>
        <v>4651840.3899999997</v>
      </c>
      <c r="O1060" s="6">
        <v>0</v>
      </c>
      <c r="P1060" s="6">
        <f t="shared" si="263"/>
        <v>4651840.3899999997</v>
      </c>
      <c r="Q1060" s="4" t="str">
        <f>LOOKUP($E1060,OBRAS!$D:$D,OBRAS!B:B)</f>
        <v>GRUPO CONSTRUCCIONES PLANIFICADAS, SA DE CV</v>
      </c>
      <c r="R1060" s="4" t="str">
        <f>LOOKUP($E1060,OBRAS!$D:$D,OBRAS!A:A)</f>
        <v>HERMOSILLO</v>
      </c>
      <c r="S1060" s="4" t="str">
        <f>LOOKUP($E1060,OBRAS!$D:$D,OBRAS!F:F)</f>
        <v>11000002003501E204K08063A625012162A207</v>
      </c>
      <c r="T1060" s="4" t="str">
        <f>LOOKUP($E1060,OBRAS!$D:$D,OBRAS!G:G)</f>
        <v>CE-926006995-E186-2016</v>
      </c>
      <c r="U1060" s="4" t="s">
        <v>864</v>
      </c>
      <c r="V1060" s="89">
        <v>42811</v>
      </c>
      <c r="W1060" s="6">
        <f>LOOKUP($E1060,OBRAS!$D:$D,OBRAS!K:K)</f>
        <v>15506134.640000001</v>
      </c>
      <c r="X1060" s="109" t="str">
        <f t="shared" si="264"/>
        <v/>
      </c>
      <c r="Y1060" s="109">
        <f t="shared" si="265"/>
        <v>0</v>
      </c>
      <c r="Z1060" s="109">
        <f t="shared" si="266"/>
        <v>0.3</v>
      </c>
      <c r="AA1060" s="4" t="str">
        <f>LOOKUP($E1060,OBRAS!$D:$D,OBRAS!H:H)</f>
        <v>SH-ED-17-R-013</v>
      </c>
    </row>
    <row r="1061" spans="1:27" ht="75" x14ac:dyDescent="0.25">
      <c r="A1061" s="90">
        <v>42781</v>
      </c>
      <c r="B1061" s="56">
        <v>819</v>
      </c>
      <c r="C1061" s="51">
        <v>1060</v>
      </c>
      <c r="D1061" s="4" t="str">
        <f>LOOKUP($E1061,OBRAS!$D:$D,OBRAS!C:C)</f>
        <v>REHABILITACION DE PAVIMIENTOS A BASE DE RECARPETEO EN CALLE REFORMA EN LOS TRAMOS DE PROGRESO Y AVE 13 DE JOSE CARMELO A AVE 8 Y DE BLVD SERNA A BLVD LUIS ENCINAS EN LA LOCALIDAD Y MUNICIPIO DE HERMOSILLO, SON</v>
      </c>
      <c r="E1061" s="4" t="s">
        <v>824</v>
      </c>
      <c r="F1061" s="4" t="s">
        <v>225</v>
      </c>
      <c r="G1061" s="4" t="str">
        <f>LOOKUP($E1061,OBRAS!$D:$D,OBRAS!E:E)</f>
        <v>C-00052/0177</v>
      </c>
      <c r="H1061" s="80" t="s">
        <v>55</v>
      </c>
      <c r="I1061" s="6">
        <v>4777373.6900000004</v>
      </c>
      <c r="J1061" s="6"/>
      <c r="K1061" s="6">
        <v>1433212.11</v>
      </c>
      <c r="L1061" s="6">
        <f t="shared" si="257"/>
        <v>3344161.58</v>
      </c>
      <c r="M1061" s="6">
        <f t="shared" si="261"/>
        <v>535065.85</v>
      </c>
      <c r="N1061" s="6">
        <f t="shared" si="262"/>
        <v>3879227.43</v>
      </c>
      <c r="O1061" s="6">
        <f t="shared" ref="O1061:O1074" si="267">+ROUND(I1061*0.005,2)</f>
        <v>23886.87</v>
      </c>
      <c r="P1061" s="6">
        <f t="shared" si="263"/>
        <v>3855340.56</v>
      </c>
      <c r="Q1061" s="4" t="str">
        <f>LOOKUP($E1061,OBRAS!$D:$D,OBRAS!B:B)</f>
        <v>CONSTRUPIMA, S.A. DE C.V.</v>
      </c>
      <c r="R1061" s="4" t="str">
        <f>LOOKUP($E1061,OBRAS!$D:$D,OBRAS!A:A)</f>
        <v>HERMOSILLO</v>
      </c>
      <c r="S1061" s="4" t="str">
        <f>LOOKUP($E1061,OBRAS!$D:$D,OBRAS!F:F)</f>
        <v>11000002002201E202K05186A614202165CN07</v>
      </c>
      <c r="T1061" s="4" t="str">
        <f>LOOKUP($E1061,OBRAS!$D:$D,OBRAS!G:G)</f>
        <v>LO-956006995-E85-2016</v>
      </c>
      <c r="U1061" s="4" t="s">
        <v>863</v>
      </c>
      <c r="V1061" s="89">
        <v>42804</v>
      </c>
      <c r="W1061" s="6">
        <f>LOOKUP($E1061,OBRAS!$D:$D,OBRAS!K:K)</f>
        <v>22873151.760000002</v>
      </c>
      <c r="X1061" s="109">
        <f t="shared" si="264"/>
        <v>0.24229999999999999</v>
      </c>
      <c r="Y1061" s="109">
        <f t="shared" si="265"/>
        <v>0.87480000000000002</v>
      </c>
      <c r="Z1061" s="109">
        <f t="shared" si="266"/>
        <v>0.9123</v>
      </c>
      <c r="AA1061" s="4" t="str">
        <f>LOOKUP($E1061,OBRAS!$D:$D,OBRAS!H:H)</f>
        <v>SH-NC-17-R-004</v>
      </c>
    </row>
    <row r="1062" spans="1:27" ht="45" x14ac:dyDescent="0.25">
      <c r="A1062" s="90">
        <v>42781</v>
      </c>
      <c r="B1062" s="56">
        <v>824</v>
      </c>
      <c r="C1062" s="51">
        <v>1061</v>
      </c>
      <c r="D1062" s="4" t="str">
        <f>LOOKUP($E1062,OBRAS!$D:$D,OBRAS!C:C)</f>
        <v>PAVIMENTACION A BASE DE CONCRETO HIDRAULICO DE LA CALLE TEPACHE ENTRE VERACRUZ Y CALLE MUNICIPIO DE BACANORA</v>
      </c>
      <c r="E1062" s="4" t="s">
        <v>963</v>
      </c>
      <c r="F1062" s="4" t="s">
        <v>217</v>
      </c>
      <c r="G1062" s="4" t="str">
        <f>LOOKUP($E1062,OBRAS!$D:$D,OBRAS!E:E)</f>
        <v>C-00052/0236</v>
      </c>
      <c r="H1062" s="80" t="s">
        <v>103</v>
      </c>
      <c r="I1062" s="6">
        <v>778769.93</v>
      </c>
      <c r="J1062" s="6"/>
      <c r="K1062" s="6">
        <f t="shared" ref="K1062:K1095" si="268">ROUND(I1062*0.3,2)</f>
        <v>233630.98</v>
      </c>
      <c r="L1062" s="6">
        <f t="shared" si="257"/>
        <v>545138.94999999995</v>
      </c>
      <c r="M1062" s="6">
        <f t="shared" si="261"/>
        <v>87222.23</v>
      </c>
      <c r="N1062" s="6">
        <f t="shared" si="262"/>
        <v>632361.18000000005</v>
      </c>
      <c r="O1062" s="6">
        <f t="shared" si="267"/>
        <v>3893.85</v>
      </c>
      <c r="P1062" s="6">
        <f t="shared" si="263"/>
        <v>628467.32999999996</v>
      </c>
      <c r="Q1062" s="4" t="str">
        <f>LOOKUP($E1062,OBRAS!$D:$D,OBRAS!B:B)</f>
        <v>PROMOCIONES TESIA, S.A. DE C.V.</v>
      </c>
      <c r="R1062" s="4" t="str">
        <f>LOOKUP($E1062,OBRAS!$D:$D,OBRAS!A:A)</f>
        <v>NOGALES</v>
      </c>
      <c r="S1062" s="4" t="str">
        <f>LOOKUP($E1062,OBRAS!$D:$D,OBRAS!F:F)</f>
        <v>11000002002201E202K05185A614202165FM03</v>
      </c>
      <c r="T1062" s="4" t="str">
        <f>LOOKUP($E1062,OBRAS!$D:$D,OBRAS!G:G)</f>
        <v>IO-926006995-E101-2016</v>
      </c>
      <c r="U1062" s="4" t="s">
        <v>864</v>
      </c>
      <c r="V1062" s="89">
        <v>42804</v>
      </c>
      <c r="W1062" s="6">
        <f>LOOKUP($E1062,OBRAS!$D:$D,OBRAS!K:K)</f>
        <v>8091604.4400000004</v>
      </c>
      <c r="X1062" s="109">
        <f t="shared" si="264"/>
        <v>0.1116</v>
      </c>
      <c r="Y1062" s="109">
        <f t="shared" si="265"/>
        <v>0.25180000000000002</v>
      </c>
      <c r="Z1062" s="109">
        <f t="shared" si="266"/>
        <v>0.47620000000000001</v>
      </c>
      <c r="AA1062" s="4" t="str">
        <f>LOOKUP($E1062,OBRAS!$D:$D,OBRAS!H:H)</f>
        <v>SH-NC-17-R-008</v>
      </c>
    </row>
    <row r="1063" spans="1:27" ht="45" x14ac:dyDescent="0.25">
      <c r="A1063" s="90">
        <v>42781</v>
      </c>
      <c r="B1063" s="56">
        <v>825</v>
      </c>
      <c r="C1063" s="51">
        <v>1062</v>
      </c>
      <c r="D1063" s="4" t="str">
        <f>LOOKUP($E1063,OBRAS!$D:$D,OBRAS!C:C)</f>
        <v>PAVIMENTACION A BASE DE CONCRETO HIDRAULICO DE LA CALLE TEPACHE ENTRE VERACRUZ Y CALLE MUNICIPIO DE BACANORA</v>
      </c>
      <c r="E1063" s="4" t="s">
        <v>963</v>
      </c>
      <c r="F1063" s="4" t="s">
        <v>217</v>
      </c>
      <c r="G1063" s="4" t="str">
        <f>LOOKUP($E1063,OBRAS!$D:$D,OBRAS!E:E)</f>
        <v>C-00052/0236</v>
      </c>
      <c r="H1063" s="80" t="s">
        <v>221</v>
      </c>
      <c r="I1063" s="6">
        <v>727211.96</v>
      </c>
      <c r="J1063" s="6"/>
      <c r="K1063" s="6">
        <f t="shared" si="268"/>
        <v>218163.59</v>
      </c>
      <c r="L1063" s="6">
        <f t="shared" si="257"/>
        <v>509048.37</v>
      </c>
      <c r="M1063" s="6">
        <f t="shared" si="261"/>
        <v>81447.740000000005</v>
      </c>
      <c r="N1063" s="6">
        <f t="shared" si="262"/>
        <v>590496.11</v>
      </c>
      <c r="O1063" s="6">
        <f t="shared" si="267"/>
        <v>3636.06</v>
      </c>
      <c r="P1063" s="6">
        <f t="shared" si="263"/>
        <v>586860.05000000005</v>
      </c>
      <c r="Q1063" s="4" t="str">
        <f>LOOKUP($E1063,OBRAS!$D:$D,OBRAS!B:B)</f>
        <v>PROMOCIONES TESIA, S.A. DE C.V.</v>
      </c>
      <c r="R1063" s="4" t="str">
        <f>LOOKUP($E1063,OBRAS!$D:$D,OBRAS!A:A)</f>
        <v>NOGALES</v>
      </c>
      <c r="S1063" s="4" t="str">
        <f>LOOKUP($E1063,OBRAS!$D:$D,OBRAS!F:F)</f>
        <v>11000002002201E202K05185A614202165FM03</v>
      </c>
      <c r="T1063" s="4" t="str">
        <f>LOOKUP($E1063,OBRAS!$D:$D,OBRAS!G:G)</f>
        <v>IO-926006995-E101-2016</v>
      </c>
      <c r="U1063" s="4" t="s">
        <v>864</v>
      </c>
      <c r="V1063" s="89">
        <v>42804</v>
      </c>
      <c r="W1063" s="6">
        <f>LOOKUP($E1063,OBRAS!$D:$D,OBRAS!K:K)</f>
        <v>8091604.4400000004</v>
      </c>
      <c r="X1063" s="109">
        <f t="shared" si="264"/>
        <v>0.1043</v>
      </c>
      <c r="Y1063" s="109">
        <f t="shared" si="265"/>
        <v>0.25180000000000002</v>
      </c>
      <c r="Z1063" s="109">
        <f t="shared" si="266"/>
        <v>0.47620000000000001</v>
      </c>
      <c r="AA1063" s="4" t="str">
        <f>LOOKUP($E1063,OBRAS!$D:$D,OBRAS!H:H)</f>
        <v>SH-NC-17-R-008</v>
      </c>
    </row>
    <row r="1064" spans="1:27" ht="60" x14ac:dyDescent="0.25">
      <c r="A1064" s="90">
        <v>42782</v>
      </c>
      <c r="B1064" s="56">
        <v>860</v>
      </c>
      <c r="C1064" s="51">
        <v>1063</v>
      </c>
      <c r="D1064" s="4" t="str">
        <f>LOOKUP($E1064,OBRAS!$D:$D,OBRAS!C:C)</f>
        <v>PAVIMENTACION CON CONCRETO HIDRAULICO DE 15 CMS DE ESPESOR EN LA CALLE LOMAS DE FATIMA EN LA LOCALIDAD Y MUNICIPIO DE TUBUTAMA, SONORA</v>
      </c>
      <c r="E1064" s="4" t="s">
        <v>1240</v>
      </c>
      <c r="F1064" s="4" t="s">
        <v>217</v>
      </c>
      <c r="G1064" s="4" t="str">
        <f>LOOKUP($E1064,OBRAS!$D:$D,OBRAS!E:E)</f>
        <v>C-00052/0215</v>
      </c>
      <c r="H1064" s="80" t="s">
        <v>103</v>
      </c>
      <c r="I1064" s="6">
        <v>889935.87</v>
      </c>
      <c r="J1064" s="6"/>
      <c r="K1064" s="6">
        <f t="shared" si="268"/>
        <v>266980.76</v>
      </c>
      <c r="L1064" s="6">
        <f t="shared" ref="L1064:L1095" si="269">I1064-K1064</f>
        <v>622955.11</v>
      </c>
      <c r="M1064" s="6">
        <f t="shared" si="261"/>
        <v>99672.82</v>
      </c>
      <c r="N1064" s="6">
        <f t="shared" si="262"/>
        <v>722627.93</v>
      </c>
      <c r="O1064" s="6">
        <f t="shared" si="267"/>
        <v>4449.68</v>
      </c>
      <c r="P1064" s="6">
        <f t="shared" si="263"/>
        <v>718178.25</v>
      </c>
      <c r="Q1064" s="4" t="str">
        <f>LOOKUP($E1064,OBRAS!$D:$D,OBRAS!B:B)</f>
        <v>LUIS ALFONSO CORDOVA CONTRERAS</v>
      </c>
      <c r="R1064" s="4" t="str">
        <f>LOOKUP($E1064,OBRAS!$D:$D,OBRAS!A:A)</f>
        <v>TUBUTAMA</v>
      </c>
      <c r="S1064" s="4" t="str">
        <f>LOOKUP($E1064,OBRAS!$D:$D,OBRAS!F:F)</f>
        <v>11000002002201E202K05186A614202165FN02</v>
      </c>
      <c r="T1064" s="4" t="str">
        <f>LOOKUP($E1064,OBRAS!$D:$D,OBRAS!G:G)</f>
        <v>IO-926006995-E141-2016</v>
      </c>
      <c r="U1064" s="4" t="s">
        <v>863</v>
      </c>
      <c r="V1064" s="89">
        <v>42804</v>
      </c>
      <c r="W1064" s="6">
        <f>LOOKUP($E1064,OBRAS!$D:$D,OBRAS!K:K)</f>
        <v>1997998.34</v>
      </c>
      <c r="X1064" s="109">
        <f t="shared" si="264"/>
        <v>0.51670000000000005</v>
      </c>
      <c r="Y1064" s="109">
        <f t="shared" si="265"/>
        <v>0.8508</v>
      </c>
      <c r="Z1064" s="109">
        <f t="shared" si="266"/>
        <v>0.85329999999999995</v>
      </c>
      <c r="AA1064" s="4" t="str">
        <f>LOOKUP($E1064,OBRAS!$D:$D,OBRAS!H:H)</f>
        <v>SH-NC-17-R-005</v>
      </c>
    </row>
    <row r="1065" spans="1:27" ht="45" x14ac:dyDescent="0.25">
      <c r="A1065" s="90">
        <v>42782</v>
      </c>
      <c r="B1065" s="56">
        <v>861</v>
      </c>
      <c r="C1065" s="51">
        <v>1064</v>
      </c>
      <c r="D1065" s="4" t="str">
        <f>LOOKUP($E1065,OBRAS!$D:$D,OBRAS!C:C)</f>
        <v>REHABILITACION DE PAVIMENTO EN 4 CALLES DE CD. OBREGON SUR EN LA LOCALIDAD DE CD. OBREGON MUNICIPIO DE CAJEME, SONROA</v>
      </c>
      <c r="E1065" s="4" t="s">
        <v>986</v>
      </c>
      <c r="F1065" s="4" t="s">
        <v>217</v>
      </c>
      <c r="G1065" s="4" t="str">
        <f>LOOKUP($E1065,OBRAS!$D:$D,OBRAS!E:E)</f>
        <v>C-00052/0220</v>
      </c>
      <c r="H1065" s="80" t="s">
        <v>103</v>
      </c>
      <c r="I1065" s="6">
        <v>2242251.7999999998</v>
      </c>
      <c r="J1065" s="6"/>
      <c r="K1065" s="6">
        <f t="shared" si="268"/>
        <v>672675.54</v>
      </c>
      <c r="L1065" s="6">
        <f t="shared" si="269"/>
        <v>1569576.26</v>
      </c>
      <c r="M1065" s="6">
        <f t="shared" si="261"/>
        <v>251132.2</v>
      </c>
      <c r="N1065" s="6">
        <f t="shared" si="262"/>
        <v>1820708.46</v>
      </c>
      <c r="O1065" s="6">
        <f t="shared" si="267"/>
        <v>11211.26</v>
      </c>
      <c r="P1065" s="6">
        <f t="shared" si="263"/>
        <v>1809497.2</v>
      </c>
      <c r="Q1065" s="4" t="str">
        <f>LOOKUP($E1065,OBRAS!$D:$D,OBRAS!B:B)</f>
        <v>GROBSON S. DE R. L.</v>
      </c>
      <c r="R1065" s="4" t="str">
        <f>LOOKUP($E1065,OBRAS!$D:$D,OBRAS!A:A)</f>
        <v>CAJEME</v>
      </c>
      <c r="S1065" s="4" t="str">
        <f>LOOKUP($E1065,OBRAS!$D:$D,OBRAS!F:F)</f>
        <v>11000002002201E202K05186A614202165FN11</v>
      </c>
      <c r="T1065" s="4" t="str">
        <f>LOOKUP($E1065,OBRAS!$D:$D,OBRAS!G:G)</f>
        <v>LO-926006995-E109-2016</v>
      </c>
      <c r="U1065" s="4" t="s">
        <v>863</v>
      </c>
      <c r="V1065" s="89">
        <v>42804</v>
      </c>
      <c r="W1065" s="6">
        <f>LOOKUP($E1065,OBRAS!$D:$D,OBRAS!K:K)</f>
        <v>9501178.9600000009</v>
      </c>
      <c r="X1065" s="109">
        <f t="shared" si="264"/>
        <v>0.27379999999999999</v>
      </c>
      <c r="Y1065" s="109">
        <f t="shared" si="265"/>
        <v>0.43230000000000002</v>
      </c>
      <c r="Z1065" s="109">
        <f t="shared" si="266"/>
        <v>0.60260000000000002</v>
      </c>
      <c r="AA1065" s="4" t="str">
        <f>LOOKUP($E1065,OBRAS!$D:$D,OBRAS!H:H)</f>
        <v>SH-NC-17-R-005</v>
      </c>
    </row>
    <row r="1066" spans="1:27" ht="45" x14ac:dyDescent="0.25">
      <c r="A1066" s="90">
        <v>42782</v>
      </c>
      <c r="B1066" s="56">
        <v>862</v>
      </c>
      <c r="C1066" s="51">
        <v>1065</v>
      </c>
      <c r="D1066" s="4" t="str">
        <f>LOOKUP($E1066,OBRAS!$D:$D,OBRAS!C:C)</f>
        <v>PAVIMENTACIÓN CON CONCRETO HIDRAULICO DE CALLE ADOLFO DE LA HUERTA EN LA LOCALIDAD DE QUEROBABI</v>
      </c>
      <c r="E1066" s="4" t="s">
        <v>1719</v>
      </c>
      <c r="F1066" s="4" t="s">
        <v>217</v>
      </c>
      <c r="G1066" s="4" t="str">
        <f>LOOKUP($E1066,OBRAS!$D:$D,OBRAS!E:E)</f>
        <v>C-00052/0185</v>
      </c>
      <c r="H1066" s="80" t="s">
        <v>103</v>
      </c>
      <c r="I1066" s="6">
        <v>433574.19</v>
      </c>
      <c r="J1066" s="6"/>
      <c r="K1066" s="6">
        <f t="shared" si="268"/>
        <v>130072.26</v>
      </c>
      <c r="L1066" s="6">
        <f t="shared" si="269"/>
        <v>303501.93</v>
      </c>
      <c r="M1066" s="6">
        <f t="shared" si="261"/>
        <v>48560.31</v>
      </c>
      <c r="N1066" s="6">
        <f t="shared" si="262"/>
        <v>352062.24</v>
      </c>
      <c r="O1066" s="6">
        <f t="shared" si="267"/>
        <v>2167.87</v>
      </c>
      <c r="P1066" s="6">
        <f t="shared" si="263"/>
        <v>349894.37</v>
      </c>
      <c r="Q1066" s="4" t="str">
        <f>LOOKUP($E1066,OBRAS!$D:$D,OBRAS!B:B)</f>
        <v>INGENIERIA INTEGRAL LA ISLETA, S.A. DE C.V.</v>
      </c>
      <c r="R1066" s="4" t="str">
        <f>LOOKUP($E1066,OBRAS!$D:$D,OBRAS!A:A)</f>
        <v>QUEROBABI</v>
      </c>
      <c r="S1066" s="4" t="str">
        <f>LOOKUP($E1066,OBRAS!$D:$D,OBRAS!F:F)</f>
        <v>11000002002201E202K05186A614202165FC05</v>
      </c>
      <c r="T1066" s="4" t="str">
        <f>LOOKUP($E1066,OBRAS!$D:$D,OBRAS!G:G)</f>
        <v>IO-926006995-E142-2016</v>
      </c>
      <c r="U1066" s="4" t="s">
        <v>864</v>
      </c>
      <c r="V1066" s="89">
        <v>42802</v>
      </c>
      <c r="W1066" s="6">
        <f>LOOKUP($E1066,OBRAS!$D:$D,OBRAS!K:K)</f>
        <v>2851069.39</v>
      </c>
      <c r="X1066" s="109">
        <f t="shared" si="264"/>
        <v>0.1764</v>
      </c>
      <c r="Y1066" s="109">
        <f t="shared" si="265"/>
        <v>0.95009999999999994</v>
      </c>
      <c r="Z1066" s="109">
        <f t="shared" si="266"/>
        <v>0.96509999999999996</v>
      </c>
      <c r="AA1066" s="4" t="str">
        <f>LOOKUP($E1066,OBRAS!$D:$D,OBRAS!H:H)</f>
        <v>SH-NC-17-R-009</v>
      </c>
    </row>
    <row r="1067" spans="1:27" ht="45" x14ac:dyDescent="0.25">
      <c r="A1067" s="90">
        <v>42782</v>
      </c>
      <c r="B1067" s="56">
        <v>863</v>
      </c>
      <c r="C1067" s="51">
        <v>1066</v>
      </c>
      <c r="D1067" s="4" t="str">
        <f>LOOKUP($E1067,OBRAS!$D:$D,OBRAS!C:C)</f>
        <v>PAVIMENTACION CON CARPETA ASFÁLTICA EN 3 CALLES, EN LA LOCALIDAD DE EMILIANO ZAPATA, MUNICIPIO DE SAN LUIS RIO COLORADO.</v>
      </c>
      <c r="E1067" s="4" t="s">
        <v>1809</v>
      </c>
      <c r="F1067" s="4" t="s">
        <v>217</v>
      </c>
      <c r="G1067" s="4" t="str">
        <f>LOOKUP($E1067,OBRAS!$D:$D,OBRAS!E:E)</f>
        <v>C-00052/0201</v>
      </c>
      <c r="H1067" s="80" t="s">
        <v>103</v>
      </c>
      <c r="I1067" s="6">
        <v>77967.710000000006</v>
      </c>
      <c r="J1067" s="6"/>
      <c r="K1067" s="6">
        <f t="shared" si="268"/>
        <v>23390.31</v>
      </c>
      <c r="L1067" s="6">
        <f t="shared" si="269"/>
        <v>54577.4</v>
      </c>
      <c r="M1067" s="6">
        <f t="shared" si="261"/>
        <v>8732.3799999999992</v>
      </c>
      <c r="N1067" s="6">
        <f t="shared" si="262"/>
        <v>63309.78</v>
      </c>
      <c r="O1067" s="6">
        <f t="shared" si="267"/>
        <v>389.84</v>
      </c>
      <c r="P1067" s="6">
        <f t="shared" si="263"/>
        <v>62919.94</v>
      </c>
      <c r="Q1067" s="4" t="str">
        <f>LOOKUP($E1067,OBRAS!$D:$D,OBRAS!B:B)</f>
        <v>CONSTRUCCIONES Y TERRACERIAS MOVAKAR, S.A. DE C.V.</v>
      </c>
      <c r="R1067" s="4" t="str">
        <f>LOOKUP($E1067,OBRAS!$D:$D,OBRAS!A:A)</f>
        <v>S.L.R.C.</v>
      </c>
      <c r="S1067" s="4" t="str">
        <f>LOOKUP($E1067,OBRAS!$D:$D,OBRAS!F:F)</f>
        <v>11000002002201E202K05186A614202165FC01</v>
      </c>
      <c r="T1067" s="4" t="str">
        <f>LOOKUP($E1067,OBRAS!$D:$D,OBRAS!G:G)</f>
        <v>IO-926006995-E149-2016</v>
      </c>
      <c r="U1067" s="4" t="s">
        <v>863</v>
      </c>
      <c r="V1067" s="89">
        <v>42810</v>
      </c>
      <c r="W1067" s="6">
        <f>LOOKUP($E1067,OBRAS!$D:$D,OBRAS!K:K)</f>
        <v>3354071.51</v>
      </c>
      <c r="X1067" s="109">
        <f t="shared" si="264"/>
        <v>2.7E-2</v>
      </c>
      <c r="Y1067" s="109">
        <f t="shared" si="265"/>
        <v>0.2087</v>
      </c>
      <c r="Z1067" s="109">
        <f t="shared" si="266"/>
        <v>0.4461</v>
      </c>
      <c r="AA1067" s="4" t="str">
        <f>LOOKUP($E1067,OBRAS!$D:$D,OBRAS!H:H)</f>
        <v>SH-NC-17-R-009</v>
      </c>
    </row>
    <row r="1068" spans="1:27" ht="45" x14ac:dyDescent="0.25">
      <c r="A1068" s="90">
        <v>42782</v>
      </c>
      <c r="B1068" s="56">
        <v>864</v>
      </c>
      <c r="C1068" s="51">
        <v>1067</v>
      </c>
      <c r="D1068" s="4" t="str">
        <f>LOOKUP($E1068,OBRAS!$D:$D,OBRAS!C:C)</f>
        <v>PAVIMENTACIÓN CON CARPETA ASFALTICA DE 5CMS DE ESPESOR EN 3 CALLES, GENERAL PLUTARCO ELIAS CALLES</v>
      </c>
      <c r="E1068" s="4" t="s">
        <v>1770</v>
      </c>
      <c r="F1068" s="4" t="s">
        <v>248</v>
      </c>
      <c r="G1068" s="4" t="str">
        <f>LOOKUP($E1068,OBRAS!$D:$D,OBRAS!E:E)</f>
        <v>C-00052/0176</v>
      </c>
      <c r="H1068" s="80" t="s">
        <v>221</v>
      </c>
      <c r="I1068" s="6">
        <v>325560.21000000002</v>
      </c>
      <c r="J1068" s="6"/>
      <c r="K1068" s="6">
        <f t="shared" si="268"/>
        <v>97668.06</v>
      </c>
      <c r="L1068" s="6">
        <f t="shared" si="269"/>
        <v>227892.15</v>
      </c>
      <c r="M1068" s="6">
        <f t="shared" si="261"/>
        <v>36462.74</v>
      </c>
      <c r="N1068" s="6">
        <f t="shared" si="262"/>
        <v>264354.89</v>
      </c>
      <c r="O1068" s="6">
        <f t="shared" si="267"/>
        <v>1627.8</v>
      </c>
      <c r="P1068" s="6">
        <f t="shared" si="263"/>
        <v>262727.09000000003</v>
      </c>
      <c r="Q1068" s="4" t="str">
        <f>LOOKUP($E1068,OBRAS!$D:$D,OBRAS!B:B)</f>
        <v>CONSTRUSERVICIOS Y EDIFICACIONES BAJAMAR DE MEXICO S.A. DE C.V.</v>
      </c>
      <c r="R1068" s="4" t="str">
        <f>LOOKUP($E1068,OBRAS!$D:$D,OBRAS!A:A)</f>
        <v>GRAL. PLUTARCO ELIAS CALLES</v>
      </c>
      <c r="S1068" s="4" t="str">
        <f>LOOKUP($E1068,OBRAS!$D:$D,OBRAS!F:F)</f>
        <v>11000002002201E202K05186A614202165CN01</v>
      </c>
      <c r="T1068" s="4" t="str">
        <f>LOOKUP($E1068,OBRAS!$D:$D,OBRAS!G:G)</f>
        <v>IO-926006995-E159-2016</v>
      </c>
      <c r="U1068" s="4" t="s">
        <v>863</v>
      </c>
      <c r="V1068" s="89">
        <v>42804</v>
      </c>
      <c r="W1068" s="6">
        <f>LOOKUP($E1068,OBRAS!$D:$D,OBRAS!K:K)</f>
        <v>5165280.09</v>
      </c>
      <c r="X1068" s="109">
        <f t="shared" si="264"/>
        <v>7.3099999999999998E-2</v>
      </c>
      <c r="Y1068" s="109">
        <f t="shared" si="265"/>
        <v>0.85419999999999996</v>
      </c>
      <c r="Z1068" s="109">
        <f t="shared" si="266"/>
        <v>0.89790000000000003</v>
      </c>
      <c r="AA1068" s="4" t="str">
        <f>LOOKUP($E1068,OBRAS!$D:$D,OBRAS!H:H)</f>
        <v>SH-NC-17-R-004</v>
      </c>
    </row>
    <row r="1069" spans="1:27" ht="45" x14ac:dyDescent="0.25">
      <c r="A1069" s="90">
        <v>42782</v>
      </c>
      <c r="B1069" s="56">
        <v>865</v>
      </c>
      <c r="C1069" s="51">
        <v>1068</v>
      </c>
      <c r="D1069" s="4" t="str">
        <f>LOOKUP($E1069,OBRAS!$D:$D,OBRAS!C:C)</f>
        <v>PAVIMENTACIÓN CON CARPETA ASFALTICA DE 5CMS DE ESPESOR EN 3 CALLES, GENERAL PLUTARCO ELIAS CALLES</v>
      </c>
      <c r="E1069" s="4" t="s">
        <v>1770</v>
      </c>
      <c r="F1069" s="4" t="s">
        <v>248</v>
      </c>
      <c r="G1069" s="4" t="str">
        <f>LOOKUP($E1069,OBRAS!$D:$D,OBRAS!E:E)</f>
        <v>C-00052/0176</v>
      </c>
      <c r="H1069" s="80" t="s">
        <v>55</v>
      </c>
      <c r="I1069" s="6">
        <v>1085731.53</v>
      </c>
      <c r="J1069" s="6"/>
      <c r="K1069" s="6">
        <f t="shared" si="268"/>
        <v>325719.46000000002</v>
      </c>
      <c r="L1069" s="6">
        <f t="shared" si="269"/>
        <v>760012.07</v>
      </c>
      <c r="M1069" s="6">
        <f t="shared" si="261"/>
        <v>121601.93</v>
      </c>
      <c r="N1069" s="6">
        <f t="shared" si="262"/>
        <v>881614</v>
      </c>
      <c r="O1069" s="6">
        <f t="shared" si="267"/>
        <v>5428.66</v>
      </c>
      <c r="P1069" s="6">
        <f t="shared" si="263"/>
        <v>876185.34</v>
      </c>
      <c r="Q1069" s="4" t="str">
        <f>LOOKUP($E1069,OBRAS!$D:$D,OBRAS!B:B)</f>
        <v>CONSTRUSERVICIOS Y EDIFICACIONES BAJAMAR DE MEXICO S.A. DE C.V.</v>
      </c>
      <c r="R1069" s="4" t="str">
        <f>LOOKUP($E1069,OBRAS!$D:$D,OBRAS!A:A)</f>
        <v>GRAL. PLUTARCO ELIAS CALLES</v>
      </c>
      <c r="S1069" s="4" t="str">
        <f>LOOKUP($E1069,OBRAS!$D:$D,OBRAS!F:F)</f>
        <v>11000002002201E202K05186A614202165CN01</v>
      </c>
      <c r="T1069" s="4" t="str">
        <f>LOOKUP($E1069,OBRAS!$D:$D,OBRAS!G:G)</f>
        <v>IO-926006995-E159-2016</v>
      </c>
      <c r="U1069" s="4" t="s">
        <v>863</v>
      </c>
      <c r="V1069" s="89">
        <v>42804</v>
      </c>
      <c r="W1069" s="6">
        <f>LOOKUP($E1069,OBRAS!$D:$D,OBRAS!K:K)</f>
        <v>5165280.09</v>
      </c>
      <c r="X1069" s="109">
        <f t="shared" si="264"/>
        <v>0.24379999999999999</v>
      </c>
      <c r="Y1069" s="109">
        <f t="shared" si="265"/>
        <v>0.85419999999999996</v>
      </c>
      <c r="Z1069" s="109">
        <f t="shared" si="266"/>
        <v>0.89790000000000003</v>
      </c>
      <c r="AA1069" s="4" t="str">
        <f>LOOKUP($E1069,OBRAS!$D:$D,OBRAS!H:H)</f>
        <v>SH-NC-17-R-004</v>
      </c>
    </row>
    <row r="1070" spans="1:27" ht="45" x14ac:dyDescent="0.25">
      <c r="A1070" s="90">
        <v>42782</v>
      </c>
      <c r="B1070" s="56">
        <v>866</v>
      </c>
      <c r="C1070" s="51">
        <v>1069</v>
      </c>
      <c r="D1070" s="4" t="str">
        <f>LOOKUP($E1070,OBRAS!$D:$D,OBRAS!C:C)</f>
        <v>REHABILITACION DE PAVIMENTOS EN 12 CALLES DE CD. OBREGON NORTE EN LA LOCALIDAD DE CD. OBREGON MUNICIPIO DE CAJEME, SONORA.</v>
      </c>
      <c r="E1070" s="4" t="s">
        <v>930</v>
      </c>
      <c r="F1070" s="4" t="s">
        <v>225</v>
      </c>
      <c r="G1070" s="4" t="str">
        <f>LOOKUP($E1070,OBRAS!$D:$D,OBRAS!E:E)</f>
        <v>C-00052/0219</v>
      </c>
      <c r="H1070" s="80" t="s">
        <v>215</v>
      </c>
      <c r="I1070" s="6">
        <v>1874507.83</v>
      </c>
      <c r="J1070" s="6"/>
      <c r="K1070" s="6">
        <f t="shared" si="268"/>
        <v>562352.35</v>
      </c>
      <c r="L1070" s="6">
        <f t="shared" si="269"/>
        <v>1312155.48</v>
      </c>
      <c r="M1070" s="6">
        <f t="shared" si="261"/>
        <v>209944.88</v>
      </c>
      <c r="N1070" s="6">
        <f t="shared" si="262"/>
        <v>1522100.36</v>
      </c>
      <c r="O1070" s="6">
        <f t="shared" si="267"/>
        <v>9372.5400000000009</v>
      </c>
      <c r="P1070" s="6">
        <f t="shared" si="263"/>
        <v>1512727.82</v>
      </c>
      <c r="Q1070" s="4" t="str">
        <f>LOOKUP($E1070,OBRAS!$D:$D,OBRAS!B:B)</f>
        <v>EDIFICACION INTEGRAL DEL NOROESTE S. A. DE C. V.</v>
      </c>
      <c r="R1070" s="4" t="str">
        <f>LOOKUP($E1070,OBRAS!$D:$D,OBRAS!A:A)</f>
        <v>CAJEME</v>
      </c>
      <c r="S1070" s="4" t="str">
        <f>LOOKUP($E1070,OBRAS!$D:$D,OBRAS!F:F)</f>
        <v>11000002002201E202K05186A614202165FN11</v>
      </c>
      <c r="T1070" s="4" t="str">
        <f>LOOKUP($E1070,OBRAS!$D:$D,OBRAS!G:G)</f>
        <v>LO-926006995-E97-2016</v>
      </c>
      <c r="U1070" s="4" t="s">
        <v>863</v>
      </c>
      <c r="V1070" s="89">
        <v>42804</v>
      </c>
      <c r="W1070" s="6">
        <f>LOOKUP($E1070,OBRAS!$D:$D,OBRAS!K:K)</f>
        <v>15642799.039999999</v>
      </c>
      <c r="X1070" s="109">
        <f t="shared" si="264"/>
        <v>0.13900000000000001</v>
      </c>
      <c r="Y1070" s="109">
        <f t="shared" si="265"/>
        <v>0.6623</v>
      </c>
      <c r="Z1070" s="109">
        <f t="shared" si="266"/>
        <v>0.76370000000000005</v>
      </c>
      <c r="AA1070" s="4" t="str">
        <f>LOOKUP($E1070,OBRAS!$D:$D,OBRAS!H:H)</f>
        <v>SH-NC-17-R-005</v>
      </c>
    </row>
    <row r="1071" spans="1:27" ht="60" x14ac:dyDescent="0.25">
      <c r="A1071" s="90">
        <v>42796</v>
      </c>
      <c r="B1071" s="56">
        <v>1275</v>
      </c>
      <c r="C1071" s="51">
        <v>1070</v>
      </c>
      <c r="D1071" s="4" t="str">
        <f>LOOKUP($E1071,OBRAS!$D:$D,OBRAS!C:C)</f>
        <v>PAVIMENTACION CON CONCRETO HIDRAULICO DE CALLE GRAL. ESTEBAN BACA CALDERON ENTRE BENITO JUAREZ Y RAHAM EN LA LOCALIDAD Y MUNICIPIO DE SAN IGNACIO RIO MUERTO</v>
      </c>
      <c r="E1071" s="4" t="s">
        <v>1235</v>
      </c>
      <c r="F1071" s="4" t="s">
        <v>225</v>
      </c>
      <c r="G1071" s="4" t="str">
        <f>LOOKUP($E1071,OBRAS!$D:$D,OBRAS!E:E)</f>
        <v>C-00052/0187</v>
      </c>
      <c r="H1071" s="80" t="s">
        <v>55</v>
      </c>
      <c r="I1071" s="6">
        <v>2793341.11</v>
      </c>
      <c r="J1071" s="6"/>
      <c r="K1071" s="6">
        <f t="shared" si="268"/>
        <v>838002.33</v>
      </c>
      <c r="L1071" s="6">
        <f t="shared" si="269"/>
        <v>1955338.78</v>
      </c>
      <c r="M1071" s="6">
        <f t="shared" si="261"/>
        <v>312854.2</v>
      </c>
      <c r="N1071" s="6">
        <f t="shared" si="262"/>
        <v>2268192.98</v>
      </c>
      <c r="O1071" s="6">
        <f t="shared" si="267"/>
        <v>13966.71</v>
      </c>
      <c r="P1071" s="6">
        <f t="shared" si="263"/>
        <v>2254226.27</v>
      </c>
      <c r="Q1071" s="4" t="str">
        <f>LOOKUP($E1071,OBRAS!$D:$D,OBRAS!B:B)</f>
        <v>GRUPO PROFING CONSTRUCCIONES Y DESARROLLOS, S. A. DE C. V.</v>
      </c>
      <c r="R1071" s="4" t="str">
        <f>LOOKUP($E1071,OBRAS!$D:$D,OBRAS!A:A)</f>
        <v>SAN IGNACIO RIO MUERTO</v>
      </c>
      <c r="S1071" s="4" t="str">
        <f>LOOKUP($E1071,OBRAS!$D:$D,OBRAS!F:F)</f>
        <v>11000002002201E202K05186A614202165FC10</v>
      </c>
      <c r="T1071" s="4" t="str">
        <f>LOOKUP($E1071,OBRAS!$D:$D,OBRAS!G:G)</f>
        <v>LO-926006995-E113-2016</v>
      </c>
      <c r="U1071" s="4" t="s">
        <v>863</v>
      </c>
      <c r="V1071" s="89">
        <v>42803</v>
      </c>
      <c r="W1071" s="6">
        <f>LOOKUP($E1071,OBRAS!$D:$D,OBRAS!K:K)</f>
        <v>8795522.2799999993</v>
      </c>
      <c r="X1071" s="109">
        <f t="shared" si="264"/>
        <v>0.36840000000000001</v>
      </c>
      <c r="Y1071" s="109">
        <f t="shared" si="265"/>
        <v>0.48780000000000001</v>
      </c>
      <c r="Z1071" s="109">
        <f t="shared" si="266"/>
        <v>0.64149999999999996</v>
      </c>
      <c r="AA1071" s="4" t="str">
        <f>LOOKUP($E1071,OBRAS!$D:$D,OBRAS!H:H)</f>
        <v>SH-NC-17-R-009</v>
      </c>
    </row>
    <row r="1072" spans="1:27" ht="45" x14ac:dyDescent="0.25">
      <c r="A1072" s="90">
        <v>42782</v>
      </c>
      <c r="B1072" s="56">
        <v>873</v>
      </c>
      <c r="C1072" s="51">
        <v>1071</v>
      </c>
      <c r="D1072" s="4" t="str">
        <f>LOOKUP($E1072,OBRAS!$D:$D,OBRAS!C:C)</f>
        <v>PAVIMENTACION CON CONCRETO HIDRAULICO EN LA CALLE AGUSTIN FIGUEROA EN LA LOCALIDAD DE BANAMICHI, SONORA</v>
      </c>
      <c r="E1072" s="4" t="s">
        <v>919</v>
      </c>
      <c r="F1072" s="4" t="s">
        <v>217</v>
      </c>
      <c r="G1072" s="4" t="str">
        <f>LOOKUP($E1072,OBRAS!$D:$D,OBRAS!E:E)</f>
        <v>C-00052/0204</v>
      </c>
      <c r="H1072" s="80" t="s">
        <v>55</v>
      </c>
      <c r="I1072" s="6">
        <v>556994.18999999994</v>
      </c>
      <c r="J1072" s="6"/>
      <c r="K1072" s="6">
        <f t="shared" si="268"/>
        <v>167098.26</v>
      </c>
      <c r="L1072" s="6">
        <f t="shared" si="269"/>
        <v>389895.93</v>
      </c>
      <c r="M1072" s="6">
        <f t="shared" si="261"/>
        <v>62383.35</v>
      </c>
      <c r="N1072" s="6">
        <f t="shared" si="262"/>
        <v>452279.28</v>
      </c>
      <c r="O1072" s="6">
        <f t="shared" si="267"/>
        <v>2784.97</v>
      </c>
      <c r="P1072" s="6">
        <f t="shared" si="263"/>
        <v>449494.31</v>
      </c>
      <c r="Q1072" s="4" t="str">
        <f>LOOKUP($E1072,OBRAS!$D:$D,OBRAS!B:B)</f>
        <v>ORTOPLAN CONSULTORES S. A. DE C. V.</v>
      </c>
      <c r="R1072" s="4" t="str">
        <f>LOOKUP($E1072,OBRAS!$D:$D,OBRAS!A:A)</f>
        <v>BANAMICHI</v>
      </c>
      <c r="S1072" s="4" t="str">
        <f>LOOKUP($E1072,OBRAS!$D:$D,OBRAS!F:F)</f>
        <v>11000002002201E202K05186A614202165FN05</v>
      </c>
      <c r="T1072" s="4" t="str">
        <f>LOOKUP($E1072,OBRAS!$D:$D,OBRAS!G:G)</f>
        <v>10-926006995-E105-2016</v>
      </c>
      <c r="U1072" s="4" t="s">
        <v>863</v>
      </c>
      <c r="V1072" s="89">
        <v>42804</v>
      </c>
      <c r="W1072" s="6">
        <f>LOOKUP($E1072,OBRAS!$D:$D,OBRAS!K:K)</f>
        <v>1890844.29</v>
      </c>
      <c r="X1072" s="109">
        <f t="shared" si="264"/>
        <v>0.3417</v>
      </c>
      <c r="Y1072" s="109">
        <f t="shared" si="265"/>
        <v>0.93669999999999998</v>
      </c>
      <c r="Z1072" s="109">
        <f t="shared" si="266"/>
        <v>0.95569999999999999</v>
      </c>
      <c r="AA1072" s="4" t="str">
        <f>LOOKUP($E1072,OBRAS!$D:$D,OBRAS!H:H)</f>
        <v>SH-NC-17-R-005</v>
      </c>
    </row>
    <row r="1073" spans="1:27" ht="60" x14ac:dyDescent="0.25">
      <c r="A1073" s="90">
        <v>42782</v>
      </c>
      <c r="B1073" s="56">
        <v>874</v>
      </c>
      <c r="C1073" s="51">
        <v>1072</v>
      </c>
      <c r="D1073" s="4" t="str">
        <f>LOOKUP($E1073,OBRAS!$D:$D,OBRAS!C:C)</f>
        <v>PAVIMENTACION CON CONCRETO HIDRAULICO DE 15 CMS DE ESPESOR EN LAS CALLES JOSE A. LUNA Y VICENTE GUERRERO EN LA LOCALIDAD Y MUNICIPIO DE ACONCHI, SONORA</v>
      </c>
      <c r="E1073" s="4" t="s">
        <v>924</v>
      </c>
      <c r="F1073" s="4" t="s">
        <v>217</v>
      </c>
      <c r="G1073" s="4" t="str">
        <f>LOOKUP($E1073,OBRAS!$D:$D,OBRAS!E:E)</f>
        <v>C-00052/0214</v>
      </c>
      <c r="H1073" s="80" t="s">
        <v>55</v>
      </c>
      <c r="I1073" s="6">
        <v>779205.12</v>
      </c>
      <c r="J1073" s="6"/>
      <c r="K1073" s="6">
        <f t="shared" si="268"/>
        <v>233761.54</v>
      </c>
      <c r="L1073" s="6">
        <f t="shared" si="269"/>
        <v>545443.57999999996</v>
      </c>
      <c r="M1073" s="6">
        <f t="shared" si="261"/>
        <v>87270.97</v>
      </c>
      <c r="N1073" s="6">
        <f t="shared" si="262"/>
        <v>632714.55000000005</v>
      </c>
      <c r="O1073" s="6">
        <f t="shared" si="267"/>
        <v>3896.03</v>
      </c>
      <c r="P1073" s="6">
        <f t="shared" si="263"/>
        <v>628818.52</v>
      </c>
      <c r="Q1073" s="4" t="str">
        <f>LOOKUP($E1073,OBRAS!$D:$D,OBRAS!B:B)</f>
        <v>ORTOPLAN CONSULTORES S. A. DE C. V.</v>
      </c>
      <c r="R1073" s="4" t="str">
        <f>LOOKUP($E1073,OBRAS!$D:$D,OBRAS!A:A)</f>
        <v>ACONCHI</v>
      </c>
      <c r="S1073" s="4" t="str">
        <f>LOOKUP($E1073,OBRAS!$D:$D,OBRAS!F:F)</f>
        <v>11000002002201E202K05186A614202165FN05</v>
      </c>
      <c r="T1073" s="4" t="str">
        <f>LOOKUP($E1073,OBRAS!$D:$D,OBRAS!G:G)</f>
        <v>10-926006995-E106-2016</v>
      </c>
      <c r="U1073" s="4" t="s">
        <v>863</v>
      </c>
      <c r="V1073" s="89">
        <v>42804</v>
      </c>
      <c r="W1073" s="6">
        <f>LOOKUP($E1073,OBRAS!$D:$D,OBRAS!K:K)</f>
        <v>2595924.5299999998</v>
      </c>
      <c r="X1073" s="109">
        <f t="shared" si="264"/>
        <v>0.34820000000000001</v>
      </c>
      <c r="Y1073" s="109">
        <f t="shared" si="265"/>
        <v>0.81279999999999997</v>
      </c>
      <c r="Z1073" s="109">
        <f t="shared" si="266"/>
        <v>0.86899999999999999</v>
      </c>
      <c r="AA1073" s="4" t="str">
        <f>LOOKUP($E1073,OBRAS!$D:$D,OBRAS!H:H)</f>
        <v>SH-NC-17-R-005</v>
      </c>
    </row>
    <row r="1074" spans="1:27" ht="45" x14ac:dyDescent="0.25">
      <c r="A1074" s="90">
        <v>42782</v>
      </c>
      <c r="B1074" s="56">
        <v>875</v>
      </c>
      <c r="C1074" s="51">
        <v>1073</v>
      </c>
      <c r="D1074" s="4" t="str">
        <f>LOOKUP($E1074,OBRAS!$D:$D,OBRAS!C:C)</f>
        <v>PAVIMENTACION CON CONCRETO HIDRAULICO DE CALLE BARTOLOME DE LAS CASAS EN LA LOCALIDAD DE RAYON</v>
      </c>
      <c r="E1074" s="4" t="s">
        <v>1442</v>
      </c>
      <c r="F1074" s="4" t="s">
        <v>217</v>
      </c>
      <c r="G1074" s="4" t="str">
        <f>LOOKUP($E1074,OBRAS!$D:$D,OBRAS!E:E)</f>
        <v>C-00052/0195</v>
      </c>
      <c r="H1074" s="80" t="s">
        <v>103</v>
      </c>
      <c r="I1074" s="6">
        <v>120794.01</v>
      </c>
      <c r="J1074" s="6"/>
      <c r="K1074" s="6">
        <f t="shared" si="268"/>
        <v>36238.199999999997</v>
      </c>
      <c r="L1074" s="6">
        <f t="shared" si="269"/>
        <v>84555.81</v>
      </c>
      <c r="M1074" s="6">
        <f t="shared" si="261"/>
        <v>13528.93</v>
      </c>
      <c r="N1074" s="6">
        <f t="shared" si="262"/>
        <v>98084.74</v>
      </c>
      <c r="O1074" s="6">
        <f t="shared" si="267"/>
        <v>603.97</v>
      </c>
      <c r="P1074" s="6">
        <f t="shared" si="263"/>
        <v>97480.77</v>
      </c>
      <c r="Q1074" s="4" t="str">
        <f>LOOKUP($E1074,OBRAS!$D:$D,OBRAS!B:B)</f>
        <v>CINCO H INGENIERIA Y TERRACERIAS, S.A. DE C.V.</v>
      </c>
      <c r="R1074" s="4" t="str">
        <f>LOOKUP($E1074,OBRAS!$D:$D,OBRAS!A:A)</f>
        <v>RAYON</v>
      </c>
      <c r="S1074" s="4" t="str">
        <f>LOOKUP($E1074,OBRAS!$D:$D,OBRAS!F:F)</f>
        <v>11000002002201E202K05186A614202165FC05</v>
      </c>
      <c r="T1074" s="4" t="str">
        <f>LOOKUP($E1074,OBRAS!$D:$D,OBRAS!G:G)</f>
        <v>IO-926006995-E147-2016</v>
      </c>
      <c r="U1074" s="4" t="s">
        <v>863</v>
      </c>
      <c r="V1074" s="89">
        <v>42794</v>
      </c>
      <c r="W1074" s="6">
        <f>LOOKUP($E1074,OBRAS!$D:$D,OBRAS!K:K)</f>
        <v>1968982.56</v>
      </c>
      <c r="X1074" s="109">
        <f t="shared" si="264"/>
        <v>7.1199999999999999E-2</v>
      </c>
      <c r="Y1074" s="109">
        <f t="shared" si="265"/>
        <v>1</v>
      </c>
      <c r="Z1074" s="109">
        <f t="shared" si="266"/>
        <v>1</v>
      </c>
      <c r="AA1074" s="4" t="str">
        <f>LOOKUP($E1074,OBRAS!$D:$D,OBRAS!H:H)</f>
        <v>SH-NC-17-R-009</v>
      </c>
    </row>
    <row r="1075" spans="1:27" ht="45" x14ac:dyDescent="0.25">
      <c r="A1075" s="90">
        <v>42783</v>
      </c>
      <c r="B1075" s="56">
        <v>902</v>
      </c>
      <c r="C1075" s="51">
        <v>1074</v>
      </c>
      <c r="D1075" s="4" t="str">
        <f>LOOKUP($E1075,OBRAS!$D:$D,OBRAS!C:C)</f>
        <v xml:space="preserve">CONSTRUCCION DE CENTRO COMUNITARIO DE APRENDIZAJE EN LA LOCALIDAD DE POZO DULCE MUNICIPIO DE HUATABAMPO </v>
      </c>
      <c r="E1075" s="4" t="s">
        <v>1651</v>
      </c>
      <c r="F1075" s="4" t="s">
        <v>224</v>
      </c>
      <c r="G1075" s="4" t="str">
        <f>LOOKUP($E1075,OBRAS!$D:$D,OBRAS!E:E)</f>
        <v xml:space="preserve"> C-00061/0022</v>
      </c>
      <c r="H1075" s="80" t="s">
        <v>103</v>
      </c>
      <c r="I1075" s="6">
        <v>272678.13</v>
      </c>
      <c r="J1075" s="6"/>
      <c r="K1075" s="6">
        <f t="shared" si="268"/>
        <v>81803.44</v>
      </c>
      <c r="L1075" s="6">
        <f t="shared" si="269"/>
        <v>190874.69</v>
      </c>
      <c r="M1075" s="6">
        <f t="shared" si="261"/>
        <v>30539.95</v>
      </c>
      <c r="N1075" s="6">
        <f t="shared" si="262"/>
        <v>221414.64</v>
      </c>
      <c r="O1075" s="6">
        <f>+ROUND(I1075*0.002,2)+ROUND(I1075*0.0003,2)+ROUND(I1075*0.0003,2)+ROUND(I1075*0.0003,2)+ROUND(I1075*0.002,2)</f>
        <v>1336.12</v>
      </c>
      <c r="P1075" s="6">
        <f t="shared" si="263"/>
        <v>220078.52</v>
      </c>
      <c r="Q1075" s="4" t="str">
        <f>LOOKUP($E1075,OBRAS!$D:$D,OBRAS!B:B)</f>
        <v>CERTUS GERENCIA DE PROYECTOS S. A. DE C. V.</v>
      </c>
      <c r="R1075" s="4" t="str">
        <f>LOOKUP($E1075,OBRAS!$D:$D,OBRAS!A:A)</f>
        <v>HUATABAMPO</v>
      </c>
      <c r="S1075" s="4" t="str">
        <f>LOOKUP($E1075,OBRAS!$D:$D,OBRAS!F:F)</f>
        <v>11000002002302E401K04039K612032165DM12</v>
      </c>
      <c r="T1075" s="4" t="str">
        <f>LOOKUP($E1075,OBRAS!$D:$D,OBRAS!G:G)</f>
        <v>CE-926006995-E146-2016</v>
      </c>
      <c r="U1075" s="4" t="s">
        <v>863</v>
      </c>
      <c r="V1075" s="89">
        <v>42804</v>
      </c>
      <c r="W1075" s="6">
        <f>LOOKUP($E1075,OBRAS!$D:$D,OBRAS!K:K)</f>
        <v>2246395.02</v>
      </c>
      <c r="X1075" s="109">
        <f t="shared" si="264"/>
        <v>0.14080000000000001</v>
      </c>
      <c r="Y1075" s="109">
        <f t="shared" si="265"/>
        <v>0.14080000000000001</v>
      </c>
      <c r="Z1075" s="109">
        <f t="shared" si="266"/>
        <v>0.39860000000000001</v>
      </c>
      <c r="AA1075" s="4" t="str">
        <f>LOOKUP($E1075,OBRAS!$D:$D,OBRAS!H:H)</f>
        <v>SH-FAFEF-17-R-001</v>
      </c>
    </row>
    <row r="1076" spans="1:27" ht="60" x14ac:dyDescent="0.25">
      <c r="A1076" s="90">
        <v>43086</v>
      </c>
      <c r="B1076" s="56">
        <v>903</v>
      </c>
      <c r="C1076" s="51">
        <v>1075</v>
      </c>
      <c r="D1076" s="4" t="str">
        <f>LOOKUP($E1076,OBRAS!$D:$D,OBRAS!C:C)</f>
        <v xml:space="preserve"> CONSTRUCCION Y REHABILITACION DE CENTRO COMUNITARIO DE APRENDIZAJE EN LA LOCALIDAD DE TIERRA BLANCA MUNICIPIO DE NAVOJOA, SONORA</v>
      </c>
      <c r="E1076" s="4" t="s">
        <v>1650</v>
      </c>
      <c r="F1076" s="4" t="s">
        <v>224</v>
      </c>
      <c r="G1076" s="4" t="str">
        <f>LOOKUP($E1076,OBRAS!$D:$D,OBRAS!E:E)</f>
        <v>C-00061/0021</v>
      </c>
      <c r="H1076" s="80" t="s">
        <v>221</v>
      </c>
      <c r="I1076" s="6">
        <v>216342.16</v>
      </c>
      <c r="J1076" s="6"/>
      <c r="K1076" s="6">
        <f t="shared" si="268"/>
        <v>64902.65</v>
      </c>
      <c r="L1076" s="6">
        <f t="shared" si="269"/>
        <v>151439.51</v>
      </c>
      <c r="M1076" s="6">
        <f t="shared" si="261"/>
        <v>24230.32</v>
      </c>
      <c r="N1076" s="6">
        <f t="shared" si="262"/>
        <v>175669.83</v>
      </c>
      <c r="O1076" s="6">
        <f>+ROUND(I1076*0.002,2)+ROUND(I1076*0.0003,2)+ROUND(I1076*0.0003,2)+ROUND(I1076*0.0003,2)+ROUND(I1076*0.002,2)</f>
        <v>1060.06</v>
      </c>
      <c r="P1076" s="6">
        <f t="shared" si="263"/>
        <v>174609.77</v>
      </c>
      <c r="Q1076" s="4" t="str">
        <f>LOOKUP($E1076,OBRAS!$D:$D,OBRAS!B:B)</f>
        <v>CERTUS GERENCIA DE PROYECTOS S. A. DE C. V.</v>
      </c>
      <c r="R1076" s="4" t="str">
        <f>LOOKUP($E1076,OBRAS!$D:$D,OBRAS!A:A)</f>
        <v>NAVOJOA</v>
      </c>
      <c r="S1076" s="4" t="str">
        <f>LOOKUP($E1076,OBRAS!$D:$D,OBRAS!F:F)</f>
        <v>11000002002302E401K04039K612032165DM12</v>
      </c>
      <c r="T1076" s="4" t="str">
        <f>LOOKUP($E1076,OBRAS!$D:$D,OBRAS!G:G)</f>
        <v>CE-926006995-E146-2016</v>
      </c>
      <c r="U1076" s="4" t="s">
        <v>863</v>
      </c>
      <c r="V1076" s="89">
        <v>42804</v>
      </c>
      <c r="W1076" s="6">
        <f>LOOKUP($E1076,OBRAS!$D:$D,OBRAS!K:K)</f>
        <v>2113583.09</v>
      </c>
      <c r="X1076" s="109">
        <f t="shared" si="264"/>
        <v>0.1187</v>
      </c>
      <c r="Y1076" s="109">
        <f t="shared" si="265"/>
        <v>0.1187</v>
      </c>
      <c r="Z1076" s="109">
        <f t="shared" si="266"/>
        <v>0.3831</v>
      </c>
      <c r="AA1076" s="4" t="str">
        <f>LOOKUP($E1076,OBRAS!$D:$D,OBRAS!H:H)</f>
        <v>SH-FAFEF-17-R-001</v>
      </c>
    </row>
    <row r="1077" spans="1:27" ht="30" x14ac:dyDescent="0.25">
      <c r="A1077" s="90">
        <v>42783</v>
      </c>
      <c r="B1077" s="56">
        <v>904</v>
      </c>
      <c r="C1077" s="51">
        <v>1076</v>
      </c>
      <c r="D1077" s="4" t="str">
        <f>LOOKUP($E1077,OBRAS!$D:$D,OBRAS!C:C)</f>
        <v>PAVIMENTACION CON CONCRETO HIDRAULICO DE 15CM DE ESPESOR DE LA CALLE 16 DE SEPTIEMBRE</v>
      </c>
      <c r="E1077" s="4" t="s">
        <v>1620</v>
      </c>
      <c r="F1077" s="4" t="s">
        <v>217</v>
      </c>
      <c r="G1077" s="4" t="str">
        <f>LOOKUP($E1077,OBRAS!$D:$D,OBRAS!E:E)</f>
        <v>C-00052/0207</v>
      </c>
      <c r="H1077" s="80" t="s">
        <v>221</v>
      </c>
      <c r="I1077" s="6">
        <v>1305210.3700000001</v>
      </c>
      <c r="J1077" s="6"/>
      <c r="K1077" s="6">
        <f t="shared" si="268"/>
        <v>391563.11</v>
      </c>
      <c r="L1077" s="6">
        <f t="shared" si="269"/>
        <v>913647.26</v>
      </c>
      <c r="M1077" s="6">
        <f t="shared" si="261"/>
        <v>146183.56</v>
      </c>
      <c r="N1077" s="6">
        <f t="shared" si="262"/>
        <v>1059830.82</v>
      </c>
      <c r="O1077" s="6">
        <f t="shared" ref="O1077:O1102" si="270">+ROUND(I1077*0.005,2)</f>
        <v>6526.05</v>
      </c>
      <c r="P1077" s="6">
        <f t="shared" si="263"/>
        <v>1053304.77</v>
      </c>
      <c r="Q1077" s="4" t="str">
        <f>LOOKUP($E1077,OBRAS!$D:$D,OBRAS!B:B)</f>
        <v>CONSTRUCTORA GARPE, S.A. DE C.V.</v>
      </c>
      <c r="R1077" s="4" t="str">
        <f>LOOKUP($E1077,OBRAS!$D:$D,OBRAS!A:A)</f>
        <v>BACUM</v>
      </c>
      <c r="S1077" s="4" t="str">
        <f>LOOKUP($E1077,OBRAS!$D:$D,OBRAS!F:F)</f>
        <v>11000002002201E202K05186A614202165FN10</v>
      </c>
      <c r="T1077" s="4" t="str">
        <f>LOOKUP($E1077,OBRAS!$D:$D,OBRAS!G:G)</f>
        <v>IO-926006995-E152-2016</v>
      </c>
      <c r="U1077" s="4" t="s">
        <v>863</v>
      </c>
      <c r="V1077" s="89">
        <v>42804</v>
      </c>
      <c r="W1077" s="6">
        <f>LOOKUP($E1077,OBRAS!$D:$D,OBRAS!K:K)</f>
        <v>3690591.47</v>
      </c>
      <c r="X1077" s="109">
        <f t="shared" si="264"/>
        <v>0.41020000000000001</v>
      </c>
      <c r="Y1077" s="109">
        <f t="shared" si="265"/>
        <v>0.94330000000000003</v>
      </c>
      <c r="Z1077" s="109">
        <f t="shared" si="266"/>
        <v>0.96030000000000004</v>
      </c>
      <c r="AA1077" s="4" t="str">
        <f>LOOKUP($E1077,OBRAS!$D:$D,OBRAS!H:H)</f>
        <v>SH-NC-17-R-005</v>
      </c>
    </row>
    <row r="1078" spans="1:27" ht="30" x14ac:dyDescent="0.25">
      <c r="A1078" s="90">
        <v>42783</v>
      </c>
      <c r="B1078" s="56">
        <v>905</v>
      </c>
      <c r="C1078" s="51">
        <v>1077</v>
      </c>
      <c r="D1078" s="4" t="str">
        <f>LOOKUP($E1078,OBRAS!$D:$D,OBRAS!C:C)</f>
        <v>PAVIMENTACION CON CONCRETO HIDRAULICO DE 15CM DE ESPESOR DE LA CALLE 16 DE SEPTIEMBRE</v>
      </c>
      <c r="E1078" s="4" t="s">
        <v>1620</v>
      </c>
      <c r="F1078" s="4" t="s">
        <v>217</v>
      </c>
      <c r="G1078" s="4" t="str">
        <f>LOOKUP($E1078,OBRAS!$D:$D,OBRAS!E:E)</f>
        <v>C-00052/0207</v>
      </c>
      <c r="H1078" s="80" t="s">
        <v>55</v>
      </c>
      <c r="I1078" s="6">
        <v>1033685.87</v>
      </c>
      <c r="J1078" s="6"/>
      <c r="K1078" s="6">
        <f t="shared" si="268"/>
        <v>310105.76</v>
      </c>
      <c r="L1078" s="6">
        <f t="shared" si="269"/>
        <v>723580.11</v>
      </c>
      <c r="M1078" s="6">
        <f t="shared" si="261"/>
        <v>115772.82</v>
      </c>
      <c r="N1078" s="6">
        <f t="shared" si="262"/>
        <v>839352.93</v>
      </c>
      <c r="O1078" s="6">
        <f t="shared" si="270"/>
        <v>5168.43</v>
      </c>
      <c r="P1078" s="6">
        <f t="shared" si="263"/>
        <v>834184.5</v>
      </c>
      <c r="Q1078" s="4" t="str">
        <f>LOOKUP($E1078,OBRAS!$D:$D,OBRAS!B:B)</f>
        <v>CONSTRUCTORA GARPE, S.A. DE C.V.</v>
      </c>
      <c r="R1078" s="4" t="str">
        <f>LOOKUP($E1078,OBRAS!$D:$D,OBRAS!A:A)</f>
        <v>BACUM</v>
      </c>
      <c r="S1078" s="4" t="str">
        <f>LOOKUP($E1078,OBRAS!$D:$D,OBRAS!F:F)</f>
        <v>11000002002201E202K05186A614202165FN10</v>
      </c>
      <c r="T1078" s="4" t="str">
        <f>LOOKUP($E1078,OBRAS!$D:$D,OBRAS!G:G)</f>
        <v>IO-926006995-E152-2016</v>
      </c>
      <c r="U1078" s="4" t="s">
        <v>863</v>
      </c>
      <c r="V1078" s="89">
        <v>42804</v>
      </c>
      <c r="W1078" s="6">
        <f>LOOKUP($E1078,OBRAS!$D:$D,OBRAS!K:K)</f>
        <v>3690591.47</v>
      </c>
      <c r="X1078" s="109">
        <f t="shared" si="264"/>
        <v>0.32490000000000002</v>
      </c>
      <c r="Y1078" s="109">
        <f t="shared" si="265"/>
        <v>0.94330000000000003</v>
      </c>
      <c r="Z1078" s="109">
        <f t="shared" si="266"/>
        <v>0.96030000000000004</v>
      </c>
      <c r="AA1078" s="4" t="str">
        <f>LOOKUP($E1078,OBRAS!$D:$D,OBRAS!H:H)</f>
        <v>SH-NC-17-R-005</v>
      </c>
    </row>
    <row r="1079" spans="1:27" ht="30" x14ac:dyDescent="0.25">
      <c r="A1079" s="90">
        <v>42786</v>
      </c>
      <c r="B1079" s="56">
        <v>934</v>
      </c>
      <c r="C1079" s="142">
        <v>1</v>
      </c>
      <c r="D1079" s="4" t="str">
        <f>LOOKUP($E1079,OBRAS!$D:$D,OBRAS!C:C)</f>
        <v>PAVIMENTACION CON CONCRETO HIDRAULICO DE VARIAS CALLES EN LA LOCALIDAD DE ARIVECHI</v>
      </c>
      <c r="E1079" s="4" t="s">
        <v>1457</v>
      </c>
      <c r="F1079" s="4" t="s">
        <v>217</v>
      </c>
      <c r="G1079" s="4" t="str">
        <f>LOOKUP($E1079,OBRAS!$D:$D,OBRAS!E:E)</f>
        <v>C-00052/0218</v>
      </c>
      <c r="H1079" s="80" t="s">
        <v>103</v>
      </c>
      <c r="I1079" s="6">
        <v>128330.53</v>
      </c>
      <c r="J1079" s="6"/>
      <c r="K1079" s="6">
        <f t="shared" si="268"/>
        <v>38499.160000000003</v>
      </c>
      <c r="L1079" s="6">
        <f t="shared" si="269"/>
        <v>89831.37</v>
      </c>
      <c r="M1079" s="6">
        <f t="shared" si="261"/>
        <v>14373.02</v>
      </c>
      <c r="N1079" s="6">
        <f t="shared" si="262"/>
        <v>104204.39</v>
      </c>
      <c r="O1079" s="6">
        <f t="shared" si="270"/>
        <v>641.65</v>
      </c>
      <c r="P1079" s="6">
        <f t="shared" si="263"/>
        <v>103562.74</v>
      </c>
      <c r="Q1079" s="4" t="str">
        <f>LOOKUP($E1079,OBRAS!$D:$D,OBRAS!B:B)</f>
        <v>EDIVIA DESARROLLOS, S.A. DE C.V.</v>
      </c>
      <c r="R1079" s="4" t="str">
        <f>LOOKUP($E1079,OBRAS!$D:$D,OBRAS!A:A)</f>
        <v>ARIVECHI</v>
      </c>
      <c r="S1079" s="4" t="str">
        <f>LOOKUP($E1079,OBRAS!$D:$D,OBRAS!F:F)</f>
        <v>11000002002201E202K05186A614202165FN09</v>
      </c>
      <c r="T1079" s="4" t="str">
        <f>LOOKUP($E1079,OBRAS!$D:$D,OBRAS!G:G)</f>
        <v>IO-926006995-E127-2016</v>
      </c>
      <c r="U1079" s="4" t="s">
        <v>863</v>
      </c>
      <c r="V1079" s="89">
        <v>42804</v>
      </c>
      <c r="W1079" s="6">
        <f>LOOKUP($E1079,OBRAS!$D:$D,OBRAS!K:K)</f>
        <v>1621630.07</v>
      </c>
      <c r="X1079" s="109">
        <f t="shared" si="264"/>
        <v>9.1800000000000007E-2</v>
      </c>
      <c r="Y1079" s="109">
        <f t="shared" si="265"/>
        <v>0.50280000000000002</v>
      </c>
      <c r="Z1079" s="109">
        <f t="shared" si="266"/>
        <v>0.65190000000000003</v>
      </c>
      <c r="AA1079" s="4" t="str">
        <f>LOOKUP($E1079,OBRAS!$D:$D,OBRAS!H:H)</f>
        <v>SH-NC-17-R-005</v>
      </c>
    </row>
    <row r="1080" spans="1:27" ht="45" x14ac:dyDescent="0.25">
      <c r="A1080" s="90">
        <v>42787</v>
      </c>
      <c r="B1080" s="56">
        <v>1066</v>
      </c>
      <c r="C1080" s="142">
        <v>2</v>
      </c>
      <c r="D1080" s="4" t="str">
        <f>LOOKUP($E1080,OBRAS!$D:$D,OBRAS!C:C)</f>
        <v>REHABILITACION DE PAVIMENTOS DE AV. MIGUEL HIDALGO EN LA LOCALIDAD Y MUNICIPIO DE SANTA CRUZ, SONORA.</v>
      </c>
      <c r="E1080" s="4" t="s">
        <v>900</v>
      </c>
      <c r="F1080" s="4" t="s">
        <v>217</v>
      </c>
      <c r="G1080" s="4" t="str">
        <f>LOOKUP($E1080,OBRAS!$D:$D,OBRAS!E:E)</f>
        <v>C-00052/0203</v>
      </c>
      <c r="H1080" s="80" t="s">
        <v>55</v>
      </c>
      <c r="I1080" s="6">
        <v>16934.900000000001</v>
      </c>
      <c r="J1080" s="6"/>
      <c r="K1080" s="6">
        <v>11194.76</v>
      </c>
      <c r="L1080" s="6">
        <f t="shared" si="269"/>
        <v>5740.14</v>
      </c>
      <c r="M1080" s="6">
        <f t="shared" si="261"/>
        <v>918.42</v>
      </c>
      <c r="N1080" s="6">
        <f t="shared" si="262"/>
        <v>6658.56</v>
      </c>
      <c r="O1080" s="6">
        <f t="shared" si="270"/>
        <v>84.67</v>
      </c>
      <c r="P1080" s="6">
        <f t="shared" si="263"/>
        <v>6573.89</v>
      </c>
      <c r="Q1080" s="4" t="str">
        <f>LOOKUP($E1080,OBRAS!$D:$D,OBRAS!B:B)</f>
        <v>PROMOCIONES TESIA, S.A. DE C.V.</v>
      </c>
      <c r="R1080" s="4" t="str">
        <f>LOOKUP($E1080,OBRAS!$D:$D,OBRAS!A:A)</f>
        <v>SANTA CRUZ</v>
      </c>
      <c r="S1080" s="4" t="str">
        <f>LOOKUP($E1080,OBRAS!$D:$D,OBRAS!F:F)</f>
        <v>11000002002201E202K05186A614202165FN03</v>
      </c>
      <c r="T1080" s="4" t="str">
        <f>LOOKUP($E1080,OBRAS!$D:$D,OBRAS!G:G)</f>
        <v>AO-926006995-E111-2016</v>
      </c>
      <c r="U1080" s="4" t="s">
        <v>863</v>
      </c>
      <c r="V1080" s="89">
        <v>42794</v>
      </c>
      <c r="W1080" s="6">
        <f>LOOKUP($E1080,OBRAS!$D:$D,OBRAS!K:K)</f>
        <v>851581.37</v>
      </c>
      <c r="X1080" s="109">
        <f t="shared" si="264"/>
        <v>2.3099999999999999E-2</v>
      </c>
      <c r="Y1080" s="109">
        <f t="shared" si="265"/>
        <v>0.97230000000000005</v>
      </c>
      <c r="Z1080" s="109">
        <f t="shared" si="266"/>
        <v>0.97219999999999995</v>
      </c>
      <c r="AA1080" s="4" t="str">
        <f>LOOKUP($E1080,OBRAS!$D:$D,OBRAS!H:H)</f>
        <v>SH-NC-17-R-005</v>
      </c>
    </row>
    <row r="1081" spans="1:27" ht="60" x14ac:dyDescent="0.25">
      <c r="A1081" s="90">
        <v>42787</v>
      </c>
      <c r="B1081" s="56">
        <v>973</v>
      </c>
      <c r="C1081" s="142">
        <v>3</v>
      </c>
      <c r="D1081" s="4" t="str">
        <f>LOOKUP($E1081,OBRAS!$D:$D,OBRAS!C:C)</f>
        <v>REHABILITACION DE PAVIMENTOS A BASE DE RECARPETEO EN CALLE OBREGON ENTRE ABELARDO L. RODRIGUEZ Y HACIA EL ESTE EN EL POBLADO DE SANTA CLARA.</v>
      </c>
      <c r="E1081" s="4" t="s">
        <v>1868</v>
      </c>
      <c r="F1081" s="4" t="s">
        <v>217</v>
      </c>
      <c r="G1081" s="4" t="str">
        <f>LOOKUP($E1081,OBRAS!$D:$D,OBRAS!E:E)</f>
        <v>C-00052/0227</v>
      </c>
      <c r="H1081" s="80" t="s">
        <v>103</v>
      </c>
      <c r="I1081" s="6">
        <v>338763.53</v>
      </c>
      <c r="J1081" s="6"/>
      <c r="K1081" s="6">
        <f t="shared" si="268"/>
        <v>101629.06</v>
      </c>
      <c r="L1081" s="6">
        <f t="shared" si="269"/>
        <v>237134.47</v>
      </c>
      <c r="M1081" s="6">
        <f t="shared" si="261"/>
        <v>37941.519999999997</v>
      </c>
      <c r="N1081" s="6">
        <f t="shared" si="262"/>
        <v>275075.99</v>
      </c>
      <c r="O1081" s="6">
        <f t="shared" si="270"/>
        <v>1693.82</v>
      </c>
      <c r="P1081" s="6">
        <f t="shared" si="263"/>
        <v>273382.17</v>
      </c>
      <c r="Q1081" s="4" t="str">
        <f>LOOKUP($E1081,OBRAS!$D:$D,OBRAS!B:B)</f>
        <v>BARREDA PROYECTO Y CONSTRUCCIONES, S.A. DE C.V.</v>
      </c>
      <c r="R1081" s="4" t="str">
        <f>LOOKUP($E1081,OBRAS!$D:$D,OBRAS!A:A)</f>
        <v>S.L.R.C.</v>
      </c>
      <c r="S1081" s="4" t="str">
        <f>LOOKUP($E1081,OBRAS!$D:$D,OBRAS!F:F)</f>
        <v>11000002002201E202K05186A614202165FN01</v>
      </c>
      <c r="T1081" s="4" t="str">
        <f>LOOKUP($E1081,OBRAS!$D:$D,OBRAS!G:G)</f>
        <v>AO-926006995-E123-2016</v>
      </c>
      <c r="U1081" s="4" t="s">
        <v>863</v>
      </c>
      <c r="V1081" s="89">
        <v>42794</v>
      </c>
      <c r="W1081" s="6">
        <f>LOOKUP($E1081,OBRAS!$D:$D,OBRAS!K:K)</f>
        <v>392965.69</v>
      </c>
      <c r="X1081" s="109">
        <f t="shared" si="264"/>
        <v>1</v>
      </c>
      <c r="Y1081" s="109">
        <f t="shared" si="265"/>
        <v>1</v>
      </c>
      <c r="Z1081" s="109">
        <f t="shared" si="266"/>
        <v>1</v>
      </c>
      <c r="AA1081" s="4" t="str">
        <f>LOOKUP($E1081,OBRAS!$D:$D,OBRAS!H:H)</f>
        <v>SH-NC-17-R-005</v>
      </c>
    </row>
    <row r="1082" spans="1:27" ht="45" x14ac:dyDescent="0.25">
      <c r="A1082" s="90">
        <v>42787</v>
      </c>
      <c r="B1082" s="56">
        <v>981</v>
      </c>
      <c r="C1082" s="142">
        <v>4</v>
      </c>
      <c r="D1082" s="4" t="str">
        <f>LOOKUP($E1082,OBRAS!$D:$D,OBRAS!C:C)</f>
        <v>PAVIMENTACION CON CONCRETO HIDRAULICO DE 15 CMS DE ESPESOR EN CALLE 3 EN LA LOCALIDAD DE NACORI CHICO</v>
      </c>
      <c r="E1082" s="4" t="s">
        <v>1488</v>
      </c>
      <c r="F1082" s="4" t="s">
        <v>217</v>
      </c>
      <c r="G1082" s="4" t="str">
        <f>LOOKUP($E1082,OBRAS!$D:$D,OBRAS!E:E)</f>
        <v>C-00052/0186</v>
      </c>
      <c r="H1082" s="80" t="s">
        <v>221</v>
      </c>
      <c r="I1082" s="6">
        <v>874612.54</v>
      </c>
      <c r="J1082" s="6"/>
      <c r="K1082" s="6">
        <f t="shared" si="268"/>
        <v>262383.76</v>
      </c>
      <c r="L1082" s="6">
        <f t="shared" si="269"/>
        <v>612228.78</v>
      </c>
      <c r="M1082" s="6">
        <f t="shared" si="261"/>
        <v>97956.6</v>
      </c>
      <c r="N1082" s="6">
        <f t="shared" si="262"/>
        <v>710185.38</v>
      </c>
      <c r="O1082" s="6">
        <f t="shared" si="270"/>
        <v>4373.0600000000004</v>
      </c>
      <c r="P1082" s="6">
        <f t="shared" si="263"/>
        <v>705812.32</v>
      </c>
      <c r="Q1082" s="4" t="str">
        <f>LOOKUP($E1082,OBRAS!$D:$D,OBRAS!B:B)</f>
        <v>ADOBE DESARROLLOS, S.A. DE C.V.</v>
      </c>
      <c r="R1082" s="4" t="str">
        <f>LOOKUP($E1082,OBRAS!$D:$D,OBRAS!A:A)</f>
        <v>NACORI CHICO</v>
      </c>
      <c r="S1082" s="4" t="str">
        <f>LOOKUP($E1082,OBRAS!$D:$D,OBRAS!F:F)</f>
        <v>11000002002201E202K05186A614202165FC06</v>
      </c>
      <c r="T1082" s="4" t="str">
        <f>LOOKUP($E1082,OBRAS!$D:$D,OBRAS!G:G)</f>
        <v>IO-926006995-E135-2016</v>
      </c>
      <c r="U1082" s="4" t="s">
        <v>863</v>
      </c>
      <c r="V1082" s="89">
        <v>42794</v>
      </c>
      <c r="W1082" s="6">
        <f>LOOKUP($E1082,OBRAS!$D:$D,OBRAS!K:K)</f>
        <v>1916424.39</v>
      </c>
      <c r="X1082" s="109">
        <f t="shared" si="264"/>
        <v>0.52939999999999998</v>
      </c>
      <c r="Y1082" s="109">
        <f t="shared" si="265"/>
        <v>1</v>
      </c>
      <c r="Z1082" s="109">
        <f t="shared" si="266"/>
        <v>1</v>
      </c>
      <c r="AA1082" s="4" t="str">
        <f>LOOKUP($E1082,OBRAS!$D:$D,OBRAS!H:H)</f>
        <v>SH-NC-17-R-009</v>
      </c>
    </row>
    <row r="1083" spans="1:27" ht="45" x14ac:dyDescent="0.25">
      <c r="A1083" s="90">
        <v>42787</v>
      </c>
      <c r="B1083" s="56">
        <v>982</v>
      </c>
      <c r="C1083" s="142">
        <v>5</v>
      </c>
      <c r="D1083" s="4" t="str">
        <f>LOOKUP($E1083,OBRAS!$D:$D,OBRAS!C:C)</f>
        <v>PAVIMENTACION CON CONCRETO HIDRAULICO DE 15 CMS DE ESPESOR EN CALLE 3 EN LA LOCALIDAD DE NACORI CHICO</v>
      </c>
      <c r="E1083" s="4" t="s">
        <v>1488</v>
      </c>
      <c r="F1083" s="4" t="s">
        <v>217</v>
      </c>
      <c r="G1083" s="4" t="str">
        <f>LOOKUP($E1083,OBRAS!$D:$D,OBRAS!E:E)</f>
        <v>C-00052/0186</v>
      </c>
      <c r="H1083" s="80" t="s">
        <v>55</v>
      </c>
      <c r="I1083" s="6">
        <v>602830.43000000005</v>
      </c>
      <c r="J1083" s="6"/>
      <c r="K1083" s="6">
        <f t="shared" si="268"/>
        <v>180849.13</v>
      </c>
      <c r="L1083" s="6">
        <f t="shared" si="269"/>
        <v>421981.3</v>
      </c>
      <c r="M1083" s="6">
        <f t="shared" si="261"/>
        <v>67517.009999999995</v>
      </c>
      <c r="N1083" s="6">
        <f t="shared" si="262"/>
        <v>489498.31</v>
      </c>
      <c r="O1083" s="6">
        <f t="shared" si="270"/>
        <v>3014.15</v>
      </c>
      <c r="P1083" s="6">
        <f t="shared" si="263"/>
        <v>486484.16</v>
      </c>
      <c r="Q1083" s="4" t="str">
        <f>LOOKUP($E1083,OBRAS!$D:$D,OBRAS!B:B)</f>
        <v>ADOBE DESARROLLOS, S.A. DE C.V.</v>
      </c>
      <c r="R1083" s="4" t="str">
        <f>LOOKUP($E1083,OBRAS!$D:$D,OBRAS!A:A)</f>
        <v>NACORI CHICO</v>
      </c>
      <c r="S1083" s="4" t="str">
        <f>LOOKUP($E1083,OBRAS!$D:$D,OBRAS!F:F)</f>
        <v>11000002002201E202K05186A614202165FC06</v>
      </c>
      <c r="T1083" s="4" t="str">
        <f>LOOKUP($E1083,OBRAS!$D:$D,OBRAS!G:G)</f>
        <v>IO-926006995-E135-2016</v>
      </c>
      <c r="U1083" s="4" t="s">
        <v>863</v>
      </c>
      <c r="V1083" s="89">
        <v>42794</v>
      </c>
      <c r="W1083" s="6">
        <f>LOOKUP($E1083,OBRAS!$D:$D,OBRAS!K:K)</f>
        <v>1916424.39</v>
      </c>
      <c r="X1083" s="109">
        <f t="shared" si="264"/>
        <v>0.3649</v>
      </c>
      <c r="Y1083" s="109">
        <f t="shared" si="265"/>
        <v>1</v>
      </c>
      <c r="Z1083" s="109">
        <f t="shared" si="266"/>
        <v>1</v>
      </c>
      <c r="AA1083" s="4" t="str">
        <f>LOOKUP($E1083,OBRAS!$D:$D,OBRAS!H:H)</f>
        <v>SH-NC-17-R-009</v>
      </c>
    </row>
    <row r="1084" spans="1:27" ht="45" x14ac:dyDescent="0.25">
      <c r="A1084" s="90">
        <v>42787</v>
      </c>
      <c r="B1084" s="56">
        <v>983</v>
      </c>
      <c r="C1084" s="142">
        <v>6</v>
      </c>
      <c r="D1084" s="4" t="str">
        <f>LOOKUP($E1084,OBRAS!$D:$D,OBRAS!C:C)</f>
        <v>PAVIMENTACION CON CONCRETO HIDRAULICO EN LA AVENIDA DE LA CASA EN LA LOCALIDAD DE BACERAC</v>
      </c>
      <c r="E1084" s="4" t="s">
        <v>1453</v>
      </c>
      <c r="F1084" s="4" t="s">
        <v>793</v>
      </c>
      <c r="G1084" s="4" t="str">
        <f>LOOKUP($E1084,OBRAS!$D:$D,OBRAS!E:E)</f>
        <v>C-00052/0196</v>
      </c>
      <c r="H1084" s="80" t="s">
        <v>221</v>
      </c>
      <c r="I1084" s="6">
        <v>602006.24</v>
      </c>
      <c r="J1084" s="6"/>
      <c r="K1084" s="6">
        <f t="shared" si="268"/>
        <v>180601.87</v>
      </c>
      <c r="L1084" s="6">
        <f t="shared" si="269"/>
        <v>421404.37</v>
      </c>
      <c r="M1084" s="6">
        <f t="shared" si="261"/>
        <v>67424.7</v>
      </c>
      <c r="N1084" s="6">
        <f t="shared" si="262"/>
        <v>488829.07</v>
      </c>
      <c r="O1084" s="6">
        <f t="shared" si="270"/>
        <v>3010.03</v>
      </c>
      <c r="P1084" s="6">
        <f t="shared" si="263"/>
        <v>485819.04</v>
      </c>
      <c r="Q1084" s="4" t="str">
        <f>LOOKUP($E1084,OBRAS!$D:$D,OBRAS!B:B)</f>
        <v>ADOBE DESARROLLOS, S.A. DE C.V.</v>
      </c>
      <c r="R1084" s="4" t="str">
        <f>LOOKUP($E1084,OBRAS!$D:$D,OBRAS!A:A)</f>
        <v>BACERAC</v>
      </c>
      <c r="S1084" s="4" t="str">
        <f>LOOKUP($E1084,OBRAS!$D:$D,OBRAS!F:F)</f>
        <v>11000002002201E202K05186A614202165FC06</v>
      </c>
      <c r="T1084" s="4" t="str">
        <f>LOOKUP($E1084,OBRAS!$D:$D,OBRAS!G:G)</f>
        <v>IO-926006995-E138-2016</v>
      </c>
      <c r="U1084" s="4" t="s">
        <v>863</v>
      </c>
      <c r="V1084" s="89">
        <v>42794</v>
      </c>
      <c r="W1084" s="6">
        <f>LOOKUP($E1084,OBRAS!$D:$D,OBRAS!K:K)</f>
        <v>1318284.3999999999</v>
      </c>
      <c r="X1084" s="109">
        <f t="shared" si="264"/>
        <v>0.52969999999999995</v>
      </c>
      <c r="Y1084" s="109">
        <f t="shared" si="265"/>
        <v>0.99990000000000001</v>
      </c>
      <c r="Z1084" s="109">
        <f t="shared" si="266"/>
        <v>1</v>
      </c>
      <c r="AA1084" s="4" t="str">
        <f>LOOKUP($E1084,OBRAS!$D:$D,OBRAS!H:H)</f>
        <v>SH-NC-17-R-009</v>
      </c>
    </row>
    <row r="1085" spans="1:27" ht="45" x14ac:dyDescent="0.25">
      <c r="A1085" s="90">
        <v>42787</v>
      </c>
      <c r="B1085" s="56">
        <v>984</v>
      </c>
      <c r="C1085" s="142">
        <v>7</v>
      </c>
      <c r="D1085" s="4" t="str">
        <f>LOOKUP($E1085,OBRAS!$D:$D,OBRAS!C:C)</f>
        <v>PAVIMENTACION CON CONCRETO HIDRAULICO EN LA AVENIDA DE LA CASA EN LA LOCALIDAD DE BACERAC</v>
      </c>
      <c r="E1085" s="4" t="s">
        <v>1453</v>
      </c>
      <c r="F1085" s="4" t="s">
        <v>225</v>
      </c>
      <c r="G1085" s="4" t="str">
        <f>LOOKUP($E1085,OBRAS!$D:$D,OBRAS!E:E)</f>
        <v>C-00052/0196</v>
      </c>
      <c r="H1085" s="80" t="s">
        <v>55</v>
      </c>
      <c r="I1085" s="6">
        <v>416897.06</v>
      </c>
      <c r="J1085" s="6"/>
      <c r="K1085" s="6">
        <f t="shared" si="268"/>
        <v>125069.12</v>
      </c>
      <c r="L1085" s="6">
        <f t="shared" si="269"/>
        <v>291827.94</v>
      </c>
      <c r="M1085" s="6">
        <f t="shared" si="261"/>
        <v>46692.47</v>
      </c>
      <c r="N1085" s="6">
        <f t="shared" si="262"/>
        <v>338520.41</v>
      </c>
      <c r="O1085" s="6">
        <f t="shared" si="270"/>
        <v>2084.4899999999998</v>
      </c>
      <c r="P1085" s="6">
        <f t="shared" si="263"/>
        <v>336435.92</v>
      </c>
      <c r="Q1085" s="4" t="str">
        <f>LOOKUP($E1085,OBRAS!$D:$D,OBRAS!B:B)</f>
        <v>ADOBE DESARROLLOS, S.A. DE C.V.</v>
      </c>
      <c r="R1085" s="4" t="str">
        <f>LOOKUP($E1085,OBRAS!$D:$D,OBRAS!A:A)</f>
        <v>BACERAC</v>
      </c>
      <c r="S1085" s="4" t="str">
        <f>LOOKUP($E1085,OBRAS!$D:$D,OBRAS!F:F)</f>
        <v>11000002002201E202K05186A614202165FC06</v>
      </c>
      <c r="T1085" s="4" t="str">
        <f>LOOKUP($E1085,OBRAS!$D:$D,OBRAS!G:G)</f>
        <v>IO-926006995-E138-2016</v>
      </c>
      <c r="U1085" s="4" t="s">
        <v>863</v>
      </c>
      <c r="V1085" s="89">
        <v>42794</v>
      </c>
      <c r="W1085" s="6">
        <f>LOOKUP($E1085,OBRAS!$D:$D,OBRAS!K:K)</f>
        <v>1318284.3999999999</v>
      </c>
      <c r="X1085" s="109">
        <f t="shared" si="264"/>
        <v>0.36680000000000001</v>
      </c>
      <c r="Y1085" s="109">
        <f t="shared" si="265"/>
        <v>0.99990000000000001</v>
      </c>
      <c r="Z1085" s="109">
        <f t="shared" si="266"/>
        <v>1</v>
      </c>
      <c r="AA1085" s="4" t="str">
        <f>LOOKUP($E1085,OBRAS!$D:$D,OBRAS!H:H)</f>
        <v>SH-NC-17-R-009</v>
      </c>
    </row>
    <row r="1086" spans="1:27" ht="60" x14ac:dyDescent="0.25">
      <c r="A1086" s="90">
        <v>42787</v>
      </c>
      <c r="B1086" s="56">
        <v>978</v>
      </c>
      <c r="C1086" s="142">
        <v>8</v>
      </c>
      <c r="D1086" s="4" t="str">
        <f>LOOKUP($E1086,OBRAS!$D:$D,OBRAS!C:C)</f>
        <v>PAVIMENTACION CON CONCRETO HIDRAULICO DE 15 CMS DE ESPESOR EN CALLE PARQUE BARRIO BAJO EN LA LOCALIDAD DE TECORIPA MUNICIPIO DE LA COLORADA, SONORA</v>
      </c>
      <c r="E1086" s="4" t="s">
        <v>1214</v>
      </c>
      <c r="F1086" s="4" t="s">
        <v>217</v>
      </c>
      <c r="G1086" s="4" t="str">
        <f>LOOKUP($E1086,OBRAS!$D:$D,OBRAS!E:E)</f>
        <v>C-00052/0216</v>
      </c>
      <c r="H1086" s="80" t="s">
        <v>55</v>
      </c>
      <c r="I1086" s="6">
        <v>360888.04</v>
      </c>
      <c r="J1086" s="6"/>
      <c r="K1086" s="6">
        <v>144150.32999999999</v>
      </c>
      <c r="L1086" s="6">
        <f t="shared" si="269"/>
        <v>216737.71</v>
      </c>
      <c r="M1086" s="6">
        <f t="shared" si="261"/>
        <v>34678.03</v>
      </c>
      <c r="N1086" s="6">
        <f t="shared" si="262"/>
        <v>251415.74</v>
      </c>
      <c r="O1086" s="6">
        <f t="shared" si="270"/>
        <v>1804.44</v>
      </c>
      <c r="P1086" s="6">
        <f t="shared" si="263"/>
        <v>249611.3</v>
      </c>
      <c r="Q1086" s="4" t="str">
        <f>LOOKUP($E1086,OBRAS!$D:$D,OBRAS!B:B)</f>
        <v>CONSTRUCTORES LISTA BLANCA, S.A.DE C.V.</v>
      </c>
      <c r="R1086" s="4" t="str">
        <f>LOOKUP($E1086,OBRAS!$D:$D,OBRAS!A:A)</f>
        <v>LA COLORADA</v>
      </c>
      <c r="S1086" s="4" t="str">
        <f>LOOKUP($E1086,OBRAS!$D:$D,OBRAS!F:F)</f>
        <v>11000002002201E202K05186A614202165FN08</v>
      </c>
      <c r="T1086" s="4" t="str">
        <f>LOOKUP($E1086,OBRAS!$D:$D,OBRAS!G:G)</f>
        <v>IO-926006995-E129-2016</v>
      </c>
      <c r="U1086" s="4" t="s">
        <v>863</v>
      </c>
      <c r="V1086" s="89">
        <v>42794</v>
      </c>
      <c r="W1086" s="6">
        <f>LOOKUP($E1086,OBRAS!$D:$D,OBRAS!K:K)</f>
        <v>1256127.72</v>
      </c>
      <c r="X1086" s="109">
        <f t="shared" si="264"/>
        <v>0.33329999999999999</v>
      </c>
      <c r="Y1086" s="109">
        <f t="shared" si="265"/>
        <v>0.88949999999999996</v>
      </c>
      <c r="Z1086" s="109">
        <f t="shared" si="266"/>
        <v>0.88949999999999996</v>
      </c>
      <c r="AA1086" s="4" t="str">
        <f>LOOKUP($E1086,OBRAS!$D:$D,OBRAS!H:H)</f>
        <v>SH-NC-17-R-005</v>
      </c>
    </row>
    <row r="1087" spans="1:27" ht="75" x14ac:dyDescent="0.25">
      <c r="A1087" s="90">
        <v>42788</v>
      </c>
      <c r="B1087" s="56">
        <v>1007</v>
      </c>
      <c r="C1087" s="142">
        <v>9</v>
      </c>
      <c r="D1087" s="4" t="str">
        <f>LOOKUP($E1087,OBRAS!$D:$D,OBRAS!C:C)</f>
        <v>PAVIMENTACION CON CARPETA ASFALTICA DE 5 CMS DE ESPESOR EN LA CALLE COAHUILA ENTRE CANANEA Y LAGO MAGDA, EN LA LOCALIDAD DE CIUDAD OBREGON MUNICIPIO DE CAJEME, SONORA</v>
      </c>
      <c r="E1087" s="4" t="s">
        <v>1219</v>
      </c>
      <c r="F1087" s="4" t="s">
        <v>217</v>
      </c>
      <c r="G1087" s="4" t="str">
        <f>LOOKUP($E1087,OBRAS!$D:$D,OBRAS!E:E)</f>
        <v>C-00052/0228</v>
      </c>
      <c r="H1087" s="80" t="s">
        <v>103</v>
      </c>
      <c r="I1087" s="6">
        <v>334819.39</v>
      </c>
      <c r="J1087" s="6"/>
      <c r="K1087" s="6">
        <f t="shared" si="268"/>
        <v>100445.82</v>
      </c>
      <c r="L1087" s="6">
        <f t="shared" si="269"/>
        <v>234373.57</v>
      </c>
      <c r="M1087" s="6">
        <f t="shared" si="261"/>
        <v>37499.769999999997</v>
      </c>
      <c r="N1087" s="6">
        <f t="shared" si="262"/>
        <v>271873.34000000003</v>
      </c>
      <c r="O1087" s="6">
        <f t="shared" si="270"/>
        <v>1674.1</v>
      </c>
      <c r="P1087" s="6">
        <f t="shared" si="263"/>
        <v>270199.24</v>
      </c>
      <c r="Q1087" s="4" t="str">
        <f>LOOKUP($E1087,OBRAS!$D:$D,OBRAS!B:B)</f>
        <v>VLEXEL, S. C.</v>
      </c>
      <c r="R1087" s="4" t="str">
        <f>LOOKUP($E1087,OBRAS!$D:$D,OBRAS!A:A)</f>
        <v>CAJEME</v>
      </c>
      <c r="S1087" s="4" t="str">
        <f>LOOKUP($E1087,OBRAS!$D:$D,OBRAS!F:F)</f>
        <v>11000002002201E202K05186A614202165FN11</v>
      </c>
      <c r="T1087" s="4" t="str">
        <f>LOOKUP($E1087,OBRAS!$D:$D,OBRAS!G:G)</f>
        <v>AO-926006995-E124-2016</v>
      </c>
      <c r="U1087" s="4" t="s">
        <v>863</v>
      </c>
      <c r="V1087" s="89">
        <v>42794</v>
      </c>
      <c r="W1087" s="6">
        <f>LOOKUP($E1087,OBRAS!$D:$D,OBRAS!K:K)</f>
        <v>626656.36</v>
      </c>
      <c r="X1087" s="109">
        <f t="shared" si="264"/>
        <v>0.61980000000000002</v>
      </c>
      <c r="Y1087" s="109">
        <f t="shared" si="265"/>
        <v>1.0018</v>
      </c>
      <c r="Z1087" s="109">
        <f t="shared" si="266"/>
        <v>0.99919999999999998</v>
      </c>
      <c r="AA1087" s="4" t="str">
        <f>LOOKUP($E1087,OBRAS!$D:$D,OBRAS!H:H)</f>
        <v>SH-NC-17-R-005</v>
      </c>
    </row>
    <row r="1088" spans="1:27" ht="75" x14ac:dyDescent="0.25">
      <c r="A1088" s="90">
        <v>42788</v>
      </c>
      <c r="B1088" s="56">
        <v>1008</v>
      </c>
      <c r="C1088" s="142">
        <v>10</v>
      </c>
      <c r="D1088" s="4" t="str">
        <f>LOOKUP($E1088,OBRAS!$D:$D,OBRAS!C:C)</f>
        <v>PAVIMENTACION CON CARPETA ASFALTICA DE 5 CMS DE ESPESOR EN LA CALLE COAHUILA ENTRE CANANEA Y LAGO MAGDA, EN LA LOCALIDAD DE CIUDAD OBREGON MUNICIPIO DE CAJEME, SONORA</v>
      </c>
      <c r="E1088" s="4" t="s">
        <v>1219</v>
      </c>
      <c r="F1088" s="4" t="s">
        <v>217</v>
      </c>
      <c r="G1088" s="4" t="str">
        <f>LOOKUP($E1088,OBRAS!$D:$D,OBRAS!E:E)</f>
        <v>C-00052/0228</v>
      </c>
      <c r="H1088" s="80" t="s">
        <v>221</v>
      </c>
      <c r="I1088" s="6">
        <v>206358.75</v>
      </c>
      <c r="J1088" s="6"/>
      <c r="K1088" s="6">
        <v>63004.3</v>
      </c>
      <c r="L1088" s="6">
        <f t="shared" si="269"/>
        <v>143354.45000000001</v>
      </c>
      <c r="M1088" s="6">
        <f t="shared" si="261"/>
        <v>22936.71</v>
      </c>
      <c r="N1088" s="6">
        <f t="shared" si="262"/>
        <v>166291.16</v>
      </c>
      <c r="O1088" s="6">
        <f t="shared" si="270"/>
        <v>1031.79</v>
      </c>
      <c r="P1088" s="6">
        <f t="shared" si="263"/>
        <v>165259.37</v>
      </c>
      <c r="Q1088" s="4" t="str">
        <f>LOOKUP($E1088,OBRAS!$D:$D,OBRAS!B:B)</f>
        <v>VLEXEL, S. C.</v>
      </c>
      <c r="R1088" s="4" t="str">
        <f>LOOKUP($E1088,OBRAS!$D:$D,OBRAS!A:A)</f>
        <v>CAJEME</v>
      </c>
      <c r="S1088" s="4" t="str">
        <f>LOOKUP($E1088,OBRAS!$D:$D,OBRAS!F:F)</f>
        <v>11000002002201E202K05186A614202165FN11</v>
      </c>
      <c r="T1088" s="4" t="str">
        <f>LOOKUP($E1088,OBRAS!$D:$D,OBRAS!G:G)</f>
        <v>AO-926006995-E124-2016</v>
      </c>
      <c r="U1088" s="4" t="s">
        <v>863</v>
      </c>
      <c r="V1088" s="89">
        <v>42794</v>
      </c>
      <c r="W1088" s="6">
        <f>LOOKUP($E1088,OBRAS!$D:$D,OBRAS!K:K)</f>
        <v>626656.36</v>
      </c>
      <c r="X1088" s="109">
        <f t="shared" si="264"/>
        <v>0.38200000000000001</v>
      </c>
      <c r="Y1088" s="109">
        <f t="shared" si="265"/>
        <v>1.0018</v>
      </c>
      <c r="Z1088" s="109">
        <f t="shared" si="266"/>
        <v>0.99919999999999998</v>
      </c>
      <c r="AA1088" s="4" t="str">
        <f>LOOKUP($E1088,OBRAS!$D:$D,OBRAS!H:H)</f>
        <v>SH-NC-17-R-005</v>
      </c>
    </row>
    <row r="1089" spans="1:27" ht="45" x14ac:dyDescent="0.25">
      <c r="A1089" s="90">
        <v>42788</v>
      </c>
      <c r="B1089" s="56">
        <v>1009</v>
      </c>
      <c r="C1089" s="142">
        <v>11</v>
      </c>
      <c r="D1089" s="4" t="str">
        <f>LOOKUP($E1089,OBRAS!$D:$D,OBRAS!C:C)</f>
        <v>PAVIMENTACION CON CONCRETO HIDRAULICO DE CALLE BARTOLOME DE LAS CASAS EN LA LOCALIDAD DE RAYON</v>
      </c>
      <c r="E1089" s="4" t="s">
        <v>1442</v>
      </c>
      <c r="F1089" s="4" t="s">
        <v>217</v>
      </c>
      <c r="G1089" s="4" t="str">
        <f>LOOKUP($E1089,OBRAS!$D:$D,OBRAS!E:E)</f>
        <v>C-00052/0195</v>
      </c>
      <c r="H1089" s="80" t="s">
        <v>221</v>
      </c>
      <c r="I1089" s="6">
        <v>127789.46</v>
      </c>
      <c r="J1089" s="6"/>
      <c r="K1089" s="6">
        <f t="shared" si="268"/>
        <v>38336.839999999997</v>
      </c>
      <c r="L1089" s="6">
        <f t="shared" si="269"/>
        <v>89452.62</v>
      </c>
      <c r="M1089" s="6">
        <f t="shared" si="261"/>
        <v>14312.42</v>
      </c>
      <c r="N1089" s="6">
        <f t="shared" si="262"/>
        <v>103765.04</v>
      </c>
      <c r="O1089" s="6">
        <f t="shared" si="270"/>
        <v>638.95000000000005</v>
      </c>
      <c r="P1089" s="6">
        <f t="shared" si="263"/>
        <v>103126.09</v>
      </c>
      <c r="Q1089" s="4" t="str">
        <f>LOOKUP($E1089,OBRAS!$D:$D,OBRAS!B:B)</f>
        <v>CINCO H INGENIERIA Y TERRACERIAS, S.A. DE C.V.</v>
      </c>
      <c r="R1089" s="4" t="str">
        <f>LOOKUP($E1089,OBRAS!$D:$D,OBRAS!A:A)</f>
        <v>RAYON</v>
      </c>
      <c r="S1089" s="4" t="str">
        <f>LOOKUP($E1089,OBRAS!$D:$D,OBRAS!F:F)</f>
        <v>11000002002201E202K05186A614202165FC05</v>
      </c>
      <c r="T1089" s="4" t="str">
        <f>LOOKUP($E1089,OBRAS!$D:$D,OBRAS!G:G)</f>
        <v>IO-926006995-E147-2016</v>
      </c>
      <c r="U1089" s="4" t="s">
        <v>863</v>
      </c>
      <c r="V1089" s="89">
        <v>42794</v>
      </c>
      <c r="W1089" s="6">
        <f>LOOKUP($E1089,OBRAS!$D:$D,OBRAS!K:K)</f>
        <v>1968982.56</v>
      </c>
      <c r="X1089" s="109">
        <f t="shared" si="264"/>
        <v>7.5300000000000006E-2</v>
      </c>
      <c r="Y1089" s="109">
        <f t="shared" si="265"/>
        <v>1</v>
      </c>
      <c r="Z1089" s="109">
        <f t="shared" si="266"/>
        <v>1</v>
      </c>
      <c r="AA1089" s="4" t="str">
        <f>LOOKUP($E1089,OBRAS!$D:$D,OBRAS!H:H)</f>
        <v>SH-NC-17-R-009</v>
      </c>
    </row>
    <row r="1090" spans="1:27" ht="45" x14ac:dyDescent="0.25">
      <c r="A1090" s="90">
        <v>42788</v>
      </c>
      <c r="B1090" s="56">
        <v>1010</v>
      </c>
      <c r="C1090" s="142">
        <v>12</v>
      </c>
      <c r="D1090" s="4" t="str">
        <f>LOOKUP($E1090,OBRAS!$D:$D,OBRAS!C:C)</f>
        <v>PAVIMENTACION CON CONCRETO HIDRAULICO DE CALLE BARTOLOME DE LAS CASAS EN LA LOCALIDAD DE RAYON</v>
      </c>
      <c r="E1090" s="4" t="s">
        <v>1442</v>
      </c>
      <c r="F1090" s="4" t="s">
        <v>217</v>
      </c>
      <c r="G1090" s="4" t="str">
        <f>LOOKUP($E1090,OBRAS!$D:$D,OBRAS!E:E)</f>
        <v>C-00052/0195</v>
      </c>
      <c r="H1090" s="80" t="s">
        <v>55</v>
      </c>
      <c r="I1090" s="6">
        <v>1246762.1599999999</v>
      </c>
      <c r="J1090" s="6"/>
      <c r="K1090" s="6">
        <f t="shared" si="268"/>
        <v>374028.65</v>
      </c>
      <c r="L1090" s="6">
        <f t="shared" si="269"/>
        <v>872733.51</v>
      </c>
      <c r="M1090" s="6">
        <f t="shared" ref="M1090:M1095" si="271">ROUND(L1090*0.16,2)</f>
        <v>139637.35999999999</v>
      </c>
      <c r="N1090" s="6">
        <f t="shared" ref="N1090:N1095" si="272">M1090+L1090</f>
        <v>1012370.87</v>
      </c>
      <c r="O1090" s="6">
        <f t="shared" si="270"/>
        <v>6233.81</v>
      </c>
      <c r="P1090" s="6">
        <f t="shared" ref="P1090:P1095" si="273">N1090-O1090</f>
        <v>1006137.06</v>
      </c>
      <c r="Q1090" s="4" t="str">
        <f>LOOKUP($E1090,OBRAS!$D:$D,OBRAS!B:B)</f>
        <v>CINCO H INGENIERIA Y TERRACERIAS, S.A. DE C.V.</v>
      </c>
      <c r="R1090" s="4" t="str">
        <f>LOOKUP($E1090,OBRAS!$D:$D,OBRAS!A:A)</f>
        <v>RAYON</v>
      </c>
      <c r="S1090" s="4" t="str">
        <f>LOOKUP($E1090,OBRAS!$D:$D,OBRAS!F:F)</f>
        <v>11000002002201E202K05186A614202165FC05</v>
      </c>
      <c r="T1090" s="4" t="str">
        <f>LOOKUP($E1090,OBRAS!$D:$D,OBRAS!G:G)</f>
        <v>IO-926006995-E147-2016</v>
      </c>
      <c r="U1090" s="4" t="s">
        <v>863</v>
      </c>
      <c r="V1090" s="89">
        <v>42794</v>
      </c>
      <c r="W1090" s="6">
        <f>LOOKUP($E1090,OBRAS!$D:$D,OBRAS!K:K)</f>
        <v>1968982.56</v>
      </c>
      <c r="X1090" s="109">
        <f t="shared" ref="X1090:X1095" si="274">IF(H1090&lt;&gt;"ANTICIPO",I1090/(W1090/1.16),"")</f>
        <v>0.73450000000000004</v>
      </c>
      <c r="Y1090" s="109">
        <f t="shared" ref="Y1090:Y1095" si="275">SUMIF(E:E,E1090,X:X)</f>
        <v>1</v>
      </c>
      <c r="Z1090" s="109">
        <f t="shared" ref="Z1090:Z1095" si="276">SUMIF(E:E,E1090,N:N)/W1090</f>
        <v>1</v>
      </c>
      <c r="AA1090" s="4" t="str">
        <f>LOOKUP($E1090,OBRAS!$D:$D,OBRAS!H:H)</f>
        <v>SH-NC-17-R-009</v>
      </c>
    </row>
    <row r="1091" spans="1:27" ht="45" x14ac:dyDescent="0.25">
      <c r="A1091" s="90">
        <v>42788</v>
      </c>
      <c r="B1091" s="56">
        <v>1011</v>
      </c>
      <c r="C1091" s="142">
        <v>13</v>
      </c>
      <c r="D1091" s="4" t="str">
        <f>LOOKUP($E1091,OBRAS!$D:$D,OBRAS!C:C)</f>
        <v>PAVIMENTACION CON CONCRETO HIDRAULICO DE CALLE BARTOLOME DE LAS CASAS EN LA LOCALIDAD DE RAYON</v>
      </c>
      <c r="E1091" s="4" t="s">
        <v>1442</v>
      </c>
      <c r="F1091" s="4" t="s">
        <v>225</v>
      </c>
      <c r="G1091" s="4" t="str">
        <f>LOOKUP($E1091,OBRAS!$D:$D,OBRAS!E:E)</f>
        <v>C-00052/0195</v>
      </c>
      <c r="H1091" s="80" t="s">
        <v>215</v>
      </c>
      <c r="I1091" s="6">
        <v>202053.13</v>
      </c>
      <c r="J1091" s="6"/>
      <c r="K1091" s="6">
        <f t="shared" si="268"/>
        <v>60615.94</v>
      </c>
      <c r="L1091" s="6">
        <f t="shared" si="269"/>
        <v>141437.19</v>
      </c>
      <c r="M1091" s="6">
        <f t="shared" si="271"/>
        <v>22629.95</v>
      </c>
      <c r="N1091" s="6">
        <f t="shared" si="272"/>
        <v>164067.14000000001</v>
      </c>
      <c r="O1091" s="6">
        <f t="shared" si="270"/>
        <v>1010.27</v>
      </c>
      <c r="P1091" s="6">
        <f t="shared" si="273"/>
        <v>163056.87</v>
      </c>
      <c r="Q1091" s="4" t="str">
        <f>LOOKUP($E1091,OBRAS!$D:$D,OBRAS!B:B)</f>
        <v>CINCO H INGENIERIA Y TERRACERIAS, S.A. DE C.V.</v>
      </c>
      <c r="R1091" s="4" t="str">
        <f>LOOKUP($E1091,OBRAS!$D:$D,OBRAS!A:A)</f>
        <v>RAYON</v>
      </c>
      <c r="S1091" s="4" t="str">
        <f>LOOKUP($E1091,OBRAS!$D:$D,OBRAS!F:F)</f>
        <v>11000002002201E202K05186A614202165FC05</v>
      </c>
      <c r="T1091" s="4" t="str">
        <f>LOOKUP($E1091,OBRAS!$D:$D,OBRAS!G:G)</f>
        <v>IO-926006995-E147-2016</v>
      </c>
      <c r="U1091" s="4" t="s">
        <v>863</v>
      </c>
      <c r="V1091" s="89">
        <v>42794</v>
      </c>
      <c r="W1091" s="6">
        <f>LOOKUP($E1091,OBRAS!$D:$D,OBRAS!K:K)</f>
        <v>1968982.56</v>
      </c>
      <c r="X1091" s="109">
        <f t="shared" si="274"/>
        <v>0.11899999999999999</v>
      </c>
      <c r="Y1091" s="109">
        <f t="shared" si="275"/>
        <v>1</v>
      </c>
      <c r="Z1091" s="109">
        <f t="shared" si="276"/>
        <v>1</v>
      </c>
      <c r="AA1091" s="4" t="str">
        <f>LOOKUP($E1091,OBRAS!$D:$D,OBRAS!H:H)</f>
        <v>SH-NC-17-R-009</v>
      </c>
    </row>
    <row r="1092" spans="1:27" ht="60" x14ac:dyDescent="0.25">
      <c r="A1092" s="90">
        <v>42788</v>
      </c>
      <c r="B1092" s="56">
        <v>1015</v>
      </c>
      <c r="C1092" s="142">
        <v>14</v>
      </c>
      <c r="D1092" s="4" t="str">
        <f>LOOKUP($E1092,OBRAS!$D:$D,OBRAS!C:C)</f>
        <v>REHABILITACION DE PAVIMENTOS A BASE DE RECARPETEO CON CARPETA ASFALTICA DE 3CM ESPESOR, EN 12 CALLES DE LA LOCALIDAD DE EMPALME</v>
      </c>
      <c r="E1092" s="4" t="s">
        <v>914</v>
      </c>
      <c r="F1092" s="4" t="s">
        <v>217</v>
      </c>
      <c r="G1092" s="4" t="str">
        <f>LOOKUP($E1092,OBRAS!$D:$D,OBRAS!E:E)</f>
        <v>C-00052/0231</v>
      </c>
      <c r="H1092" s="80" t="s">
        <v>55</v>
      </c>
      <c r="I1092" s="6">
        <v>1.25</v>
      </c>
      <c r="J1092" s="6"/>
      <c r="K1092" s="6">
        <f t="shared" si="268"/>
        <v>0.38</v>
      </c>
      <c r="L1092" s="6">
        <f t="shared" si="269"/>
        <v>0.87</v>
      </c>
      <c r="M1092" s="6">
        <f t="shared" si="271"/>
        <v>0.14000000000000001</v>
      </c>
      <c r="N1092" s="6">
        <f t="shared" si="272"/>
        <v>1.01</v>
      </c>
      <c r="O1092" s="6">
        <f t="shared" si="270"/>
        <v>0.01</v>
      </c>
      <c r="P1092" s="6">
        <f t="shared" si="273"/>
        <v>1</v>
      </c>
      <c r="Q1092" s="4" t="str">
        <f>LOOKUP($E1092,OBRAS!$D:$D,OBRAS!B:B)</f>
        <v>CONCRETOS Y AGREGADOS DE CAJEME, S.A. DE C.V.</v>
      </c>
      <c r="R1092" s="4" t="str">
        <f>LOOKUP($E1092,OBRAS!$D:$D,OBRAS!A:A)</f>
        <v>EMPALME</v>
      </c>
      <c r="S1092" s="4" t="str">
        <f>LOOKUP($E1092,OBRAS!$D:$D,OBRAS!F:F)</f>
        <v>11000002002201E202K05186A614202165CN07</v>
      </c>
      <c r="T1092" s="4" t="str">
        <f>LOOKUP($E1092,OBRAS!$D:$D,OBRAS!G:G)</f>
        <v>LO-926006995-E92-2016</v>
      </c>
      <c r="U1092" s="4" t="s">
        <v>866</v>
      </c>
      <c r="V1092" s="89">
        <v>42800</v>
      </c>
      <c r="W1092" s="6">
        <f>LOOKUP($E1092,OBRAS!$D:$D,OBRAS!K:K)</f>
        <v>10237851.949999999</v>
      </c>
      <c r="X1092" s="109">
        <f t="shared" si="274"/>
        <v>0</v>
      </c>
      <c r="Y1092" s="109">
        <f t="shared" si="275"/>
        <v>1.6299999999999999E-2</v>
      </c>
      <c r="Z1092" s="109">
        <f t="shared" si="276"/>
        <v>0.31140000000000001</v>
      </c>
      <c r="AA1092" s="4" t="str">
        <f>LOOKUP($E1092,OBRAS!$D:$D,OBRAS!H:H)</f>
        <v>SH-NC-17-R-005</v>
      </c>
    </row>
    <row r="1093" spans="1:27" ht="45" x14ac:dyDescent="0.25">
      <c r="A1093" s="90">
        <v>42789</v>
      </c>
      <c r="B1093" s="56">
        <v>1053</v>
      </c>
      <c r="C1093" s="142">
        <v>15</v>
      </c>
      <c r="D1093" s="4" t="str">
        <f>LOOKUP($E1093,OBRAS!$D:$D,OBRAS!C:C)</f>
        <v>CONSTRUCCION DE PARQUE, PLAYA Y BALNEARIO "KINO MAGICO" (ETAPA 1) EN LA COMISARIA DE BAHIA DE KINO</v>
      </c>
      <c r="E1093" s="4" t="s">
        <v>578</v>
      </c>
      <c r="F1093" s="4" t="s">
        <v>400</v>
      </c>
      <c r="G1093" s="4" t="str">
        <f>LOOKUP($E1093,OBRAS!$D:$D,OBRAS!E:E)</f>
        <v>C-00053/0014</v>
      </c>
      <c r="H1093" s="80" t="s">
        <v>218</v>
      </c>
      <c r="I1093" s="6">
        <v>3224512.32</v>
      </c>
      <c r="J1093" s="6"/>
      <c r="K1093" s="6">
        <f t="shared" si="268"/>
        <v>967353.7</v>
      </c>
      <c r="L1093" s="6">
        <f t="shared" si="269"/>
        <v>2257158.62</v>
      </c>
      <c r="M1093" s="6">
        <f t="shared" si="271"/>
        <v>361145.38</v>
      </c>
      <c r="N1093" s="6">
        <f t="shared" si="272"/>
        <v>2618304</v>
      </c>
      <c r="O1093" s="6">
        <f t="shared" ref="O1093" si="277">+ROUND(I1093*0.002,2)+ROUND(I1093*0.0003,2)+ROUND(I1093*0.0003,2)+ROUND(I1093*0.0003,2)+ROUND(I1093*0.002,2)</f>
        <v>15800.09</v>
      </c>
      <c r="P1093" s="6">
        <f t="shared" si="273"/>
        <v>2602503.91</v>
      </c>
      <c r="Q1093" s="4" t="str">
        <f>LOOKUP($E1093,OBRAS!$D:$D,OBRAS!B:B)</f>
        <v>PROMOTORA MAJERUS, S. DE R.L.</v>
      </c>
      <c r="R1093" s="4" t="str">
        <f>LOOKUP($E1093,OBRAS!$D:$D,OBRAS!A:A)</f>
        <v>HERMOSILLO</v>
      </c>
      <c r="S1093" s="4" t="str">
        <f>LOOKUP($E1093,OBRAS!$D:$D,OBRAS!F:F)</f>
        <v>11000002003701E305K07123A612092162A207</v>
      </c>
      <c r="T1093" s="4" t="str">
        <f>LOOKUP($E1093,OBRAS!$D:$D,OBRAS!G:G)</f>
        <v>CE-926006995-E33-2016</v>
      </c>
      <c r="U1093" s="4" t="s">
        <v>863</v>
      </c>
      <c r="V1093" s="89">
        <v>42810</v>
      </c>
      <c r="W1093" s="6">
        <f>LOOKUP($E1093,OBRAS!$D:$D,OBRAS!K:K)</f>
        <v>61862670.979999997</v>
      </c>
      <c r="X1093" s="109">
        <f t="shared" si="274"/>
        <v>6.0499999999999998E-2</v>
      </c>
      <c r="Y1093" s="109">
        <f t="shared" si="275"/>
        <v>0.32969999999999999</v>
      </c>
      <c r="Z1093" s="109">
        <f t="shared" si="276"/>
        <v>0.52780000000000005</v>
      </c>
      <c r="AA1093" s="4" t="str">
        <f>LOOKUP($E1093,OBRAS!$D:$D,OBRAS!H:H)</f>
        <v>SH-ED-17-R-004</v>
      </c>
    </row>
    <row r="1094" spans="1:27" ht="45" x14ac:dyDescent="0.25">
      <c r="A1094" s="90">
        <v>42793</v>
      </c>
      <c r="B1094" s="56">
        <v>1093</v>
      </c>
      <c r="C1094" s="142">
        <v>16</v>
      </c>
      <c r="D1094" s="4" t="str">
        <f>LOOKUP($E1094,OBRAS!$D:$D,OBRAS!C:C)</f>
        <v>PAVIMENTACION CON CONCRETO HIDRAULICO EN LA CALLE CANANEA EN LA LOCALIDAD Y MUNICIPIO DE BACOACHI, SONORA</v>
      </c>
      <c r="E1094" s="4" t="s">
        <v>1004</v>
      </c>
      <c r="F1094" s="4" t="s">
        <v>217</v>
      </c>
      <c r="G1094" s="4" t="str">
        <f>LOOKUP($E1094,OBRAS!$D:$D,OBRAS!E:E)</f>
        <v>C-00052/0234</v>
      </c>
      <c r="H1094" s="80" t="s">
        <v>221</v>
      </c>
      <c r="I1094" s="6">
        <v>645041.15</v>
      </c>
      <c r="J1094" s="6"/>
      <c r="K1094" s="6">
        <f t="shared" si="268"/>
        <v>193512.35</v>
      </c>
      <c r="L1094" s="6">
        <f t="shared" si="269"/>
        <v>451528.8</v>
      </c>
      <c r="M1094" s="6">
        <f t="shared" si="271"/>
        <v>72244.61</v>
      </c>
      <c r="N1094" s="6">
        <f t="shared" si="272"/>
        <v>523773.41</v>
      </c>
      <c r="O1094" s="6">
        <f t="shared" si="270"/>
        <v>3225.21</v>
      </c>
      <c r="P1094" s="6">
        <f t="shared" si="273"/>
        <v>520548.2</v>
      </c>
      <c r="Q1094" s="4" t="str">
        <f>LOOKUP($E1094,OBRAS!$D:$D,OBRAS!B:B)</f>
        <v>DCR CONSULTORIA Y CONSTRUCCION, S.A. DE C.V.</v>
      </c>
      <c r="R1094" s="4" t="str">
        <f>LOOKUP($E1094,OBRAS!$D:$D,OBRAS!A:A)</f>
        <v>BACOACHI</v>
      </c>
      <c r="S1094" s="4" t="str">
        <f>LOOKUP($E1094,OBRAS!$D:$D,OBRAS!F:F)</f>
        <v>11000002002201E202K05186A614202165FM04</v>
      </c>
      <c r="T1094" s="4" t="str">
        <f>LOOKUP($E1094,OBRAS!$D:$D,OBRAS!G:G)</f>
        <v>IO-926006995-E131-2016</v>
      </c>
      <c r="U1094" s="4" t="s">
        <v>865</v>
      </c>
      <c r="V1094" s="89">
        <v>42817</v>
      </c>
      <c r="W1094" s="6">
        <f>LOOKUP($E1094,OBRAS!$D:$D,OBRAS!K:K)</f>
        <v>1899536.81</v>
      </c>
      <c r="X1094" s="109">
        <f t="shared" si="274"/>
        <v>0.39389999999999997</v>
      </c>
      <c r="Y1094" s="109">
        <f t="shared" si="275"/>
        <v>0.6532</v>
      </c>
      <c r="Z1094" s="109">
        <f t="shared" si="276"/>
        <v>0.75729999999999997</v>
      </c>
      <c r="AA1094" s="4" t="str">
        <f>LOOKUP($E1094,OBRAS!$D:$D,OBRAS!H:H)</f>
        <v>SH-NC-17-R-008</v>
      </c>
    </row>
    <row r="1095" spans="1:27" ht="45" x14ac:dyDescent="0.25">
      <c r="A1095" s="90">
        <v>42793</v>
      </c>
      <c r="B1095" s="56">
        <v>1094</v>
      </c>
      <c r="C1095" s="142">
        <v>17</v>
      </c>
      <c r="D1095" s="4" t="str">
        <f>LOOKUP($E1095,OBRAS!$D:$D,OBRAS!C:C)</f>
        <v>PAVIMENTACION CON CONCRETO HIDRAULICO DE VARIAS CALLES Y AVENIDAS EN LA LOCALIDAD DE ARIZPE</v>
      </c>
      <c r="E1095" s="4" t="s">
        <v>981</v>
      </c>
      <c r="F1095" s="4" t="s">
        <v>217</v>
      </c>
      <c r="G1095" s="4" t="str">
        <f>LOOKUP($E1095,OBRAS!$D:$D,OBRAS!E:E)</f>
        <v>C-00052/0193</v>
      </c>
      <c r="H1095" s="80" t="s">
        <v>55</v>
      </c>
      <c r="I1095" s="6">
        <v>453900.21</v>
      </c>
      <c r="J1095" s="6"/>
      <c r="K1095" s="6">
        <f t="shared" si="268"/>
        <v>136170.06</v>
      </c>
      <c r="L1095" s="6">
        <f t="shared" si="269"/>
        <v>317730.15000000002</v>
      </c>
      <c r="M1095" s="6">
        <f t="shared" si="271"/>
        <v>50836.82</v>
      </c>
      <c r="N1095" s="6">
        <f t="shared" si="272"/>
        <v>368566.97</v>
      </c>
      <c r="O1095" s="6">
        <f t="shared" si="270"/>
        <v>2269.5</v>
      </c>
      <c r="P1095" s="6">
        <f t="shared" si="273"/>
        <v>366297.47</v>
      </c>
      <c r="Q1095" s="4" t="str">
        <f>LOOKUP($E1095,OBRAS!$D:$D,OBRAS!B:B)</f>
        <v>GRUPO MERCLA S.A DE C. V.</v>
      </c>
      <c r="R1095" s="4" t="str">
        <f>LOOKUP($E1095,OBRAS!$D:$D,OBRAS!A:A)</f>
        <v>ARIZPE</v>
      </c>
      <c r="S1095" s="4" t="str">
        <f>LOOKUP($E1095,OBRAS!$D:$D,OBRAS!F:F)</f>
        <v>11000002002201E202K05186A614202165FC05</v>
      </c>
      <c r="T1095" s="4" t="str">
        <f>LOOKUP($E1095,OBRAS!$D:$D,OBRAS!G:G)</f>
        <v>IO-926006995-E121-2016</v>
      </c>
      <c r="U1095" s="4" t="s">
        <v>865</v>
      </c>
      <c r="V1095" s="89">
        <v>42810</v>
      </c>
      <c r="W1095" s="6">
        <f>LOOKUP($E1095,OBRAS!$D:$D,OBRAS!K:K)</f>
        <v>1971899.46</v>
      </c>
      <c r="X1095" s="109">
        <f t="shared" si="274"/>
        <v>0.26700000000000002</v>
      </c>
      <c r="Y1095" s="109">
        <f t="shared" si="275"/>
        <v>0.60099999999999998</v>
      </c>
      <c r="Z1095" s="109">
        <f t="shared" si="276"/>
        <v>0.72070000000000001</v>
      </c>
      <c r="AA1095" s="4" t="str">
        <f>LOOKUP($E1095,OBRAS!$D:$D,OBRAS!H:H)</f>
        <v>SH-NC-17-R-009</v>
      </c>
    </row>
    <row r="1096" spans="1:27" ht="75" x14ac:dyDescent="0.25">
      <c r="C1096" s="142">
        <v>18</v>
      </c>
      <c r="D1096" s="4" t="str">
        <f>LOOKUP($E1096,OBRAS!$D:$D,OBRAS!C:C)</f>
        <v>REHABILITACION DE PAVIMENTOS A BASE DE RECARPETEO EN PERIFERICO SUR (LATERALES DEL PUENTE "EL GALLO") ENTRE BLVD. AGUSTIN DE VILDOSOLA Y CALLE MECANICOS EN LA LOCALIDAD DE HERMOSILLO</v>
      </c>
      <c r="E1096" s="4" t="s">
        <v>2232</v>
      </c>
      <c r="F1096" s="4"/>
      <c r="G1096" s="4" t="str">
        <f>LOOKUP($E1096,OBRAS!$D:$D,OBRAS!E:E)</f>
        <v>C-00052/0199</v>
      </c>
      <c r="H1096" s="80" t="s">
        <v>23</v>
      </c>
      <c r="I1096" s="6">
        <v>289169.09000000003</v>
      </c>
      <c r="J1096" s="6"/>
      <c r="K1096" s="6">
        <v>0</v>
      </c>
      <c r="L1096" s="6">
        <f t="shared" ref="L1096:L1115" si="278">I1096-K1096</f>
        <v>289169.09000000003</v>
      </c>
      <c r="M1096" s="6">
        <f t="shared" ref="M1096:M1115" si="279">ROUND(L1096*0.16,2)</f>
        <v>46267.05</v>
      </c>
      <c r="N1096" s="6">
        <f t="shared" ref="N1096:N1115" si="280">M1096+L1096</f>
        <v>335436.14</v>
      </c>
      <c r="O1096" s="6">
        <v>0</v>
      </c>
      <c r="P1096" s="6">
        <f t="shared" ref="P1096:P1115" si="281">N1096-O1096</f>
        <v>335436.14</v>
      </c>
      <c r="Q1096" s="4" t="str">
        <f>LOOKUP($E1096,OBRAS!$D:$D,OBRAS!B:B)</f>
        <v>PROYECTOS Y CONSTRUCCIONES VIRGO, S. A. DE C. V.</v>
      </c>
      <c r="R1096" s="4" t="str">
        <f>LOOKUP($E1096,OBRAS!$D:$D,OBRAS!A:A)</f>
        <v>HERMOSILLO</v>
      </c>
      <c r="S1096" s="4" t="str">
        <f>LOOKUP($E1096,OBRAS!$D:$D,OBRAS!F:F)</f>
        <v>11000002002201E201K02203A614202165FC07</v>
      </c>
      <c r="T1096" s="4" t="str">
        <f>LOOKUP($E1096,OBRAS!$D:$D,OBRAS!G:G)</f>
        <v>ADJUDICACIÓN DIRECTA</v>
      </c>
      <c r="U1096" s="4" t="s">
        <v>863</v>
      </c>
      <c r="V1096" s="89">
        <v>42810</v>
      </c>
      <c r="W1096" s="6">
        <f>LOOKUP($E1096,OBRAS!$D:$D,OBRAS!K:K)</f>
        <v>1118120.47</v>
      </c>
      <c r="X1096" s="109" t="str">
        <f t="shared" ref="X1096:X1115" si="282">IF(H1096&lt;&gt;"ANTICIPO",I1096/(W1096/1.16),"")</f>
        <v/>
      </c>
      <c r="Y1096" s="109">
        <f t="shared" ref="Y1096:Y1115" si="283">SUMIF(E:E,E1096,X:X)</f>
        <v>0</v>
      </c>
      <c r="Z1096" s="109">
        <f t="shared" ref="Z1096:Z1115" si="284">SUMIF(E:E,E1096,N:N)/W1096</f>
        <v>0.3</v>
      </c>
      <c r="AA1096" s="4" t="str">
        <f>LOOKUP($E1096,OBRAS!$D:$D,OBRAS!H:H)</f>
        <v>SH-NC-16-093</v>
      </c>
    </row>
    <row r="1097" spans="1:27" ht="60" x14ac:dyDescent="0.25">
      <c r="A1097" s="90">
        <v>42793</v>
      </c>
      <c r="B1097" s="56">
        <v>1095</v>
      </c>
      <c r="C1097" s="142">
        <v>19</v>
      </c>
      <c r="D1097" s="4" t="str">
        <f>LOOKUP($E1097,OBRAS!$D:$D,OBRAS!C:C)</f>
        <v>PAVIMENTACION CON CONCRETO HIDRAULICO EN CALLE 10 ENTRE AVENIDA QUIROZ MORA Y AVENIDA H. COLEGIO MILITAR (CALLE N) EN LA LOCALIDAD Y MUNICIPIO DE CABORCA, SONORA</v>
      </c>
      <c r="E1097" s="4" t="s">
        <v>1230</v>
      </c>
      <c r="F1097" s="4" t="s">
        <v>217</v>
      </c>
      <c r="G1097" s="4" t="str">
        <f>LOOKUP($E1097,OBRAS!$D:$D,OBRAS!E:E)</f>
        <v>C-00052/0223</v>
      </c>
      <c r="H1097" s="80" t="s">
        <v>103</v>
      </c>
      <c r="I1097" s="6">
        <v>498780.41</v>
      </c>
      <c r="J1097" s="6"/>
      <c r="K1097" s="6">
        <f t="shared" ref="K1097:K1115" si="285">ROUND(I1097*0.3,2)</f>
        <v>149634.12</v>
      </c>
      <c r="L1097" s="6">
        <f t="shared" si="278"/>
        <v>349146.29</v>
      </c>
      <c r="M1097" s="6">
        <f t="shared" si="279"/>
        <v>55863.41</v>
      </c>
      <c r="N1097" s="6">
        <f t="shared" si="280"/>
        <v>405009.7</v>
      </c>
      <c r="O1097" s="6">
        <f t="shared" si="270"/>
        <v>2493.9</v>
      </c>
      <c r="P1097" s="6">
        <f t="shared" si="281"/>
        <v>402515.8</v>
      </c>
      <c r="Q1097" s="4" t="str">
        <f>LOOKUP($E1097,OBRAS!$D:$D,OBRAS!B:B)</f>
        <v>INGENIERIA UNIVERSAL S. A. DE C. V.</v>
      </c>
      <c r="R1097" s="4" t="str">
        <f>LOOKUP($E1097,OBRAS!$D:$D,OBRAS!A:A)</f>
        <v>CABORCA</v>
      </c>
      <c r="S1097" s="4" t="str">
        <f>LOOKUP($E1097,OBRAS!$D:$D,OBRAS!F:F)</f>
        <v>11000002002201E202K05186A614202165FN02</v>
      </c>
      <c r="T1097" s="4" t="str">
        <f>LOOKUP($E1097,OBRAS!$D:$D,OBRAS!G:G)</f>
        <v>LO-926006995-E95-2016</v>
      </c>
      <c r="U1097" s="4" t="s">
        <v>863</v>
      </c>
      <c r="V1097" s="89">
        <v>42810</v>
      </c>
      <c r="W1097" s="6">
        <f>LOOKUP($E1097,OBRAS!$D:$D,OBRAS!K:K)</f>
        <v>11512863.189999999</v>
      </c>
      <c r="X1097" s="109">
        <f t="shared" si="282"/>
        <v>5.0299999999999997E-2</v>
      </c>
      <c r="Y1097" s="109">
        <f t="shared" si="283"/>
        <v>0.14299999999999999</v>
      </c>
      <c r="Z1097" s="109">
        <f t="shared" si="284"/>
        <v>0.40010000000000001</v>
      </c>
      <c r="AA1097" s="4" t="str">
        <f>LOOKUP($E1097,OBRAS!$D:$D,OBRAS!H:H)</f>
        <v>SH-NC-17-R-005</v>
      </c>
    </row>
    <row r="1098" spans="1:27" ht="30" x14ac:dyDescent="0.25">
      <c r="A1098" s="90">
        <v>42793</v>
      </c>
      <c r="B1098" s="56">
        <v>1096</v>
      </c>
      <c r="C1098" s="142">
        <v>20</v>
      </c>
      <c r="D1098" s="4" t="str">
        <f>LOOKUP($E1098,OBRAS!$D:$D,OBRAS!C:C)</f>
        <v>MODERNIZACION Y RECONSTRUCCION DEL TRAMO ETCHOJOA-BACOBAMPO</v>
      </c>
      <c r="E1098" s="4" t="s">
        <v>542</v>
      </c>
      <c r="F1098" s="4" t="s">
        <v>2375</v>
      </c>
      <c r="G1098" s="4" t="str">
        <f>LOOKUP($E1098,OBRAS!$D:$D,OBRAS!E:E)</f>
        <v>C-00054/0054</v>
      </c>
      <c r="H1098" s="80" t="s">
        <v>220</v>
      </c>
      <c r="I1098" s="6">
        <v>9245239.0700000003</v>
      </c>
      <c r="J1098" s="6"/>
      <c r="K1098" s="6">
        <f t="shared" si="285"/>
        <v>2773571.72</v>
      </c>
      <c r="L1098" s="6">
        <f t="shared" si="278"/>
        <v>6471667.3499999996</v>
      </c>
      <c r="M1098" s="6">
        <f t="shared" si="279"/>
        <v>1035466.78</v>
      </c>
      <c r="N1098" s="6">
        <f t="shared" si="280"/>
        <v>7507134.1299999999</v>
      </c>
      <c r="O1098" s="6">
        <f t="shared" ref="O1098:O1112" si="286">+ROUND(I1098*0.002,2)+ROUND(I1098*0.0003,2)+ROUND(I1098*0.0003,2)+ROUND(I1098*0.0003,2)+ROUND(I1098*0.002,2)</f>
        <v>45301.67</v>
      </c>
      <c r="P1098" s="6">
        <f t="shared" si="281"/>
        <v>7461832.46</v>
      </c>
      <c r="Q1098" s="4" t="str">
        <f>LOOKUP($E1098,OBRAS!$D:$D,OBRAS!B:B)</f>
        <v>EDIFICACIONES BOZA S.A. DE C.V.</v>
      </c>
      <c r="R1098" s="4" t="str">
        <f>LOOKUP($E1098,OBRAS!$D:$D,OBRAS!A:A)</f>
        <v>ETCHOJOA</v>
      </c>
      <c r="S1098" s="4" t="str">
        <f>LOOKUP($E1098,OBRAS!$D:$D,OBRAS!F:F)</f>
        <v>11000002003501E204K08063A625012162A212</v>
      </c>
      <c r="T1098" s="4" t="str">
        <f>LOOKUP($E1098,OBRAS!$D:$D,OBRAS!G:G)</f>
        <v>CE-926006995-E18-2016</v>
      </c>
      <c r="U1098" s="4" t="s">
        <v>866</v>
      </c>
      <c r="V1098" s="89">
        <v>42801</v>
      </c>
      <c r="W1098" s="6">
        <f>LOOKUP($E1098,OBRAS!$D:$D,OBRAS!K:K)</f>
        <v>63672479.109999999</v>
      </c>
      <c r="X1098" s="109">
        <f t="shared" si="282"/>
        <v>0.16839999999999999</v>
      </c>
      <c r="Y1098" s="109">
        <f t="shared" si="283"/>
        <v>0.95409999999999995</v>
      </c>
      <c r="Z1098" s="109">
        <f t="shared" si="284"/>
        <v>0.96489999999999998</v>
      </c>
      <c r="AA1098" s="4" t="str">
        <f>LOOKUP($E1098,OBRAS!$D:$D,OBRAS!H:H)</f>
        <v>SH-ED-17-R-004</v>
      </c>
    </row>
    <row r="1099" spans="1:27" ht="45" x14ac:dyDescent="0.25">
      <c r="A1099" s="90">
        <v>42793</v>
      </c>
      <c r="B1099" s="56">
        <v>1097</v>
      </c>
      <c r="C1099" s="142">
        <v>21</v>
      </c>
      <c r="D1099" s="4" t="str">
        <f>LOOKUP($E1099,OBRAS!$D:$D,OBRAS!C:C)</f>
        <v>PAVIMENTACION CON CARPETA ASFALTICA EN LAS CALLES AV. SAN LUIS, ALVARO OBREGON Y ABELARDO L. RODRIGUEZ</v>
      </c>
      <c r="E1099" s="4" t="s">
        <v>1652</v>
      </c>
      <c r="F1099" s="4" t="s">
        <v>217</v>
      </c>
      <c r="G1099" s="4" t="str">
        <f>LOOKUP($E1099,OBRAS!$D:$D,OBRAS!E:E)</f>
        <v>C-00052/0229</v>
      </c>
      <c r="H1099" s="80" t="s">
        <v>221</v>
      </c>
      <c r="I1099" s="6">
        <v>1046808.48</v>
      </c>
      <c r="J1099" s="6"/>
      <c r="K1099" s="6">
        <f t="shared" si="285"/>
        <v>314042.53999999998</v>
      </c>
      <c r="L1099" s="6">
        <f t="shared" si="278"/>
        <v>732765.94</v>
      </c>
      <c r="M1099" s="6">
        <f t="shared" si="279"/>
        <v>117242.55</v>
      </c>
      <c r="N1099" s="6">
        <f t="shared" si="280"/>
        <v>850008.49</v>
      </c>
      <c r="O1099" s="6">
        <f t="shared" si="270"/>
        <v>5234.04</v>
      </c>
      <c r="P1099" s="6">
        <f t="shared" si="281"/>
        <v>844774.45</v>
      </c>
      <c r="Q1099" s="4" t="str">
        <f>LOOKUP($E1099,OBRAS!$D:$D,OBRAS!B:B)</f>
        <v>BARREDA PROYECTO Y CONSTRUCCIONES, S.A. DE C.V.</v>
      </c>
      <c r="R1099" s="4" t="str">
        <f>LOOKUP($E1099,OBRAS!$D:$D,OBRAS!A:A)</f>
        <v>S.L.R.C.</v>
      </c>
      <c r="S1099" s="4" t="str">
        <f>LOOKUP($E1099,OBRAS!$D:$D,OBRAS!F:F)</f>
        <v>11000002002201E202K05186A614202165FN01</v>
      </c>
      <c r="T1099" s="4" t="str">
        <f>LOOKUP($E1099,OBRAS!$D:$D,OBRAS!G:G)</f>
        <v>LO-926006995-E125-2016</v>
      </c>
      <c r="U1099" s="4" t="s">
        <v>865</v>
      </c>
      <c r="V1099" s="89">
        <v>42808</v>
      </c>
      <c r="W1099" s="6">
        <f>LOOKUP($E1099,OBRAS!$D:$D,OBRAS!K:K)</f>
        <v>9494347.9299999997</v>
      </c>
      <c r="X1099" s="109">
        <f t="shared" si="282"/>
        <v>0.12790000000000001</v>
      </c>
      <c r="Y1099" s="109">
        <f t="shared" si="283"/>
        <v>0.30559999999999998</v>
      </c>
      <c r="Z1099" s="109">
        <f t="shared" si="284"/>
        <v>0.51390000000000002</v>
      </c>
      <c r="AA1099" s="4" t="str">
        <f>LOOKUP($E1099,OBRAS!$D:$D,OBRAS!H:H)</f>
        <v>SH-NC-17-R-005</v>
      </c>
    </row>
    <row r="1100" spans="1:27" ht="30" x14ac:dyDescent="0.25">
      <c r="A1100" s="90">
        <v>42793</v>
      </c>
      <c r="B1100" s="56">
        <v>1061</v>
      </c>
      <c r="C1100" s="142">
        <v>22</v>
      </c>
      <c r="D1100" s="4" t="str">
        <f>LOOKUP($E1100,OBRAS!$D:$D,OBRAS!C:C)</f>
        <v>PAVIMENTACION CON CONCRETO HIDRAULICO DE VARIAS CALLES EN LA LOCALIDAD DE ARIVECHI</v>
      </c>
      <c r="E1100" s="4" t="s">
        <v>1457</v>
      </c>
      <c r="F1100" s="4" t="s">
        <v>217</v>
      </c>
      <c r="G1100" s="4" t="str">
        <f>LOOKUP($E1100,OBRAS!$D:$D,OBRAS!E:E)</f>
        <v>C-00052/0218</v>
      </c>
      <c r="H1100" s="80" t="s">
        <v>221</v>
      </c>
      <c r="I1100" s="6">
        <v>296472.34999999998</v>
      </c>
      <c r="J1100" s="6"/>
      <c r="K1100" s="6">
        <f t="shared" si="285"/>
        <v>88941.71</v>
      </c>
      <c r="L1100" s="6">
        <f t="shared" si="278"/>
        <v>207530.64</v>
      </c>
      <c r="M1100" s="6">
        <f t="shared" si="279"/>
        <v>33204.9</v>
      </c>
      <c r="N1100" s="6">
        <f t="shared" si="280"/>
        <v>240735.54</v>
      </c>
      <c r="O1100" s="6">
        <f t="shared" si="270"/>
        <v>1482.36</v>
      </c>
      <c r="P1100" s="6">
        <f t="shared" si="281"/>
        <v>239253.18</v>
      </c>
      <c r="Q1100" s="4" t="str">
        <f>LOOKUP($E1100,OBRAS!$D:$D,OBRAS!B:B)</f>
        <v>EDIVIA DESARROLLOS, S.A. DE C.V.</v>
      </c>
      <c r="R1100" s="4" t="str">
        <f>LOOKUP($E1100,OBRAS!$D:$D,OBRAS!A:A)</f>
        <v>ARIVECHI</v>
      </c>
      <c r="S1100" s="4" t="str">
        <f>LOOKUP($E1100,OBRAS!$D:$D,OBRAS!F:F)</f>
        <v>11000002002201E202K05186A614202165FN09</v>
      </c>
      <c r="T1100" s="4" t="str">
        <f>LOOKUP($E1100,OBRAS!$D:$D,OBRAS!G:G)</f>
        <v>IO-926006995-E127-2016</v>
      </c>
      <c r="U1100" s="4" t="s">
        <v>863</v>
      </c>
      <c r="V1100" s="89">
        <v>42810</v>
      </c>
      <c r="W1100" s="6">
        <f>LOOKUP($E1100,OBRAS!$D:$D,OBRAS!K:K)</f>
        <v>1621630.07</v>
      </c>
      <c r="X1100" s="109">
        <f t="shared" si="282"/>
        <v>0.21210000000000001</v>
      </c>
      <c r="Y1100" s="109">
        <f t="shared" si="283"/>
        <v>0.50280000000000002</v>
      </c>
      <c r="Z1100" s="109">
        <f t="shared" si="284"/>
        <v>0.65190000000000003</v>
      </c>
      <c r="AA1100" s="4" t="str">
        <f>LOOKUP($E1100,OBRAS!$D:$D,OBRAS!H:H)</f>
        <v>SH-NC-17-R-005</v>
      </c>
    </row>
    <row r="1101" spans="1:27" ht="45" x14ac:dyDescent="0.25">
      <c r="A1101" s="90">
        <v>42793</v>
      </c>
      <c r="B1101" s="56">
        <v>1062</v>
      </c>
      <c r="C1101" s="143">
        <v>23</v>
      </c>
      <c r="D1101" s="4" t="str">
        <f>LOOKUP($E1101,OBRAS!$D:$D,OBRAS!C:C)</f>
        <v>PAVIMENTACION CON CONCRETO HIDRAULICO DE VARIAS CALLES Y AVENIDAS DE VARIAS COLONIAS EN NACOZARI DE GARCIA</v>
      </c>
      <c r="E1101" s="4" t="s">
        <v>1608</v>
      </c>
      <c r="F1101" s="4" t="s">
        <v>248</v>
      </c>
      <c r="G1101" s="4" t="str">
        <f>LOOKUP($E1101,OBRAS!$D:$D,OBRAS!E:E)</f>
        <v>C-00052/0235</v>
      </c>
      <c r="H1101" s="80" t="s">
        <v>221</v>
      </c>
      <c r="I1101" s="6">
        <v>291229.56</v>
      </c>
      <c r="J1101" s="6"/>
      <c r="K1101" s="6">
        <f t="shared" si="285"/>
        <v>87368.87</v>
      </c>
      <c r="L1101" s="6">
        <f t="shared" si="278"/>
        <v>203860.69</v>
      </c>
      <c r="M1101" s="6">
        <f t="shared" si="279"/>
        <v>32617.71</v>
      </c>
      <c r="N1101" s="6">
        <f t="shared" si="280"/>
        <v>236478.4</v>
      </c>
      <c r="O1101" s="6">
        <f t="shared" si="270"/>
        <v>1456.15</v>
      </c>
      <c r="P1101" s="6">
        <f t="shared" si="281"/>
        <v>235022.25</v>
      </c>
      <c r="Q1101" s="4" t="str">
        <f>LOOKUP($E1101,OBRAS!$D:$D,OBRAS!B:B)</f>
        <v>SIGNS MANUFACTURAS Y CONSTRUCCIONES, S.A. DE C.V.</v>
      </c>
      <c r="R1101" s="4" t="str">
        <f>LOOKUP($E1101,OBRAS!$D:$D,OBRAS!A:A)</f>
        <v>NACOZARI DE GARCIA</v>
      </c>
      <c r="S1101" s="4" t="str">
        <f>LOOKUP($E1101,OBRAS!$D:$D,OBRAS!F:F)</f>
        <v>11000002002201E202K05186A614202165FM04</v>
      </c>
      <c r="T1101" s="4" t="str">
        <f>LOOKUP($E1101,OBRAS!$D:$D,OBRAS!G:G)</f>
        <v>IO-926006995-E134-2016</v>
      </c>
      <c r="U1101" s="4" t="s">
        <v>864</v>
      </c>
      <c r="V1101" s="89">
        <v>42816</v>
      </c>
      <c r="W1101" s="6">
        <f>LOOKUP($E1101,OBRAS!$D:$D,OBRAS!K:K)</f>
        <v>8449393.5399999991</v>
      </c>
      <c r="X1101" s="109">
        <f t="shared" si="282"/>
        <v>0.04</v>
      </c>
      <c r="Y1101" s="109">
        <f t="shared" si="283"/>
        <v>0.4264</v>
      </c>
      <c r="Z1101" s="109">
        <f t="shared" si="284"/>
        <v>0.59850000000000003</v>
      </c>
      <c r="AA1101" s="4" t="str">
        <f>LOOKUP($E1101,OBRAS!$D:$D,OBRAS!H:H)</f>
        <v>SH-NC-17-R-008</v>
      </c>
    </row>
    <row r="1102" spans="1:27" ht="45" x14ac:dyDescent="0.25">
      <c r="A1102" s="90">
        <v>42793</v>
      </c>
      <c r="B1102" s="56">
        <v>1063</v>
      </c>
      <c r="C1102" s="143">
        <v>24</v>
      </c>
      <c r="D1102" s="4" t="str">
        <f>LOOKUP($E1102,OBRAS!$D:$D,OBRAS!C:C)</f>
        <v>PAVIMENTACION CON CONCRETO HIDRAULICO DE VARIAS CALLES Y AVENIDAS DE VARIAS COLONIAS EN NACOZARI DE GARCIA</v>
      </c>
      <c r="E1102" s="4" t="s">
        <v>1608</v>
      </c>
      <c r="F1102" s="4" t="s">
        <v>248</v>
      </c>
      <c r="G1102" s="4" t="str">
        <f>LOOKUP($E1102,OBRAS!$D:$D,OBRAS!E:E)</f>
        <v>C-00052/0235</v>
      </c>
      <c r="H1102" s="80" t="s">
        <v>55</v>
      </c>
      <c r="I1102" s="6">
        <v>1348224.13</v>
      </c>
      <c r="J1102" s="6"/>
      <c r="K1102" s="6">
        <f t="shared" si="285"/>
        <v>404467.24</v>
      </c>
      <c r="L1102" s="6">
        <f t="shared" si="278"/>
        <v>943756.89</v>
      </c>
      <c r="M1102" s="6">
        <f t="shared" si="279"/>
        <v>151001.1</v>
      </c>
      <c r="N1102" s="6">
        <f t="shared" si="280"/>
        <v>1094757.99</v>
      </c>
      <c r="O1102" s="6">
        <f t="shared" si="270"/>
        <v>6741.12</v>
      </c>
      <c r="P1102" s="6">
        <f t="shared" si="281"/>
        <v>1088016.8700000001</v>
      </c>
      <c r="Q1102" s="4" t="str">
        <f>LOOKUP($E1102,OBRAS!$D:$D,OBRAS!B:B)</f>
        <v>SIGNS MANUFACTURAS Y CONSTRUCCIONES, S.A. DE C.V.</v>
      </c>
      <c r="R1102" s="4" t="str">
        <f>LOOKUP($E1102,OBRAS!$D:$D,OBRAS!A:A)</f>
        <v>NACOZARI DE GARCIA</v>
      </c>
      <c r="S1102" s="4" t="str">
        <f>LOOKUP($E1102,OBRAS!$D:$D,OBRAS!F:F)</f>
        <v>11000002002201E202K05186A614202165FM04</v>
      </c>
      <c r="T1102" s="4" t="str">
        <f>LOOKUP($E1102,OBRAS!$D:$D,OBRAS!G:G)</f>
        <v>IO-926006995-E134-2016</v>
      </c>
      <c r="U1102" s="4" t="s">
        <v>863</v>
      </c>
      <c r="V1102" s="89">
        <v>42810</v>
      </c>
      <c r="W1102" s="6">
        <f>LOOKUP($E1102,OBRAS!$D:$D,OBRAS!K:K)</f>
        <v>8449393.5399999991</v>
      </c>
      <c r="X1102" s="109">
        <f t="shared" si="282"/>
        <v>0.18509999999999999</v>
      </c>
      <c r="Y1102" s="109">
        <f t="shared" si="283"/>
        <v>0.4264</v>
      </c>
      <c r="Z1102" s="109">
        <f t="shared" si="284"/>
        <v>0.59850000000000003</v>
      </c>
      <c r="AA1102" s="4" t="str">
        <f>LOOKUP($E1102,OBRAS!$D:$D,OBRAS!H:H)</f>
        <v>SH-NC-17-R-008</v>
      </c>
    </row>
    <row r="1103" spans="1:27" ht="75" x14ac:dyDescent="0.25">
      <c r="C1103" s="142">
        <v>25</v>
      </c>
      <c r="D1103" s="4" t="str">
        <f>LOOKUP($E1103,OBRAS!$D:$D,OBRAS!C:C)</f>
        <v>TRABAJOS DE REHABILITACION Y REMODELACION DE EDIFICIO DE CENTRO DE ATENCION A MENORES "UNACARI", UBICADO EN PERIFERICO ORIENTE NO. 15, COLONIA LOS NARANJOS, EN HERMOSILLO, MUNICIPIO DE HERMOSILLO</v>
      </c>
      <c r="E1103" s="4" t="s">
        <v>2389</v>
      </c>
      <c r="F1103" s="4" t="s">
        <v>217</v>
      </c>
      <c r="G1103" s="4" t="str">
        <f>LOOKUP($E1103,OBRAS!$D:$D,OBRAS!E:E)</f>
        <v>C-00061/0023</v>
      </c>
      <c r="H1103" s="80" t="s">
        <v>23</v>
      </c>
      <c r="I1103" s="6">
        <v>1250318.82</v>
      </c>
      <c r="J1103" s="6"/>
      <c r="K1103" s="6">
        <v>0</v>
      </c>
      <c r="L1103" s="6">
        <f t="shared" si="278"/>
        <v>1250318.82</v>
      </c>
      <c r="M1103" s="6">
        <f t="shared" si="279"/>
        <v>200051.01</v>
      </c>
      <c r="N1103" s="6">
        <f t="shared" si="280"/>
        <v>1450369.83</v>
      </c>
      <c r="O1103" s="6">
        <v>0</v>
      </c>
      <c r="P1103" s="6">
        <f t="shared" si="281"/>
        <v>1450369.83</v>
      </c>
      <c r="Q1103" s="4" t="str">
        <f>LOOKUP($E1103,OBRAS!$D:$D,OBRAS!B:B)</f>
        <v>VISOR ELECTRICIDAD S.A. DE C.V.</v>
      </c>
      <c r="R1103" s="4" t="str">
        <f>LOOKUP($E1103,OBRAS!$D:$D,OBRAS!A:A)</f>
        <v>HERMOSILLO</v>
      </c>
      <c r="S1103" s="4" t="str">
        <f>LOOKUP($E1103,OBRAS!$D:$D,OBRAS!F:F)</f>
        <v>11000002002202E401K04039A612032161A007</v>
      </c>
      <c r="T1103" s="4" t="str">
        <f>LOOKUP($E1103,OBRAS!$D:$D,OBRAS!G:G)</f>
        <v>CE-926006995-E183-2016</v>
      </c>
      <c r="U1103" s="4" t="s">
        <v>864</v>
      </c>
      <c r="V1103" s="89">
        <v>42810</v>
      </c>
      <c r="W1103" s="6">
        <f>LOOKUP($E1103,OBRAS!$D:$D,OBRAS!K:K)</f>
        <v>4834566.0999999996</v>
      </c>
      <c r="X1103" s="109" t="str">
        <f t="shared" si="282"/>
        <v/>
      </c>
      <c r="Y1103" s="109">
        <f t="shared" si="283"/>
        <v>0</v>
      </c>
      <c r="Z1103" s="109">
        <f t="shared" si="284"/>
        <v>0.3</v>
      </c>
      <c r="AA1103" s="4" t="str">
        <f>LOOKUP($E1103,OBRAS!$D:$D,OBRAS!H:H)</f>
        <v>SH-ED-17-R-003</v>
      </c>
    </row>
    <row r="1104" spans="1:27" ht="45" x14ac:dyDescent="0.25">
      <c r="A1104" s="90">
        <v>42817</v>
      </c>
      <c r="B1104" s="56">
        <v>1823</v>
      </c>
      <c r="C1104" s="142">
        <v>26</v>
      </c>
      <c r="D1104" s="4" t="str">
        <f>LOOKUP($E1104,OBRAS!$D:$D,OBRAS!C:C)</f>
        <v>REHABILITACION DE PAVIMENTOS EN 13 CALLES DE CD. OBREGON ORIENTE</v>
      </c>
      <c r="E1104" s="4" t="s">
        <v>1480</v>
      </c>
      <c r="F1104" s="4" t="s">
        <v>217</v>
      </c>
      <c r="G1104" s="4" t="str">
        <f>LOOKUP($E1104,OBRAS!$D:$D,OBRAS!E:E)</f>
        <v>C-00052/0221</v>
      </c>
      <c r="H1104" s="80" t="s">
        <v>55</v>
      </c>
      <c r="I1104" s="6">
        <v>1672079.69</v>
      </c>
      <c r="J1104" s="6"/>
      <c r="K1104" s="6">
        <f t="shared" si="285"/>
        <v>501623.91</v>
      </c>
      <c r="L1104" s="6">
        <f t="shared" si="278"/>
        <v>1170455.78</v>
      </c>
      <c r="M1104" s="6">
        <f t="shared" si="279"/>
        <v>187272.92</v>
      </c>
      <c r="N1104" s="6">
        <f t="shared" si="280"/>
        <v>1357728.7</v>
      </c>
      <c r="O1104" s="6">
        <f t="shared" ref="O1104:O1106" si="287">+ROUND(I1104*0.005,2)</f>
        <v>8360.4</v>
      </c>
      <c r="P1104" s="6">
        <f t="shared" si="281"/>
        <v>1349368.3</v>
      </c>
      <c r="Q1104" s="4" t="str">
        <f>LOOKUP($E1104,OBRAS!$D:$D,OBRAS!B:B)</f>
        <v>INMOBILIARIA Y CONSTRUCTORA HARBOR, S.A. DE C.V.</v>
      </c>
      <c r="R1104" s="4" t="str">
        <f>LOOKUP($E1104,OBRAS!$D:$D,OBRAS!A:A)</f>
        <v>CAJEME</v>
      </c>
      <c r="S1104" s="4" t="str">
        <f>LOOKUP($E1104,OBRAS!$D:$D,OBRAS!F:F)</f>
        <v>11000002002201E202K05186A614202165FN11</v>
      </c>
      <c r="T1104" s="4" t="str">
        <f>LOOKUP($E1104,OBRAS!$D:$D,OBRAS!G:G)</f>
        <v>LO-926006995-E110-2016</v>
      </c>
      <c r="U1104" s="4" t="s">
        <v>774</v>
      </c>
      <c r="V1104" s="89">
        <v>42817</v>
      </c>
      <c r="W1104" s="6">
        <f>LOOKUP($E1104,OBRAS!$D:$D,OBRAS!K:K)</f>
        <v>18299948.469999999</v>
      </c>
      <c r="X1104" s="109">
        <f t="shared" si="282"/>
        <v>0.106</v>
      </c>
      <c r="Y1104" s="109">
        <f t="shared" si="283"/>
        <v>0.43049999999999999</v>
      </c>
      <c r="Z1104" s="109">
        <f t="shared" si="284"/>
        <v>0.60129999999999995</v>
      </c>
      <c r="AA1104" s="4" t="str">
        <f>LOOKUP($E1104,OBRAS!$D:$D,OBRAS!H:H)</f>
        <v>SH-NC-17-R-005</v>
      </c>
    </row>
    <row r="1105" spans="1:27" ht="60" x14ac:dyDescent="0.25">
      <c r="A1105" s="90">
        <v>42795</v>
      </c>
      <c r="B1105" s="56">
        <v>1205</v>
      </c>
      <c r="C1105" s="142">
        <v>27</v>
      </c>
      <c r="D1105" s="4" t="str">
        <f>LOOKUP($E1105,OBRAS!$D:$D,OBRAS!C:C)</f>
        <v>PAVIMENTACION CON CONCRETO HIDRAULICO DE 15 CMS DE ESPESOR EN LA CALLE LOMAS DE FATIMA EN LA LOCALIDAD Y MUNICIPIO DE TUBUTAMA, SONORA</v>
      </c>
      <c r="E1105" s="4" t="s">
        <v>1240</v>
      </c>
      <c r="F1105" s="4" t="s">
        <v>217</v>
      </c>
      <c r="G1105" s="4" t="str">
        <f>LOOKUP($E1105,OBRAS!$D:$D,OBRAS!E:E)</f>
        <v>C-00052/0215</v>
      </c>
      <c r="H1105" s="80" t="s">
        <v>221</v>
      </c>
      <c r="I1105" s="6">
        <v>575543.34</v>
      </c>
      <c r="J1105" s="6"/>
      <c r="K1105" s="6">
        <v>245493.18</v>
      </c>
      <c r="L1105" s="6">
        <f t="shared" si="278"/>
        <v>330050.15999999997</v>
      </c>
      <c r="M1105" s="6">
        <f t="shared" si="279"/>
        <v>52808.03</v>
      </c>
      <c r="N1105" s="6">
        <f t="shared" si="280"/>
        <v>382858.19</v>
      </c>
      <c r="O1105" s="6">
        <f t="shared" si="287"/>
        <v>2877.72</v>
      </c>
      <c r="P1105" s="6">
        <f t="shared" si="281"/>
        <v>379980.47</v>
      </c>
      <c r="Q1105" s="4" t="str">
        <f>LOOKUP($E1105,OBRAS!$D:$D,OBRAS!B:B)</f>
        <v>LUIS ALFONSO CORDOVA CONTRERAS</v>
      </c>
      <c r="R1105" s="4" t="str">
        <f>LOOKUP($E1105,OBRAS!$D:$D,OBRAS!A:A)</f>
        <v>TUBUTAMA</v>
      </c>
      <c r="S1105" s="4" t="str">
        <f>LOOKUP($E1105,OBRAS!$D:$D,OBRAS!F:F)</f>
        <v>11000002002201E202K05186A614202165FN02</v>
      </c>
      <c r="T1105" s="4" t="str">
        <f>LOOKUP($E1105,OBRAS!$D:$D,OBRAS!G:G)</f>
        <v>IO-926006995-E141-2016</v>
      </c>
      <c r="U1105" s="4" t="s">
        <v>863</v>
      </c>
      <c r="V1105" s="89">
        <v>42810</v>
      </c>
      <c r="W1105" s="6">
        <f>LOOKUP($E1105,OBRAS!$D:$D,OBRAS!K:K)</f>
        <v>1997998.34</v>
      </c>
      <c r="X1105" s="109">
        <f t="shared" si="282"/>
        <v>0.33410000000000001</v>
      </c>
      <c r="Y1105" s="109">
        <f t="shared" si="283"/>
        <v>0.8508</v>
      </c>
      <c r="Z1105" s="109">
        <f t="shared" si="284"/>
        <v>0.85329999999999995</v>
      </c>
      <c r="AA1105" s="4" t="str">
        <f>LOOKUP($E1105,OBRAS!$D:$D,OBRAS!H:H)</f>
        <v>SH-NC-17-R-005</v>
      </c>
    </row>
    <row r="1106" spans="1:27" ht="45" x14ac:dyDescent="0.25">
      <c r="A1106" s="90">
        <v>42795</v>
      </c>
      <c r="B1106" s="56">
        <v>1206</v>
      </c>
      <c r="C1106" s="142">
        <v>28</v>
      </c>
      <c r="D1106" s="4" t="str">
        <f>LOOKUP($E1106,OBRAS!$D:$D,OBRAS!C:C)</f>
        <v>PAVIMENTACION CON CONCRETO HIDRAULICO DE 15 CMS DE ESPESOR EN CALLE INDEPENDENCIA EN LA LOCALIDAD Y MUNICIPIO DE SARIC, SONORA</v>
      </c>
      <c r="E1106" s="4" t="s">
        <v>1222</v>
      </c>
      <c r="F1106" s="4" t="s">
        <v>225</v>
      </c>
      <c r="G1106" s="4" t="str">
        <f>LOOKUP($E1106,OBRAS!$D:$D,OBRAS!E:E)</f>
        <v>C-00052/0237</v>
      </c>
      <c r="H1106" s="80" t="s">
        <v>103</v>
      </c>
      <c r="I1106" s="6">
        <v>247632.84</v>
      </c>
      <c r="J1106" s="6"/>
      <c r="K1106" s="6">
        <f t="shared" si="285"/>
        <v>74289.850000000006</v>
      </c>
      <c r="L1106" s="6">
        <f t="shared" si="278"/>
        <v>173342.99</v>
      </c>
      <c r="M1106" s="6">
        <f t="shared" si="279"/>
        <v>27734.880000000001</v>
      </c>
      <c r="N1106" s="6">
        <f t="shared" si="280"/>
        <v>201077.87</v>
      </c>
      <c r="O1106" s="6">
        <f t="shared" si="287"/>
        <v>1238.1600000000001</v>
      </c>
      <c r="P1106" s="6">
        <f t="shared" si="281"/>
        <v>199839.71</v>
      </c>
      <c r="Q1106" s="4" t="str">
        <f>LOOKUP($E1106,OBRAS!$D:$D,OBRAS!B:B)</f>
        <v>DESARROLLOS CORCON, S. DE R. L. DE C. V.</v>
      </c>
      <c r="R1106" s="4" t="str">
        <f>LOOKUP($E1106,OBRAS!$D:$D,OBRAS!A:A)</f>
        <v>SARIC</v>
      </c>
      <c r="S1106" s="4" t="str">
        <f>LOOKUP($E1106,OBRAS!$D:$D,OBRAS!F:F)</f>
        <v>11000002002201E202K05186A614202165FM02</v>
      </c>
      <c r="T1106" s="4" t="str">
        <f>LOOKUP($E1106,OBRAS!$D:$D,OBRAS!G:G)</f>
        <v>IO-926006995-E119-2016</v>
      </c>
      <c r="U1106" s="4" t="s">
        <v>863</v>
      </c>
      <c r="V1106" s="89">
        <v>42810</v>
      </c>
      <c r="W1106" s="6">
        <f>LOOKUP($E1106,OBRAS!$D:$D,OBRAS!K:K)</f>
        <v>2299957.2999999998</v>
      </c>
      <c r="X1106" s="109">
        <f t="shared" si="282"/>
        <v>0.1249</v>
      </c>
      <c r="Y1106" s="109">
        <f t="shared" si="283"/>
        <v>0.1249</v>
      </c>
      <c r="Z1106" s="109">
        <f t="shared" si="284"/>
        <v>0.38740000000000002</v>
      </c>
      <c r="AA1106" s="4" t="str">
        <f>LOOKUP($E1106,OBRAS!$D:$D,OBRAS!H:H)</f>
        <v>SH-NC-17-R-008</v>
      </c>
    </row>
    <row r="1107" spans="1:27" ht="60" x14ac:dyDescent="0.25">
      <c r="A1107" s="90">
        <v>42795</v>
      </c>
      <c r="B1107" s="56">
        <v>1207</v>
      </c>
      <c r="C1107" s="142">
        <v>29</v>
      </c>
      <c r="D1107" s="4" t="str">
        <f>LOOKUP($E1107,OBRAS!$D:$D,OBRAS!C:C)</f>
        <v>RECONSTRUCCION DE E.C. (CALLE 36 SUR) GRANJAS ACUICOLAS DEL KM 0+000 AL KM 12+660, EN VARIAS LOCALIDADES DEL MUNICIPIO DE HERMOSILLO.</v>
      </c>
      <c r="E1107" s="4" t="s">
        <v>375</v>
      </c>
      <c r="F1107" s="4" t="s">
        <v>400</v>
      </c>
      <c r="G1107" s="4" t="str">
        <f>LOOKUP($E1107,OBRAS!$D:$D,OBRAS!E:E)</f>
        <v>C-00054/0071</v>
      </c>
      <c r="H1107" s="80" t="s">
        <v>220</v>
      </c>
      <c r="I1107" s="6">
        <v>934674.21</v>
      </c>
      <c r="J1107" s="6"/>
      <c r="K1107" s="6">
        <f t="shared" si="285"/>
        <v>280402.26</v>
      </c>
      <c r="L1107" s="6">
        <f t="shared" si="278"/>
        <v>654271.94999999995</v>
      </c>
      <c r="M1107" s="6">
        <f t="shared" si="279"/>
        <v>104683.51</v>
      </c>
      <c r="N1107" s="6">
        <f t="shared" si="280"/>
        <v>758955.46</v>
      </c>
      <c r="O1107" s="6">
        <f t="shared" si="286"/>
        <v>4579.8999999999996</v>
      </c>
      <c r="P1107" s="6">
        <f t="shared" si="281"/>
        <v>754375.56</v>
      </c>
      <c r="Q1107" s="4" t="str">
        <f>LOOKUP($E1107,OBRAS!$D:$D,OBRAS!B:B)</f>
        <v>RENTA, MOVIMIENTO DE CONSTRUCCION EQUIPEN, S.A. DE C.V.</v>
      </c>
      <c r="R1107" s="4" t="str">
        <f>LOOKUP($E1107,OBRAS!$D:$D,OBRAS!A:A)</f>
        <v>HERMOSILLO</v>
      </c>
      <c r="S1107" s="4" t="str">
        <f>LOOKUP($E1107,OBRAS!$D:$D,OBRAS!F:F)</f>
        <v>11000002003501E204K08063A625012162A207</v>
      </c>
      <c r="T1107" s="4" t="str">
        <f>LOOKUP($E1107,OBRAS!$D:$D,OBRAS!G:G)</f>
        <v>CE-926006995-E44-2016</v>
      </c>
      <c r="U1107" s="4" t="s">
        <v>864</v>
      </c>
      <c r="V1107" s="89">
        <v>42816</v>
      </c>
      <c r="W1107" s="6">
        <f>LOOKUP($E1107,OBRAS!$D:$D,OBRAS!K:K)</f>
        <v>22599852.190000001</v>
      </c>
      <c r="X1107" s="109">
        <f t="shared" si="282"/>
        <v>4.8000000000000001E-2</v>
      </c>
      <c r="Y1107" s="109">
        <f t="shared" si="283"/>
        <v>0.66990000000000005</v>
      </c>
      <c r="Z1107" s="109">
        <f t="shared" si="284"/>
        <v>0.76890000000000003</v>
      </c>
      <c r="AA1107" s="4" t="str">
        <f>LOOKUP($E1107,OBRAS!$D:$D,OBRAS!H:H)</f>
        <v>SH-ED-17-R-004</v>
      </c>
    </row>
    <row r="1108" spans="1:27" ht="60" x14ac:dyDescent="0.25">
      <c r="A1108" s="90">
        <v>42795</v>
      </c>
      <c r="B1108" s="56">
        <v>1208</v>
      </c>
      <c r="C1108" s="142">
        <v>30</v>
      </c>
      <c r="D1108" s="4" t="str">
        <f>LOOKUP($E1108,OBRAS!$D:$D,OBRAS!C:C)</f>
        <v>CONSTRUCCION DE LA CARRETERA E.C. 4 SUR (ALFREDO V. BONFIL) TRAMO DEL KM 1+700 AL KM 5+600 EN VARIAS LOCALIDADES DEL MUNICIPIO DE HERMOSILLO</v>
      </c>
      <c r="E1108" s="4" t="s">
        <v>364</v>
      </c>
      <c r="F1108" s="4" t="s">
        <v>400</v>
      </c>
      <c r="G1108" s="4" t="str">
        <f>LOOKUP($E1108,OBRAS!$D:$D,OBRAS!E:E)</f>
        <v>C-00054/0066</v>
      </c>
      <c r="H1108" s="80" t="s">
        <v>214</v>
      </c>
      <c r="I1108" s="6">
        <v>4290361.46</v>
      </c>
      <c r="J1108" s="6"/>
      <c r="K1108" s="6">
        <f t="shared" si="285"/>
        <v>1287108.44</v>
      </c>
      <c r="L1108" s="6">
        <f t="shared" si="278"/>
        <v>3003253.02</v>
      </c>
      <c r="M1108" s="6">
        <f t="shared" si="279"/>
        <v>480520.48</v>
      </c>
      <c r="N1108" s="6">
        <f t="shared" si="280"/>
        <v>3483773.5</v>
      </c>
      <c r="O1108" s="6">
        <f t="shared" si="286"/>
        <v>21022.77</v>
      </c>
      <c r="P1108" s="6">
        <f t="shared" si="281"/>
        <v>3462750.73</v>
      </c>
      <c r="Q1108" s="4" t="str">
        <f>LOOKUP($E1108,OBRAS!$D:$D,OBRAS!B:B)</f>
        <v>EDIFICACIONES Y PROYECTOS MOCELIK, S.A. DE C.V.</v>
      </c>
      <c r="R1108" s="4" t="str">
        <f>LOOKUP($E1108,OBRAS!$D:$D,OBRAS!A:A)</f>
        <v>HERMOSILLO</v>
      </c>
      <c r="S1108" s="4" t="str">
        <f>LOOKUP($E1108,OBRAS!$D:$D,OBRAS!F:F)</f>
        <v>11000002003501E204K08063A625012162A213</v>
      </c>
      <c r="T1108" s="4" t="str">
        <f>LOOKUP($E1108,OBRAS!$D:$D,OBRAS!G:G)</f>
        <v>CE-926006995-E34-2016</v>
      </c>
      <c r="U1108" s="4" t="s">
        <v>865</v>
      </c>
      <c r="V1108" s="89">
        <v>42810</v>
      </c>
      <c r="W1108" s="6">
        <f>LOOKUP($E1108,OBRAS!$D:$D,OBRAS!K:K)</f>
        <v>23895598.399999999</v>
      </c>
      <c r="X1108" s="109">
        <f t="shared" si="282"/>
        <v>0.20830000000000001</v>
      </c>
      <c r="Y1108" s="109">
        <f t="shared" si="283"/>
        <v>0.98550000000000004</v>
      </c>
      <c r="Z1108" s="109">
        <f t="shared" si="284"/>
        <v>0.98980000000000001</v>
      </c>
      <c r="AA1108" s="4" t="str">
        <f>LOOKUP($E1108,OBRAS!$D:$D,OBRAS!H:H)</f>
        <v>SH-ED-17-R-013</v>
      </c>
    </row>
    <row r="1109" spans="1:27" ht="60" x14ac:dyDescent="0.25">
      <c r="A1109" s="90">
        <v>42795</v>
      </c>
      <c r="B1109" s="56">
        <v>1209</v>
      </c>
      <c r="C1109" s="142">
        <v>31</v>
      </c>
      <c r="D1109" s="4" t="str">
        <f>LOOKUP($E1109,OBRAS!$D:$D,OBRAS!C:C)</f>
        <v>CONSTRUCCION DE LA CARRETERA E.C. 4 SUR (ALFREDO V. BONFIL) TRAMO DEL KM 1+700 AL KM 5+600 EN VARIAS LOCALIDADES DEL MUNICIPIO DE HERMOSILLO</v>
      </c>
      <c r="E1109" s="4" t="s">
        <v>364</v>
      </c>
      <c r="F1109" s="4" t="s">
        <v>400</v>
      </c>
      <c r="G1109" s="4" t="str">
        <f>LOOKUP($E1109,OBRAS!$D:$D,OBRAS!E:E)</f>
        <v>C-00054/0066</v>
      </c>
      <c r="H1109" s="80" t="s">
        <v>218</v>
      </c>
      <c r="I1109" s="6">
        <v>2643683.27</v>
      </c>
      <c r="J1109" s="6"/>
      <c r="K1109" s="6">
        <f t="shared" si="285"/>
        <v>793104.98</v>
      </c>
      <c r="L1109" s="6">
        <f t="shared" si="278"/>
        <v>1850578.29</v>
      </c>
      <c r="M1109" s="6">
        <f t="shared" si="279"/>
        <v>296092.53000000003</v>
      </c>
      <c r="N1109" s="6">
        <f t="shared" si="280"/>
        <v>2146670.8199999998</v>
      </c>
      <c r="O1109" s="6">
        <f t="shared" si="286"/>
        <v>12954.04</v>
      </c>
      <c r="P1109" s="6">
        <f t="shared" si="281"/>
        <v>2133716.7799999998</v>
      </c>
      <c r="Q1109" s="4" t="str">
        <f>LOOKUP($E1109,OBRAS!$D:$D,OBRAS!B:B)</f>
        <v>EDIFICACIONES Y PROYECTOS MOCELIK, S.A. DE C.V.</v>
      </c>
      <c r="R1109" s="4" t="str">
        <f>LOOKUP($E1109,OBRAS!$D:$D,OBRAS!A:A)</f>
        <v>HERMOSILLO</v>
      </c>
      <c r="S1109" s="4" t="str">
        <f>LOOKUP($E1109,OBRAS!$D:$D,OBRAS!F:F)</f>
        <v>11000002003501E204K08063A625012162A213</v>
      </c>
      <c r="T1109" s="4" t="str">
        <f>LOOKUP($E1109,OBRAS!$D:$D,OBRAS!G:G)</f>
        <v>CE-926006995-E34-2016</v>
      </c>
      <c r="U1109" s="4" t="s">
        <v>865</v>
      </c>
      <c r="V1109" s="89">
        <v>42816</v>
      </c>
      <c r="W1109" s="6">
        <f>LOOKUP($E1109,OBRAS!$D:$D,OBRAS!K:K)</f>
        <v>23895598.399999999</v>
      </c>
      <c r="X1109" s="109">
        <f t="shared" si="282"/>
        <v>0.1283</v>
      </c>
      <c r="Y1109" s="109">
        <f t="shared" si="283"/>
        <v>0.98550000000000004</v>
      </c>
      <c r="Z1109" s="109">
        <f t="shared" si="284"/>
        <v>0.98980000000000001</v>
      </c>
      <c r="AA1109" s="4" t="str">
        <f>LOOKUP($E1109,OBRAS!$D:$D,OBRAS!H:H)</f>
        <v>SH-ED-17-R-013</v>
      </c>
    </row>
    <row r="1110" spans="1:27" ht="45" x14ac:dyDescent="0.25">
      <c r="A1110" s="90">
        <v>42795</v>
      </c>
      <c r="B1110" s="56">
        <v>1210</v>
      </c>
      <c r="C1110" s="142">
        <v>32</v>
      </c>
      <c r="D1110" s="4" t="str">
        <f>LOOKUP($E1110,OBRAS!$D:$D,OBRAS!C:C)</f>
        <v>RECARPETEO CON MICROCARPETA ASFALTICA EN 12 CALLES Y AVENIDAS Y LOCALIDADES DE MOCTEZUMA</v>
      </c>
      <c r="E1110" s="4" t="s">
        <v>1663</v>
      </c>
      <c r="F1110" s="4" t="s">
        <v>217</v>
      </c>
      <c r="G1110" s="4" t="str">
        <f>LOOKUP($E1110,OBRAS!$D:$D,OBRAS!E:E)</f>
        <v>C-00052/0225</v>
      </c>
      <c r="H1110" s="80" t="s">
        <v>103</v>
      </c>
      <c r="I1110" s="6">
        <v>176276.43</v>
      </c>
      <c r="J1110" s="6"/>
      <c r="K1110" s="6">
        <f t="shared" si="285"/>
        <v>52882.93</v>
      </c>
      <c r="L1110" s="6">
        <f t="shared" si="278"/>
        <v>123393.5</v>
      </c>
      <c r="M1110" s="6">
        <f t="shared" si="279"/>
        <v>19742.96</v>
      </c>
      <c r="N1110" s="6">
        <f t="shared" si="280"/>
        <v>143136.46</v>
      </c>
      <c r="O1110" s="6">
        <f>+ROUND(I1110*0.005,2)</f>
        <v>881.38</v>
      </c>
      <c r="P1110" s="6">
        <f t="shared" si="281"/>
        <v>142255.07999999999</v>
      </c>
      <c r="Q1110" s="4" t="str">
        <f>LOOKUP($E1110,OBRAS!$D:$D,OBRAS!B:B)</f>
        <v>JUAN DIEGO AVILES MARTINEZ</v>
      </c>
      <c r="R1110" s="4" t="str">
        <f>LOOKUP($E1110,OBRAS!$D:$D,OBRAS!A:A)</f>
        <v>MOCTEZUMA</v>
      </c>
      <c r="S1110" s="4" t="str">
        <f>LOOKUP($E1110,OBRAS!$D:$D,OBRAS!F:F)</f>
        <v>11000002002201E202K05186A614202165FN06</v>
      </c>
      <c r="T1110" s="4" t="str">
        <f>LOOKUP($E1110,OBRAS!$D:$D,OBRAS!G:G)</f>
        <v>IO-926006995-E137-2016</v>
      </c>
      <c r="U1110" s="4" t="s">
        <v>864</v>
      </c>
      <c r="V1110" s="89">
        <v>42811</v>
      </c>
      <c r="W1110" s="6">
        <f>LOOKUP($E1110,OBRAS!$D:$D,OBRAS!K:K)</f>
        <v>2855324.57</v>
      </c>
      <c r="X1110" s="109">
        <f t="shared" si="282"/>
        <v>7.1599999999999997E-2</v>
      </c>
      <c r="Y1110" s="109">
        <f t="shared" si="283"/>
        <v>1</v>
      </c>
      <c r="Z1110" s="109">
        <f t="shared" si="284"/>
        <v>1</v>
      </c>
      <c r="AA1110" s="4" t="str">
        <f>LOOKUP($E1110,OBRAS!$D:$D,OBRAS!H:H)</f>
        <v>SH-NC-17-R-005</v>
      </c>
    </row>
    <row r="1111" spans="1:27" ht="45" x14ac:dyDescent="0.25">
      <c r="A1111" s="90">
        <v>42795</v>
      </c>
      <c r="B1111" s="56">
        <v>1211</v>
      </c>
      <c r="C1111" s="142">
        <v>33</v>
      </c>
      <c r="D1111" s="4" t="str">
        <f>LOOKUP($E1111,OBRAS!$D:$D,OBRAS!C:C)</f>
        <v>RECARPETEO CON MICROCARPETA ASFALTICA EN 12 CALLES Y AVENIDAS Y LOCALIDADES DE MOCTEZUMA</v>
      </c>
      <c r="E1111" s="4" t="s">
        <v>1663</v>
      </c>
      <c r="F1111" s="4" t="s">
        <v>217</v>
      </c>
      <c r="G1111" s="4" t="str">
        <f>LOOKUP($E1111,OBRAS!$D:$D,OBRAS!E:E)</f>
        <v>C-00052/0225</v>
      </c>
      <c r="H1111" s="80" t="s">
        <v>221</v>
      </c>
      <c r="I1111" s="6">
        <v>1204376.8899999999</v>
      </c>
      <c r="J1111" s="6"/>
      <c r="K1111" s="6">
        <f t="shared" si="285"/>
        <v>361313.07</v>
      </c>
      <c r="L1111" s="6">
        <f t="shared" si="278"/>
        <v>843063.82</v>
      </c>
      <c r="M1111" s="6">
        <f t="shared" si="279"/>
        <v>134890.21</v>
      </c>
      <c r="N1111" s="6">
        <f t="shared" si="280"/>
        <v>977954.03</v>
      </c>
      <c r="O1111" s="6">
        <f>+ROUND(I1111*0.005,2)</f>
        <v>6021.88</v>
      </c>
      <c r="P1111" s="6">
        <f t="shared" si="281"/>
        <v>971932.15</v>
      </c>
      <c r="Q1111" s="4" t="str">
        <f>LOOKUP($E1111,OBRAS!$D:$D,OBRAS!B:B)</f>
        <v>JUAN DIEGO AVILES MARTINEZ</v>
      </c>
      <c r="R1111" s="4" t="str">
        <f>LOOKUP($E1111,OBRAS!$D:$D,OBRAS!A:A)</f>
        <v>MOCTEZUMA</v>
      </c>
      <c r="S1111" s="4" t="str">
        <f>LOOKUP($E1111,OBRAS!$D:$D,OBRAS!F:F)</f>
        <v>11000002002201E202K05186A614202165FN06</v>
      </c>
      <c r="T1111" s="4" t="str">
        <f>LOOKUP($E1111,OBRAS!$D:$D,OBRAS!G:G)</f>
        <v>IO-926006995-E137-2016</v>
      </c>
      <c r="U1111" s="4" t="s">
        <v>865</v>
      </c>
      <c r="V1111" s="89">
        <v>42816</v>
      </c>
      <c r="W1111" s="6">
        <f>LOOKUP($E1111,OBRAS!$D:$D,OBRAS!K:K)</f>
        <v>2855324.57</v>
      </c>
      <c r="X1111" s="109">
        <f t="shared" si="282"/>
        <v>0.48930000000000001</v>
      </c>
      <c r="Y1111" s="109">
        <f t="shared" si="283"/>
        <v>1</v>
      </c>
      <c r="Z1111" s="109">
        <f t="shared" si="284"/>
        <v>1</v>
      </c>
      <c r="AA1111" s="4" t="str">
        <f>LOOKUP($E1111,OBRAS!$D:$D,OBRAS!H:H)</f>
        <v>SH-NC-17-R-005</v>
      </c>
    </row>
    <row r="1112" spans="1:27" ht="45" x14ac:dyDescent="0.25">
      <c r="A1112" s="90">
        <v>42795</v>
      </c>
      <c r="B1112" s="56">
        <v>1215</v>
      </c>
      <c r="C1112" s="142">
        <v>34</v>
      </c>
      <c r="D1112" s="4" t="str">
        <f>LOOKUP($E1112,OBRAS!$D:$D,OBRAS!C:C)</f>
        <v>CONSTRUCCION DE PARQUE, PLAYA Y BALNEARIO "KINO MAGICO" (ETAPA 1) EN LA COMISARIA DE BAHIA DE KINO</v>
      </c>
      <c r="E1112" s="4" t="s">
        <v>578</v>
      </c>
      <c r="F1112" s="4" t="s">
        <v>400</v>
      </c>
      <c r="G1112" s="4" t="str">
        <f>LOOKUP($E1112,OBRAS!$D:$D,OBRAS!E:E)</f>
        <v>C-00053/0014</v>
      </c>
      <c r="H1112" s="80" t="s">
        <v>220</v>
      </c>
      <c r="I1112" s="6">
        <v>3881095.94</v>
      </c>
      <c r="J1112" s="6"/>
      <c r="K1112" s="6">
        <f t="shared" si="285"/>
        <v>1164328.78</v>
      </c>
      <c r="L1112" s="6">
        <f t="shared" si="278"/>
        <v>2716767.16</v>
      </c>
      <c r="M1112" s="6">
        <f t="shared" si="279"/>
        <v>434682.75</v>
      </c>
      <c r="N1112" s="6">
        <f t="shared" si="280"/>
        <v>3151449.91</v>
      </c>
      <c r="O1112" s="6">
        <f t="shared" si="286"/>
        <v>19017.37</v>
      </c>
      <c r="P1112" s="6">
        <f t="shared" si="281"/>
        <v>3132432.54</v>
      </c>
      <c r="Q1112" s="4" t="str">
        <f>LOOKUP($E1112,OBRAS!$D:$D,OBRAS!B:B)</f>
        <v>PROMOTORA MAJERUS, S. DE R.L.</v>
      </c>
      <c r="R1112" s="4" t="str">
        <f>LOOKUP($E1112,OBRAS!$D:$D,OBRAS!A:A)</f>
        <v>HERMOSILLO</v>
      </c>
      <c r="S1112" s="4" t="str">
        <f>LOOKUP($E1112,OBRAS!$D:$D,OBRAS!F:F)</f>
        <v>11000002003701E305K07123A612092162A207</v>
      </c>
      <c r="T1112" s="4" t="str">
        <f>LOOKUP($E1112,OBRAS!$D:$D,OBRAS!G:G)</f>
        <v>CE-926006995-E33-2016</v>
      </c>
      <c r="U1112" s="4" t="s">
        <v>864</v>
      </c>
      <c r="V1112" s="89">
        <v>42816</v>
      </c>
      <c r="W1112" s="6">
        <f>LOOKUP($E1112,OBRAS!$D:$D,OBRAS!K:K)</f>
        <v>61862670.979999997</v>
      </c>
      <c r="X1112" s="109">
        <f t="shared" si="282"/>
        <v>7.2800000000000004E-2</v>
      </c>
      <c r="Y1112" s="109">
        <f t="shared" si="283"/>
        <v>0.32969999999999999</v>
      </c>
      <c r="Z1112" s="109">
        <f t="shared" si="284"/>
        <v>0.52780000000000005</v>
      </c>
      <c r="AA1112" s="4" t="str">
        <f>LOOKUP($E1112,OBRAS!$D:$D,OBRAS!H:H)</f>
        <v>SH-ED-17-R-004</v>
      </c>
    </row>
    <row r="1113" spans="1:27" ht="45" x14ac:dyDescent="0.25">
      <c r="A1113" s="90">
        <v>42795</v>
      </c>
      <c r="B1113" s="56">
        <v>1216</v>
      </c>
      <c r="C1113" s="142">
        <v>35</v>
      </c>
      <c r="D1113" s="4" t="str">
        <f>LOOKUP($E1113,OBRAS!$D:$D,OBRAS!C:C)</f>
        <v>REHABILITACION DE PAVIMENTOS A BASE DE RECARPETEO EN BLVD. LUIS ENCINAS ENTRE BENITO JUAREZ Y PERIFERICO ORIENTE</v>
      </c>
      <c r="E1113" s="4" t="s">
        <v>1725</v>
      </c>
      <c r="F1113" s="4" t="s">
        <v>217</v>
      </c>
      <c r="G1113" s="4" t="str">
        <f>LOOKUP($E1113,OBRAS!$D:$D,OBRAS!E:E)</f>
        <v>C-00052/0226</v>
      </c>
      <c r="H1113" s="80" t="s">
        <v>221</v>
      </c>
      <c r="I1113" s="6">
        <v>3775869.42</v>
      </c>
      <c r="J1113" s="6"/>
      <c r="K1113" s="6">
        <f t="shared" si="285"/>
        <v>1132760.83</v>
      </c>
      <c r="L1113" s="6">
        <f t="shared" si="278"/>
        <v>2643108.59</v>
      </c>
      <c r="M1113" s="6">
        <f t="shared" si="279"/>
        <v>422897.37</v>
      </c>
      <c r="N1113" s="6">
        <f t="shared" si="280"/>
        <v>3066005.96</v>
      </c>
      <c r="O1113" s="6">
        <f>+ROUND(I1113*0.005,2)</f>
        <v>18879.349999999999</v>
      </c>
      <c r="P1113" s="6">
        <f t="shared" si="281"/>
        <v>3047126.61</v>
      </c>
      <c r="Q1113" s="4" t="str">
        <f>LOOKUP($E1113,OBRAS!$D:$D,OBRAS!B:B)</f>
        <v>EDIFICACIONES Y PROYECTOS MOCELIK, S.A. DE C.V.</v>
      </c>
      <c r="R1113" s="4" t="str">
        <f>LOOKUP($E1113,OBRAS!$D:$D,OBRAS!A:A)</f>
        <v>HERMOSILLO</v>
      </c>
      <c r="S1113" s="4" t="str">
        <f>LOOKUP($E1113,OBRAS!$D:$D,OBRAS!F:F)</f>
        <v>11000002002201E202K05186A614202165FN07</v>
      </c>
      <c r="T1113" s="4" t="str">
        <f>LOOKUP($E1113,OBRAS!$D:$D,OBRAS!G:G)</f>
        <v>LO-926006995-E94-2016</v>
      </c>
      <c r="U1113" s="4" t="s">
        <v>863</v>
      </c>
      <c r="V1113" s="89">
        <v>42803</v>
      </c>
      <c r="W1113" s="6">
        <f>LOOKUP($E1113,OBRAS!$D:$D,OBRAS!K:K)</f>
        <v>14497968.359999999</v>
      </c>
      <c r="X1113" s="109">
        <f t="shared" si="282"/>
        <v>0.30209999999999998</v>
      </c>
      <c r="Y1113" s="109">
        <f t="shared" si="283"/>
        <v>0.79359999999999997</v>
      </c>
      <c r="Z1113" s="109">
        <f t="shared" si="284"/>
        <v>0.85560000000000003</v>
      </c>
      <c r="AA1113" s="4" t="str">
        <f>LOOKUP($E1113,OBRAS!$D:$D,OBRAS!H:H)</f>
        <v>SH-NC-17-R-005</v>
      </c>
    </row>
    <row r="1114" spans="1:27" ht="60" x14ac:dyDescent="0.25">
      <c r="A1114" s="90">
        <v>42795</v>
      </c>
      <c r="B1114" s="56">
        <v>1217</v>
      </c>
      <c r="C1114" s="142">
        <v>36</v>
      </c>
      <c r="D1114" s="4" t="str">
        <f>LOOKUP($E1114,OBRAS!$D:$D,OBRAS!C:C)</f>
        <v>PAVIMENTACION CON CONCRETO HIDRAULICO EN CALLE 10 ENTRE AVENIDA QUIROZ MORA Y AVENIDA H. COLEGIO MILITAR (CALLE N) EN LA LOCALIDAD Y MUNICIPIO DE CABORCA, SONORA</v>
      </c>
      <c r="E1114" s="4" t="s">
        <v>1230</v>
      </c>
      <c r="F1114" s="4" t="s">
        <v>217</v>
      </c>
      <c r="G1114" s="4" t="str">
        <f>LOOKUP($E1114,OBRAS!$D:$D,OBRAS!E:E)</f>
        <v>C-00052/0223</v>
      </c>
      <c r="H1114" s="80" t="s">
        <v>221</v>
      </c>
      <c r="I1114" s="6">
        <v>513530.22</v>
      </c>
      <c r="J1114" s="6"/>
      <c r="K1114" s="6">
        <f t="shared" si="285"/>
        <v>154059.07</v>
      </c>
      <c r="L1114" s="6">
        <f t="shared" si="278"/>
        <v>359471.15</v>
      </c>
      <c r="M1114" s="6">
        <f t="shared" si="279"/>
        <v>57515.38</v>
      </c>
      <c r="N1114" s="6">
        <f t="shared" si="280"/>
        <v>416986.53</v>
      </c>
      <c r="O1114" s="6">
        <f>+ROUND(I1114*0.005,2)</f>
        <v>2567.65</v>
      </c>
      <c r="P1114" s="6">
        <f t="shared" si="281"/>
        <v>414418.88</v>
      </c>
      <c r="Q1114" s="4" t="str">
        <f>LOOKUP($E1114,OBRAS!$D:$D,OBRAS!B:B)</f>
        <v>INGENIERIA UNIVERSAL S. A. DE C. V.</v>
      </c>
      <c r="R1114" s="4" t="str">
        <f>LOOKUP($E1114,OBRAS!$D:$D,OBRAS!A:A)</f>
        <v>CABORCA</v>
      </c>
      <c r="S1114" s="4" t="str">
        <f>LOOKUP($E1114,OBRAS!$D:$D,OBRAS!F:F)</f>
        <v>11000002002201E202K05186A614202165FN02</v>
      </c>
      <c r="T1114" s="4" t="str">
        <f>LOOKUP($E1114,OBRAS!$D:$D,OBRAS!G:G)</f>
        <v>LO-926006995-E95-2016</v>
      </c>
      <c r="U1114" s="4" t="s">
        <v>863</v>
      </c>
      <c r="V1114" s="89">
        <v>42810</v>
      </c>
      <c r="W1114" s="6">
        <f>LOOKUP($E1114,OBRAS!$D:$D,OBRAS!K:K)</f>
        <v>11512863.189999999</v>
      </c>
      <c r="X1114" s="109">
        <f t="shared" si="282"/>
        <v>5.1700000000000003E-2</v>
      </c>
      <c r="Y1114" s="109">
        <f t="shared" si="283"/>
        <v>0.14299999999999999</v>
      </c>
      <c r="Z1114" s="109">
        <f t="shared" si="284"/>
        <v>0.40010000000000001</v>
      </c>
      <c r="AA1114" s="4" t="str">
        <f>LOOKUP($E1114,OBRAS!$D:$D,OBRAS!H:H)</f>
        <v>SH-NC-17-R-005</v>
      </c>
    </row>
    <row r="1115" spans="1:27" ht="45" x14ac:dyDescent="0.25">
      <c r="A1115" s="90">
        <v>42795</v>
      </c>
      <c r="B1115" s="56">
        <v>1218</v>
      </c>
      <c r="C1115" s="142">
        <v>37</v>
      </c>
      <c r="D1115" s="4" t="str">
        <f>LOOKUP($E1115,OBRAS!$D:$D,OBRAS!C:C)</f>
        <v>PAVIMENTACION CON CONCRETO HIDRAULICO EN LA CALLE 2 DE ABRIL EN LA LOCALIDAD DE VILLA JUAREZ</v>
      </c>
      <c r="E1115" s="4" t="s">
        <v>975</v>
      </c>
      <c r="F1115" s="4" t="s">
        <v>217</v>
      </c>
      <c r="G1115" s="4" t="str">
        <f>LOOKUP($E1115,OBRAS!$D:$D,OBRAS!E:E)</f>
        <v>C-00052/0206</v>
      </c>
      <c r="H1115" s="80" t="s">
        <v>55</v>
      </c>
      <c r="I1115" s="6">
        <v>4379925.7300000004</v>
      </c>
      <c r="J1115" s="6"/>
      <c r="K1115" s="6">
        <f t="shared" si="285"/>
        <v>1313977.72</v>
      </c>
      <c r="L1115" s="6">
        <f t="shared" si="278"/>
        <v>3065948.01</v>
      </c>
      <c r="M1115" s="6">
        <f t="shared" si="279"/>
        <v>490551.68</v>
      </c>
      <c r="N1115" s="6">
        <f t="shared" si="280"/>
        <v>3556499.69</v>
      </c>
      <c r="O1115" s="6">
        <f>+ROUND(I1115*0.005,2)</f>
        <v>21899.63</v>
      </c>
      <c r="P1115" s="6">
        <f t="shared" si="281"/>
        <v>3534600.06</v>
      </c>
      <c r="Q1115" s="4" t="str">
        <f>LOOKUP($E1115,OBRAS!$D:$D,OBRAS!B:B)</f>
        <v>ING. LUIS ENRIQUE PEÑA RODRIGO</v>
      </c>
      <c r="R1115" s="4" t="str">
        <f>LOOKUP($E1115,OBRAS!$D:$D,OBRAS!A:A)</f>
        <v>BENITO JUAREZ</v>
      </c>
      <c r="S1115" s="4" t="str">
        <f>LOOKUP($E1115,OBRAS!$D:$D,OBRAS!F:F)</f>
        <v>11000002002201E202K05186A614202165FN12</v>
      </c>
      <c r="T1115" s="4" t="str">
        <f>LOOKUP($E1115,OBRAS!$D:$D,OBRAS!G:G)</f>
        <v>LO-926006995-E96-2016</v>
      </c>
      <c r="U1115" s="4" t="s">
        <v>863</v>
      </c>
      <c r="V1115" s="89">
        <v>42810</v>
      </c>
      <c r="W1115" s="6">
        <f>LOOKUP($E1115,OBRAS!$D:$D,OBRAS!K:K)</f>
        <v>14487117.35</v>
      </c>
      <c r="X1115" s="109">
        <f t="shared" si="282"/>
        <v>0.35070000000000001</v>
      </c>
      <c r="Y1115" s="109">
        <f t="shared" si="283"/>
        <v>0.62050000000000005</v>
      </c>
      <c r="Z1115" s="109">
        <f t="shared" si="284"/>
        <v>0.73429999999999995</v>
      </c>
      <c r="AA1115" s="4" t="str">
        <f>LOOKUP($E1115,OBRAS!$D:$D,OBRAS!H:H)</f>
        <v>SH-NC-17-R-005</v>
      </c>
    </row>
    <row r="1116" spans="1:27" ht="45" x14ac:dyDescent="0.25">
      <c r="A1116" s="90">
        <v>42795</v>
      </c>
      <c r="B1116" s="56">
        <v>1219</v>
      </c>
      <c r="C1116" s="142">
        <v>38</v>
      </c>
      <c r="D1116" s="4" t="str">
        <f>LOOKUP($E1116,OBRAS!$D:$D,OBRAS!C:C)</f>
        <v>PAVIMENTACION CON CONCRETO HIDRAULICO DE 15CMS DE ESPESOR EN CALLE PRINCIPAL EN LA LOCALIDAD DE QUIRIEGO</v>
      </c>
      <c r="E1116" s="4" t="s">
        <v>1656</v>
      </c>
      <c r="F1116" s="4" t="s">
        <v>217</v>
      </c>
      <c r="G1116" s="4" t="str">
        <f>LOOKUP($E1116,OBRAS!$D:$D,OBRAS!E:E)</f>
        <v>C-00052/0184</v>
      </c>
      <c r="H1116" s="80" t="s">
        <v>103</v>
      </c>
      <c r="I1116" s="6">
        <v>141175.75</v>
      </c>
      <c r="J1116" s="6"/>
      <c r="K1116" s="6">
        <f t="shared" ref="K1116:K1137" si="288">ROUND(I1116*0.3,2)</f>
        <v>42352.73</v>
      </c>
      <c r="L1116" s="6">
        <f t="shared" ref="L1116:L1137" si="289">I1116-K1116</f>
        <v>98823.02</v>
      </c>
      <c r="M1116" s="6">
        <f t="shared" ref="M1116:M1137" si="290">ROUND(L1116*0.16,2)</f>
        <v>15811.68</v>
      </c>
      <c r="N1116" s="6">
        <f t="shared" ref="N1116:N1137" si="291">M1116+L1116</f>
        <v>114634.7</v>
      </c>
      <c r="O1116" s="6">
        <f>+ROUND(I1116*0.005,2)</f>
        <v>705.88</v>
      </c>
      <c r="P1116" s="6">
        <f t="shared" ref="P1116:P1137" si="292">N1116-O1116</f>
        <v>113928.82</v>
      </c>
      <c r="Q1116" s="4" t="str">
        <f>LOOKUP($E1116,OBRAS!$D:$D,OBRAS!B:B)</f>
        <v>DISEÑOS Y CONSTRUCCIONES LOAR S.A. DE C.V.</v>
      </c>
      <c r="R1116" s="4" t="str">
        <f>LOOKUP($E1116,OBRAS!$D:$D,OBRAS!A:A)</f>
        <v>QUIRIEGO</v>
      </c>
      <c r="S1116" s="4" t="str">
        <f>LOOKUP($E1116,OBRAS!$D:$D,OBRAS!F:F)</f>
        <v>11000002002201E202K05186A614202165FC12</v>
      </c>
      <c r="T1116" s="4" t="str">
        <f>LOOKUP($E1116,OBRAS!$D:$D,OBRAS!G:G)</f>
        <v>IO-92600995-E153-2016</v>
      </c>
      <c r="U1116" s="4" t="s">
        <v>865</v>
      </c>
      <c r="V1116" s="89">
        <v>42810</v>
      </c>
      <c r="W1116" s="6">
        <f>LOOKUP($E1116,OBRAS!$D:$D,OBRAS!K:K)</f>
        <v>1499699.33</v>
      </c>
      <c r="X1116" s="109">
        <f t="shared" ref="X1116:X1137" si="293">IF(H1116&lt;&gt;"ANTICIPO",I1116/(W1116/1.16),"")</f>
        <v>0.10920000000000001</v>
      </c>
      <c r="Y1116" s="109">
        <f t="shared" ref="Y1116:Y1137" si="294">SUMIF(E:E,E1116,X:X)</f>
        <v>0.371</v>
      </c>
      <c r="Z1116" s="109">
        <f t="shared" ref="Z1116:Z1137" si="295">SUMIF(E:E,E1116,N:N)/W1116</f>
        <v>0.55969999999999998</v>
      </c>
      <c r="AA1116" s="4" t="str">
        <f>LOOKUP($E1116,OBRAS!$D:$D,OBRAS!H:H)</f>
        <v>SH-NC-17-R-009</v>
      </c>
    </row>
    <row r="1117" spans="1:27" ht="45" x14ac:dyDescent="0.25">
      <c r="A1117" s="90">
        <v>42795</v>
      </c>
      <c r="B1117" s="56">
        <v>1220</v>
      </c>
      <c r="C1117" s="142">
        <v>39</v>
      </c>
      <c r="D1117" s="4" t="str">
        <f>LOOKUP($E1117,OBRAS!$D:$D,OBRAS!C:C)</f>
        <v>PAVIMENTACION CON CONCRETO HIDRAULICO DE 15CMS DE ESPESOR EN CALLE PRINCIPAL EN LA LOCALIDAD DE QUIRIEGO</v>
      </c>
      <c r="E1117" s="4" t="s">
        <v>1656</v>
      </c>
      <c r="F1117" s="4" t="s">
        <v>217</v>
      </c>
      <c r="G1117" s="4" t="str">
        <f>LOOKUP($E1117,OBRAS!$D:$D,OBRAS!E:E)</f>
        <v>C-00052/0184</v>
      </c>
      <c r="H1117" s="80" t="s">
        <v>221</v>
      </c>
      <c r="I1117" s="6">
        <v>130362.63</v>
      </c>
      <c r="J1117" s="6"/>
      <c r="K1117" s="6">
        <f t="shared" si="288"/>
        <v>39108.79</v>
      </c>
      <c r="L1117" s="6">
        <f t="shared" si="289"/>
        <v>91253.84</v>
      </c>
      <c r="M1117" s="6">
        <f t="shared" si="290"/>
        <v>14600.61</v>
      </c>
      <c r="N1117" s="6">
        <f t="shared" si="291"/>
        <v>105854.45</v>
      </c>
      <c r="O1117" s="6">
        <f t="shared" ref="O1117:O1118" si="296">+ROUND(I1117*0.005,2)</f>
        <v>651.80999999999995</v>
      </c>
      <c r="P1117" s="6">
        <f t="shared" si="292"/>
        <v>105202.64</v>
      </c>
      <c r="Q1117" s="4" t="str">
        <f>LOOKUP($E1117,OBRAS!$D:$D,OBRAS!B:B)</f>
        <v>DISEÑOS Y CONSTRUCCIONES LOAR S.A. DE C.V.</v>
      </c>
      <c r="R1117" s="4" t="str">
        <f>LOOKUP($E1117,OBRAS!$D:$D,OBRAS!A:A)</f>
        <v>QUIRIEGO</v>
      </c>
      <c r="S1117" s="4" t="str">
        <f>LOOKUP($E1117,OBRAS!$D:$D,OBRAS!F:F)</f>
        <v>11000002002201E202K05186A614202165FC12</v>
      </c>
      <c r="T1117" s="4" t="str">
        <f>LOOKUP($E1117,OBRAS!$D:$D,OBRAS!G:G)</f>
        <v>IO-92600995-E153-2016</v>
      </c>
      <c r="U1117" s="4" t="s">
        <v>865</v>
      </c>
      <c r="V1117" s="89">
        <v>42810</v>
      </c>
      <c r="W1117" s="6">
        <f>LOOKUP($E1117,OBRAS!$D:$D,OBRAS!K:K)</f>
        <v>1499699.33</v>
      </c>
      <c r="X1117" s="109">
        <f t="shared" si="293"/>
        <v>0.1008</v>
      </c>
      <c r="Y1117" s="109">
        <f t="shared" si="294"/>
        <v>0.371</v>
      </c>
      <c r="Z1117" s="109">
        <f t="shared" si="295"/>
        <v>0.55969999999999998</v>
      </c>
      <c r="AA1117" s="4" t="str">
        <f>LOOKUP($E1117,OBRAS!$D:$D,OBRAS!H:H)</f>
        <v>SH-NC-17-R-009</v>
      </c>
    </row>
    <row r="1118" spans="1:27" ht="45" x14ac:dyDescent="0.25">
      <c r="A1118" s="90">
        <v>42795</v>
      </c>
      <c r="B1118" s="56">
        <v>1221</v>
      </c>
      <c r="C1118" s="142">
        <v>40</v>
      </c>
      <c r="D1118" s="4" t="str">
        <f>LOOKUP($E1118,OBRAS!$D:$D,OBRAS!C:C)</f>
        <v>PAVIMENTACION CON CONCRETO HIDRAULICO DE 15CMS DE ESPESOR EN CALLE PRINCIPAL EN LA LOCALIDAD DE QUIRIEGO</v>
      </c>
      <c r="E1118" s="4" t="s">
        <v>1656</v>
      </c>
      <c r="F1118" s="4" t="s">
        <v>217</v>
      </c>
      <c r="G1118" s="4" t="str">
        <f>LOOKUP($E1118,OBRAS!$D:$D,OBRAS!E:E)</f>
        <v>C-00052/0184</v>
      </c>
      <c r="H1118" s="80" t="s">
        <v>55</v>
      </c>
      <c r="I1118" s="6">
        <v>208197.37</v>
      </c>
      <c r="J1118" s="6"/>
      <c r="K1118" s="6">
        <f t="shared" si="288"/>
        <v>62459.21</v>
      </c>
      <c r="L1118" s="6">
        <f t="shared" si="289"/>
        <v>145738.16</v>
      </c>
      <c r="M1118" s="6">
        <f t="shared" si="290"/>
        <v>23318.11</v>
      </c>
      <c r="N1118" s="6">
        <f t="shared" si="291"/>
        <v>169056.27</v>
      </c>
      <c r="O1118" s="6">
        <f t="shared" si="296"/>
        <v>1040.99</v>
      </c>
      <c r="P1118" s="6">
        <f t="shared" si="292"/>
        <v>168015.28</v>
      </c>
      <c r="Q1118" s="4" t="str">
        <f>LOOKUP($E1118,OBRAS!$D:$D,OBRAS!B:B)</f>
        <v>DISEÑOS Y CONSTRUCCIONES LOAR S.A. DE C.V.</v>
      </c>
      <c r="R1118" s="4" t="str">
        <f>LOOKUP($E1118,OBRAS!$D:$D,OBRAS!A:A)</f>
        <v>QUIRIEGO</v>
      </c>
      <c r="S1118" s="4" t="str">
        <f>LOOKUP($E1118,OBRAS!$D:$D,OBRAS!F:F)</f>
        <v>11000002002201E202K05186A614202165FC12</v>
      </c>
      <c r="T1118" s="4" t="str">
        <f>LOOKUP($E1118,OBRAS!$D:$D,OBRAS!G:G)</f>
        <v>IO-92600995-E153-2016</v>
      </c>
      <c r="U1118" s="4" t="s">
        <v>865</v>
      </c>
      <c r="V1118" s="89">
        <v>42810</v>
      </c>
      <c r="W1118" s="6">
        <f>LOOKUP($E1118,OBRAS!$D:$D,OBRAS!K:K)</f>
        <v>1499699.33</v>
      </c>
      <c r="X1118" s="109">
        <f t="shared" si="293"/>
        <v>0.161</v>
      </c>
      <c r="Y1118" s="109">
        <f t="shared" si="294"/>
        <v>0.371</v>
      </c>
      <c r="Z1118" s="109">
        <f t="shared" si="295"/>
        <v>0.55969999999999998</v>
      </c>
      <c r="AA1118" s="4" t="str">
        <f>LOOKUP($E1118,OBRAS!$D:$D,OBRAS!H:H)</f>
        <v>SH-NC-17-R-009</v>
      </c>
    </row>
    <row r="1119" spans="1:27" ht="45" x14ac:dyDescent="0.25">
      <c r="A1119" s="90">
        <v>42795</v>
      </c>
      <c r="B1119" s="56">
        <v>1225</v>
      </c>
      <c r="C1119" s="142">
        <v>41</v>
      </c>
      <c r="D1119" s="4" t="str">
        <f>LOOKUP($E1119,OBRAS!$D:$D,OBRAS!C:C)</f>
        <v>RECONSTRUCCION DE CALLE 28 NORTE, DEL KM 0 + 000 AL KM 10+160, Y DEL KM 17+210 AL 17+982, HERMOSILLO</v>
      </c>
      <c r="E1119" s="4" t="s">
        <v>349</v>
      </c>
      <c r="F1119" s="4" t="s">
        <v>248</v>
      </c>
      <c r="G1119" s="4" t="str">
        <f>LOOKUP($E1119,OBRAS!$D:$D,OBRAS!E:E)</f>
        <v>C-00054/0072</v>
      </c>
      <c r="H1119" s="80" t="s">
        <v>214</v>
      </c>
      <c r="I1119" s="6">
        <v>3150515.56</v>
      </c>
      <c r="J1119" s="6"/>
      <c r="K1119" s="6">
        <f t="shared" si="288"/>
        <v>945154.67</v>
      </c>
      <c r="L1119" s="6">
        <f t="shared" si="289"/>
        <v>2205360.89</v>
      </c>
      <c r="M1119" s="6">
        <f t="shared" si="290"/>
        <v>352857.74</v>
      </c>
      <c r="N1119" s="6">
        <f t="shared" si="291"/>
        <v>2558218.63</v>
      </c>
      <c r="O1119" s="6">
        <f t="shared" ref="O1119:O1137" si="297">+ROUND(I1119*0.002,2)+ROUND(I1119*0.0003,2)+ROUND(I1119*0.0003,2)+ROUND(I1119*0.0003,2)+ROUND(I1119*0.002,2)</f>
        <v>15437.51</v>
      </c>
      <c r="P1119" s="6">
        <f t="shared" si="292"/>
        <v>2542781.12</v>
      </c>
      <c r="Q1119" s="4" t="str">
        <f>LOOKUP($E1119,OBRAS!$D:$D,OBRAS!B:B)</f>
        <v>GRUPO EMPRESARIAL BABASAC, S. A. DE C. V.</v>
      </c>
      <c r="R1119" s="4" t="str">
        <f>LOOKUP($E1119,OBRAS!$D:$D,OBRAS!A:A)</f>
        <v>HERMOSILLO</v>
      </c>
      <c r="S1119" s="4" t="str">
        <f>LOOKUP($E1119,OBRAS!$D:$D,OBRAS!F:F)</f>
        <v>11000002003501E204K08063A625012162A207</v>
      </c>
      <c r="T1119" s="4" t="str">
        <f>LOOKUP($E1119,OBRAS!$D:$D,OBRAS!G:G)</f>
        <v>CE-926006995-E40-2016</v>
      </c>
      <c r="U1119" s="4" t="s">
        <v>865</v>
      </c>
      <c r="V1119" s="89">
        <v>42817</v>
      </c>
      <c r="W1119" s="6">
        <f>LOOKUP($E1119,OBRAS!$D:$D,OBRAS!K:K)</f>
        <v>20694418.350000001</v>
      </c>
      <c r="X1119" s="109">
        <f t="shared" si="293"/>
        <v>0.17660000000000001</v>
      </c>
      <c r="Y1119" s="109">
        <f t="shared" si="294"/>
        <v>1</v>
      </c>
      <c r="Z1119" s="109">
        <f t="shared" si="295"/>
        <v>1</v>
      </c>
      <c r="AA1119" s="4" t="str">
        <f>LOOKUP($E1119,OBRAS!$D:$D,OBRAS!H:H)</f>
        <v>SH-ED-17-R-004</v>
      </c>
    </row>
    <row r="1120" spans="1:27" ht="30" x14ac:dyDescent="0.25">
      <c r="A1120" s="90">
        <v>42795</v>
      </c>
      <c r="B1120" s="56">
        <v>1226</v>
      </c>
      <c r="C1120" s="142">
        <v>42</v>
      </c>
      <c r="D1120" s="4" t="str">
        <f>LOOKUP($E1120,OBRAS!$D:$D,OBRAS!C:C)</f>
        <v>CONSTRUCCION DE PUENTE VEHICULAR SOBRE RIO MAYO, EN EL PERIFERICO PONIENTE EN NAVOJOA</v>
      </c>
      <c r="E1120" s="4" t="s">
        <v>776</v>
      </c>
      <c r="F1120" s="4" t="s">
        <v>217</v>
      </c>
      <c r="G1120" s="4" t="str">
        <f>LOOKUP($E1120,OBRAS!$D:$D,OBRAS!E:E)</f>
        <v>C-00052/0174</v>
      </c>
      <c r="H1120" s="80" t="s">
        <v>55</v>
      </c>
      <c r="I1120" s="6">
        <v>798136.21</v>
      </c>
      <c r="J1120" s="6"/>
      <c r="K1120" s="6">
        <f t="shared" si="288"/>
        <v>239440.86</v>
      </c>
      <c r="L1120" s="6">
        <f t="shared" si="289"/>
        <v>558695.35</v>
      </c>
      <c r="M1120" s="6">
        <f t="shared" si="290"/>
        <v>89391.26</v>
      </c>
      <c r="N1120" s="6">
        <f t="shared" si="291"/>
        <v>648086.61</v>
      </c>
      <c r="O1120" s="6">
        <f t="shared" si="297"/>
        <v>3910.86</v>
      </c>
      <c r="P1120" s="6">
        <f t="shared" si="292"/>
        <v>644175.75</v>
      </c>
      <c r="Q1120" s="4" t="str">
        <f>LOOKUP($E1120,OBRAS!$D:$D,OBRAS!B:B)</f>
        <v>ING. LUIS EDUARDO GUERRA ESQUIVEL</v>
      </c>
      <c r="R1120" s="4" t="str">
        <f>LOOKUP($E1120,OBRAS!$D:$D,OBRAS!A:A)</f>
        <v>NAVOJOA</v>
      </c>
      <c r="S1120" s="4" t="str">
        <f>LOOKUP($E1120,OBRAS!$D:$D,OBRAS!F:F)</f>
        <v>11000002002201E202K05250A615122162A212</v>
      </c>
      <c r="T1120" s="4">
        <f>LOOKUP($E1120,OBRAS!$D:$D,OBRAS!G:G)</f>
        <v>0</v>
      </c>
      <c r="U1120" s="4" t="s">
        <v>865</v>
      </c>
      <c r="V1120" s="89">
        <v>42810</v>
      </c>
      <c r="W1120" s="6">
        <f>LOOKUP($E1120,OBRAS!$D:$D,OBRAS!K:K)</f>
        <v>82488388.799999997</v>
      </c>
      <c r="X1120" s="109">
        <f t="shared" si="293"/>
        <v>1.12E-2</v>
      </c>
      <c r="Y1120" s="109">
        <f t="shared" si="294"/>
        <v>0.64639999999999997</v>
      </c>
      <c r="Z1120" s="109">
        <f t="shared" si="295"/>
        <v>0.75249999999999995</v>
      </c>
      <c r="AA1120" s="4" t="str">
        <f>LOOKUP($E1120,OBRAS!$D:$D,OBRAS!H:H)</f>
        <v>SH-ED-17-R-004</v>
      </c>
    </row>
    <row r="1121" spans="1:27" ht="30" x14ac:dyDescent="0.25">
      <c r="A1121" s="90">
        <v>42796</v>
      </c>
      <c r="B1121" s="56">
        <v>1264</v>
      </c>
      <c r="C1121" s="142">
        <v>43</v>
      </c>
      <c r="D1121" s="4" t="str">
        <f>LOOKUP($E1121,OBRAS!$D:$D,OBRAS!C:C)</f>
        <v>RECONSTRUCCION DEL CAMINO CALLE 1900</v>
      </c>
      <c r="E1121" s="4" t="s">
        <v>546</v>
      </c>
      <c r="F1121" s="4" t="s">
        <v>225</v>
      </c>
      <c r="G1121" s="4" t="str">
        <f>LOOKUP($E1121,OBRAS!$D:$D,OBRAS!E:E)</f>
        <v>C-00054/0027</v>
      </c>
      <c r="H1121" s="80" t="s">
        <v>214</v>
      </c>
      <c r="I1121" s="6">
        <v>2771261.08</v>
      </c>
      <c r="J1121" s="6"/>
      <c r="K1121" s="6">
        <f t="shared" si="288"/>
        <v>831378.32</v>
      </c>
      <c r="L1121" s="6">
        <f t="shared" si="289"/>
        <v>1939882.76</v>
      </c>
      <c r="M1121" s="6">
        <f t="shared" si="290"/>
        <v>310381.24</v>
      </c>
      <c r="N1121" s="6">
        <f t="shared" si="291"/>
        <v>2250264</v>
      </c>
      <c r="O1121" s="6">
        <f>+ROUND(I1121*0.002,2)+ROUND(I1121*0.0003,2)+ROUND(I1121*0.0003,2)+ROUND(I1121*0.0003,2)+ROUND(I1121*0.002,2)+63200</f>
        <v>76779.179999999993</v>
      </c>
      <c r="P1121" s="6">
        <f t="shared" si="292"/>
        <v>2173484.8199999998</v>
      </c>
      <c r="Q1121" s="4" t="str">
        <f>LOOKUP($E1121,OBRAS!$D:$D,OBRAS!B:B)</f>
        <v>NA CONSTRUCCIONES DEL PACIFICO, S.A. DE C.V.</v>
      </c>
      <c r="R1121" s="4" t="str">
        <f>LOOKUP($E1121,OBRAS!$D:$D,OBRAS!A:A)</f>
        <v>CAJEME</v>
      </c>
      <c r="S1121" s="4" t="str">
        <f>LOOKUP($E1121,OBRAS!$D:$D,OBRAS!F:F)</f>
        <v>11000002003501E204K08063A625012162A211</v>
      </c>
      <c r="T1121" s="4" t="str">
        <f>LOOKUP($E1121,OBRAS!$D:$D,OBRAS!G:G)</f>
        <v>CE-926006995-E14-2016</v>
      </c>
      <c r="U1121" s="4" t="s">
        <v>865</v>
      </c>
      <c r="V1121" s="89">
        <v>42817</v>
      </c>
      <c r="W1121" s="6">
        <f>LOOKUP($E1121,OBRAS!$D:$D,OBRAS!K:K)</f>
        <v>24701108.239999998</v>
      </c>
      <c r="X1121" s="109">
        <f t="shared" si="293"/>
        <v>0.13009999999999999</v>
      </c>
      <c r="Y1121" s="109">
        <f t="shared" si="294"/>
        <v>1</v>
      </c>
      <c r="Z1121" s="109">
        <f t="shared" si="295"/>
        <v>1</v>
      </c>
      <c r="AA1121" s="4" t="str">
        <f>LOOKUP($E1121,OBRAS!$D:$D,OBRAS!H:H)</f>
        <v>SH-ED-17-R-013</v>
      </c>
    </row>
    <row r="1122" spans="1:27" ht="45" x14ac:dyDescent="0.25">
      <c r="A1122" s="90">
        <v>42796</v>
      </c>
      <c r="B1122" s="56">
        <v>1268</v>
      </c>
      <c r="C1122" s="142">
        <v>44</v>
      </c>
      <c r="D1122" s="4" t="str">
        <f>LOOKUP($E1122,OBRAS!$D:$D,OBRAS!C:C)</f>
        <v>CONCLUSION DE LA MODERNIZACION Y RECONSTRUCCION DEL TRAMO ESPERANZA - HORNOS (DEL KM 8 + 800 AL KM 17 + 400)</v>
      </c>
      <c r="E1122" s="4" t="s">
        <v>597</v>
      </c>
      <c r="F1122" s="4" t="s">
        <v>225</v>
      </c>
      <c r="G1122" s="4" t="str">
        <f>LOOKUP($E1122,OBRAS!$D:$D,OBRAS!E:E)</f>
        <v>C-00054/0053</v>
      </c>
      <c r="H1122" s="80" t="s">
        <v>748</v>
      </c>
      <c r="I1122" s="6">
        <v>8121155.0999999996</v>
      </c>
      <c r="J1122" s="6"/>
      <c r="K1122" s="6">
        <f t="shared" si="288"/>
        <v>2436346.5299999998</v>
      </c>
      <c r="L1122" s="6">
        <f t="shared" si="289"/>
        <v>5684808.5700000003</v>
      </c>
      <c r="M1122" s="6">
        <f t="shared" si="290"/>
        <v>909569.37</v>
      </c>
      <c r="N1122" s="6">
        <f t="shared" si="291"/>
        <v>6594377.9400000004</v>
      </c>
      <c r="O1122" s="6">
        <f t="shared" si="297"/>
        <v>39793.67</v>
      </c>
      <c r="P1122" s="6">
        <f t="shared" si="292"/>
        <v>6554584.2699999996</v>
      </c>
      <c r="Q1122" s="4" t="str">
        <f>LOOKUP($E1122,OBRAS!$D:$D,OBRAS!B:B)</f>
        <v>INGENIEROS CIVILES, S.A. DE C.V.</v>
      </c>
      <c r="R1122" s="4" t="str">
        <f>LOOKUP($E1122,OBRAS!$D:$D,OBRAS!A:A)</f>
        <v>VARIOS</v>
      </c>
      <c r="S1122" s="4" t="str">
        <f>LOOKUP($E1122,OBRAS!$D:$D,OBRAS!F:F)</f>
        <v>11000002003501E204K08063A625012162A213</v>
      </c>
      <c r="T1122" s="4" t="str">
        <f>LOOKUP($E1122,OBRAS!$D:$D,OBRAS!G:G)</f>
        <v>CE-966006995-E17-2016</v>
      </c>
      <c r="U1122" s="4" t="s">
        <v>863</v>
      </c>
      <c r="V1122" s="89">
        <v>42803</v>
      </c>
      <c r="W1122" s="6">
        <f>LOOKUP($E1122,OBRAS!$D:$D,OBRAS!K:K)</f>
        <v>79892690.269999996</v>
      </c>
      <c r="X1122" s="109">
        <f t="shared" si="293"/>
        <v>0.1179</v>
      </c>
      <c r="Y1122" s="109">
        <f t="shared" si="294"/>
        <v>0.98319999999999996</v>
      </c>
      <c r="Z1122" s="109">
        <f t="shared" si="295"/>
        <v>0.98309999999999997</v>
      </c>
      <c r="AA1122" s="4" t="str">
        <f>LOOKUP($E1122,OBRAS!$D:$D,OBRAS!H:H)</f>
        <v>SH-ED-17-R-013</v>
      </c>
    </row>
    <row r="1123" spans="1:27" ht="45" x14ac:dyDescent="0.25">
      <c r="A1123" s="90">
        <v>42796</v>
      </c>
      <c r="B1123" s="56">
        <v>1269</v>
      </c>
      <c r="C1123" s="142">
        <v>45</v>
      </c>
      <c r="D1123" s="4" t="str">
        <f>LOOKUP($E1123,OBRAS!$D:$D,OBRAS!C:C)</f>
        <v>CONCLUSION DE LA MODERNIZACION Y RECONSTRUCCION DEL TRAMO ESPERANZA - HORNOS (DEL KM 8 + 800 AL KM 17 + 400)</v>
      </c>
      <c r="E1123" s="4" t="s">
        <v>597</v>
      </c>
      <c r="F1123" s="4" t="s">
        <v>225</v>
      </c>
      <c r="G1123" s="4" t="str">
        <f>LOOKUP($E1123,OBRAS!$D:$D,OBRAS!E:E)</f>
        <v>C-00054/0053</v>
      </c>
      <c r="H1123" s="80" t="s">
        <v>249</v>
      </c>
      <c r="I1123" s="6">
        <v>11540490.91</v>
      </c>
      <c r="J1123" s="6"/>
      <c r="K1123" s="6">
        <f t="shared" si="288"/>
        <v>3462147.27</v>
      </c>
      <c r="L1123" s="6">
        <f t="shared" si="289"/>
        <v>8078343.6399999997</v>
      </c>
      <c r="M1123" s="6">
        <f t="shared" si="290"/>
        <v>1292534.98</v>
      </c>
      <c r="N1123" s="6">
        <f t="shared" si="291"/>
        <v>9370878.6199999992</v>
      </c>
      <c r="O1123" s="6">
        <f t="shared" si="297"/>
        <v>56548.41</v>
      </c>
      <c r="P1123" s="6">
        <f t="shared" si="292"/>
        <v>9314330.2100000009</v>
      </c>
      <c r="Q1123" s="4" t="str">
        <f>LOOKUP($E1123,OBRAS!$D:$D,OBRAS!B:B)</f>
        <v>INGENIEROS CIVILES, S.A. DE C.V.</v>
      </c>
      <c r="R1123" s="4" t="str">
        <f>LOOKUP($E1123,OBRAS!$D:$D,OBRAS!A:A)</f>
        <v>VARIOS</v>
      </c>
      <c r="S1123" s="4" t="str">
        <f>LOOKUP($E1123,OBRAS!$D:$D,OBRAS!F:F)</f>
        <v>11000002003501E204K08063A625012162A213</v>
      </c>
      <c r="T1123" s="4" t="str">
        <f>LOOKUP($E1123,OBRAS!$D:$D,OBRAS!G:G)</f>
        <v>CE-966006995-E17-2016</v>
      </c>
      <c r="U1123" s="4" t="s">
        <v>863</v>
      </c>
      <c r="V1123" s="89">
        <v>42803</v>
      </c>
      <c r="W1123" s="6">
        <f>LOOKUP($E1123,OBRAS!$D:$D,OBRAS!K:K)</f>
        <v>79892690.269999996</v>
      </c>
      <c r="X1123" s="109">
        <f t="shared" si="293"/>
        <v>0.1676</v>
      </c>
      <c r="Y1123" s="109">
        <f t="shared" si="294"/>
        <v>0.98319999999999996</v>
      </c>
      <c r="Z1123" s="109">
        <f t="shared" si="295"/>
        <v>0.98309999999999997</v>
      </c>
      <c r="AA1123" s="4" t="str">
        <f>LOOKUP($E1123,OBRAS!$D:$D,OBRAS!H:H)</f>
        <v>SH-ED-17-R-013</v>
      </c>
    </row>
    <row r="1124" spans="1:27" ht="45" x14ac:dyDescent="0.25">
      <c r="A1124" s="90">
        <v>42800</v>
      </c>
      <c r="B1124" s="56">
        <v>1348</v>
      </c>
      <c r="C1124" s="142">
        <v>46</v>
      </c>
      <c r="D1124" s="4" t="str">
        <f>LOOKUP($E1124,OBRAS!$D:$D,OBRAS!C:C)</f>
        <v>CONSERVACION Y RECONSTRUCCION DEL TRAMO MOCTEZUMA- EL CRUCERO (TRAMO KM 164+500 AL KM 210+750) EN LA REGION DE LA SIERRA.</v>
      </c>
      <c r="E1124" s="4" t="s">
        <v>343</v>
      </c>
      <c r="F1124" s="4" t="s">
        <v>793</v>
      </c>
      <c r="G1124" s="4" t="str">
        <f>LOOKUP($E1124,OBRAS!$D:$D,OBRAS!E:E)</f>
        <v>C-00054/0052</v>
      </c>
      <c r="H1124" s="80" t="s">
        <v>218</v>
      </c>
      <c r="I1124" s="6">
        <v>2248350.2599999998</v>
      </c>
      <c r="J1124" s="6"/>
      <c r="K1124" s="6">
        <v>0</v>
      </c>
      <c r="L1124" s="6">
        <f t="shared" si="289"/>
        <v>2248350.2599999998</v>
      </c>
      <c r="M1124" s="6">
        <f t="shared" si="290"/>
        <v>359736.04</v>
      </c>
      <c r="N1124" s="6">
        <f t="shared" si="291"/>
        <v>2608086.2999999998</v>
      </c>
      <c r="O1124" s="6">
        <f t="shared" si="297"/>
        <v>11016.93</v>
      </c>
      <c r="P1124" s="6">
        <f t="shared" si="292"/>
        <v>2597069.37</v>
      </c>
      <c r="Q1124" s="4" t="str">
        <f>LOOKUP($E1124,OBRAS!$D:$D,OBRAS!B:B)</f>
        <v>LA AZTECA CONSTRUCCIONES Y URBANIZACIONES, S.A. DE C.V.</v>
      </c>
      <c r="R1124" s="4" t="str">
        <f>LOOKUP($E1124,OBRAS!$D:$D,OBRAS!A:A)</f>
        <v>VARIOS</v>
      </c>
      <c r="S1124" s="4" t="str">
        <f>LOOKUP($E1124,OBRAS!$D:$D,OBRAS!F:F)</f>
        <v>11000002003501E204K08063A625012162A213</v>
      </c>
      <c r="T1124" s="4" t="str">
        <f>LOOKUP($E1124,OBRAS!$D:$D,OBRAS!G:G)</f>
        <v>CE-926006995-E16-2016</v>
      </c>
      <c r="U1124" s="4" t="s">
        <v>863</v>
      </c>
      <c r="V1124" s="89">
        <v>42810</v>
      </c>
      <c r="W1124" s="6">
        <f>LOOKUP($E1124,OBRAS!$D:$D,OBRAS!K:K)</f>
        <v>60543852.310000002</v>
      </c>
      <c r="X1124" s="109">
        <f t="shared" si="293"/>
        <v>4.3099999999999999E-2</v>
      </c>
      <c r="Y1124" s="109">
        <f t="shared" si="294"/>
        <v>1</v>
      </c>
      <c r="Z1124" s="109">
        <f t="shared" si="295"/>
        <v>1</v>
      </c>
      <c r="AA1124" s="4" t="str">
        <f>LOOKUP($E1124,OBRAS!$D:$D,OBRAS!H:H)</f>
        <v>SH-ED-17-R-013</v>
      </c>
    </row>
    <row r="1125" spans="1:27" ht="45" x14ac:dyDescent="0.25">
      <c r="A1125" s="90">
        <v>42796</v>
      </c>
      <c r="B1125" s="56">
        <v>1271</v>
      </c>
      <c r="C1125" s="142">
        <v>47</v>
      </c>
      <c r="D1125" s="4" t="str">
        <f>LOOKUP($E1125,OBRAS!$D:$D,OBRAS!C:C)</f>
        <v>CONSERVACION Y RECONSTRUCCION DEL TRAMO MOCTEZUMA- EL CRUCERO (TRAMO KM 164+500 AL KM 210+750) EN LA REGION DE LA SIERRA.</v>
      </c>
      <c r="E1125" s="4" t="s">
        <v>343</v>
      </c>
      <c r="F1125" s="4" t="s">
        <v>793</v>
      </c>
      <c r="G1125" s="4" t="str">
        <f>LOOKUP($E1125,OBRAS!$D:$D,OBRAS!E:E)</f>
        <v>C-00054/0052</v>
      </c>
      <c r="H1125" s="80" t="s">
        <v>220</v>
      </c>
      <c r="I1125" s="6">
        <v>3485893.36</v>
      </c>
      <c r="J1125" s="6"/>
      <c r="K1125" s="6">
        <v>0</v>
      </c>
      <c r="L1125" s="6">
        <f t="shared" si="289"/>
        <v>3485893.36</v>
      </c>
      <c r="M1125" s="6">
        <f t="shared" si="290"/>
        <v>557742.93999999994</v>
      </c>
      <c r="N1125" s="6">
        <f t="shared" si="291"/>
        <v>4043636.3</v>
      </c>
      <c r="O1125" s="6">
        <f t="shared" si="297"/>
        <v>17080.89</v>
      </c>
      <c r="P1125" s="6">
        <f t="shared" si="292"/>
        <v>4026555.41</v>
      </c>
      <c r="Q1125" s="4" t="str">
        <f>LOOKUP($E1125,OBRAS!$D:$D,OBRAS!B:B)</f>
        <v>LA AZTECA CONSTRUCCIONES Y URBANIZACIONES, S.A. DE C.V.</v>
      </c>
      <c r="R1125" s="4" t="str">
        <f>LOOKUP($E1125,OBRAS!$D:$D,OBRAS!A:A)</f>
        <v>VARIOS</v>
      </c>
      <c r="S1125" s="4" t="str">
        <f>LOOKUP($E1125,OBRAS!$D:$D,OBRAS!F:F)</f>
        <v>11000002003501E204K08063A625012162A213</v>
      </c>
      <c r="T1125" s="4" t="str">
        <f>LOOKUP($E1125,OBRAS!$D:$D,OBRAS!G:G)</f>
        <v>CE-926006995-E16-2016</v>
      </c>
      <c r="U1125" s="4" t="s">
        <v>863</v>
      </c>
      <c r="V1125" s="89">
        <v>42810</v>
      </c>
      <c r="W1125" s="6">
        <f>LOOKUP($E1125,OBRAS!$D:$D,OBRAS!K:K)</f>
        <v>60543852.310000002</v>
      </c>
      <c r="X1125" s="109">
        <f t="shared" si="293"/>
        <v>6.6799999999999998E-2</v>
      </c>
      <c r="Y1125" s="109">
        <f t="shared" si="294"/>
        <v>1</v>
      </c>
      <c r="Z1125" s="109">
        <f t="shared" si="295"/>
        <v>1</v>
      </c>
      <c r="AA1125" s="4" t="str">
        <f>LOOKUP($E1125,OBRAS!$D:$D,OBRAS!H:H)</f>
        <v>SH-ED-17-R-013</v>
      </c>
    </row>
    <row r="1126" spans="1:27" ht="60" x14ac:dyDescent="0.25">
      <c r="A1126" s="90">
        <v>42796</v>
      </c>
      <c r="B1126" s="56">
        <v>1272</v>
      </c>
      <c r="C1126" s="142">
        <v>48</v>
      </c>
      <c r="D1126" s="4" t="str">
        <f>LOOKUP($E1126,OBRAS!$D:$D,OBRAS!C:C)</f>
        <v>REHABILITACION DE RED DE CARRETERAS ALIMENTADORAS EN LA REGION DEL RIO DE SONORA EN EL ESTADO DE SONORA; SUBTRAMO KM 0+000 AL KM 75+000</v>
      </c>
      <c r="E1126" s="4" t="s">
        <v>370</v>
      </c>
      <c r="F1126" s="4" t="s">
        <v>248</v>
      </c>
      <c r="G1126" s="4" t="str">
        <f>LOOKUP($E1126,OBRAS!$D:$D,OBRAS!E:E)</f>
        <v>C-00054/0069</v>
      </c>
      <c r="H1126" s="80" t="s">
        <v>220</v>
      </c>
      <c r="I1126" s="6">
        <v>10789709.15</v>
      </c>
      <c r="J1126" s="6"/>
      <c r="K1126" s="6">
        <f t="shared" si="288"/>
        <v>3236912.75</v>
      </c>
      <c r="L1126" s="6">
        <f t="shared" si="289"/>
        <v>7552796.4000000004</v>
      </c>
      <c r="M1126" s="6">
        <f t="shared" si="290"/>
        <v>1208447.42</v>
      </c>
      <c r="N1126" s="6">
        <f t="shared" si="291"/>
        <v>8761243.8200000003</v>
      </c>
      <c r="O1126" s="6">
        <f t="shared" si="297"/>
        <v>52869.57</v>
      </c>
      <c r="P1126" s="6">
        <f t="shared" si="292"/>
        <v>8708374.25</v>
      </c>
      <c r="Q1126" s="4" t="str">
        <f>LOOKUP($E1126,OBRAS!$D:$D,OBRAS!B:B)</f>
        <v>IKARO INGENIERIA Y ARQUITECTURA, S.A. DE C.V</v>
      </c>
      <c r="R1126" s="4" t="str">
        <f>LOOKUP($E1126,OBRAS!$D:$D,OBRAS!A:A)</f>
        <v>VARIOS</v>
      </c>
      <c r="S1126" s="4" t="str">
        <f>LOOKUP($E1126,OBRAS!$D:$D,OBRAS!F:F)</f>
        <v>11000002003501E204K08063A625012162A213</v>
      </c>
      <c r="T1126" s="4" t="str">
        <f>LOOKUP($E1126,OBRAS!$D:$D,OBRAS!G:G)</f>
        <v>CE-9260006995-E38-2016</v>
      </c>
      <c r="U1126" s="4" t="s">
        <v>863</v>
      </c>
      <c r="V1126" s="89">
        <v>42810</v>
      </c>
      <c r="W1126" s="6">
        <f>LOOKUP($E1126,OBRAS!$D:$D,OBRAS!K:K)</f>
        <v>76463113.200000003</v>
      </c>
      <c r="X1126" s="109">
        <f t="shared" si="293"/>
        <v>0.16370000000000001</v>
      </c>
      <c r="Y1126" s="109">
        <f t="shared" si="294"/>
        <v>0.98340000000000005</v>
      </c>
      <c r="Z1126" s="109">
        <f t="shared" si="295"/>
        <v>0.98829999999999996</v>
      </c>
      <c r="AA1126" s="4" t="str">
        <f>LOOKUP($E1126,OBRAS!$D:$D,OBRAS!H:H)</f>
        <v>SH-ED-17-R-013</v>
      </c>
    </row>
    <row r="1127" spans="1:27" ht="45" x14ac:dyDescent="0.25">
      <c r="A1127" s="90">
        <v>42796</v>
      </c>
      <c r="B1127" s="56">
        <v>1273</v>
      </c>
      <c r="C1127" s="142">
        <v>49</v>
      </c>
      <c r="D1127" s="4" t="str">
        <f>LOOKUP($E1127,OBRAS!$D:$D,OBRAS!C:C)</f>
        <v>CONSERVACION Y RECONSTRUCCION DEL TRAMO EL CRUCERO-GRANADOS DEL KM 0+000 AL KM 7+250</v>
      </c>
      <c r="E1127" s="4" t="s">
        <v>593</v>
      </c>
      <c r="F1127" s="4" t="s">
        <v>400</v>
      </c>
      <c r="G1127" s="4" t="str">
        <f>LOOKUP($E1127,OBRAS!$D:$D,OBRAS!E:E)</f>
        <v>C-00054/0067</v>
      </c>
      <c r="H1127" s="80" t="s">
        <v>15</v>
      </c>
      <c r="I1127" s="6">
        <v>3426185.61</v>
      </c>
      <c r="J1127" s="6"/>
      <c r="K1127" s="6">
        <f t="shared" si="288"/>
        <v>1027855.68</v>
      </c>
      <c r="L1127" s="6">
        <f t="shared" si="289"/>
        <v>2398329.9300000002</v>
      </c>
      <c r="M1127" s="6">
        <f t="shared" si="290"/>
        <v>383732.79</v>
      </c>
      <c r="N1127" s="6">
        <f t="shared" si="291"/>
        <v>2782062.72</v>
      </c>
      <c r="O1127" s="6">
        <f>+ROUND(I1127*0.002,2)+ROUND(I1127*0.0003,2)+ROUND(I1127*0.0003,2)+ROUND(I1127*0.0003,2)+ROUND(I1127*0.002,2)+1369894.51</f>
        <v>1386682.83</v>
      </c>
      <c r="P1127" s="6">
        <f t="shared" si="292"/>
        <v>1395379.89</v>
      </c>
      <c r="Q1127" s="4" t="str">
        <f>LOOKUP($E1127,OBRAS!$D:$D,OBRAS!B:B)</f>
        <v>CONOSON SA DE CV</v>
      </c>
      <c r="R1127" s="4" t="str">
        <f>LOOKUP($E1127,OBRAS!$D:$D,OBRAS!A:A)</f>
        <v>VARIOS</v>
      </c>
      <c r="S1127" s="4" t="str">
        <f>LOOKUP($E1127,OBRAS!$D:$D,OBRAS!F:F)</f>
        <v>11000002003501E204K08063A625012162A213</v>
      </c>
      <c r="T1127" s="4" t="str">
        <f>LOOKUP($E1127,OBRAS!$D:$D,OBRAS!G:G)</f>
        <v>CE-926006995-E36-2016</v>
      </c>
      <c r="U1127" s="4" t="s">
        <v>866</v>
      </c>
      <c r="V1127" s="89">
        <v>42811</v>
      </c>
      <c r="W1127" s="6">
        <f>LOOKUP($E1127,OBRAS!$D:$D,OBRAS!K:K)</f>
        <v>15890776.26</v>
      </c>
      <c r="X1127" s="109">
        <f t="shared" si="293"/>
        <v>0.25009999999999999</v>
      </c>
      <c r="Y1127" s="109">
        <f t="shared" si="294"/>
        <v>0.61470000000000002</v>
      </c>
      <c r="Z1127" s="109">
        <f t="shared" si="295"/>
        <v>0.73019999999999996</v>
      </c>
      <c r="AA1127" s="4" t="str">
        <f>LOOKUP($E1127,OBRAS!$D:$D,OBRAS!H:H)</f>
        <v>SH-ED-17-R-013</v>
      </c>
    </row>
    <row r="1128" spans="1:27" ht="45" x14ac:dyDescent="0.25">
      <c r="A1128" s="90">
        <v>42796</v>
      </c>
      <c r="B1128" s="56">
        <v>1274</v>
      </c>
      <c r="C1128" s="142">
        <v>50</v>
      </c>
      <c r="D1128" s="4" t="str">
        <f>LOOKUP($E1128,OBRAS!$D:$D,OBRAS!C:C)</f>
        <v>PAVIMENTACION CON CONCRETO HIDRAULICO DE 15CMS DE ESPESOR EN BLVD. MIGUEL ALEMAN EN LA LOCALIDAD DE BENJAMIN HILL</v>
      </c>
      <c r="E1128" s="4" t="s">
        <v>972</v>
      </c>
      <c r="F1128" s="4" t="s">
        <v>217</v>
      </c>
      <c r="G1128" s="4" t="str">
        <f>LOOKUP($E1128,OBRAS!$D:$D,OBRAS!E:E)</f>
        <v>C-00052/0189</v>
      </c>
      <c r="H1128" s="80" t="s">
        <v>103</v>
      </c>
      <c r="I1128" s="6">
        <v>125659.51</v>
      </c>
      <c r="J1128" s="6"/>
      <c r="K1128" s="6">
        <f t="shared" si="288"/>
        <v>37697.85</v>
      </c>
      <c r="L1128" s="6">
        <f t="shared" si="289"/>
        <v>87961.66</v>
      </c>
      <c r="M1128" s="6">
        <f t="shared" si="290"/>
        <v>14073.87</v>
      </c>
      <c r="N1128" s="6">
        <f t="shared" si="291"/>
        <v>102035.53</v>
      </c>
      <c r="O1128" s="6">
        <f>+ROUND(I1128*0.005,2)</f>
        <v>628.29999999999995</v>
      </c>
      <c r="P1128" s="6">
        <f t="shared" si="292"/>
        <v>101407.23</v>
      </c>
      <c r="Q1128" s="4" t="str">
        <f>LOOKUP($E1128,OBRAS!$D:$D,OBRAS!B:B)</f>
        <v>VICOMMING, S.A. DE C.V.</v>
      </c>
      <c r="R1128" s="4" t="str">
        <f>LOOKUP($E1128,OBRAS!$D:$D,OBRAS!A:A)</f>
        <v>BENJAMIN HILL</v>
      </c>
      <c r="S1128" s="4" t="str">
        <f>LOOKUP($E1128,OBRAS!$D:$D,OBRAS!F:F)</f>
        <v>11000002002201E202K05186A614202165FC03C</v>
      </c>
      <c r="T1128" s="4" t="str">
        <f>LOOKUP($E1128,OBRAS!$D:$D,OBRAS!G:G)</f>
        <v>IO-926006995-E108-2016</v>
      </c>
      <c r="U1128" s="4" t="s">
        <v>866</v>
      </c>
      <c r="V1128" s="89">
        <v>42803</v>
      </c>
      <c r="W1128" s="6">
        <f>LOOKUP($E1128,OBRAS!$D:$D,OBRAS!K:K)</f>
        <v>3149792.52</v>
      </c>
      <c r="X1128" s="109">
        <f t="shared" si="293"/>
        <v>4.6300000000000001E-2</v>
      </c>
      <c r="Y1128" s="109">
        <f t="shared" si="294"/>
        <v>8.3799999999999999E-2</v>
      </c>
      <c r="Z1128" s="109">
        <f t="shared" si="295"/>
        <v>0.35859999999999997</v>
      </c>
      <c r="AA1128" s="4" t="str">
        <f>LOOKUP($E1128,OBRAS!$D:$D,OBRAS!H:H)</f>
        <v>SH-NC-17-R-009</v>
      </c>
    </row>
    <row r="1129" spans="1:27" ht="60" x14ac:dyDescent="0.25">
      <c r="A1129" s="90">
        <v>42796</v>
      </c>
      <c r="B1129" s="56">
        <v>1276</v>
      </c>
      <c r="C1129" s="142">
        <v>51</v>
      </c>
      <c r="D1129" s="4" t="str">
        <f>LOOKUP($E1129,OBRAS!$D:$D,OBRAS!C:C)</f>
        <v>RECONSTRUCCION DE E.C. (CALLE 36 SUR) GRANJAS ACUICOLAS DEL KM 0+000 AL KM 12+660, EN VARIAS LOCALIDADES DEL MUNICIPIO DE HERMOSILLO.</v>
      </c>
      <c r="E1129" s="4" t="s">
        <v>375</v>
      </c>
      <c r="F1129" s="4" t="s">
        <v>400</v>
      </c>
      <c r="G1129" s="4" t="str">
        <f>LOOKUP($E1129,OBRAS!$D:$D,OBRAS!E:E)</f>
        <v>C-00054/0071</v>
      </c>
      <c r="H1129" s="80" t="s">
        <v>748</v>
      </c>
      <c r="I1129" s="6">
        <v>1066703.18</v>
      </c>
      <c r="J1129" s="6"/>
      <c r="K1129" s="6">
        <f t="shared" si="288"/>
        <v>320010.95</v>
      </c>
      <c r="L1129" s="6">
        <f t="shared" si="289"/>
        <v>746692.23</v>
      </c>
      <c r="M1129" s="6">
        <f t="shared" si="290"/>
        <v>119470.76</v>
      </c>
      <c r="N1129" s="6">
        <f t="shared" si="291"/>
        <v>866162.99</v>
      </c>
      <c r="O1129" s="6">
        <f t="shared" si="297"/>
        <v>5226.8500000000004</v>
      </c>
      <c r="P1129" s="6">
        <f t="shared" si="292"/>
        <v>860936.14</v>
      </c>
      <c r="Q1129" s="4" t="str">
        <f>LOOKUP($E1129,OBRAS!$D:$D,OBRAS!B:B)</f>
        <v>RENTA, MOVIMIENTO DE CONSTRUCCION EQUIPEN, S.A. DE C.V.</v>
      </c>
      <c r="R1129" s="4" t="str">
        <f>LOOKUP($E1129,OBRAS!$D:$D,OBRAS!A:A)</f>
        <v>HERMOSILLO</v>
      </c>
      <c r="S1129" s="4" t="str">
        <f>LOOKUP($E1129,OBRAS!$D:$D,OBRAS!F:F)</f>
        <v>11000002003501E204K08063A625012162A207</v>
      </c>
      <c r="T1129" s="4" t="str">
        <f>LOOKUP($E1129,OBRAS!$D:$D,OBRAS!G:G)</f>
        <v>CE-926006995-E44-2016</v>
      </c>
      <c r="U1129" s="4" t="s">
        <v>864</v>
      </c>
      <c r="V1129" s="89">
        <v>42816</v>
      </c>
      <c r="W1129" s="6">
        <f>LOOKUP($E1129,OBRAS!$D:$D,OBRAS!K:K)</f>
        <v>22599852.190000001</v>
      </c>
      <c r="X1129" s="109">
        <f t="shared" si="293"/>
        <v>5.4800000000000001E-2</v>
      </c>
      <c r="Y1129" s="109">
        <f t="shared" si="294"/>
        <v>0.66990000000000005</v>
      </c>
      <c r="Z1129" s="109">
        <f t="shared" si="295"/>
        <v>0.76890000000000003</v>
      </c>
      <c r="AA1129" s="4" t="str">
        <f>LOOKUP($E1129,OBRAS!$D:$D,OBRAS!H:H)</f>
        <v>SH-ED-17-R-004</v>
      </c>
    </row>
    <row r="1130" spans="1:27" ht="45" x14ac:dyDescent="0.25">
      <c r="A1130" s="90">
        <v>42796</v>
      </c>
      <c r="B1130" s="56">
        <v>1278</v>
      </c>
      <c r="C1130" s="142">
        <v>52</v>
      </c>
      <c r="D1130" s="4" t="str">
        <f>LOOKUP($E1130,OBRAS!$D:$D,OBRAS!C:C)</f>
        <v>CONSTRUCCIÓN DE CENTRO DE REHABILITACIÓN Y EDUCACIÓN ESPECIAL, CD. OBREGON, CAJEME</v>
      </c>
      <c r="E1130" s="4" t="s">
        <v>621</v>
      </c>
      <c r="F1130" s="4" t="s">
        <v>225</v>
      </c>
      <c r="G1130" s="4" t="str">
        <f>LOOKUP($E1130,OBRAS!$D:$D,OBRAS!E:E)</f>
        <v>C-00119/0001</v>
      </c>
      <c r="H1130" s="80" t="s">
        <v>55</v>
      </c>
      <c r="I1130" s="6">
        <v>1063964.6399999999</v>
      </c>
      <c r="J1130" s="6"/>
      <c r="K1130" s="6">
        <f t="shared" si="288"/>
        <v>319189.39</v>
      </c>
      <c r="L1130" s="6">
        <f t="shared" si="289"/>
        <v>744775.25</v>
      </c>
      <c r="M1130" s="6">
        <f t="shared" si="290"/>
        <v>119164.04</v>
      </c>
      <c r="N1130" s="6">
        <f t="shared" si="291"/>
        <v>863939.29</v>
      </c>
      <c r="O1130" s="6">
        <f t="shared" si="297"/>
        <v>5213.43</v>
      </c>
      <c r="P1130" s="6">
        <f t="shared" si="292"/>
        <v>858725.86</v>
      </c>
      <c r="Q1130" s="4" t="str">
        <f>LOOKUP($E1130,OBRAS!$D:$D,OBRAS!B:B)</f>
        <v>PROYECTOS Y CONSTRUCCIONES ALHER, S.A. DE C.V.</v>
      </c>
      <c r="R1130" s="4" t="str">
        <f>LOOKUP($E1130,OBRAS!$D:$D,OBRAS!A:A)</f>
        <v>CAJEME</v>
      </c>
      <c r="S1130" s="4" t="str">
        <f>LOOKUP($E1130,OBRAS!$D:$D,OBRAS!F:F)</f>
        <v>11000002002303E412K27152A622102162A211</v>
      </c>
      <c r="T1130" s="4" t="str">
        <f>LOOKUP($E1130,OBRAS!$D:$D,OBRAS!G:G)</f>
        <v>CE-926006995-E61-2016</v>
      </c>
      <c r="U1130" s="4" t="s">
        <v>863</v>
      </c>
      <c r="V1130" s="89">
        <v>42810</v>
      </c>
      <c r="W1130" s="6">
        <f>LOOKUP($E1130,OBRAS!$D:$D,OBRAS!K:K)</f>
        <v>38949797.340000004</v>
      </c>
      <c r="X1130" s="109">
        <f t="shared" si="293"/>
        <v>3.1699999999999999E-2</v>
      </c>
      <c r="Y1130" s="109">
        <f t="shared" si="294"/>
        <v>0.1762</v>
      </c>
      <c r="Z1130" s="109">
        <f t="shared" si="295"/>
        <v>0.4229</v>
      </c>
      <c r="AA1130" s="4" t="str">
        <f>LOOKUP($E1130,OBRAS!$D:$D,OBRAS!H:H)</f>
        <v>SH-ED-17-R-004</v>
      </c>
    </row>
    <row r="1131" spans="1:27" ht="45" x14ac:dyDescent="0.25">
      <c r="A1131" s="90">
        <v>42796</v>
      </c>
      <c r="B1131" s="56">
        <v>1303</v>
      </c>
      <c r="C1131" s="142">
        <v>53</v>
      </c>
      <c r="D1131" s="4" t="str">
        <f>LOOKUP($E1131,OBRAS!$D:$D,OBRAS!C:C)</f>
        <v>CONSTRUCCION DE CENTRO COMUNITARIO DE APRENDIZAJE EN LA LOCALIDAD DE MESA COLORADA, MUNICIPIO DE ALAMOS</v>
      </c>
      <c r="E1131" s="4" t="s">
        <v>1647</v>
      </c>
      <c r="F1131" s="4" t="s">
        <v>217</v>
      </c>
      <c r="G1131" s="4" t="str">
        <f>LOOKUP($E1131,OBRAS!$D:$D,OBRAS!E:E)</f>
        <v>C-00061/0020</v>
      </c>
      <c r="H1131" s="80" t="s">
        <v>103</v>
      </c>
      <c r="I1131" s="6">
        <v>294508.09000000003</v>
      </c>
      <c r="J1131" s="6"/>
      <c r="K1131" s="6">
        <f t="shared" si="288"/>
        <v>88352.43</v>
      </c>
      <c r="L1131" s="6">
        <f t="shared" si="289"/>
        <v>206155.66</v>
      </c>
      <c r="M1131" s="6">
        <f t="shared" si="290"/>
        <v>32984.910000000003</v>
      </c>
      <c r="N1131" s="6">
        <f t="shared" si="291"/>
        <v>239140.57</v>
      </c>
      <c r="O1131" s="6">
        <f t="shared" si="297"/>
        <v>1443.09</v>
      </c>
      <c r="P1131" s="6">
        <f t="shared" si="292"/>
        <v>237697.48</v>
      </c>
      <c r="Q1131" s="4" t="str">
        <f>LOOKUP($E1131,OBRAS!$D:$D,OBRAS!B:B)</f>
        <v>ING. GAUDENCIO RAMOS MONTEON</v>
      </c>
      <c r="R1131" s="4" t="str">
        <f>LOOKUP($E1131,OBRAS!$D:$D,OBRAS!A:A)</f>
        <v>ALAMOS</v>
      </c>
      <c r="S1131" s="4" t="str">
        <f>LOOKUP($E1131,OBRAS!$D:$D,OBRAS!F:F)</f>
        <v>11000002002302E401K04039K612032165DM12</v>
      </c>
      <c r="T1131" s="4" t="str">
        <f>LOOKUP($E1131,OBRAS!$D:$D,OBRAS!G:G)</f>
        <v>CE-926006995-E145-2016</v>
      </c>
      <c r="U1131" s="4" t="s">
        <v>863</v>
      </c>
      <c r="V1131" s="89">
        <v>42810</v>
      </c>
      <c r="W1131" s="6">
        <f>LOOKUP($E1131,OBRAS!$D:$D,OBRAS!K:K)</f>
        <v>2879974.93</v>
      </c>
      <c r="X1131" s="109">
        <f t="shared" si="293"/>
        <v>0.1186</v>
      </c>
      <c r="Y1131" s="109">
        <f t="shared" si="294"/>
        <v>0.19040000000000001</v>
      </c>
      <c r="Z1131" s="109">
        <f t="shared" si="295"/>
        <v>0.43330000000000002</v>
      </c>
      <c r="AA1131" s="4" t="str">
        <f>LOOKUP($E1131,OBRAS!$D:$D,OBRAS!H:H)</f>
        <v>SH-FAFEF-17-R-001</v>
      </c>
    </row>
    <row r="1132" spans="1:27" ht="45" x14ac:dyDescent="0.25">
      <c r="A1132" s="90">
        <v>42796</v>
      </c>
      <c r="B1132" s="56">
        <v>1304</v>
      </c>
      <c r="C1132" s="142">
        <v>54</v>
      </c>
      <c r="D1132" s="4" t="str">
        <f>LOOKUP($E1132,OBRAS!$D:$D,OBRAS!C:C)</f>
        <v>PAVIMENTACION CON CARPETA ASFÁLTICA EN 3 CALLES, EN LA LOCALIDAD DE EMILIANO ZAPATA, MUNICIPIO DE SAN LUIS RIO COLORADO.</v>
      </c>
      <c r="E1132" s="4" t="s">
        <v>1809</v>
      </c>
      <c r="F1132" s="4" t="s">
        <v>217</v>
      </c>
      <c r="G1132" s="4" t="str">
        <f>LOOKUP($E1132,OBRAS!$D:$D,OBRAS!E:E)</f>
        <v>C-00052/0201</v>
      </c>
      <c r="H1132" s="80" t="s">
        <v>221</v>
      </c>
      <c r="I1132" s="6">
        <v>525409.75</v>
      </c>
      <c r="J1132" s="6"/>
      <c r="K1132" s="6">
        <f t="shared" si="288"/>
        <v>157622.93</v>
      </c>
      <c r="L1132" s="6">
        <f t="shared" si="289"/>
        <v>367786.82</v>
      </c>
      <c r="M1132" s="6">
        <f t="shared" si="290"/>
        <v>58845.89</v>
      </c>
      <c r="N1132" s="6">
        <f t="shared" si="291"/>
        <v>426632.71</v>
      </c>
      <c r="O1132" s="6">
        <f>+ROUND(I1132*0.005,2)</f>
        <v>2627.05</v>
      </c>
      <c r="P1132" s="6">
        <f t="shared" si="292"/>
        <v>424005.66</v>
      </c>
      <c r="Q1132" s="4" t="str">
        <f>LOOKUP($E1132,OBRAS!$D:$D,OBRAS!B:B)</f>
        <v>CONSTRUCCIONES Y TERRACERIAS MOVAKAR, S.A. DE C.V.</v>
      </c>
      <c r="R1132" s="4" t="str">
        <f>LOOKUP($E1132,OBRAS!$D:$D,OBRAS!A:A)</f>
        <v>S.L.R.C.</v>
      </c>
      <c r="S1132" s="4" t="str">
        <f>LOOKUP($E1132,OBRAS!$D:$D,OBRAS!F:F)</f>
        <v>11000002002201E202K05186A614202165FC01</v>
      </c>
      <c r="T1132" s="4" t="str">
        <f>LOOKUP($E1132,OBRAS!$D:$D,OBRAS!G:G)</f>
        <v>IO-926006995-E149-2016</v>
      </c>
      <c r="U1132" s="4" t="s">
        <v>863</v>
      </c>
      <c r="V1132" s="89">
        <v>42810</v>
      </c>
      <c r="W1132" s="6">
        <f>LOOKUP($E1132,OBRAS!$D:$D,OBRAS!K:K)</f>
        <v>3354071.51</v>
      </c>
      <c r="X1132" s="109">
        <f t="shared" si="293"/>
        <v>0.1817</v>
      </c>
      <c r="Y1132" s="109">
        <f t="shared" si="294"/>
        <v>0.2087</v>
      </c>
      <c r="Z1132" s="109">
        <f t="shared" si="295"/>
        <v>0.4461</v>
      </c>
      <c r="AA1132" s="4" t="str">
        <f>LOOKUP($E1132,OBRAS!$D:$D,OBRAS!H:H)</f>
        <v>SH-NC-17-R-009</v>
      </c>
    </row>
    <row r="1133" spans="1:27" ht="45" x14ac:dyDescent="0.25">
      <c r="A1133" s="90">
        <v>42796</v>
      </c>
      <c r="B1133" s="56">
        <v>1305</v>
      </c>
      <c r="C1133" s="142">
        <v>55</v>
      </c>
      <c r="D1133" s="4" t="str">
        <f>LOOKUP($E1133,OBRAS!$D:$D,OBRAS!C:C)</f>
        <v>REHABILITACION DE PAVIMENTOS A BASE DE RECARPETEO EN BLVD. LUIS ENCINAS ENTRE BENITO JUAREZ Y PERIFERICO ORIENTE</v>
      </c>
      <c r="E1133" s="4" t="s">
        <v>1725</v>
      </c>
      <c r="F1133" s="4" t="s">
        <v>217</v>
      </c>
      <c r="G1133" s="4" t="str">
        <f>LOOKUP($E1133,OBRAS!$D:$D,OBRAS!E:E)</f>
        <v>C-00052/0226</v>
      </c>
      <c r="H1133" s="80" t="s">
        <v>55</v>
      </c>
      <c r="I1133" s="6">
        <v>3991119.4</v>
      </c>
      <c r="J1133" s="6"/>
      <c r="K1133" s="6">
        <v>1197335.82</v>
      </c>
      <c r="L1133" s="6">
        <f t="shared" si="289"/>
        <v>2793783.58</v>
      </c>
      <c r="M1133" s="6">
        <f t="shared" si="290"/>
        <v>447005.37</v>
      </c>
      <c r="N1133" s="6">
        <f t="shared" si="291"/>
        <v>3240788.95</v>
      </c>
      <c r="O1133" s="6">
        <f>+ROUND(I1133*0.005,2)</f>
        <v>19955.599999999999</v>
      </c>
      <c r="P1133" s="6">
        <f t="shared" si="292"/>
        <v>3220833.35</v>
      </c>
      <c r="Q1133" s="4" t="str">
        <f>LOOKUP($E1133,OBRAS!$D:$D,OBRAS!B:B)</f>
        <v>EDIFICACIONES Y PROYECTOS MOCELIK, S.A. DE C.V.</v>
      </c>
      <c r="R1133" s="4" t="str">
        <f>LOOKUP($E1133,OBRAS!$D:$D,OBRAS!A:A)</f>
        <v>HERMOSILLO</v>
      </c>
      <c r="S1133" s="4" t="str">
        <f>LOOKUP($E1133,OBRAS!$D:$D,OBRAS!F:F)</f>
        <v>11000002002201E202K05186A614202165FN07</v>
      </c>
      <c r="T1133" s="4" t="str">
        <f>LOOKUP($E1133,OBRAS!$D:$D,OBRAS!G:G)</f>
        <v>LO-926006995-E94-2016</v>
      </c>
      <c r="U1133" s="4" t="s">
        <v>864</v>
      </c>
      <c r="V1133" s="89">
        <v>42811</v>
      </c>
      <c r="W1133" s="6">
        <f>LOOKUP($E1133,OBRAS!$D:$D,OBRAS!K:K)</f>
        <v>14497968.359999999</v>
      </c>
      <c r="X1133" s="109">
        <f t="shared" si="293"/>
        <v>0.31929999999999997</v>
      </c>
      <c r="Y1133" s="109">
        <f t="shared" si="294"/>
        <v>0.79359999999999997</v>
      </c>
      <c r="Z1133" s="109">
        <f t="shared" si="295"/>
        <v>0.85560000000000003</v>
      </c>
      <c r="AA1133" s="4" t="str">
        <f>LOOKUP($E1133,OBRAS!$D:$D,OBRAS!H:H)</f>
        <v>SH-NC-17-R-005</v>
      </c>
    </row>
    <row r="1134" spans="1:27" ht="45" x14ac:dyDescent="0.25">
      <c r="A1134" s="90">
        <v>42797</v>
      </c>
      <c r="B1134" s="56">
        <v>1312</v>
      </c>
      <c r="C1134" s="142">
        <v>61</v>
      </c>
      <c r="D1134" s="4" t="str">
        <f>LOOKUP($E1134,OBRAS!$D:$D,OBRAS!C:C)</f>
        <v>CONSTRUCCION DE LINEA DE CONDUCCION DEL POZO EXISTENTE A LA CAJA DE ALMACENAMIENTO (AMPLIACION)</v>
      </c>
      <c r="E1134" s="4" t="s">
        <v>2438</v>
      </c>
      <c r="F1134" s="4" t="s">
        <v>224</v>
      </c>
      <c r="G1134" s="4" t="str">
        <f>LOOKUP($E1134,OBRAS!$D:$D,OBRAS!E:E)</f>
        <v>C-00050/0003</v>
      </c>
      <c r="H1134" s="80" t="s">
        <v>103</v>
      </c>
      <c r="I1134" s="6">
        <v>441786.81</v>
      </c>
      <c r="J1134" s="6"/>
      <c r="K1134" s="6">
        <v>0</v>
      </c>
      <c r="L1134" s="6">
        <f t="shared" si="289"/>
        <v>441786.81</v>
      </c>
      <c r="M1134" s="6">
        <f t="shared" si="290"/>
        <v>70685.89</v>
      </c>
      <c r="N1134" s="6">
        <f t="shared" si="291"/>
        <v>512472.7</v>
      </c>
      <c r="O1134" s="6">
        <f t="shared" ref="O1134" si="298">+ROUND(I1134*0.002,2)+ROUND(I1134*0.0003,2)+ROUND(I1134*0.0003,2)+ROUND(I1134*0.0003,2)+ROUND(I1134*0.002,2)</f>
        <v>2164.7600000000002</v>
      </c>
      <c r="P1134" s="6">
        <f t="shared" si="292"/>
        <v>510307.94</v>
      </c>
      <c r="Q1134" s="4" t="str">
        <f>LOOKUP($E1134,OBRAS!$D:$D,OBRAS!B:B)</f>
        <v>CONSTRUCCIONES Y DISEÑOS OPOSURA, S.A. DE C.V.</v>
      </c>
      <c r="R1134" s="4" t="str">
        <f>LOOKUP($E1134,OBRAS!$D:$D,OBRAS!A:A)</f>
        <v>SAN PEDRO DE LA CUEVA</v>
      </c>
      <c r="S1134" s="4" t="str">
        <f>LOOKUP($E1134,OBRAS!$D:$D,OBRAS!F:F)</f>
        <v>11000002002203E208K13020A614082162A208</v>
      </c>
      <c r="T1134" s="4" t="str">
        <f>LOOKUP($E1134,OBRAS!$D:$D,OBRAS!G:G)</f>
        <v>ADJUDICACIÓN DIRECTA</v>
      </c>
      <c r="U1134" s="4" t="s">
        <v>866</v>
      </c>
      <c r="V1134" s="89">
        <v>42811</v>
      </c>
      <c r="W1134" s="6">
        <f>LOOKUP($E1134,OBRAS!$D:$D,OBRAS!K:K)</f>
        <v>572888.27</v>
      </c>
      <c r="X1134" s="109">
        <f t="shared" si="293"/>
        <v>0.89449999999999996</v>
      </c>
      <c r="Y1134" s="109">
        <f t="shared" si="294"/>
        <v>0.89449999999999996</v>
      </c>
      <c r="Z1134" s="109">
        <f t="shared" si="295"/>
        <v>0.89449999999999996</v>
      </c>
      <c r="AA1134" s="4" t="str">
        <f>LOOKUP($E1134,OBRAS!$D:$D,OBRAS!H:H)</f>
        <v>SH-ED-17-R-013</v>
      </c>
    </row>
    <row r="1135" spans="1:27" ht="45" x14ac:dyDescent="0.25">
      <c r="A1135" s="90">
        <v>42797</v>
      </c>
      <c r="B1135" s="56">
        <v>1313</v>
      </c>
      <c r="C1135" s="142">
        <v>57</v>
      </c>
      <c r="D1135" s="4" t="str">
        <f>LOOKUP($E1135,OBRAS!$D:$D,OBRAS!C:C)</f>
        <v>CONSTRUCCION DE CENTRO COMUNITARIO DE APRENDIZAJE EN LA LOCALIDAD DE GUAJARAY, MUNICIPIO DE ALAMOS</v>
      </c>
      <c r="E1135" s="4" t="s">
        <v>1644</v>
      </c>
      <c r="F1135" s="4" t="s">
        <v>217</v>
      </c>
      <c r="G1135" s="4" t="str">
        <f>LOOKUP($E1135,OBRAS!$D:$D,OBRAS!E:E)</f>
        <v>C-00061/0019</v>
      </c>
      <c r="H1135" s="80" t="s">
        <v>221</v>
      </c>
      <c r="I1135" s="6">
        <v>294508.09000000003</v>
      </c>
      <c r="J1135" s="6"/>
      <c r="K1135" s="6">
        <f t="shared" si="288"/>
        <v>88352.43</v>
      </c>
      <c r="L1135" s="6">
        <f t="shared" si="289"/>
        <v>206155.66</v>
      </c>
      <c r="M1135" s="6">
        <f t="shared" si="290"/>
        <v>32984.910000000003</v>
      </c>
      <c r="N1135" s="6">
        <f t="shared" si="291"/>
        <v>239140.57</v>
      </c>
      <c r="O1135" s="6">
        <f t="shared" si="297"/>
        <v>1443.09</v>
      </c>
      <c r="P1135" s="6">
        <f t="shared" si="292"/>
        <v>237697.48</v>
      </c>
      <c r="Q1135" s="4" t="str">
        <f>LOOKUP($E1135,OBRAS!$D:$D,OBRAS!B:B)</f>
        <v>ING. GAUDENCIO RAMOS MONTEON</v>
      </c>
      <c r="R1135" s="4" t="str">
        <f>LOOKUP($E1135,OBRAS!$D:$D,OBRAS!A:A)</f>
        <v>ALAMOS</v>
      </c>
      <c r="S1135" s="4" t="str">
        <f>LOOKUP($E1135,OBRAS!$D:$D,OBRAS!F:F)</f>
        <v>11000002002302E401K04039K612032165DM12</v>
      </c>
      <c r="T1135" s="4" t="str">
        <f>LOOKUP($E1135,OBRAS!$D:$D,OBRAS!G:G)</f>
        <v>CE-926006995-E145-2016</v>
      </c>
      <c r="U1135" s="4" t="s">
        <v>864</v>
      </c>
      <c r="V1135" s="89">
        <v>42811</v>
      </c>
      <c r="W1135" s="6">
        <f>LOOKUP($E1135,OBRAS!$D:$D,OBRAS!K:K)</f>
        <v>2879975.4</v>
      </c>
      <c r="X1135" s="109">
        <f t="shared" si="293"/>
        <v>0.1186</v>
      </c>
      <c r="Y1135" s="109">
        <f t="shared" si="294"/>
        <v>0.19040000000000001</v>
      </c>
      <c r="Z1135" s="109">
        <f t="shared" si="295"/>
        <v>0.43330000000000002</v>
      </c>
      <c r="AA1135" s="4" t="str">
        <f>LOOKUP($E1135,OBRAS!$D:$D,OBRAS!H:H)</f>
        <v>SH-FAFEF-17-R-001</v>
      </c>
    </row>
    <row r="1136" spans="1:27" ht="45" x14ac:dyDescent="0.25">
      <c r="A1136" s="90">
        <v>42797</v>
      </c>
      <c r="B1136" s="56">
        <v>1314</v>
      </c>
      <c r="C1136" s="142">
        <v>58</v>
      </c>
      <c r="D1136" s="4" t="str">
        <f>LOOKUP($E1136,OBRAS!$D:$D,OBRAS!C:C)</f>
        <v>CONSTRUCCION DE CENTRO COMUNITARIO DE APRENDIZAJE EN LA LOCALIDAD DE MESA COLORADA, MUNICIPIO DE ALAMOS</v>
      </c>
      <c r="E1136" s="4" t="s">
        <v>1647</v>
      </c>
      <c r="F1136" s="4" t="s">
        <v>217</v>
      </c>
      <c r="G1136" s="4" t="str">
        <f>LOOKUP($E1136,OBRAS!$D:$D,OBRAS!E:E)</f>
        <v>C-00061/0020</v>
      </c>
      <c r="H1136" s="80" t="s">
        <v>55</v>
      </c>
      <c r="I1136" s="6">
        <v>178298.18</v>
      </c>
      <c r="J1136" s="6"/>
      <c r="K1136" s="6">
        <f t="shared" si="288"/>
        <v>53489.45</v>
      </c>
      <c r="L1136" s="6">
        <f t="shared" si="289"/>
        <v>124808.73</v>
      </c>
      <c r="M1136" s="6">
        <f t="shared" si="290"/>
        <v>19969.400000000001</v>
      </c>
      <c r="N1136" s="6">
        <f t="shared" si="291"/>
        <v>144778.13</v>
      </c>
      <c r="O1136" s="6">
        <f t="shared" si="297"/>
        <v>873.67</v>
      </c>
      <c r="P1136" s="6">
        <f t="shared" si="292"/>
        <v>143904.46</v>
      </c>
      <c r="Q1136" s="4" t="str">
        <f>LOOKUP($E1136,OBRAS!$D:$D,OBRAS!B:B)</f>
        <v>ING. GAUDENCIO RAMOS MONTEON</v>
      </c>
      <c r="R1136" s="4" t="str">
        <f>LOOKUP($E1136,OBRAS!$D:$D,OBRAS!A:A)</f>
        <v>ALAMOS</v>
      </c>
      <c r="S1136" s="4" t="str">
        <f>LOOKUP($E1136,OBRAS!$D:$D,OBRAS!F:F)</f>
        <v>11000002002302E401K04039K612032165DM12</v>
      </c>
      <c r="T1136" s="4" t="str">
        <f>LOOKUP($E1136,OBRAS!$D:$D,OBRAS!G:G)</f>
        <v>CE-926006995-E145-2016</v>
      </c>
      <c r="U1136" s="4" t="s">
        <v>864</v>
      </c>
      <c r="V1136" s="89">
        <v>42811</v>
      </c>
      <c r="W1136" s="6">
        <f>LOOKUP($E1136,OBRAS!$D:$D,OBRAS!K:K)</f>
        <v>2879974.93</v>
      </c>
      <c r="X1136" s="109">
        <f t="shared" si="293"/>
        <v>7.1800000000000003E-2</v>
      </c>
      <c r="Y1136" s="109">
        <f t="shared" si="294"/>
        <v>0.19040000000000001</v>
      </c>
      <c r="Z1136" s="109">
        <f t="shared" si="295"/>
        <v>0.43330000000000002</v>
      </c>
      <c r="AA1136" s="4" t="str">
        <f>LOOKUP($E1136,OBRAS!$D:$D,OBRAS!H:H)</f>
        <v>SH-FAFEF-17-R-001</v>
      </c>
    </row>
    <row r="1137" spans="1:27" ht="45" x14ac:dyDescent="0.25">
      <c r="A1137" s="90">
        <v>42797</v>
      </c>
      <c r="B1137" s="56">
        <v>1315</v>
      </c>
      <c r="C1137" s="142">
        <v>59</v>
      </c>
      <c r="D1137" s="4" t="str">
        <f>LOOKUP($E1137,OBRAS!$D:$D,OBRAS!C:C)</f>
        <v>CONSTRUCCION DE CENTRO COMUNITARIO DE APRENDIZAJE EN LA LOCALIDAD DE GUAJARAY, MUNICIPIO DE ALAMOS</v>
      </c>
      <c r="E1137" s="4" t="s">
        <v>1644</v>
      </c>
      <c r="F1137" s="4" t="s">
        <v>217</v>
      </c>
      <c r="G1137" s="4" t="str">
        <f>LOOKUP($E1137,OBRAS!$D:$D,OBRAS!E:E)</f>
        <v>C-00061/0019</v>
      </c>
      <c r="H1137" s="80" t="s">
        <v>215</v>
      </c>
      <c r="I1137" s="6">
        <v>178298.18</v>
      </c>
      <c r="J1137" s="6"/>
      <c r="K1137" s="6">
        <f t="shared" si="288"/>
        <v>53489.45</v>
      </c>
      <c r="L1137" s="6">
        <f t="shared" si="289"/>
        <v>124808.73</v>
      </c>
      <c r="M1137" s="6">
        <f t="shared" si="290"/>
        <v>19969.400000000001</v>
      </c>
      <c r="N1137" s="6">
        <f t="shared" si="291"/>
        <v>144778.13</v>
      </c>
      <c r="O1137" s="6">
        <f t="shared" si="297"/>
        <v>873.67</v>
      </c>
      <c r="P1137" s="6">
        <f t="shared" si="292"/>
        <v>143904.46</v>
      </c>
      <c r="Q1137" s="4" t="str">
        <f>LOOKUP($E1137,OBRAS!$D:$D,OBRAS!B:B)</f>
        <v>ING. GAUDENCIO RAMOS MONTEON</v>
      </c>
      <c r="R1137" s="4" t="str">
        <f>LOOKUP($E1137,OBRAS!$D:$D,OBRAS!A:A)</f>
        <v>ALAMOS</v>
      </c>
      <c r="S1137" s="4" t="str">
        <f>LOOKUP($E1137,OBRAS!$D:$D,OBRAS!F:F)</f>
        <v>11000002002302E401K04039K612032165DM12</v>
      </c>
      <c r="T1137" s="4" t="str">
        <f>LOOKUP($E1137,OBRAS!$D:$D,OBRAS!G:G)</f>
        <v>CE-926006995-E145-2016</v>
      </c>
      <c r="U1137" s="4" t="s">
        <v>864</v>
      </c>
      <c r="V1137" s="89">
        <v>42811</v>
      </c>
      <c r="W1137" s="6">
        <f>LOOKUP($E1137,OBRAS!$D:$D,OBRAS!K:K)</f>
        <v>2879975.4</v>
      </c>
      <c r="X1137" s="109">
        <f t="shared" si="293"/>
        <v>7.1800000000000003E-2</v>
      </c>
      <c r="Y1137" s="109">
        <f t="shared" si="294"/>
        <v>0.19040000000000001</v>
      </c>
      <c r="Z1137" s="109">
        <f t="shared" si="295"/>
        <v>0.43330000000000002</v>
      </c>
      <c r="AA1137" s="4" t="str">
        <f>LOOKUP($E1137,OBRAS!$D:$D,OBRAS!H:H)</f>
        <v>SH-FAFEF-17-R-001</v>
      </c>
    </row>
    <row r="1138" spans="1:27" ht="45" x14ac:dyDescent="0.25">
      <c r="A1138" s="90">
        <v>42797</v>
      </c>
      <c r="B1138" s="56">
        <v>1316</v>
      </c>
      <c r="C1138" s="142">
        <v>60</v>
      </c>
      <c r="D1138" s="4" t="str">
        <f>LOOKUP($E1138,OBRAS!$D:$D,OBRAS!C:C)</f>
        <v>PAVIMENTACIÓN CON CONCRETO HIDRAULICO DE CALLE ADOLFO DE LA HUERTA EN LA LOCALIDAD DE QUEROBABI</v>
      </c>
      <c r="E1138" s="4" t="s">
        <v>1719</v>
      </c>
      <c r="F1138" s="4" t="s">
        <v>217</v>
      </c>
      <c r="G1138" s="4" t="str">
        <f>LOOKUP($E1138,OBRAS!$D:$D,OBRAS!E:E)</f>
        <v>C-00052/0185</v>
      </c>
      <c r="H1138" s="80" t="s">
        <v>221</v>
      </c>
      <c r="I1138" s="6">
        <v>208258.22</v>
      </c>
      <c r="J1138" s="6"/>
      <c r="K1138" s="6">
        <f t="shared" ref="K1138:K1153" si="299">ROUND(I1138*0.3,2)</f>
        <v>62477.47</v>
      </c>
      <c r="L1138" s="6">
        <f t="shared" ref="L1138:L1153" si="300">I1138-K1138</f>
        <v>145780.75</v>
      </c>
      <c r="M1138" s="6">
        <f t="shared" ref="M1138:M1153" si="301">ROUND(L1138*0.16,2)</f>
        <v>23324.92</v>
      </c>
      <c r="N1138" s="6">
        <f t="shared" ref="N1138:N1153" si="302">M1138+L1138</f>
        <v>169105.67</v>
      </c>
      <c r="O1138" s="6">
        <f>+ROUND(I1138*0.005,2)</f>
        <v>1041.29</v>
      </c>
      <c r="P1138" s="6">
        <f t="shared" ref="P1138:P1153" si="303">N1138-O1138</f>
        <v>168064.38</v>
      </c>
      <c r="Q1138" s="4" t="str">
        <f>LOOKUP($E1138,OBRAS!$D:$D,OBRAS!B:B)</f>
        <v>INGENIERIA INTEGRAL LA ISLETA, S.A. DE C.V.</v>
      </c>
      <c r="R1138" s="4" t="str">
        <f>LOOKUP($E1138,OBRAS!$D:$D,OBRAS!A:A)</f>
        <v>QUEROBABI</v>
      </c>
      <c r="S1138" s="4" t="str">
        <f>LOOKUP($E1138,OBRAS!$D:$D,OBRAS!F:F)</f>
        <v>11000002002201E202K05186A614202165FC05</v>
      </c>
      <c r="T1138" s="4" t="str">
        <f>LOOKUP($E1138,OBRAS!$D:$D,OBRAS!G:G)</f>
        <v>IO-926006995-E142-2016</v>
      </c>
      <c r="U1138" s="4" t="s">
        <v>863</v>
      </c>
      <c r="V1138" s="89">
        <v>42810</v>
      </c>
      <c r="W1138" s="6">
        <f>LOOKUP($E1138,OBRAS!$D:$D,OBRAS!K:K)</f>
        <v>2851069.39</v>
      </c>
      <c r="X1138" s="109">
        <f t="shared" ref="X1138:X1153" si="304">IF(H1138&lt;&gt;"ANTICIPO",I1138/(W1138/1.16),"")</f>
        <v>8.4699999999999998E-2</v>
      </c>
      <c r="Y1138" s="109">
        <f t="shared" ref="Y1138:Y1153" si="305">SUMIF(E:E,E1138,X:X)</f>
        <v>0.95009999999999994</v>
      </c>
      <c r="Z1138" s="109">
        <f t="shared" ref="Z1138:Z1153" si="306">SUMIF(E:E,E1138,N:N)/W1138</f>
        <v>0.96509999999999996</v>
      </c>
      <c r="AA1138" s="4" t="str">
        <f>LOOKUP($E1138,OBRAS!$D:$D,OBRAS!H:H)</f>
        <v>SH-NC-17-R-009</v>
      </c>
    </row>
    <row r="1139" spans="1:27" ht="45" x14ac:dyDescent="0.25">
      <c r="A1139" s="90">
        <v>42797</v>
      </c>
      <c r="B1139" s="56">
        <v>1317</v>
      </c>
      <c r="C1139" s="142">
        <v>61</v>
      </c>
      <c r="D1139" s="4" t="str">
        <f>LOOKUP($E1139,OBRAS!$D:$D,OBRAS!C:C)</f>
        <v>PAVIMENTACIÓN CON CONCRETO HIDRAULICO DE CALLE ADOLFO DE LA HUERTA EN LA LOCALIDAD DE QUEROBABI</v>
      </c>
      <c r="E1139" s="4" t="s">
        <v>1719</v>
      </c>
      <c r="F1139" s="4" t="s">
        <v>217</v>
      </c>
      <c r="G1139" s="4" t="str">
        <f>LOOKUP($E1139,OBRAS!$D:$D,OBRAS!E:E)</f>
        <v>C-00052/0185</v>
      </c>
      <c r="H1139" s="80" t="s">
        <v>55</v>
      </c>
      <c r="I1139" s="6">
        <v>814519.34</v>
      </c>
      <c r="J1139" s="6"/>
      <c r="K1139" s="6">
        <f t="shared" si="299"/>
        <v>244355.8</v>
      </c>
      <c r="L1139" s="6">
        <f t="shared" si="300"/>
        <v>570163.54</v>
      </c>
      <c r="M1139" s="6">
        <f t="shared" si="301"/>
        <v>91226.17</v>
      </c>
      <c r="N1139" s="6">
        <f t="shared" si="302"/>
        <v>661389.71</v>
      </c>
      <c r="O1139" s="6">
        <f>+ROUND(I1139*0.005,2)</f>
        <v>4072.6</v>
      </c>
      <c r="P1139" s="6">
        <f t="shared" si="303"/>
        <v>657317.11</v>
      </c>
      <c r="Q1139" s="4" t="str">
        <f>LOOKUP($E1139,OBRAS!$D:$D,OBRAS!B:B)</f>
        <v>INGENIERIA INTEGRAL LA ISLETA, S.A. DE C.V.</v>
      </c>
      <c r="R1139" s="4" t="str">
        <f>LOOKUP($E1139,OBRAS!$D:$D,OBRAS!A:A)</f>
        <v>QUEROBABI</v>
      </c>
      <c r="S1139" s="4" t="str">
        <f>LOOKUP($E1139,OBRAS!$D:$D,OBRAS!F:F)</f>
        <v>11000002002201E202K05186A614202165FC05</v>
      </c>
      <c r="T1139" s="4" t="str">
        <f>LOOKUP($E1139,OBRAS!$D:$D,OBRAS!G:G)</f>
        <v>IO-926006995-E142-2016</v>
      </c>
      <c r="U1139" s="4" t="s">
        <v>863</v>
      </c>
      <c r="V1139" s="89">
        <v>42810</v>
      </c>
      <c r="W1139" s="6">
        <f>LOOKUP($E1139,OBRAS!$D:$D,OBRAS!K:K)</f>
        <v>2851069.39</v>
      </c>
      <c r="X1139" s="109">
        <f t="shared" si="304"/>
        <v>0.33139999999999997</v>
      </c>
      <c r="Y1139" s="109">
        <f t="shared" si="305"/>
        <v>0.95009999999999994</v>
      </c>
      <c r="Z1139" s="109">
        <f t="shared" si="306"/>
        <v>0.96509999999999996</v>
      </c>
      <c r="AA1139" s="4" t="str">
        <f>LOOKUP($E1139,OBRAS!$D:$D,OBRAS!H:H)</f>
        <v>SH-NC-17-R-009</v>
      </c>
    </row>
    <row r="1140" spans="1:27" ht="45" x14ac:dyDescent="0.25">
      <c r="A1140" s="90">
        <v>42797</v>
      </c>
      <c r="B1140" s="56">
        <v>1318</v>
      </c>
      <c r="C1140" s="142">
        <v>62</v>
      </c>
      <c r="D1140" s="4" t="str">
        <f>LOOKUP($E1140,OBRAS!$D:$D,OBRAS!C:C)</f>
        <v>PAVIMENTACION CON CONCRETO HIDRAULICO DE 15CM DE ESPESOR EN LAS CALLES FERROCARRIL Y SONORA EN LA LOCALIDAD DE ESQUEDA</v>
      </c>
      <c r="E1140" s="4" t="s">
        <v>1740</v>
      </c>
      <c r="F1140" s="4" t="s">
        <v>217</v>
      </c>
      <c r="G1140" s="4" t="str">
        <f>LOOKUP($E1140,OBRAS!$D:$D,OBRAS!E:E)</f>
        <v>C-00052/0209</v>
      </c>
      <c r="H1140" s="80" t="s">
        <v>103</v>
      </c>
      <c r="I1140" s="6">
        <v>26996.71</v>
      </c>
      <c r="J1140" s="6"/>
      <c r="K1140" s="6">
        <f t="shared" si="299"/>
        <v>8099.01</v>
      </c>
      <c r="L1140" s="6">
        <f t="shared" si="300"/>
        <v>18897.7</v>
      </c>
      <c r="M1140" s="6">
        <f t="shared" si="301"/>
        <v>3023.63</v>
      </c>
      <c r="N1140" s="6">
        <f t="shared" si="302"/>
        <v>21921.33</v>
      </c>
      <c r="O1140" s="6">
        <f>+ROUND(I1140*0.005,2)</f>
        <v>134.97999999999999</v>
      </c>
      <c r="P1140" s="6">
        <f t="shared" si="303"/>
        <v>21786.35</v>
      </c>
      <c r="Q1140" s="4" t="str">
        <f>LOOKUP($E1140,OBRAS!$D:$D,OBRAS!B:B)</f>
        <v>SEÑALAMIENTOS Y SERVICIOS INTEGRALES DEL NOROESTE, S.A. DE C.V.</v>
      </c>
      <c r="R1140" s="4" t="str">
        <f>LOOKUP($E1140,OBRAS!$D:$D,OBRAS!A:A)</f>
        <v>FRONTERAS</v>
      </c>
      <c r="S1140" s="4" t="str">
        <f>LOOKUP($E1140,OBRAS!$D:$D,OBRAS!F:F)</f>
        <v>11000002002201E202K05186A614202165FN04</v>
      </c>
      <c r="T1140" s="4" t="str">
        <f>LOOKUP($E1140,OBRAS!$D:$D,OBRAS!G:G)</f>
        <v>IO-926006995-E148-2016</v>
      </c>
      <c r="U1140" s="4" t="s">
        <v>863</v>
      </c>
      <c r="V1140" s="89">
        <v>42810</v>
      </c>
      <c r="W1140" s="6">
        <f>LOOKUP($E1140,OBRAS!$D:$D,OBRAS!K:K)</f>
        <v>5679511.0099999998</v>
      </c>
      <c r="X1140" s="109">
        <f t="shared" si="304"/>
        <v>5.4999999999999997E-3</v>
      </c>
      <c r="Y1140" s="109">
        <f t="shared" si="305"/>
        <v>0.1242</v>
      </c>
      <c r="Z1140" s="109">
        <f t="shared" si="306"/>
        <v>0.38690000000000002</v>
      </c>
      <c r="AA1140" s="4" t="str">
        <f>LOOKUP($E1140,OBRAS!$D:$D,OBRAS!H:H)</f>
        <v>SH-NC-17-R-005</v>
      </c>
    </row>
    <row r="1141" spans="1:27" ht="45" x14ac:dyDescent="0.25">
      <c r="A1141" s="90">
        <v>42797</v>
      </c>
      <c r="B1141" s="56">
        <v>1319</v>
      </c>
      <c r="C1141" s="142">
        <v>63</v>
      </c>
      <c r="D1141" s="4" t="str">
        <f>LOOKUP($E1141,OBRAS!$D:$D,OBRAS!C:C)</f>
        <v>PAVIMENTACION CON CONCRETO HIDRAULICO DE 15CM DE ESPESOR EN LAS CALLES FERROCARRIL Y SONORA EN LA LOCALIDAD DE ESQUEDA</v>
      </c>
      <c r="E1141" s="4" t="s">
        <v>1740</v>
      </c>
      <c r="F1141" s="4" t="s">
        <v>217</v>
      </c>
      <c r="G1141" s="4" t="str">
        <f>LOOKUP($E1141,OBRAS!$D:$D,OBRAS!E:E)</f>
        <v>C-00052/0209</v>
      </c>
      <c r="H1141" s="80" t="s">
        <v>221</v>
      </c>
      <c r="I1141" s="6">
        <v>303491.89</v>
      </c>
      <c r="J1141" s="6"/>
      <c r="K1141" s="6">
        <f t="shared" si="299"/>
        <v>91047.57</v>
      </c>
      <c r="L1141" s="6">
        <f t="shared" si="300"/>
        <v>212444.32</v>
      </c>
      <c r="M1141" s="6">
        <f t="shared" si="301"/>
        <v>33991.089999999997</v>
      </c>
      <c r="N1141" s="6">
        <f t="shared" si="302"/>
        <v>246435.41</v>
      </c>
      <c r="O1141" s="6">
        <f>+ROUND(I1141*0.005,2)</f>
        <v>1517.46</v>
      </c>
      <c r="P1141" s="6">
        <f t="shared" si="303"/>
        <v>244917.95</v>
      </c>
      <c r="Q1141" s="4" t="str">
        <f>LOOKUP($E1141,OBRAS!$D:$D,OBRAS!B:B)</f>
        <v>SEÑALAMIENTOS Y SERVICIOS INTEGRALES DEL NOROESTE, S.A. DE C.V.</v>
      </c>
      <c r="R1141" s="4" t="str">
        <f>LOOKUP($E1141,OBRAS!$D:$D,OBRAS!A:A)</f>
        <v>FRONTERAS</v>
      </c>
      <c r="S1141" s="4" t="str">
        <f>LOOKUP($E1141,OBRAS!$D:$D,OBRAS!F:F)</f>
        <v>11000002002201E202K05186A614202165FN04</v>
      </c>
      <c r="T1141" s="4" t="str">
        <f>LOOKUP($E1141,OBRAS!$D:$D,OBRAS!G:G)</f>
        <v>IO-926006995-E148-2016</v>
      </c>
      <c r="U1141" s="4" t="s">
        <v>863</v>
      </c>
      <c r="V1141" s="89">
        <v>42810</v>
      </c>
      <c r="W1141" s="6">
        <f>LOOKUP($E1141,OBRAS!$D:$D,OBRAS!K:K)</f>
        <v>5679511.0099999998</v>
      </c>
      <c r="X1141" s="109">
        <f t="shared" si="304"/>
        <v>6.2E-2</v>
      </c>
      <c r="Y1141" s="109">
        <f t="shared" si="305"/>
        <v>0.1242</v>
      </c>
      <c r="Z1141" s="109">
        <f t="shared" si="306"/>
        <v>0.38690000000000002</v>
      </c>
      <c r="AA1141" s="4" t="str">
        <f>LOOKUP($E1141,OBRAS!$D:$D,OBRAS!H:H)</f>
        <v>SH-NC-17-R-005</v>
      </c>
    </row>
    <row r="1142" spans="1:27" ht="60" x14ac:dyDescent="0.25">
      <c r="C1142" s="142">
        <v>64</v>
      </c>
      <c r="D1142" s="4" t="str">
        <f>LOOKUP($E1142,OBRAS!$D:$D,OBRAS!C:C)</f>
        <v>REMODELACION DE EDIFICIO PARA PERSONAS VULNERABLES (SISTEMA PARA EL DESARROLLO INTEGRAL DE LA FAMILIA - DIF), EN LA LOCALIDAD Y MUNICIPIO DE NAVOJOA, SONORA</v>
      </c>
      <c r="E1142" s="4" t="s">
        <v>2472</v>
      </c>
      <c r="F1142" s="4" t="s">
        <v>224</v>
      </c>
      <c r="G1142" s="4" t="str">
        <f>LOOKUP($E1142,OBRAS!$D:$D,OBRAS!E:E)</f>
        <v>C-00061/0015</v>
      </c>
      <c r="H1142" s="80" t="s">
        <v>23</v>
      </c>
      <c r="I1142" s="6">
        <v>178325.94</v>
      </c>
      <c r="J1142" s="6"/>
      <c r="K1142" s="6">
        <v>0</v>
      </c>
      <c r="L1142" s="6">
        <f t="shared" si="300"/>
        <v>178325.94</v>
      </c>
      <c r="M1142" s="6">
        <f t="shared" si="301"/>
        <v>28532.15</v>
      </c>
      <c r="N1142" s="6">
        <f t="shared" si="302"/>
        <v>206858.09</v>
      </c>
      <c r="O1142" s="6">
        <v>0</v>
      </c>
      <c r="P1142" s="6">
        <f t="shared" si="303"/>
        <v>206858.09</v>
      </c>
      <c r="Q1142" s="4" t="str">
        <f>LOOKUP($E1142,OBRAS!$D:$D,OBRAS!B:B)</f>
        <v>ARQ. LAMBERTO BETANZOS ENCINAS</v>
      </c>
      <c r="R1142" s="4" t="str">
        <f>LOOKUP($E1142,OBRAS!$D:$D,OBRAS!A:A)</f>
        <v>NAVOJOA</v>
      </c>
      <c r="S1142" s="4" t="str">
        <f>LOOKUP($E1142,OBRAS!$D:$D,OBRAS!F:F)</f>
        <v>11000002002202E401K04038K612032172A212</v>
      </c>
      <c r="T1142" s="4" t="str">
        <f>LOOKUP($E1142,OBRAS!$D:$D,OBRAS!G:G)</f>
        <v>ADJUDICACIÓN DIRECTA</v>
      </c>
      <c r="U1142" s="4" t="s">
        <v>2476</v>
      </c>
      <c r="V1142" s="89">
        <v>42800</v>
      </c>
      <c r="W1142" s="6">
        <f>LOOKUP($E1142,OBRAS!$D:$D,OBRAS!K:K)</f>
        <v>689526.99</v>
      </c>
      <c r="X1142" s="109" t="str">
        <f t="shared" si="304"/>
        <v/>
      </c>
      <c r="Y1142" s="109">
        <f t="shared" si="305"/>
        <v>0</v>
      </c>
      <c r="Z1142" s="109">
        <f t="shared" si="306"/>
        <v>0.3</v>
      </c>
      <c r="AA1142" s="4" t="str">
        <f>LOOKUP($E1142,OBRAS!$D:$D,OBRAS!H:H)</f>
        <v>SH-ED-17-027</v>
      </c>
    </row>
    <row r="1143" spans="1:27" ht="60" x14ac:dyDescent="0.25">
      <c r="C1143" s="142">
        <v>65</v>
      </c>
      <c r="D1143" s="4" t="str">
        <f>LOOKUP($E1143,OBRAS!$D:$D,OBRAS!C:C)</f>
        <v>OBRAS DE REHABILITACION Y CONSTRUCCION DE NUEVOS ESPACIOS EN EL DELFINARIO SONORA EN LA LOCALIDAD DE SAN CARLOS, MUNICIPIO DE GUAYMAS</v>
      </c>
      <c r="E1143" s="4" t="s">
        <v>2040</v>
      </c>
      <c r="F1143" s="4" t="s">
        <v>217</v>
      </c>
      <c r="G1143" s="4" t="str">
        <f>LOOKUP($E1143,OBRAS!$D:$D,OBRAS!E:E)</f>
        <v>C-00061/0024.</v>
      </c>
      <c r="H1143" s="80" t="s">
        <v>103</v>
      </c>
      <c r="I1143" s="6">
        <v>4107865.85</v>
      </c>
      <c r="J1143" s="6"/>
      <c r="K1143" s="6">
        <f t="shared" si="299"/>
        <v>1232359.76</v>
      </c>
      <c r="L1143" s="6">
        <f t="shared" si="300"/>
        <v>2875506.09</v>
      </c>
      <c r="M1143" s="6">
        <f t="shared" si="301"/>
        <v>460080.97</v>
      </c>
      <c r="N1143" s="6">
        <f t="shared" si="302"/>
        <v>3335587.06</v>
      </c>
      <c r="O1143" s="6">
        <f t="shared" ref="O1143:O1151" si="307">+ROUND(I1143*0.002,2)+ROUND(I1143*0.0003,2)+ROUND(I1143*0.0003,2)+ROUND(I1143*0.0003,2)+ROUND(I1143*0.002,2)</f>
        <v>20128.54</v>
      </c>
      <c r="P1143" s="6">
        <f t="shared" si="303"/>
        <v>3315458.52</v>
      </c>
      <c r="Q1143" s="4" t="str">
        <f>LOOKUP($E1143,OBRAS!$D:$D,OBRAS!B:B)</f>
        <v>CONSTRUCTORA MIRAMAR, S.A. DE C.V.</v>
      </c>
      <c r="R1143" s="4" t="str">
        <f>LOOKUP($E1143,OBRAS!$D:$D,OBRAS!A:A)</f>
        <v>GUAYMAS</v>
      </c>
      <c r="S1143" s="4" t="str">
        <f>LOOKUP($E1143,OBRAS!$D:$D,OBRAS!F:F)</f>
        <v>11000002002202E401K04039A612032161A010</v>
      </c>
      <c r="T1143" s="4" t="str">
        <f>LOOKUP($E1143,OBRAS!$D:$D,OBRAS!G:G)</f>
        <v>CE-926006995-E170-2016</v>
      </c>
      <c r="U1143" s="4" t="s">
        <v>865</v>
      </c>
      <c r="V1143" s="89">
        <v>42810</v>
      </c>
      <c r="W1143" s="6">
        <f>LOOKUP($E1143,OBRAS!$D:$D,OBRAS!K:K)</f>
        <v>16098814.93</v>
      </c>
      <c r="X1143" s="109">
        <f t="shared" si="304"/>
        <v>0.29599999999999999</v>
      </c>
      <c r="Y1143" s="109">
        <f t="shared" si="305"/>
        <v>0.29599999999999999</v>
      </c>
      <c r="Z1143" s="109">
        <f t="shared" si="306"/>
        <v>0.50719999999999998</v>
      </c>
      <c r="AA1143" s="4" t="str">
        <f>LOOKUP($E1143,OBRAS!$D:$D,OBRAS!H:H)</f>
        <v>SH-ED-17-R-003</v>
      </c>
    </row>
    <row r="1144" spans="1:27" ht="60" x14ac:dyDescent="0.25">
      <c r="A1144" s="90">
        <v>42801</v>
      </c>
      <c r="B1144" s="56">
        <v>1400</v>
      </c>
      <c r="C1144" s="144">
        <v>66</v>
      </c>
      <c r="D1144" s="4" t="str">
        <f>LOOKUP($E1144,OBRAS!$D:$D,OBRAS!C:C)</f>
        <v>CONSERVACIÓN DEL TRAMO NOVILLO - BACANORA - SAHUARIPA -  SAN NICOLÁS EN VARIAS LOCALIDADES DE VARIOS MUNICIPIOS DEL ESTADO DE SONORA.</v>
      </c>
      <c r="E1144" s="4" t="s">
        <v>554</v>
      </c>
      <c r="F1144" s="4" t="s">
        <v>400</v>
      </c>
      <c r="G1144" s="4" t="str">
        <f>LOOKUP($E1144,OBRAS!$D:$D,OBRAS!E:E)</f>
        <v>C-00054/0055</v>
      </c>
      <c r="H1144" s="80" t="s">
        <v>220</v>
      </c>
      <c r="I1144" s="6">
        <v>8777186.2799999993</v>
      </c>
      <c r="J1144" s="6"/>
      <c r="K1144" s="6">
        <f t="shared" si="299"/>
        <v>2633155.88</v>
      </c>
      <c r="L1144" s="6">
        <f t="shared" si="300"/>
        <v>6144030.4000000004</v>
      </c>
      <c r="M1144" s="6">
        <f t="shared" si="301"/>
        <v>983044.86</v>
      </c>
      <c r="N1144" s="6">
        <f t="shared" si="302"/>
        <v>7127075.2599999998</v>
      </c>
      <c r="O1144" s="6">
        <f t="shared" si="307"/>
        <v>43008.22</v>
      </c>
      <c r="P1144" s="6">
        <f t="shared" si="303"/>
        <v>7084067.04</v>
      </c>
      <c r="Q1144" s="4" t="str">
        <f>LOOKUP($E1144,OBRAS!$D:$D,OBRAS!B:B)</f>
        <v>CONSTRUCCIONES VILLA DE SERIS, S. A. DE C. V.</v>
      </c>
      <c r="R1144" s="4" t="str">
        <f>LOOKUP($E1144,OBRAS!$D:$D,OBRAS!A:A)</f>
        <v>VARIOS</v>
      </c>
      <c r="S1144" s="4" t="str">
        <f>LOOKUP($E1144,OBRAS!$D:$D,OBRAS!F:F)</f>
        <v>11000002003501E204K08063A625012162A213</v>
      </c>
      <c r="T1144" s="4" t="str">
        <f>LOOKUP($E1144,OBRAS!$D:$D,OBRAS!G:G)</f>
        <v>CE-926006995-E19-2016</v>
      </c>
      <c r="U1144" s="4" t="s">
        <v>865</v>
      </c>
      <c r="V1144" s="89">
        <v>42810</v>
      </c>
      <c r="W1144" s="6">
        <f>LOOKUP($E1144,OBRAS!$D:$D,OBRAS!K:K)</f>
        <v>112909841.56</v>
      </c>
      <c r="X1144" s="109">
        <f t="shared" si="304"/>
        <v>9.0200000000000002E-2</v>
      </c>
      <c r="Y1144" s="109">
        <f t="shared" si="305"/>
        <v>0.93110000000000004</v>
      </c>
      <c r="Z1144" s="109">
        <f t="shared" si="306"/>
        <v>0.95179999999999998</v>
      </c>
      <c r="AA1144" s="4" t="str">
        <f>LOOKUP($E1144,OBRAS!$D:$D,OBRAS!H:H)</f>
        <v>SH-ED-17-R-004</v>
      </c>
    </row>
    <row r="1145" spans="1:27" ht="45" x14ac:dyDescent="0.25">
      <c r="A1145" s="90">
        <v>42801</v>
      </c>
      <c r="B1145" s="56">
        <v>1405</v>
      </c>
      <c r="C1145" s="142">
        <v>67</v>
      </c>
      <c r="D1145" s="4" t="str">
        <f>LOOKUP($E1145,OBRAS!$D:$D,OBRAS!C:C)</f>
        <v>REHABILITACION DE PAVIMENTOS A BASE DE RECARPETEO EN AVE JOSE S. HEALY, AVE JOSE CARMELO Y PERIMETRAL NORTE</v>
      </c>
      <c r="E1145" s="4" t="s">
        <v>872</v>
      </c>
      <c r="F1145" s="4" t="s">
        <v>225</v>
      </c>
      <c r="G1145" s="4" t="str">
        <f>LOOKUP($E1145,OBRAS!$D:$D,OBRAS!E:E)</f>
        <v>C-00052/0178</v>
      </c>
      <c r="H1145" s="80" t="s">
        <v>215</v>
      </c>
      <c r="I1145" s="6">
        <v>5066799.9400000004</v>
      </c>
      <c r="J1145" s="6"/>
      <c r="K1145" s="6">
        <f t="shared" si="299"/>
        <v>1520039.98</v>
      </c>
      <c r="L1145" s="6">
        <f t="shared" si="300"/>
        <v>3546759.96</v>
      </c>
      <c r="M1145" s="6">
        <f t="shared" si="301"/>
        <v>567481.59</v>
      </c>
      <c r="N1145" s="6">
        <f t="shared" si="302"/>
        <v>4114241.55</v>
      </c>
      <c r="O1145" s="6">
        <f>+ROUND(I1145*0.005,2)</f>
        <v>25334</v>
      </c>
      <c r="P1145" s="6">
        <f t="shared" si="303"/>
        <v>4088907.55</v>
      </c>
      <c r="Q1145" s="4" t="str">
        <f>LOOKUP($E1145,OBRAS!$D:$D,OBRAS!B:B)</f>
        <v>GRUPO CONSTRUCCIONES PLANIFICADAS, SA DE CV</v>
      </c>
      <c r="R1145" s="4" t="str">
        <f>LOOKUP($E1145,OBRAS!$D:$D,OBRAS!A:A)</f>
        <v>HERMOSILLO</v>
      </c>
      <c r="S1145" s="4" t="str">
        <f>LOOKUP($E1145,OBRAS!$D:$D,OBRAS!F:F)</f>
        <v>11000002002201E202K05186A614202165CN07</v>
      </c>
      <c r="T1145" s="4" t="str">
        <f>LOOKUP($E1145,OBRAS!$D:$D,OBRAS!G:G)</f>
        <v>LO-926006995-E86-2016</v>
      </c>
      <c r="U1145" s="4" t="s">
        <v>866</v>
      </c>
      <c r="V1145" s="89">
        <v>42807</v>
      </c>
      <c r="W1145" s="6">
        <f>LOOKUP($E1145,OBRAS!$D:$D,OBRAS!K:K)</f>
        <v>26153970.379999999</v>
      </c>
      <c r="X1145" s="109">
        <f t="shared" si="304"/>
        <v>0.22470000000000001</v>
      </c>
      <c r="Y1145" s="109">
        <f t="shared" si="305"/>
        <v>0.94479999999999997</v>
      </c>
      <c r="Z1145" s="109">
        <f t="shared" si="306"/>
        <v>0.96140000000000003</v>
      </c>
      <c r="AA1145" s="4" t="str">
        <f>LOOKUP($E1145,OBRAS!$D:$D,OBRAS!H:H)</f>
        <v>SH-NC-17-R-004</v>
      </c>
    </row>
    <row r="1146" spans="1:27" ht="60" x14ac:dyDescent="0.25">
      <c r="A1146" s="90">
        <v>42801</v>
      </c>
      <c r="B1146" s="56">
        <v>1412</v>
      </c>
      <c r="C1146" s="142">
        <v>68</v>
      </c>
      <c r="D1146" s="4" t="str">
        <f>LOOKUP($E1146,OBRAS!$D:$D,OBRAS!C:C)</f>
        <v>RECONSTRUCCION DE E.C. (CALLE 36 SUR) GRANJAS ACUICOLAS DEL KM 0+000 AL KM 12+660, EN VARIAS LOCALIDADES DEL MUNICIPIO DE HERMOSILLO.</v>
      </c>
      <c r="E1146" s="4" t="s">
        <v>375</v>
      </c>
      <c r="F1146" s="4" t="s">
        <v>400</v>
      </c>
      <c r="G1146" s="4" t="str">
        <f>LOOKUP($E1146,OBRAS!$D:$D,OBRAS!E:E)</f>
        <v>C-00054/0071</v>
      </c>
      <c r="H1146" s="80" t="s">
        <v>249</v>
      </c>
      <c r="I1146" s="6">
        <v>1678118.41</v>
      </c>
      <c r="J1146" s="6"/>
      <c r="K1146" s="6">
        <f t="shared" si="299"/>
        <v>503435.52000000002</v>
      </c>
      <c r="L1146" s="6">
        <f t="shared" si="300"/>
        <v>1174682.8899999999</v>
      </c>
      <c r="M1146" s="6">
        <f t="shared" si="301"/>
        <v>187949.26</v>
      </c>
      <c r="N1146" s="6">
        <f t="shared" si="302"/>
        <v>1362632.15</v>
      </c>
      <c r="O1146" s="6">
        <f t="shared" si="307"/>
        <v>8222.7999999999993</v>
      </c>
      <c r="P1146" s="6">
        <f t="shared" si="303"/>
        <v>1354409.35</v>
      </c>
      <c r="Q1146" s="4" t="str">
        <f>LOOKUP($E1146,OBRAS!$D:$D,OBRAS!B:B)</f>
        <v>RENTA, MOVIMIENTO DE CONSTRUCCION EQUIPEN, S.A. DE C.V.</v>
      </c>
      <c r="R1146" s="4" t="str">
        <f>LOOKUP($E1146,OBRAS!$D:$D,OBRAS!A:A)</f>
        <v>HERMOSILLO</v>
      </c>
      <c r="S1146" s="4" t="str">
        <f>LOOKUP($E1146,OBRAS!$D:$D,OBRAS!F:F)</f>
        <v>11000002003501E204K08063A625012162A207</v>
      </c>
      <c r="T1146" s="4" t="str">
        <f>LOOKUP($E1146,OBRAS!$D:$D,OBRAS!G:G)</f>
        <v>CE-926006995-E44-2016</v>
      </c>
      <c r="U1146" s="4" t="s">
        <v>864</v>
      </c>
      <c r="V1146" s="89">
        <v>42816</v>
      </c>
      <c r="W1146" s="6">
        <f>LOOKUP($E1146,OBRAS!$D:$D,OBRAS!K:K)</f>
        <v>22599852.190000001</v>
      </c>
      <c r="X1146" s="109">
        <f t="shared" si="304"/>
        <v>8.6099999999999996E-2</v>
      </c>
      <c r="Y1146" s="109">
        <f t="shared" si="305"/>
        <v>0.66990000000000005</v>
      </c>
      <c r="Z1146" s="109">
        <f t="shared" si="306"/>
        <v>0.76890000000000003</v>
      </c>
      <c r="AA1146" s="4" t="str">
        <f>LOOKUP($E1146,OBRAS!$D:$D,OBRAS!H:H)</f>
        <v>SH-ED-17-R-004</v>
      </c>
    </row>
    <row r="1147" spans="1:27" ht="30" x14ac:dyDescent="0.25">
      <c r="A1147" s="90">
        <v>42801</v>
      </c>
      <c r="B1147" s="56">
        <v>1415</v>
      </c>
      <c r="C1147" s="143">
        <v>69</v>
      </c>
      <c r="D1147" s="4" t="str">
        <f>LOOKUP($E1147,OBRAS!$D:$D,OBRAS!C:C)</f>
        <v>CONSTRUCCION DE PUENTE VEHICULAR SOBRE RIO MAYO, EN EL PERIFERICO PONIENTE EN NAVOJOA</v>
      </c>
      <c r="E1147" s="4" t="s">
        <v>776</v>
      </c>
      <c r="F1147" s="4" t="s">
        <v>217</v>
      </c>
      <c r="G1147" s="4" t="str">
        <f>LOOKUP($E1147,OBRAS!$D:$D,OBRAS!E:E)</f>
        <v>C-00052/0174</v>
      </c>
      <c r="H1147" s="80" t="s">
        <v>215</v>
      </c>
      <c r="I1147" s="6">
        <v>10531463.07</v>
      </c>
      <c r="J1147" s="6"/>
      <c r="K1147" s="6">
        <f t="shared" si="299"/>
        <v>3159438.92</v>
      </c>
      <c r="L1147" s="6">
        <f t="shared" si="300"/>
        <v>7372024.1500000004</v>
      </c>
      <c r="M1147" s="6">
        <f t="shared" si="301"/>
        <v>1179523.8600000001</v>
      </c>
      <c r="N1147" s="6">
        <f t="shared" si="302"/>
        <v>8551548.0099999998</v>
      </c>
      <c r="O1147" s="6">
        <f t="shared" si="307"/>
        <v>51604.18</v>
      </c>
      <c r="P1147" s="6">
        <f t="shared" si="303"/>
        <v>8499943.8300000001</v>
      </c>
      <c r="Q1147" s="4" t="str">
        <f>LOOKUP($E1147,OBRAS!$D:$D,OBRAS!B:B)</f>
        <v>ING. LUIS EDUARDO GUERRA ESQUIVEL</v>
      </c>
      <c r="R1147" s="4" t="str">
        <f>LOOKUP($E1147,OBRAS!$D:$D,OBRAS!A:A)</f>
        <v>NAVOJOA</v>
      </c>
      <c r="S1147" s="4" t="str">
        <f>LOOKUP($E1147,OBRAS!$D:$D,OBRAS!F:F)</f>
        <v>11000002002201E202K05250A615122162A212</v>
      </c>
      <c r="T1147" s="4">
        <f>LOOKUP($E1147,OBRAS!$D:$D,OBRAS!G:G)</f>
        <v>0</v>
      </c>
      <c r="U1147" s="4" t="s">
        <v>865</v>
      </c>
      <c r="V1147" s="89">
        <v>42811</v>
      </c>
      <c r="W1147" s="6">
        <f>LOOKUP($E1147,OBRAS!$D:$D,OBRAS!K:K)</f>
        <v>82488388.799999997</v>
      </c>
      <c r="X1147" s="109">
        <f t="shared" si="304"/>
        <v>0.14810000000000001</v>
      </c>
      <c r="Y1147" s="109">
        <f t="shared" si="305"/>
        <v>0.64639999999999997</v>
      </c>
      <c r="Z1147" s="109">
        <f t="shared" si="306"/>
        <v>0.75249999999999995</v>
      </c>
      <c r="AA1147" s="4" t="str">
        <f>LOOKUP($E1147,OBRAS!$D:$D,OBRAS!H:H)</f>
        <v>SH-ED-17-R-004</v>
      </c>
    </row>
    <row r="1148" spans="1:27" ht="60" x14ac:dyDescent="0.25">
      <c r="A1148" s="90">
        <v>42801</v>
      </c>
      <c r="B1148" s="56">
        <v>1416</v>
      </c>
      <c r="C1148" s="143">
        <v>70</v>
      </c>
      <c r="D1148" s="4" t="str">
        <f>LOOKUP($E1148,OBRAS!$D:$D,OBRAS!C:C)</f>
        <v>REHABILITACION DE RED DE CARRETERAS ALIMENTADORAS EN LA REGION DEL RIO DE SONORA EN EL ESTADO DE SONORA; SUBTRAMO KM 0+000 AL KM 75+000</v>
      </c>
      <c r="E1148" s="4" t="s">
        <v>370</v>
      </c>
      <c r="F1148" s="4" t="s">
        <v>248</v>
      </c>
      <c r="G1148" s="4" t="str">
        <f>LOOKUP($E1148,OBRAS!$D:$D,OBRAS!E:E)</f>
        <v>C-00054/0069</v>
      </c>
      <c r="H1148" s="80" t="s">
        <v>748</v>
      </c>
      <c r="I1148" s="6">
        <v>8144344.7699999996</v>
      </c>
      <c r="J1148" s="6"/>
      <c r="K1148" s="6">
        <f t="shared" si="299"/>
        <v>2443303.4300000002</v>
      </c>
      <c r="L1148" s="6">
        <f t="shared" si="300"/>
        <v>5701041.3399999999</v>
      </c>
      <c r="M1148" s="6">
        <f t="shared" si="301"/>
        <v>912166.61</v>
      </c>
      <c r="N1148" s="6">
        <f t="shared" si="302"/>
        <v>6613207.9500000002</v>
      </c>
      <c r="O1148" s="6">
        <f t="shared" si="307"/>
        <v>39907.279999999999</v>
      </c>
      <c r="P1148" s="6">
        <f t="shared" si="303"/>
        <v>6573300.6699999999</v>
      </c>
      <c r="Q1148" s="4" t="str">
        <f>LOOKUP($E1148,OBRAS!$D:$D,OBRAS!B:B)</f>
        <v>IKARO INGENIERIA Y ARQUITECTURA, S.A. DE C.V</v>
      </c>
      <c r="R1148" s="4" t="str">
        <f>LOOKUP($E1148,OBRAS!$D:$D,OBRAS!A:A)</f>
        <v>VARIOS</v>
      </c>
      <c r="S1148" s="4" t="str">
        <f>LOOKUP($E1148,OBRAS!$D:$D,OBRAS!F:F)</f>
        <v>11000002003501E204K08063A625012162A213</v>
      </c>
      <c r="T1148" s="4" t="str">
        <f>LOOKUP($E1148,OBRAS!$D:$D,OBRAS!G:G)</f>
        <v>CE-9260006995-E38-2016</v>
      </c>
      <c r="U1148" s="4" t="s">
        <v>865</v>
      </c>
      <c r="V1148" s="89">
        <v>42810</v>
      </c>
      <c r="W1148" s="6">
        <f>LOOKUP($E1148,OBRAS!$D:$D,OBRAS!K:K)</f>
        <v>76463113.200000003</v>
      </c>
      <c r="X1148" s="109">
        <f t="shared" si="304"/>
        <v>0.1236</v>
      </c>
      <c r="Y1148" s="109">
        <f t="shared" si="305"/>
        <v>0.98340000000000005</v>
      </c>
      <c r="Z1148" s="109">
        <f t="shared" si="306"/>
        <v>0.98829999999999996</v>
      </c>
      <c r="AA1148" s="4" t="str">
        <f>LOOKUP($E1148,OBRAS!$D:$D,OBRAS!H:H)</f>
        <v>SH-ED-17-R-013</v>
      </c>
    </row>
    <row r="1149" spans="1:27" ht="45" x14ac:dyDescent="0.25">
      <c r="A1149" s="90">
        <v>42801</v>
      </c>
      <c r="B1149" s="56">
        <v>1417</v>
      </c>
      <c r="C1149" s="144">
        <v>71</v>
      </c>
      <c r="D1149" s="4" t="str">
        <f>LOOKUP($E1149,OBRAS!$D:$D,OBRAS!C:C)</f>
        <v>RECONSTRUCCION DE CALLE 26 DEL KM 70+000 AL 101+300 EN VARIAS LOCALIDADES DEL MUNICIPIO DE HERMOSILLO, SONORA</v>
      </c>
      <c r="E1149" s="4" t="s">
        <v>386</v>
      </c>
      <c r="F1149" s="4" t="s">
        <v>248</v>
      </c>
      <c r="G1149" s="4" t="str">
        <f>LOOKUP($E1149,OBRAS!$D:$D,OBRAS!E:E)</f>
        <v>C-00054/0073</v>
      </c>
      <c r="H1149" s="80" t="s">
        <v>220</v>
      </c>
      <c r="I1149" s="6">
        <v>2480211.77</v>
      </c>
      <c r="J1149" s="6"/>
      <c r="K1149" s="6">
        <f t="shared" si="299"/>
        <v>744063.53</v>
      </c>
      <c r="L1149" s="6">
        <f t="shared" si="300"/>
        <v>1736148.24</v>
      </c>
      <c r="M1149" s="6">
        <f t="shared" si="301"/>
        <v>277783.71999999997</v>
      </c>
      <c r="N1149" s="6">
        <f t="shared" si="302"/>
        <v>2013931.96</v>
      </c>
      <c r="O1149" s="6">
        <f t="shared" si="307"/>
        <v>12153.02</v>
      </c>
      <c r="P1149" s="6">
        <f t="shared" si="303"/>
        <v>2001778.94</v>
      </c>
      <c r="Q1149" s="4" t="str">
        <f>LOOKUP($E1149,OBRAS!$D:$D,OBRAS!B:B)</f>
        <v>GYEMM INMOBILIARIA Y DISEÑOS EN INGENIERIA Y ARQUITECTURA, S.A. DE C.V.</v>
      </c>
      <c r="R1149" s="4" t="str">
        <f>LOOKUP($E1149,OBRAS!$D:$D,OBRAS!A:A)</f>
        <v>HERMOSILLO</v>
      </c>
      <c r="S1149" s="4" t="str">
        <f>LOOKUP($E1149,OBRAS!$D:$D,OBRAS!F:F)</f>
        <v>11000002003501E204K08063A625012162A207</v>
      </c>
      <c r="T1149" s="4" t="str">
        <f>LOOKUP($E1149,OBRAS!$D:$D,OBRAS!G:G)</f>
        <v>CE-926006995-E42-2016</v>
      </c>
      <c r="U1149" s="4" t="s">
        <v>863</v>
      </c>
      <c r="V1149" s="89">
        <v>42811</v>
      </c>
      <c r="W1149" s="6">
        <f>LOOKUP($E1149,OBRAS!$D:$D,OBRAS!K:K)</f>
        <v>45827894.390000001</v>
      </c>
      <c r="X1149" s="109">
        <f t="shared" si="304"/>
        <v>6.2799999999999995E-2</v>
      </c>
      <c r="Y1149" s="109">
        <f t="shared" si="305"/>
        <v>0.50019999999999998</v>
      </c>
      <c r="Z1149" s="109">
        <f t="shared" si="306"/>
        <v>0.65010000000000001</v>
      </c>
      <c r="AA1149" s="4" t="str">
        <f>LOOKUP($E1149,OBRAS!$D:$D,OBRAS!H:H)</f>
        <v>SH-ED-17-R-004</v>
      </c>
    </row>
    <row r="1150" spans="1:27" ht="60" x14ac:dyDescent="0.25">
      <c r="A1150" s="90">
        <v>42802</v>
      </c>
      <c r="B1150" s="56">
        <v>1437</v>
      </c>
      <c r="C1150" s="143">
        <v>72</v>
      </c>
      <c r="D1150" s="4" t="str">
        <f>LOOKUP($E1150,OBRAS!$D:$D,OBRAS!C:C)</f>
        <v>MODERNIZACION Y RECONSTRUCCION DEL PERIFERICO EN NAVOJOA (E.C. MEXICO 15 - TETANCHOPO) DEL KM 7+031 AL KM 13+126 EN LA LOCALIDAD Y MUNICIPIO DE NAVOJOA, SONORA.</v>
      </c>
      <c r="E1150" s="4" t="s">
        <v>462</v>
      </c>
      <c r="F1150" s="4" t="s">
        <v>248</v>
      </c>
      <c r="G1150" s="4" t="str">
        <f>LOOKUP($E1150,OBRAS!$D:$D,OBRAS!E:E)</f>
        <v>C-00052/0172</v>
      </c>
      <c r="H1150" s="80" t="s">
        <v>215</v>
      </c>
      <c r="I1150" s="6">
        <v>5353563.24</v>
      </c>
      <c r="J1150" s="6"/>
      <c r="K1150" s="6">
        <f t="shared" si="299"/>
        <v>1606068.97</v>
      </c>
      <c r="L1150" s="6">
        <f t="shared" si="300"/>
        <v>3747494.27</v>
      </c>
      <c r="M1150" s="6">
        <f t="shared" si="301"/>
        <v>599599.07999999996</v>
      </c>
      <c r="N1150" s="6">
        <f t="shared" si="302"/>
        <v>4347093.3499999996</v>
      </c>
      <c r="O1150" s="6">
        <f t="shared" si="307"/>
        <v>26232.47</v>
      </c>
      <c r="P1150" s="6">
        <f t="shared" si="303"/>
        <v>4320860.88</v>
      </c>
      <c r="Q1150" s="4" t="str">
        <f>LOOKUP($E1150,OBRAS!$D:$D,OBRAS!B:B)</f>
        <v>NA CONSTRUCCIONES DEL PACIFICO, S.A. DE C.V.</v>
      </c>
      <c r="R1150" s="4" t="str">
        <f>LOOKUP($E1150,OBRAS!$D:$D,OBRAS!A:A)</f>
        <v>NAVOJOA</v>
      </c>
      <c r="S1150" s="4" t="str">
        <f>LOOKUP($E1150,OBRAS!$D:$D,OBRAS!F:F)</f>
        <v>11000002002201E202K05186A614202162A212</v>
      </c>
      <c r="T1150" s="4" t="str">
        <f>LOOKUP($E1150,OBRAS!$D:$D,OBRAS!G:G)</f>
        <v>CE-926006995-E60-2015</v>
      </c>
      <c r="U1150" s="4" t="s">
        <v>864</v>
      </c>
      <c r="V1150" s="89">
        <v>42811</v>
      </c>
      <c r="W1150" s="6">
        <f>LOOKUP($E1150,OBRAS!$D:$D,OBRAS!K:K)</f>
        <v>91796179.200000003</v>
      </c>
      <c r="X1150" s="109">
        <f t="shared" si="304"/>
        <v>6.7699999999999996E-2</v>
      </c>
      <c r="Y1150" s="109">
        <f t="shared" si="305"/>
        <v>0.31269999999999998</v>
      </c>
      <c r="Z1150" s="109">
        <f t="shared" si="306"/>
        <v>0.51890000000000003</v>
      </c>
      <c r="AA1150" s="4" t="str">
        <f>LOOKUP($E1150,OBRAS!$D:$D,OBRAS!H:H)</f>
        <v>SH-ED-17-R-004</v>
      </c>
    </row>
    <row r="1151" spans="1:27" ht="60" x14ac:dyDescent="0.25">
      <c r="A1151" s="90">
        <v>42802</v>
      </c>
      <c r="B1151" s="56">
        <v>1438</v>
      </c>
      <c r="C1151" s="143">
        <v>73</v>
      </c>
      <c r="D1151" s="4" t="str">
        <f>LOOKUP($E1151,OBRAS!$D:$D,OBRAS!C:C)</f>
        <v>MODERNIZACION Y RECONSTRUCCION DEL PERIFERICO EN NAVOJOA (E.C. MEXICO 15 - TETANCHOPO) DEL KM 7+031 AL KM 13+126 EN LA LOCALIDAD Y MUNICIPIO DE NAVOJOA, SONORA.</v>
      </c>
      <c r="E1151" s="4" t="s">
        <v>462</v>
      </c>
      <c r="F1151" s="4" t="s">
        <v>248</v>
      </c>
      <c r="G1151" s="4" t="str">
        <f>LOOKUP($E1151,OBRAS!$D:$D,OBRAS!E:E)</f>
        <v>C-00052/0172</v>
      </c>
      <c r="H1151" s="80" t="s">
        <v>15</v>
      </c>
      <c r="I1151" s="6">
        <v>12520194.76</v>
      </c>
      <c r="J1151" s="6"/>
      <c r="K1151" s="6">
        <f t="shared" si="299"/>
        <v>3756058.43</v>
      </c>
      <c r="L1151" s="6">
        <f t="shared" si="300"/>
        <v>8764136.3300000001</v>
      </c>
      <c r="M1151" s="6">
        <f t="shared" si="301"/>
        <v>1402261.81</v>
      </c>
      <c r="N1151" s="6">
        <f t="shared" si="302"/>
        <v>10166398.140000001</v>
      </c>
      <c r="O1151" s="6">
        <f t="shared" si="307"/>
        <v>61348.959999999999</v>
      </c>
      <c r="P1151" s="6">
        <f t="shared" si="303"/>
        <v>10105049.18</v>
      </c>
      <c r="Q1151" s="4" t="str">
        <f>LOOKUP($E1151,OBRAS!$D:$D,OBRAS!B:B)</f>
        <v>NA CONSTRUCCIONES DEL PACIFICO, S.A. DE C.V.</v>
      </c>
      <c r="R1151" s="4" t="str">
        <f>LOOKUP($E1151,OBRAS!$D:$D,OBRAS!A:A)</f>
        <v>NAVOJOA</v>
      </c>
      <c r="S1151" s="4" t="str">
        <f>LOOKUP($E1151,OBRAS!$D:$D,OBRAS!F:F)</f>
        <v>11000002002201E202K05186A614202162A212</v>
      </c>
      <c r="T1151" s="4" t="str">
        <f>LOOKUP($E1151,OBRAS!$D:$D,OBRAS!G:G)</f>
        <v>CE-926006995-E60-2015</v>
      </c>
      <c r="U1151" s="4" t="s">
        <v>864</v>
      </c>
      <c r="V1151" s="89">
        <v>42811</v>
      </c>
      <c r="W1151" s="6">
        <f>LOOKUP($E1151,OBRAS!$D:$D,OBRAS!K:K)</f>
        <v>91796179.200000003</v>
      </c>
      <c r="X1151" s="109">
        <f t="shared" si="304"/>
        <v>0.15820000000000001</v>
      </c>
      <c r="Y1151" s="109">
        <f t="shared" si="305"/>
        <v>0.31269999999999998</v>
      </c>
      <c r="Z1151" s="109">
        <f t="shared" si="306"/>
        <v>0.51890000000000003</v>
      </c>
      <c r="AA1151" s="4" t="str">
        <f>LOOKUP($E1151,OBRAS!$D:$D,OBRAS!H:H)</f>
        <v>SH-ED-17-R-004</v>
      </c>
    </row>
    <row r="1152" spans="1:27" ht="30" x14ac:dyDescent="0.25">
      <c r="A1152" s="90">
        <v>42802</v>
      </c>
      <c r="B1152" s="56">
        <v>1446</v>
      </c>
      <c r="C1152" s="142">
        <v>74</v>
      </c>
      <c r="D1152" s="4" t="str">
        <f>LOOKUP($E1152,OBRAS!$D:$D,OBRAS!C:C)</f>
        <v>REHABILITACION DE PAVIMENTOS DE VARIAS CALLES Y AVENIDAD EN LA LOCALIDAD DE MATAPE</v>
      </c>
      <c r="E1152" s="4" t="s">
        <v>997</v>
      </c>
      <c r="F1152" s="4" t="s">
        <v>217</v>
      </c>
      <c r="G1152" s="4" t="str">
        <f>LOOKUP($E1152,OBRAS!$D:$D,OBRAS!E:E)</f>
        <v>C-00052/0198</v>
      </c>
      <c r="H1152" s="80" t="s">
        <v>55</v>
      </c>
      <c r="I1152" s="6">
        <v>199798.8</v>
      </c>
      <c r="J1152" s="6"/>
      <c r="K1152" s="6">
        <f t="shared" si="299"/>
        <v>59939.64</v>
      </c>
      <c r="L1152" s="6">
        <f t="shared" si="300"/>
        <v>139859.16</v>
      </c>
      <c r="M1152" s="6">
        <f t="shared" si="301"/>
        <v>22377.47</v>
      </c>
      <c r="N1152" s="6">
        <f t="shared" si="302"/>
        <v>162236.63</v>
      </c>
      <c r="O1152" s="6">
        <f>+ROUND(I1152*0.005,2)</f>
        <v>998.99</v>
      </c>
      <c r="P1152" s="6">
        <f t="shared" si="303"/>
        <v>161237.64000000001</v>
      </c>
      <c r="Q1152" s="4" t="str">
        <f>LOOKUP($E1152,OBRAS!$D:$D,OBRAS!B:B)</f>
        <v>MOCUZARI CONSTRUCTORA, S.A. DE C.V.</v>
      </c>
      <c r="R1152" s="4" t="str">
        <f>LOOKUP($E1152,OBRAS!$D:$D,OBRAS!A:A)</f>
        <v>VILLA PESQUEIRA</v>
      </c>
      <c r="S1152" s="4" t="str">
        <f>LOOKUP($E1152,OBRAS!$D:$D,OBRAS!F:F)</f>
        <v>11000002002201E202K05186A614202165FC08</v>
      </c>
      <c r="T1152" s="4" t="str">
        <f>LOOKUP($E1152,OBRAS!$D:$D,OBRAS!G:G)</f>
        <v>IO-926006995-E126-2016</v>
      </c>
      <c r="U1152" s="4" t="s">
        <v>866</v>
      </c>
      <c r="V1152" s="89">
        <v>42810</v>
      </c>
      <c r="W1152" s="6">
        <f>LOOKUP($E1152,OBRAS!$D:$D,OBRAS!K:K)</f>
        <v>1199939.8899999999</v>
      </c>
      <c r="X1152" s="109">
        <f t="shared" si="304"/>
        <v>0.19309999999999999</v>
      </c>
      <c r="Y1152" s="109">
        <f t="shared" si="305"/>
        <v>1</v>
      </c>
      <c r="Z1152" s="109">
        <f t="shared" si="306"/>
        <v>1</v>
      </c>
      <c r="AA1152" s="4" t="str">
        <f>LOOKUP($E1152,OBRAS!$D:$D,OBRAS!H:H)</f>
        <v>SH-NC-17-R-009</v>
      </c>
    </row>
    <row r="1153" spans="1:27" ht="45" x14ac:dyDescent="0.25">
      <c r="A1153" s="90">
        <v>42802</v>
      </c>
      <c r="B1153" s="56">
        <v>1447</v>
      </c>
      <c r="C1153" s="142">
        <v>75</v>
      </c>
      <c r="D1153" s="4" t="str">
        <f>LOOKUP($E1153,OBRAS!$D:$D,OBRAS!C:C)</f>
        <v>PAVIMENTACION CON CONCRETO HIDRAULICO DE 15CMS DE ESPESOR EN BLVD. MIGUEL ALEMAN EN LA LOCALIDAD DE BENJAMIN HILL</v>
      </c>
      <c r="E1153" s="4" t="s">
        <v>972</v>
      </c>
      <c r="F1153" s="4" t="s">
        <v>217</v>
      </c>
      <c r="G1153" s="4" t="str">
        <f>LOOKUP($E1153,OBRAS!$D:$D,OBRAS!E:E)</f>
        <v>C-00052/0189</v>
      </c>
      <c r="H1153" s="80" t="s">
        <v>221</v>
      </c>
      <c r="I1153" s="6">
        <v>101822.85</v>
      </c>
      <c r="K1153" s="6">
        <f t="shared" si="299"/>
        <v>30546.86</v>
      </c>
      <c r="L1153" s="6">
        <f t="shared" si="300"/>
        <v>71275.990000000005</v>
      </c>
      <c r="M1153" s="6">
        <f t="shared" si="301"/>
        <v>11404.16</v>
      </c>
      <c r="N1153" s="6">
        <f t="shared" si="302"/>
        <v>82680.149999999994</v>
      </c>
      <c r="O1153" s="6">
        <f>+ROUND(I1153*0.005,2)</f>
        <v>509.11</v>
      </c>
      <c r="P1153" s="6">
        <f t="shared" si="303"/>
        <v>82171.039999999994</v>
      </c>
      <c r="Q1153" s="4" t="str">
        <f>LOOKUP($E1153,OBRAS!$D:$D,OBRAS!B:B)</f>
        <v>VICOMMING, S.A. DE C.V.</v>
      </c>
      <c r="R1153" s="4" t="str">
        <f>LOOKUP($E1153,OBRAS!$D:$D,OBRAS!A:A)</f>
        <v>BENJAMIN HILL</v>
      </c>
      <c r="S1153" s="2" t="str">
        <f>LOOKUP($E1153,OBRAS!$D:$D,OBRAS!F:F)</f>
        <v>11000002002201E202K05186A614202165FC03C</v>
      </c>
      <c r="T1153" s="2" t="str">
        <f>LOOKUP($E1153,OBRAS!$D:$D,OBRAS!G:G)</f>
        <v>IO-926006995-E108-2016</v>
      </c>
      <c r="U1153" s="4" t="s">
        <v>866</v>
      </c>
      <c r="V1153" s="89">
        <v>42810</v>
      </c>
      <c r="W1153" s="6">
        <f>LOOKUP($E1153,OBRAS!$D:$D,OBRAS!K:K)</f>
        <v>3149792.52</v>
      </c>
      <c r="X1153" s="109">
        <f t="shared" si="304"/>
        <v>3.7499999999999999E-2</v>
      </c>
      <c r="Y1153" s="109">
        <f t="shared" si="305"/>
        <v>8.3799999999999999E-2</v>
      </c>
      <c r="Z1153" s="109">
        <f t="shared" si="306"/>
        <v>0.35859999999999997</v>
      </c>
      <c r="AA1153" s="4" t="str">
        <f>LOOKUP($E1153,OBRAS!$D:$D,OBRAS!H:H)</f>
        <v>SH-NC-17-R-009</v>
      </c>
    </row>
    <row r="1154" spans="1:27" ht="45" x14ac:dyDescent="0.25">
      <c r="A1154" s="90">
        <v>42802</v>
      </c>
      <c r="B1154" s="56">
        <v>1448</v>
      </c>
      <c r="C1154" s="142">
        <v>76</v>
      </c>
      <c r="D1154" s="4" t="str">
        <f>LOOKUP($E1154,OBRAS!$D:$D,OBRAS!C:C)</f>
        <v>PAVIMENTACION A BASE DE CONCRETO HIDRAULICO DE LA CALLE TEPACHE ENTRE VERACRUZ Y CALLE MUNICIPIO DE BACANORA</v>
      </c>
      <c r="E1154" s="4" t="s">
        <v>963</v>
      </c>
      <c r="F1154" s="4" t="s">
        <v>217</v>
      </c>
      <c r="G1154" s="4" t="str">
        <f>LOOKUP($E1154,OBRAS!$D:$D,OBRAS!E:E)</f>
        <v>C-00052/0236</v>
      </c>
      <c r="H1154" s="80" t="s">
        <v>55</v>
      </c>
      <c r="I1154" s="6">
        <v>250252.48</v>
      </c>
      <c r="K1154" s="6">
        <f t="shared" ref="K1154:K1195" si="308">ROUND(I1154*0.3,2)</f>
        <v>75075.740000000005</v>
      </c>
      <c r="L1154" s="6">
        <f t="shared" ref="L1154:L1195" si="309">I1154-K1154</f>
        <v>175176.74</v>
      </c>
      <c r="M1154" s="6">
        <f t="shared" ref="M1154:M1195" si="310">ROUND(L1154*0.16,2)</f>
        <v>28028.28</v>
      </c>
      <c r="N1154" s="6">
        <f t="shared" ref="N1154:N1195" si="311">M1154+L1154</f>
        <v>203205.02</v>
      </c>
      <c r="O1154" s="6">
        <f>+ROUND(I1154*0.005,2)</f>
        <v>1251.26</v>
      </c>
      <c r="P1154" s="6">
        <f t="shared" ref="P1154:P1195" si="312">N1154-O1154</f>
        <v>201953.76</v>
      </c>
      <c r="Q1154" s="4" t="str">
        <f>LOOKUP($E1154,OBRAS!$D:$D,OBRAS!B:B)</f>
        <v>PROMOCIONES TESIA, S.A. DE C.V.</v>
      </c>
      <c r="R1154" s="4" t="str">
        <f>LOOKUP($E1154,OBRAS!$D:$D,OBRAS!A:A)</f>
        <v>NOGALES</v>
      </c>
      <c r="S1154" s="2" t="str">
        <f>LOOKUP($E1154,OBRAS!$D:$D,OBRAS!F:F)</f>
        <v>11000002002201E202K05185A614202165FM03</v>
      </c>
      <c r="T1154" s="2" t="str">
        <f>LOOKUP($E1154,OBRAS!$D:$D,OBRAS!G:G)</f>
        <v>IO-926006995-E101-2016</v>
      </c>
      <c r="U1154" s="4" t="s">
        <v>2476</v>
      </c>
      <c r="V1154" s="89">
        <v>42816</v>
      </c>
      <c r="W1154" s="6">
        <f>LOOKUP($E1154,OBRAS!$D:$D,OBRAS!K:K)</f>
        <v>8091604.4400000004</v>
      </c>
      <c r="X1154" s="109">
        <f t="shared" ref="X1154:X1195" si="313">IF(H1154&lt;&gt;"ANTICIPO",I1154/(W1154/1.16),"")</f>
        <v>3.5900000000000001E-2</v>
      </c>
      <c r="Y1154" s="109">
        <f t="shared" ref="Y1154:Y1195" si="314">SUMIF(E:E,E1154,X:X)</f>
        <v>0.25180000000000002</v>
      </c>
      <c r="Z1154" s="109">
        <f t="shared" ref="Z1154:Z1195" si="315">SUMIF(E:E,E1154,N:N)/W1154</f>
        <v>0.47620000000000001</v>
      </c>
      <c r="AA1154" s="4" t="str">
        <f>LOOKUP($E1154,OBRAS!$D:$D,OBRAS!H:H)</f>
        <v>SH-NC-17-R-008</v>
      </c>
    </row>
    <row r="1155" spans="1:27" ht="30" x14ac:dyDescent="0.25">
      <c r="A1155" s="90">
        <v>42802</v>
      </c>
      <c r="B1155" s="56">
        <v>1449</v>
      </c>
      <c r="C1155" s="142">
        <v>77</v>
      </c>
      <c r="D1155" s="4" t="str">
        <f>LOOKUP($E1155,OBRAS!$D:$D,OBRAS!C:C)</f>
        <v>RECONSTRUCCION DE LA CALLE GUERRERO DEL KM 0+000 AL KM 6+020</v>
      </c>
      <c r="E1155" s="4" t="s">
        <v>300</v>
      </c>
      <c r="F1155" s="4" t="s">
        <v>248</v>
      </c>
      <c r="G1155" s="4" t="str">
        <f>LOOKUP($E1155,OBRAS!$D:$D,OBRAS!E:E)</f>
        <v>C-00054/0074</v>
      </c>
      <c r="H1155" s="80" t="s">
        <v>218</v>
      </c>
      <c r="I1155" s="6">
        <v>682704.07</v>
      </c>
      <c r="K1155" s="6">
        <v>0</v>
      </c>
      <c r="L1155" s="6">
        <f t="shared" si="309"/>
        <v>682704.07</v>
      </c>
      <c r="M1155" s="6">
        <f t="shared" si="310"/>
        <v>109232.65</v>
      </c>
      <c r="N1155" s="6">
        <f t="shared" si="311"/>
        <v>791936.72</v>
      </c>
      <c r="O1155" s="6">
        <f t="shared" ref="O1155:O1189" si="316">+ROUND(I1155*0.002,2)+ROUND(I1155*0.0003,2)+ROUND(I1155*0.0003,2)+ROUND(I1155*0.0003,2)+ROUND(I1155*0.002,2)</f>
        <v>3345.25</v>
      </c>
      <c r="P1155" s="6">
        <f t="shared" si="312"/>
        <v>788591.47</v>
      </c>
      <c r="Q1155" s="4" t="str">
        <f>LOOKUP($E1155,OBRAS!$D:$D,OBRAS!B:B)</f>
        <v>ZERO EDIFICACIONES,S.A. DE C.V.</v>
      </c>
      <c r="R1155" s="4" t="str">
        <f>LOOKUP($E1155,OBRAS!$D:$D,OBRAS!A:A)</f>
        <v>HERMOSILLO</v>
      </c>
      <c r="S1155" s="2" t="str">
        <f>LOOKUP($E1155,OBRAS!$D:$D,OBRAS!F:F)</f>
        <v>11000002003501E204K08063A625012162A207</v>
      </c>
      <c r="T1155" s="2" t="str">
        <f>LOOKUP($E1155,OBRAS!$D:$D,OBRAS!G:G)</f>
        <v>CE-926006995-E41-2016</v>
      </c>
      <c r="U1155" s="4" t="s">
        <v>866</v>
      </c>
      <c r="V1155" s="89">
        <v>42810</v>
      </c>
      <c r="W1155" s="6">
        <f>LOOKUP($E1155,OBRAS!$D:$D,OBRAS!K:K)</f>
        <v>18289741.390000001</v>
      </c>
      <c r="X1155" s="109">
        <f t="shared" si="313"/>
        <v>4.3299999999999998E-2</v>
      </c>
      <c r="Y1155" s="109">
        <f t="shared" si="314"/>
        <v>1</v>
      </c>
      <c r="Z1155" s="109">
        <f t="shared" si="315"/>
        <v>1</v>
      </c>
      <c r="AA1155" s="4" t="str">
        <f>LOOKUP($E1155,OBRAS!$D:$D,OBRAS!H:H)</f>
        <v>SH-ED-17-R-013</v>
      </c>
    </row>
    <row r="1156" spans="1:27" ht="75" x14ac:dyDescent="0.25">
      <c r="A1156" s="90">
        <v>42804</v>
      </c>
      <c r="B1156" s="56">
        <v>1514</v>
      </c>
      <c r="C1156" s="142">
        <v>78</v>
      </c>
      <c r="D1156" s="4" t="str">
        <f>LOOKUP($E1156,OBRAS!$D:$D,OBRAS!C:C)</f>
        <v>REHABILITACION DE PAVIMENTOS A BASE DE RECARPETEO EN CALLE GARCIA MORALES ENTRE HIDALGO Y RAYON, ENTRE QUINTANA ROO Y BRAVO, Y ENTRE ABASOLO Y JOSEFA ORTIZ DE DOMINGUEZ</v>
      </c>
      <c r="E1156" s="4" t="s">
        <v>1778</v>
      </c>
      <c r="F1156" s="4" t="s">
        <v>217</v>
      </c>
      <c r="G1156" s="4" t="str">
        <f>LOOKUP($E1156,OBRAS!$D:$D,OBRAS!E:E)</f>
        <v>C-00052/0232</v>
      </c>
      <c r="H1156" s="80" t="s">
        <v>103</v>
      </c>
      <c r="I1156" s="6">
        <v>533285.05000000005</v>
      </c>
      <c r="K1156" s="6">
        <f t="shared" si="308"/>
        <v>159985.51999999999</v>
      </c>
      <c r="L1156" s="6">
        <f t="shared" si="309"/>
        <v>373299.53</v>
      </c>
      <c r="M1156" s="6">
        <f t="shared" si="310"/>
        <v>59727.92</v>
      </c>
      <c r="N1156" s="6">
        <f t="shared" si="311"/>
        <v>433027.45</v>
      </c>
      <c r="O1156" s="6">
        <f>+ROUND(I1156*0.005,2)</f>
        <v>2666.43</v>
      </c>
      <c r="P1156" s="6">
        <f t="shared" si="312"/>
        <v>430361.02</v>
      </c>
      <c r="Q1156" s="4" t="str">
        <f>LOOKUP($E1156,OBRAS!$D:$D,OBRAS!B:B)</f>
        <v>PROMOCIONES TESIA, S.A. DE C.V.</v>
      </c>
      <c r="R1156" s="4" t="str">
        <f>LOOKUP($E1156,OBRAS!$D:$D,OBRAS!A:A)</f>
        <v>NAVOJOA</v>
      </c>
      <c r="S1156" s="2" t="str">
        <f>LOOKUP($E1156,OBRAS!$D:$D,OBRAS!F:F)</f>
        <v>11000002002201E202K05186A614202165FN12</v>
      </c>
      <c r="T1156" s="2" t="str">
        <f>LOOKUP($E1156,OBRAS!$D:$D,OBRAS!G:G)</f>
        <v>IO-926006995-E160-2016</v>
      </c>
      <c r="U1156" s="4" t="s">
        <v>2476</v>
      </c>
      <c r="V1156" s="89">
        <v>42816</v>
      </c>
      <c r="W1156" s="6">
        <f>LOOKUP($E1156,OBRAS!$D:$D,OBRAS!K:K)</f>
        <v>1881441.35</v>
      </c>
      <c r="X1156" s="109">
        <f t="shared" si="313"/>
        <v>0.32879999999999998</v>
      </c>
      <c r="Y1156" s="109">
        <f t="shared" si="314"/>
        <v>0.98929999999999996</v>
      </c>
      <c r="Z1156" s="109">
        <f t="shared" si="315"/>
        <v>0.99250000000000005</v>
      </c>
      <c r="AA1156" s="4" t="str">
        <f>LOOKUP($E1156,OBRAS!$D:$D,OBRAS!H:H)</f>
        <v>SH-NC-17-R-005</v>
      </c>
    </row>
    <row r="1157" spans="1:27" ht="45" x14ac:dyDescent="0.25">
      <c r="A1157" s="90">
        <v>42809</v>
      </c>
      <c r="B1157" s="56">
        <v>1621</v>
      </c>
      <c r="C1157" s="142">
        <v>79</v>
      </c>
      <c r="D1157" s="4" t="str">
        <f>LOOKUP($E1157,OBRAS!$D:$D,OBRAS!C:C)</f>
        <v>PAVIMENTACION CON CONCRETO HIDRAULICO DE CALLE LAZARO CARDENAS Y CALLE AQUILES SERDAN EN LA LOCALIDAD DE PUERTO LIBERTAD</v>
      </c>
      <c r="E1157" s="4" t="s">
        <v>1819</v>
      </c>
      <c r="F1157" s="4" t="s">
        <v>217</v>
      </c>
      <c r="G1157" s="4" t="str">
        <f>LOOKUP($E1157,OBRAS!$D:$D,OBRAS!E:E)</f>
        <v>C-00052/0192</v>
      </c>
      <c r="H1157" s="80" t="s">
        <v>103</v>
      </c>
      <c r="I1157" s="6">
        <v>120981.72</v>
      </c>
      <c r="K1157" s="6">
        <f t="shared" si="308"/>
        <v>36294.519999999997</v>
      </c>
      <c r="L1157" s="6">
        <f t="shared" si="309"/>
        <v>84687.2</v>
      </c>
      <c r="M1157" s="6">
        <f t="shared" si="310"/>
        <v>13549.95</v>
      </c>
      <c r="N1157" s="6">
        <f t="shared" si="311"/>
        <v>98237.15</v>
      </c>
      <c r="O1157" s="6">
        <f>+ROUND(I1157*0.005,2)</f>
        <v>604.91</v>
      </c>
      <c r="P1157" s="6">
        <f t="shared" si="312"/>
        <v>97632.24</v>
      </c>
      <c r="Q1157" s="4" t="str">
        <f>LOOKUP($E1157,OBRAS!$D:$D,OBRAS!B:B)</f>
        <v>CONSTRUCTORA E INMOBILIARIA VELIS, S.A. DE C.V.</v>
      </c>
      <c r="R1157" s="4" t="str">
        <f>LOOKUP($E1157,OBRAS!$D:$D,OBRAS!A:A)</f>
        <v>PITIQUITO</v>
      </c>
      <c r="S1157" s="2" t="str">
        <f>LOOKUP($E1157,OBRAS!$D:$D,OBRAS!F:F)</f>
        <v>11000002002201E202K05186A614202165FC02</v>
      </c>
      <c r="T1157" s="2" t="str">
        <f>LOOKUP($E1157,OBRAS!$D:$D,OBRAS!G:G)</f>
        <v>IO-926006995-E150-2016</v>
      </c>
      <c r="U1157" s="4" t="s">
        <v>866</v>
      </c>
      <c r="V1157" s="89">
        <v>42810</v>
      </c>
      <c r="W1157" s="6">
        <f>LOOKUP($E1157,OBRAS!$D:$D,OBRAS!K:K)</f>
        <v>2752337.34</v>
      </c>
      <c r="X1157" s="109">
        <f t="shared" si="313"/>
        <v>5.0999999999999997E-2</v>
      </c>
      <c r="Y1157" s="109">
        <f t="shared" si="314"/>
        <v>0.2555</v>
      </c>
      <c r="Z1157" s="109">
        <f t="shared" si="315"/>
        <v>0.4788</v>
      </c>
      <c r="AA1157" s="4" t="str">
        <f>LOOKUP($E1157,OBRAS!$D:$D,OBRAS!H:H)</f>
        <v>SH-NC-17-R-009</v>
      </c>
    </row>
    <row r="1158" spans="1:27" ht="45" x14ac:dyDescent="0.25">
      <c r="A1158" s="90">
        <v>42809</v>
      </c>
      <c r="B1158" s="56">
        <v>1622</v>
      </c>
      <c r="C1158" s="142">
        <v>80</v>
      </c>
      <c r="D1158" s="4" t="str">
        <f>LOOKUP($E1158,OBRAS!$D:$D,OBRAS!C:C)</f>
        <v>PAVIMENTACIÓN CON CARPETA ASFALTICA DE 5CMS DE ESPESOR EN 3 CALLES, GENERAL PLUTARCO ELIAS CALLES</v>
      </c>
      <c r="E1158" s="4" t="s">
        <v>1770</v>
      </c>
      <c r="F1158" s="4" t="s">
        <v>248</v>
      </c>
      <c r="G1158" s="4" t="str">
        <f>LOOKUP($E1158,OBRAS!$D:$D,OBRAS!E:E)</f>
        <v>C-00052/0176</v>
      </c>
      <c r="H1158" s="80" t="s">
        <v>215</v>
      </c>
      <c r="I1158" s="6">
        <v>475018.41</v>
      </c>
      <c r="K1158" s="6">
        <f t="shared" si="308"/>
        <v>142505.51999999999</v>
      </c>
      <c r="L1158" s="6">
        <f t="shared" si="309"/>
        <v>332512.89</v>
      </c>
      <c r="M1158" s="6">
        <f t="shared" si="310"/>
        <v>53202.06</v>
      </c>
      <c r="N1158" s="6">
        <f t="shared" si="311"/>
        <v>385714.95</v>
      </c>
      <c r="O1158" s="6">
        <f>+ROUND(I1158*0.005,2)</f>
        <v>2375.09</v>
      </c>
      <c r="P1158" s="6">
        <f t="shared" si="312"/>
        <v>383339.86</v>
      </c>
      <c r="Q1158" s="4" t="str">
        <f>LOOKUP($E1158,OBRAS!$D:$D,OBRAS!B:B)</f>
        <v>CONSTRUSERVICIOS Y EDIFICACIONES BAJAMAR DE MEXICO S.A. DE C.V.</v>
      </c>
      <c r="R1158" s="4" t="str">
        <f>LOOKUP($E1158,OBRAS!$D:$D,OBRAS!A:A)</f>
        <v>GRAL. PLUTARCO ELIAS CALLES</v>
      </c>
      <c r="S1158" s="2" t="str">
        <f>LOOKUP($E1158,OBRAS!$D:$D,OBRAS!F:F)</f>
        <v>11000002002201E202K05186A614202165CN01</v>
      </c>
      <c r="T1158" s="2" t="str">
        <f>LOOKUP($E1158,OBRAS!$D:$D,OBRAS!G:G)</f>
        <v>IO-926006995-E159-2016</v>
      </c>
      <c r="U1158" s="4" t="s">
        <v>866</v>
      </c>
      <c r="V1158" s="89">
        <v>42810</v>
      </c>
      <c r="W1158" s="6">
        <f>LOOKUP($E1158,OBRAS!$D:$D,OBRAS!K:K)</f>
        <v>5165280.09</v>
      </c>
      <c r="X1158" s="109">
        <f t="shared" si="313"/>
        <v>0.1067</v>
      </c>
      <c r="Y1158" s="109">
        <f t="shared" si="314"/>
        <v>0.85419999999999996</v>
      </c>
      <c r="Z1158" s="109">
        <f t="shared" si="315"/>
        <v>0.89790000000000003</v>
      </c>
      <c r="AA1158" s="4" t="str">
        <f>LOOKUP($E1158,OBRAS!$D:$D,OBRAS!H:H)</f>
        <v>SH-NC-17-R-004</v>
      </c>
    </row>
    <row r="1159" spans="1:27" ht="30" x14ac:dyDescent="0.25">
      <c r="A1159" s="90">
        <v>42809</v>
      </c>
      <c r="B1159" s="56">
        <v>1623</v>
      </c>
      <c r="C1159" s="142">
        <v>81</v>
      </c>
      <c r="D1159" s="4" t="str">
        <f>LOOKUP($E1159,OBRAS!$D:$D,OBRAS!C:C)</f>
        <v>REHABILITACION DE COLECTOR DE AGUAS RESIDUALES</v>
      </c>
      <c r="E1159" s="4" t="s">
        <v>1739</v>
      </c>
      <c r="F1159" s="4" t="s">
        <v>224</v>
      </c>
      <c r="G1159" s="4" t="str">
        <f>LOOKUP($E1159,OBRAS!$D:$D,OBRAS!E:E)</f>
        <v>C-00051/0003</v>
      </c>
      <c r="H1159" s="80" t="s">
        <v>221</v>
      </c>
      <c r="I1159" s="6">
        <v>477350.19</v>
      </c>
      <c r="K1159" s="6">
        <f t="shared" si="308"/>
        <v>143205.06</v>
      </c>
      <c r="L1159" s="6">
        <f t="shared" si="309"/>
        <v>334145.13</v>
      </c>
      <c r="M1159" s="6">
        <f t="shared" si="310"/>
        <v>53463.22</v>
      </c>
      <c r="N1159" s="6">
        <f t="shared" si="311"/>
        <v>387608.35</v>
      </c>
      <c r="O1159" s="6">
        <f t="shared" si="316"/>
        <v>2339.0300000000002</v>
      </c>
      <c r="P1159" s="6">
        <f t="shared" si="312"/>
        <v>385269.32</v>
      </c>
      <c r="Q1159" s="4" t="str">
        <f>LOOKUP($E1159,OBRAS!$D:$D,OBRAS!B:B)</f>
        <v>CONSTRUCTORA MIRAMAR, S.A. DE C.V.</v>
      </c>
      <c r="R1159" s="4" t="str">
        <f>LOOKUP($E1159,OBRAS!$D:$D,OBRAS!A:A)</f>
        <v>PITIQUITO</v>
      </c>
      <c r="S1159" s="2" t="str">
        <f>LOOKUP($E1159,OBRAS!$D:$D,OBRAS!F:F)</f>
        <v>11000002002103E202K06023A614092162A202</v>
      </c>
      <c r="T1159" s="2" t="str">
        <f>LOOKUP($E1159,OBRAS!$D:$D,OBRAS!G:G)</f>
        <v>LICITACIÓN SIMPLIFICADA</v>
      </c>
      <c r="U1159" s="4" t="s">
        <v>866</v>
      </c>
      <c r="V1159" s="89">
        <v>42811</v>
      </c>
      <c r="W1159" s="6">
        <f>LOOKUP($E1159,OBRAS!$D:$D,OBRAS!K:K)</f>
        <v>1284585.54</v>
      </c>
      <c r="X1159" s="109">
        <f t="shared" si="313"/>
        <v>0.43109999999999998</v>
      </c>
      <c r="Y1159" s="109">
        <f t="shared" si="314"/>
        <v>0.99370000000000003</v>
      </c>
      <c r="Z1159" s="109">
        <f t="shared" si="315"/>
        <v>0.99370000000000003</v>
      </c>
      <c r="AA1159" s="4" t="str">
        <f>LOOKUP($E1159,OBRAS!$D:$D,OBRAS!H:H)</f>
        <v>SH-ED-17-R-013</v>
      </c>
    </row>
    <row r="1160" spans="1:27" ht="30" x14ac:dyDescent="0.25">
      <c r="A1160" s="90">
        <v>42809</v>
      </c>
      <c r="B1160" s="56">
        <v>1624</v>
      </c>
      <c r="C1160" s="142">
        <v>82</v>
      </c>
      <c r="D1160" s="4" t="str">
        <f>LOOKUP($E1160,OBRAS!$D:$D,OBRAS!C:C)</f>
        <v>REHABILITACION DE COLECTOR DE AGUAS RESIDUALES</v>
      </c>
      <c r="E1160" s="4" t="s">
        <v>1739</v>
      </c>
      <c r="F1160" s="4" t="s">
        <v>224</v>
      </c>
      <c r="G1160" s="4" t="str">
        <f>LOOKUP($E1160,OBRAS!$D:$D,OBRAS!E:E)</f>
        <v>C-00051/0003</v>
      </c>
      <c r="H1160" s="80" t="s">
        <v>55</v>
      </c>
      <c r="I1160" s="6">
        <v>67557.47</v>
      </c>
      <c r="K1160" s="6">
        <v>22368.68</v>
      </c>
      <c r="L1160" s="6">
        <f t="shared" si="309"/>
        <v>45188.79</v>
      </c>
      <c r="M1160" s="6">
        <f t="shared" si="310"/>
        <v>7230.21</v>
      </c>
      <c r="N1160" s="6">
        <f t="shared" si="311"/>
        <v>52419</v>
      </c>
      <c r="O1160" s="6">
        <f t="shared" si="316"/>
        <v>331.03</v>
      </c>
      <c r="P1160" s="6">
        <f t="shared" si="312"/>
        <v>52087.97</v>
      </c>
      <c r="Q1160" s="4" t="str">
        <f>LOOKUP($E1160,OBRAS!$D:$D,OBRAS!B:B)</f>
        <v>CONSTRUCTORA MIRAMAR, S.A. DE C.V.</v>
      </c>
      <c r="R1160" s="4" t="str">
        <f>LOOKUP($E1160,OBRAS!$D:$D,OBRAS!A:A)</f>
        <v>PITIQUITO</v>
      </c>
      <c r="S1160" s="2" t="str">
        <f>LOOKUP($E1160,OBRAS!$D:$D,OBRAS!F:F)</f>
        <v>11000002002103E202K06023A614092162A202</v>
      </c>
      <c r="T1160" s="2" t="str">
        <f>LOOKUP($E1160,OBRAS!$D:$D,OBRAS!G:G)</f>
        <v>LICITACIÓN SIMPLIFICADA</v>
      </c>
      <c r="U1160" s="4" t="s">
        <v>866</v>
      </c>
      <c r="V1160" s="89">
        <v>42811</v>
      </c>
      <c r="W1160" s="6">
        <f>LOOKUP($E1160,OBRAS!$D:$D,OBRAS!K:K)</f>
        <v>1284585.54</v>
      </c>
      <c r="X1160" s="109">
        <f t="shared" si="313"/>
        <v>6.0999999999999999E-2</v>
      </c>
      <c r="Y1160" s="109">
        <f t="shared" si="314"/>
        <v>0.99370000000000003</v>
      </c>
      <c r="Z1160" s="109">
        <f t="shared" si="315"/>
        <v>0.99370000000000003</v>
      </c>
      <c r="AA1160" s="4" t="str">
        <f>LOOKUP($E1160,OBRAS!$D:$D,OBRAS!H:H)</f>
        <v>SH-ED-17-R-013</v>
      </c>
    </row>
    <row r="1161" spans="1:27" ht="45" x14ac:dyDescent="0.25">
      <c r="A1161" s="90">
        <v>42809</v>
      </c>
      <c r="B1161" s="56">
        <v>1625</v>
      </c>
      <c r="C1161" s="142">
        <v>83</v>
      </c>
      <c r="D1161" s="4" t="str">
        <f>LOOKUP($E1161,OBRAS!$D:$D,OBRAS!C:C)</f>
        <v>PAVIMENTACIÓN CON CARPETA ASFALTICA DE 5CMS DE ESPESOR EN 3 CALLES, GENERAL PLUTARCO ELIAS CALLES</v>
      </c>
      <c r="E1161" s="4" t="s">
        <v>1770</v>
      </c>
      <c r="F1161" s="4" t="s">
        <v>248</v>
      </c>
      <c r="G1161" s="4" t="str">
        <f>LOOKUP($E1161,OBRAS!$D:$D,OBRAS!E:E)</f>
        <v>C-00052/0176</v>
      </c>
      <c r="H1161" s="80" t="s">
        <v>15</v>
      </c>
      <c r="I1161" s="6">
        <v>1537889.1</v>
      </c>
      <c r="K1161" s="6">
        <f t="shared" si="308"/>
        <v>461366.73</v>
      </c>
      <c r="L1161" s="6">
        <f t="shared" si="309"/>
        <v>1076522.3700000001</v>
      </c>
      <c r="M1161" s="6">
        <f t="shared" si="310"/>
        <v>172243.58</v>
      </c>
      <c r="N1161" s="6">
        <f t="shared" si="311"/>
        <v>1248765.95</v>
      </c>
      <c r="O1161" s="6">
        <f>+ROUND(I1161*0.005,2)</f>
        <v>7689.45</v>
      </c>
      <c r="P1161" s="6">
        <f t="shared" si="312"/>
        <v>1241076.5</v>
      </c>
      <c r="Q1161" s="4" t="str">
        <f>LOOKUP($E1161,OBRAS!$D:$D,OBRAS!B:B)</f>
        <v>CONSTRUSERVICIOS Y EDIFICACIONES BAJAMAR DE MEXICO S.A. DE C.V.</v>
      </c>
      <c r="R1161" s="4" t="str">
        <f>LOOKUP($E1161,OBRAS!$D:$D,OBRAS!A:A)</f>
        <v>GRAL. PLUTARCO ELIAS CALLES</v>
      </c>
      <c r="S1161" s="2" t="str">
        <f>LOOKUP($E1161,OBRAS!$D:$D,OBRAS!F:F)</f>
        <v>11000002002201E202K05186A614202165CN01</v>
      </c>
      <c r="T1161" s="2" t="str">
        <f>LOOKUP($E1161,OBRAS!$D:$D,OBRAS!G:G)</f>
        <v>IO-926006995-E159-2016</v>
      </c>
      <c r="U1161" s="4" t="s">
        <v>866</v>
      </c>
      <c r="V1161" s="89">
        <v>42810</v>
      </c>
      <c r="W1161" s="6">
        <f>LOOKUP($E1161,OBRAS!$D:$D,OBRAS!K:K)</f>
        <v>5165280.09</v>
      </c>
      <c r="X1161" s="109">
        <f t="shared" si="313"/>
        <v>0.34539999999999998</v>
      </c>
      <c r="Y1161" s="109">
        <f t="shared" si="314"/>
        <v>0.85419999999999996</v>
      </c>
      <c r="Z1161" s="109">
        <f t="shared" si="315"/>
        <v>0.89790000000000003</v>
      </c>
      <c r="AA1161" s="4" t="str">
        <f>LOOKUP($E1161,OBRAS!$D:$D,OBRAS!H:H)</f>
        <v>SH-NC-17-R-004</v>
      </c>
    </row>
    <row r="1162" spans="1:27" ht="45" x14ac:dyDescent="0.25">
      <c r="A1162" s="90">
        <v>42809</v>
      </c>
      <c r="B1162" s="56">
        <v>1630</v>
      </c>
      <c r="C1162" s="142">
        <v>84</v>
      </c>
      <c r="D1162" s="4" t="str">
        <f>LOOKUP($E1162,OBRAS!$D:$D,OBRAS!C:C)</f>
        <v>PAVIMENTACION CON CONCRETO HIDRAULICO DE CALLE LAZARO CARDENAS Y CALLE AQUILES SERDAN EN LA LOCALIDAD DE PUERTO LIBERTAD</v>
      </c>
      <c r="E1162" s="4" t="s">
        <v>1819</v>
      </c>
      <c r="F1162" s="4" t="s">
        <v>217</v>
      </c>
      <c r="G1162" s="4" t="str">
        <f>LOOKUP($E1162,OBRAS!$D:$D,OBRAS!E:E)</f>
        <v>C-00052/0192</v>
      </c>
      <c r="H1162" s="80" t="s">
        <v>221</v>
      </c>
      <c r="I1162" s="6">
        <v>485222.46</v>
      </c>
      <c r="K1162" s="6">
        <f t="shared" si="308"/>
        <v>145566.74</v>
      </c>
      <c r="L1162" s="6">
        <f t="shared" si="309"/>
        <v>339655.72</v>
      </c>
      <c r="M1162" s="6">
        <f t="shared" si="310"/>
        <v>54344.92</v>
      </c>
      <c r="N1162" s="6">
        <f t="shared" si="311"/>
        <v>394000.64000000001</v>
      </c>
      <c r="O1162" s="6">
        <f>+ROUND(I1162*0.005,2)</f>
        <v>2426.11</v>
      </c>
      <c r="P1162" s="6">
        <f t="shared" si="312"/>
        <v>391574.53</v>
      </c>
      <c r="Q1162" s="4" t="str">
        <f>LOOKUP($E1162,OBRAS!$D:$D,OBRAS!B:B)</f>
        <v>CONSTRUCTORA E INMOBILIARIA VELIS, S.A. DE C.V.</v>
      </c>
      <c r="R1162" s="4" t="str">
        <f>LOOKUP($E1162,OBRAS!$D:$D,OBRAS!A:A)</f>
        <v>PITIQUITO</v>
      </c>
      <c r="S1162" s="2" t="str">
        <f>LOOKUP($E1162,OBRAS!$D:$D,OBRAS!F:F)</f>
        <v>11000002002201E202K05186A614202165FC02</v>
      </c>
      <c r="T1162" s="2" t="str">
        <f>LOOKUP($E1162,OBRAS!$D:$D,OBRAS!G:G)</f>
        <v>IO-926006995-E150-2016</v>
      </c>
      <c r="U1162" s="4" t="s">
        <v>866</v>
      </c>
      <c r="V1162" s="89">
        <v>42811</v>
      </c>
      <c r="W1162" s="6">
        <f>LOOKUP($E1162,OBRAS!$D:$D,OBRAS!K:K)</f>
        <v>2752337.34</v>
      </c>
      <c r="X1162" s="109">
        <f t="shared" si="313"/>
        <v>0.20449999999999999</v>
      </c>
      <c r="Y1162" s="109">
        <f t="shared" si="314"/>
        <v>0.2555</v>
      </c>
      <c r="Z1162" s="109">
        <f t="shared" si="315"/>
        <v>0.4788</v>
      </c>
      <c r="AA1162" s="4" t="str">
        <f>LOOKUP($E1162,OBRAS!$D:$D,OBRAS!H:H)</f>
        <v>SH-NC-17-R-009</v>
      </c>
    </row>
    <row r="1163" spans="1:27" ht="45" x14ac:dyDescent="0.25">
      <c r="A1163" s="90">
        <v>42809</v>
      </c>
      <c r="B1163" s="56">
        <v>1631</v>
      </c>
      <c r="C1163" s="142">
        <v>85</v>
      </c>
      <c r="D1163" s="4" t="str">
        <f>LOOKUP($E1163,OBRAS!$D:$D,OBRAS!C:C)</f>
        <v>PAVIMENTACIÓN CON CONCRETO HIDRAULICO DE CALLE ADOLFO DE LA HUERTA EN LA LOCALIDAD DE QUEROBABI</v>
      </c>
      <c r="E1163" s="4" t="s">
        <v>1719</v>
      </c>
      <c r="F1163" s="4" t="s">
        <v>217</v>
      </c>
      <c r="G1163" s="4" t="str">
        <f>LOOKUP($E1163,OBRAS!$D:$D,OBRAS!E:E)</f>
        <v>C-00052/0185</v>
      </c>
      <c r="H1163" s="80" t="s">
        <v>215</v>
      </c>
      <c r="I1163" s="6">
        <v>878927.67</v>
      </c>
      <c r="K1163" s="6">
        <f t="shared" si="308"/>
        <v>263678.3</v>
      </c>
      <c r="L1163" s="6">
        <f t="shared" si="309"/>
        <v>615249.37</v>
      </c>
      <c r="M1163" s="6">
        <f t="shared" si="310"/>
        <v>98439.9</v>
      </c>
      <c r="N1163" s="6">
        <f t="shared" si="311"/>
        <v>713689.27</v>
      </c>
      <c r="O1163" s="6">
        <f>+ROUND(I1163*0.005,2)</f>
        <v>4394.6400000000003</v>
      </c>
      <c r="P1163" s="6">
        <f t="shared" si="312"/>
        <v>709294.63</v>
      </c>
      <c r="Q1163" s="4" t="str">
        <f>LOOKUP($E1163,OBRAS!$D:$D,OBRAS!B:B)</f>
        <v>INGENIERIA INTEGRAL LA ISLETA, S.A. DE C.V.</v>
      </c>
      <c r="R1163" s="4" t="str">
        <f>LOOKUP($E1163,OBRAS!$D:$D,OBRAS!A:A)</f>
        <v>QUEROBABI</v>
      </c>
      <c r="S1163" s="2" t="str">
        <f>LOOKUP($E1163,OBRAS!$D:$D,OBRAS!F:F)</f>
        <v>11000002002201E202K05186A614202165FC05</v>
      </c>
      <c r="T1163" s="2" t="str">
        <f>LOOKUP($E1163,OBRAS!$D:$D,OBRAS!G:G)</f>
        <v>IO-926006995-E142-2016</v>
      </c>
      <c r="U1163" s="4" t="s">
        <v>866</v>
      </c>
      <c r="V1163" s="89">
        <v>42811</v>
      </c>
      <c r="W1163" s="6">
        <f>LOOKUP($E1163,OBRAS!$D:$D,OBRAS!K:K)</f>
        <v>2851069.39</v>
      </c>
      <c r="X1163" s="109">
        <f t="shared" si="313"/>
        <v>0.35759999999999997</v>
      </c>
      <c r="Y1163" s="109">
        <f t="shared" si="314"/>
        <v>0.95009999999999994</v>
      </c>
      <c r="Z1163" s="109">
        <f t="shared" si="315"/>
        <v>0.96509999999999996</v>
      </c>
      <c r="AA1163" s="4" t="str">
        <f>LOOKUP($E1163,OBRAS!$D:$D,OBRAS!H:H)</f>
        <v>SH-NC-17-R-009</v>
      </c>
    </row>
    <row r="1164" spans="1:27" ht="60" x14ac:dyDescent="0.25">
      <c r="A1164" s="90">
        <v>42809</v>
      </c>
      <c r="B1164" s="56">
        <v>1632</v>
      </c>
      <c r="C1164" s="145">
        <v>86</v>
      </c>
      <c r="D1164" s="4" t="str">
        <f>LOOKUP($E1164,OBRAS!$D:$D,OBRAS!C:C)</f>
        <v>RECONSTRUCCION DE E.C. (CALLE 36 SUR) GRANJAS ACUICOLAS DEL KM 0+000 AL KM 12+660, EN VARIAS LOCALIDADES DEL MUNICIPIO DE HERMOSILLO.</v>
      </c>
      <c r="E1164" s="4" t="s">
        <v>375</v>
      </c>
      <c r="F1164" s="4" t="s">
        <v>400</v>
      </c>
      <c r="G1164" s="4" t="str">
        <f>LOOKUP($E1164,OBRAS!$D:$D,OBRAS!E:E)</f>
        <v>C-00054/0071</v>
      </c>
      <c r="H1164" s="80" t="s">
        <v>264</v>
      </c>
      <c r="I1164" s="6">
        <v>3881325.94</v>
      </c>
      <c r="K1164" s="6">
        <f t="shared" si="308"/>
        <v>1164397.78</v>
      </c>
      <c r="L1164" s="6">
        <f t="shared" si="309"/>
        <v>2716928.16</v>
      </c>
      <c r="M1164" s="6">
        <f t="shared" si="310"/>
        <v>434708.51</v>
      </c>
      <c r="N1164" s="6">
        <f t="shared" si="311"/>
        <v>3151636.67</v>
      </c>
      <c r="O1164" s="6">
        <f t="shared" si="316"/>
        <v>19018.5</v>
      </c>
      <c r="P1164" s="6">
        <f t="shared" si="312"/>
        <v>3132618.17</v>
      </c>
      <c r="Q1164" s="4" t="str">
        <f>LOOKUP($E1164,OBRAS!$D:$D,OBRAS!B:B)</f>
        <v>RENTA, MOVIMIENTO DE CONSTRUCCION EQUIPEN, S.A. DE C.V.</v>
      </c>
      <c r="R1164" s="4" t="str">
        <f>LOOKUP($E1164,OBRAS!$D:$D,OBRAS!A:A)</f>
        <v>HERMOSILLO</v>
      </c>
      <c r="S1164" s="2" t="str">
        <f>LOOKUP($E1164,OBRAS!$D:$D,OBRAS!F:F)</f>
        <v>11000002003501E204K08063A625012162A207</v>
      </c>
      <c r="T1164" s="2" t="str">
        <f>LOOKUP($E1164,OBRAS!$D:$D,OBRAS!G:G)</f>
        <v>CE-926006995-E44-2016</v>
      </c>
      <c r="U1164" s="4" t="s">
        <v>866</v>
      </c>
      <c r="V1164" s="89">
        <v>42811</v>
      </c>
      <c r="W1164" s="6">
        <f>LOOKUP($E1164,OBRAS!$D:$D,OBRAS!K:K)</f>
        <v>22599852.190000001</v>
      </c>
      <c r="X1164" s="109">
        <f t="shared" si="313"/>
        <v>0.19919999999999999</v>
      </c>
      <c r="Y1164" s="109">
        <f t="shared" si="314"/>
        <v>0.66990000000000005</v>
      </c>
      <c r="Z1164" s="109">
        <f t="shared" si="315"/>
        <v>0.76890000000000003</v>
      </c>
      <c r="AA1164" s="4" t="str">
        <f>LOOKUP($E1164,OBRAS!$D:$D,OBRAS!H:H)</f>
        <v>SH-ED-17-R-004</v>
      </c>
    </row>
    <row r="1165" spans="1:27" ht="45" x14ac:dyDescent="0.25">
      <c r="A1165" s="90">
        <v>42809</v>
      </c>
      <c r="B1165" s="56">
        <v>1633</v>
      </c>
      <c r="C1165" s="142">
        <v>87</v>
      </c>
      <c r="D1165" s="4" t="str">
        <f>LOOKUP($E1165,OBRAS!$D:$D,OBRAS!C:C)</f>
        <v>PAVIMENTACION CON CONCRETO HIDRAULICO DE LAS CALLES NORTE (EPIFANIO LEYVA SOTO) Y CUAUHTEMOC</v>
      </c>
      <c r="E1165" s="4" t="s">
        <v>1602</v>
      </c>
      <c r="F1165" s="4" t="s">
        <v>217</v>
      </c>
      <c r="G1165" s="4" t="str">
        <f>LOOKUP($E1165,OBRAS!$D:$D,OBRAS!E:E)</f>
        <v>C-00052/0213</v>
      </c>
      <c r="H1165" s="80" t="s">
        <v>103</v>
      </c>
      <c r="I1165" s="6">
        <v>602095.92000000004</v>
      </c>
      <c r="K1165" s="6">
        <f t="shared" si="308"/>
        <v>180628.78</v>
      </c>
      <c r="L1165" s="6">
        <f t="shared" si="309"/>
        <v>421467.14</v>
      </c>
      <c r="M1165" s="6">
        <f t="shared" si="310"/>
        <v>67434.740000000005</v>
      </c>
      <c r="N1165" s="6">
        <f t="shared" si="311"/>
        <v>488901.88</v>
      </c>
      <c r="O1165" s="6">
        <f>+ROUND(I1165*0.005,2)</f>
        <v>3010.48</v>
      </c>
      <c r="P1165" s="6">
        <f t="shared" si="312"/>
        <v>485891.4</v>
      </c>
      <c r="Q1165" s="4" t="str">
        <f>LOOKUP($E1165,OBRAS!$D:$D,OBRAS!B:B)</f>
        <v>PROTEKO DESARROLLOS E INFRAESTRUCTURA S.A. DE C.V.</v>
      </c>
      <c r="R1165" s="4" t="str">
        <f>LOOKUP($E1165,OBRAS!$D:$D,OBRAS!A:A)</f>
        <v>ROSARIO</v>
      </c>
      <c r="S1165" s="2" t="str">
        <f>LOOKUP($E1165,OBRAS!$D:$D,OBRAS!F:F)</f>
        <v>11000002002201E202K05186A614202165FN12</v>
      </c>
      <c r="T1165" s="2" t="str">
        <f>LOOKUP($E1165,OBRAS!$D:$D,OBRAS!G:G)</f>
        <v>IO-926006995-E139-2016</v>
      </c>
      <c r="U1165" s="4" t="s">
        <v>865</v>
      </c>
      <c r="V1165" s="89">
        <v>42817</v>
      </c>
      <c r="W1165" s="6">
        <f>LOOKUP($E1165,OBRAS!$D:$D,OBRAS!K:K)</f>
        <v>3392572.89</v>
      </c>
      <c r="X1165" s="109">
        <f t="shared" si="313"/>
        <v>0.2059</v>
      </c>
      <c r="Y1165" s="109">
        <f t="shared" si="314"/>
        <v>0.2059</v>
      </c>
      <c r="Z1165" s="109">
        <f t="shared" si="315"/>
        <v>0.44409999999999999</v>
      </c>
      <c r="AA1165" s="4" t="str">
        <f>LOOKUP($E1165,OBRAS!$D:$D,OBRAS!H:H)</f>
        <v>SH-NC-17-R-005</v>
      </c>
    </row>
    <row r="1166" spans="1:27" ht="45" x14ac:dyDescent="0.25">
      <c r="A1166" s="90">
        <v>42810</v>
      </c>
      <c r="B1166" s="56">
        <v>1660</v>
      </c>
      <c r="C1166" s="143">
        <v>88</v>
      </c>
      <c r="D1166" s="4" t="str">
        <f>LOOKUP($E1166,OBRAS!$D:$D,OBRAS!C:C)</f>
        <v>RECARPETEO CON MICROCARPETA ASFALTICA EN 12 CALLES Y AVENIDAS Y LOCALIDADES DE MOCTEZUMA</v>
      </c>
      <c r="E1166" s="4" t="s">
        <v>1663</v>
      </c>
      <c r="F1166" s="4" t="s">
        <v>217</v>
      </c>
      <c r="G1166" s="4" t="str">
        <f>LOOKUP($E1166,OBRAS!$D:$D,OBRAS!E:E)</f>
        <v>C-00052/0225</v>
      </c>
      <c r="H1166" s="80" t="s">
        <v>55</v>
      </c>
      <c r="I1166" s="6">
        <v>790409.47</v>
      </c>
      <c r="K1166" s="6">
        <f t="shared" si="308"/>
        <v>237122.84</v>
      </c>
      <c r="L1166" s="6">
        <f t="shared" si="309"/>
        <v>553286.63</v>
      </c>
      <c r="M1166" s="6">
        <f t="shared" si="310"/>
        <v>88525.86</v>
      </c>
      <c r="N1166" s="6">
        <f t="shared" si="311"/>
        <v>641812.49</v>
      </c>
      <c r="O1166" s="6">
        <f>+ROUND(I1166*0.005,2)</f>
        <v>3952.05</v>
      </c>
      <c r="P1166" s="6">
        <f t="shared" si="312"/>
        <v>637860.43999999994</v>
      </c>
      <c r="Q1166" s="4" t="str">
        <f>LOOKUP($E1166,OBRAS!$D:$D,OBRAS!B:B)</f>
        <v>JUAN DIEGO AVILES MARTINEZ</v>
      </c>
      <c r="R1166" s="4" t="str">
        <f>LOOKUP($E1166,OBRAS!$D:$D,OBRAS!A:A)</f>
        <v>MOCTEZUMA</v>
      </c>
      <c r="S1166" s="2" t="str">
        <f>LOOKUP($E1166,OBRAS!$D:$D,OBRAS!F:F)</f>
        <v>11000002002201E202K05186A614202165FN06</v>
      </c>
      <c r="T1166" s="2" t="str">
        <f>LOOKUP($E1166,OBRAS!$D:$D,OBRAS!G:G)</f>
        <v>IO-926006995-E137-2016</v>
      </c>
      <c r="U1166" s="4" t="s">
        <v>774</v>
      </c>
      <c r="V1166" s="89">
        <v>42810</v>
      </c>
      <c r="W1166" s="6">
        <f>LOOKUP($E1166,OBRAS!$D:$D,OBRAS!K:K)</f>
        <v>2855324.57</v>
      </c>
      <c r="X1166" s="109">
        <f t="shared" si="313"/>
        <v>0.3211</v>
      </c>
      <c r="Y1166" s="109">
        <f t="shared" si="314"/>
        <v>1</v>
      </c>
      <c r="Z1166" s="109">
        <f t="shared" si="315"/>
        <v>1</v>
      </c>
      <c r="AA1166" s="4" t="str">
        <f>LOOKUP($E1166,OBRAS!$D:$D,OBRAS!H:H)</f>
        <v>SH-NC-17-R-005</v>
      </c>
    </row>
    <row r="1167" spans="1:27" ht="45" x14ac:dyDescent="0.25">
      <c r="A1167" s="90">
        <v>42810</v>
      </c>
      <c r="B1167" s="56">
        <v>1661</v>
      </c>
      <c r="C1167" s="145">
        <v>89</v>
      </c>
      <c r="D1167" s="4" t="str">
        <f>LOOKUP($E1167,OBRAS!$D:$D,OBRAS!C:C)</f>
        <v>RECARPETEO CON MICROCARPETA ASFALTICA EN 12 CALLES Y AVENIDAS Y LOCALIDADES DE MOCTEZUMA</v>
      </c>
      <c r="E1167" s="4" t="s">
        <v>1663</v>
      </c>
      <c r="F1167" s="4" t="s">
        <v>217</v>
      </c>
      <c r="G1167" s="4" t="str">
        <f>LOOKUP($E1167,OBRAS!$D:$D,OBRAS!E:E)</f>
        <v>C-00052/0225</v>
      </c>
      <c r="H1167" s="80" t="s">
        <v>215</v>
      </c>
      <c r="I1167" s="6">
        <v>290423.90000000002</v>
      </c>
      <c r="K1167" s="6">
        <f t="shared" si="308"/>
        <v>87127.17</v>
      </c>
      <c r="L1167" s="6">
        <f t="shared" si="309"/>
        <v>203296.73</v>
      </c>
      <c r="M1167" s="6">
        <f t="shared" si="310"/>
        <v>32527.48</v>
      </c>
      <c r="N1167" s="6">
        <f t="shared" si="311"/>
        <v>235824.21</v>
      </c>
      <c r="O1167" s="6">
        <f>+ROUND(I1167*0.005,2)</f>
        <v>1452.12</v>
      </c>
      <c r="P1167" s="6">
        <f t="shared" si="312"/>
        <v>234372.09</v>
      </c>
      <c r="Q1167" s="4" t="str">
        <f>LOOKUP($E1167,OBRAS!$D:$D,OBRAS!B:B)</f>
        <v>JUAN DIEGO AVILES MARTINEZ</v>
      </c>
      <c r="R1167" s="4" t="str">
        <f>LOOKUP($E1167,OBRAS!$D:$D,OBRAS!A:A)</f>
        <v>MOCTEZUMA</v>
      </c>
      <c r="S1167" s="2" t="str">
        <f>LOOKUP($E1167,OBRAS!$D:$D,OBRAS!F:F)</f>
        <v>11000002002201E202K05186A614202165FN06</v>
      </c>
      <c r="T1167" s="2" t="str">
        <f>LOOKUP($E1167,OBRAS!$D:$D,OBRAS!G:G)</f>
        <v>IO-926006995-E137-2016</v>
      </c>
      <c r="U1167" s="4" t="s">
        <v>774</v>
      </c>
      <c r="V1167" s="89">
        <v>42810</v>
      </c>
      <c r="W1167" s="6">
        <f>LOOKUP($E1167,OBRAS!$D:$D,OBRAS!K:K)</f>
        <v>2855324.57</v>
      </c>
      <c r="X1167" s="109">
        <f t="shared" si="313"/>
        <v>0.11799999999999999</v>
      </c>
      <c r="Y1167" s="109">
        <f t="shared" si="314"/>
        <v>1</v>
      </c>
      <c r="Z1167" s="109">
        <f t="shared" si="315"/>
        <v>1</v>
      </c>
      <c r="AA1167" s="4" t="str">
        <f>LOOKUP($E1167,OBRAS!$D:$D,OBRAS!H:H)</f>
        <v>SH-NC-17-R-005</v>
      </c>
    </row>
    <row r="1168" spans="1:27" ht="75" x14ac:dyDescent="0.25">
      <c r="A1168" s="90">
        <v>42810</v>
      </c>
      <c r="B1168" s="56">
        <v>1662</v>
      </c>
      <c r="C1168" s="142">
        <v>90</v>
      </c>
      <c r="D1168" s="4" t="str">
        <f>LOOKUP($E1168,OBRAS!$D:$D,OBRAS!C:C)</f>
        <v>REHABILITACION DE EDIFICIO PARA ALBERGAR JUZGADO DE ORALIDAD PENAL DEL DISTRITO JUDICIAL CON SEDE EN HERMOSILLO 2DA ETAPA (SEGUNDO NIVEL) EN LA LOCALIDAD Y MUNICIPIO DE HERMOSILLO, SONORA.</v>
      </c>
      <c r="E1168" s="4" t="s">
        <v>707</v>
      </c>
      <c r="F1168" s="4" t="s">
        <v>217</v>
      </c>
      <c r="G1168" s="4" t="str">
        <f>LOOKUP($E1168,OBRAS!$D:$D,OBRAS!E:E)</f>
        <v>C-00058/0010</v>
      </c>
      <c r="H1168" s="80" t="s">
        <v>215</v>
      </c>
      <c r="I1168" s="6">
        <v>259887.28</v>
      </c>
      <c r="K1168" s="6">
        <v>258789.47</v>
      </c>
      <c r="L1168" s="6">
        <f t="shared" si="309"/>
        <v>1097.81</v>
      </c>
      <c r="M1168" s="6">
        <f t="shared" si="310"/>
        <v>175.65</v>
      </c>
      <c r="N1168" s="6">
        <f t="shared" si="311"/>
        <v>1273.46</v>
      </c>
      <c r="O1168" s="6">
        <f t="shared" si="316"/>
        <v>1273.45</v>
      </c>
      <c r="P1168" s="6">
        <f t="shared" si="312"/>
        <v>0.01</v>
      </c>
      <c r="Q1168" s="4" t="str">
        <f>LOOKUP($E1168,OBRAS!$D:$D,OBRAS!B:B)</f>
        <v>INMOBILIARIA TIERRAS DEL DESIERTO, S.A. DE C.V.</v>
      </c>
      <c r="R1168" s="4" t="str">
        <f>LOOKUP($E1168,OBRAS!$D:$D,OBRAS!A:A)</f>
        <v>HERMOSILLO</v>
      </c>
      <c r="S1168" s="2" t="str">
        <f>LOOKUP($E1168,OBRAS!$D:$D,OBRAS!F:F)</f>
        <v>11000002001202E105K13041A622032165DM07</v>
      </c>
      <c r="T1168" s="2" t="str">
        <f>LOOKUP($E1168,OBRAS!$D:$D,OBRAS!G:G)</f>
        <v>LICITACIÓN SIMPLIFICADA</v>
      </c>
      <c r="U1168" s="4" t="s">
        <v>774</v>
      </c>
      <c r="V1168" s="89">
        <v>42810</v>
      </c>
      <c r="W1168" s="6">
        <f>LOOKUP($E1168,OBRAS!$D:$D,OBRAS!K:K)</f>
        <v>2145846.29</v>
      </c>
      <c r="X1168" s="109">
        <f t="shared" si="313"/>
        <v>0.14050000000000001</v>
      </c>
      <c r="Y1168" s="109">
        <f t="shared" si="314"/>
        <v>1.1404000000000001</v>
      </c>
      <c r="Z1168" s="109">
        <f t="shared" si="315"/>
        <v>1.0005999999999999</v>
      </c>
      <c r="AA1168" s="4" t="str">
        <f>LOOKUP($E1168,OBRAS!$D:$D,OBRAS!H:H)</f>
        <v>SH-FAFEF-17-R-002</v>
      </c>
    </row>
    <row r="1169" spans="1:27" ht="60" x14ac:dyDescent="0.25">
      <c r="A1169" s="90">
        <v>42811</v>
      </c>
      <c r="B1169" s="56">
        <v>1689</v>
      </c>
      <c r="C1169" s="142">
        <v>91</v>
      </c>
      <c r="D1169" s="4" t="str">
        <f>LOOKUP($E1169,OBRAS!$D:$D,OBRAS!C:C)</f>
        <v>PAVIMENTACION CON CONCRETO HIDRAULICO DE 15 CMS DE ESPESOR EN CALLE GALEANA EN LA LOCALIDAD Y MUNICIPIO DE TRINCHERAS, SONORA</v>
      </c>
      <c r="E1169" s="4" t="s">
        <v>934</v>
      </c>
      <c r="F1169" s="4" t="s">
        <v>217</v>
      </c>
      <c r="G1169" s="4" t="str">
        <f>LOOKUP($E1169,OBRAS!$D:$D,OBRAS!E:E)</f>
        <v>C-00052/0194</v>
      </c>
      <c r="H1169" s="80" t="s">
        <v>221</v>
      </c>
      <c r="I1169" s="6">
        <v>1243951.49</v>
      </c>
      <c r="K1169" s="6">
        <f t="shared" si="308"/>
        <v>373185.45</v>
      </c>
      <c r="L1169" s="6">
        <f t="shared" si="309"/>
        <v>870766.04</v>
      </c>
      <c r="M1169" s="6">
        <f t="shared" si="310"/>
        <v>139322.57</v>
      </c>
      <c r="N1169" s="6">
        <f t="shared" si="311"/>
        <v>1010088.61</v>
      </c>
      <c r="O1169" s="6">
        <f>+ROUND(I1169*0.005,2)</f>
        <v>6219.76</v>
      </c>
      <c r="P1169" s="6">
        <f t="shared" si="312"/>
        <v>1003868.85</v>
      </c>
      <c r="Q1169" s="4" t="str">
        <f>LOOKUP($E1169,OBRAS!$D:$D,OBRAS!B:B)</f>
        <v>SOL Y MAR CONSTRUCCIONES JEEV, S. DE R. L. DE C. V.</v>
      </c>
      <c r="R1169" s="4" t="str">
        <f>LOOKUP($E1169,OBRAS!$D:$D,OBRAS!A:A)</f>
        <v>TRINCHERAS</v>
      </c>
      <c r="S1169" s="2" t="str">
        <f>LOOKUP($E1169,OBRAS!$D:$D,OBRAS!F:F)</f>
        <v>11000002002201E202K05186A614202165FC02</v>
      </c>
      <c r="T1169" s="2" t="str">
        <f>LOOKUP($E1169,OBRAS!$D:$D,OBRAS!G:G)</f>
        <v>IO-926006995-E112-2016</v>
      </c>
      <c r="U1169" s="4" t="s">
        <v>774</v>
      </c>
      <c r="V1169" s="89">
        <v>42811</v>
      </c>
      <c r="W1169" s="6">
        <f>LOOKUP($E1169,OBRAS!$D:$D,OBRAS!K:K)</f>
        <v>1976714.43</v>
      </c>
      <c r="X1169" s="109">
        <f t="shared" si="313"/>
        <v>0.73</v>
      </c>
      <c r="Y1169" s="109">
        <f t="shared" si="314"/>
        <v>1</v>
      </c>
      <c r="Z1169" s="109">
        <f t="shared" si="315"/>
        <v>1</v>
      </c>
      <c r="AA1169" s="4" t="str">
        <f>LOOKUP($E1169,OBRAS!$D:$D,OBRAS!H:H)</f>
        <v>SH-NC-17-R-009</v>
      </c>
    </row>
    <row r="1170" spans="1:27" ht="45" x14ac:dyDescent="0.25">
      <c r="A1170" s="90">
        <v>42811</v>
      </c>
      <c r="B1170" s="56">
        <v>1691</v>
      </c>
      <c r="C1170" s="144">
        <v>92</v>
      </c>
      <c r="D1170" s="4" t="str">
        <f>LOOKUP($E1170,OBRAS!$D:$D,OBRAS!C:C)</f>
        <v>CONCLUSION DE LA MODERNIZACION Y RECONSTRUCCION DEL TRAMO ESPERANZA - HORNOS (DEL KM 8 + 800 AL KM 17 + 400)</v>
      </c>
      <c r="E1170" s="4" t="s">
        <v>597</v>
      </c>
      <c r="F1170" s="4" t="s">
        <v>225</v>
      </c>
      <c r="G1170" s="4" t="str">
        <f>LOOKUP($E1170,OBRAS!$D:$D,OBRAS!E:E)</f>
        <v>C-00054/0053</v>
      </c>
      <c r="H1170" s="80" t="s">
        <v>264</v>
      </c>
      <c r="I1170" s="6">
        <v>4005520.36</v>
      </c>
      <c r="K1170" s="6">
        <v>337528.67</v>
      </c>
      <c r="L1170" s="6">
        <f t="shared" si="309"/>
        <v>3667991.69</v>
      </c>
      <c r="M1170" s="6">
        <f t="shared" si="310"/>
        <v>586878.67000000004</v>
      </c>
      <c r="N1170" s="6">
        <f t="shared" si="311"/>
        <v>4254870.3600000003</v>
      </c>
      <c r="O1170" s="6">
        <f t="shared" si="316"/>
        <v>19627.060000000001</v>
      </c>
      <c r="P1170" s="6">
        <f t="shared" si="312"/>
        <v>4235243.3</v>
      </c>
      <c r="Q1170" s="4" t="str">
        <f>LOOKUP($E1170,OBRAS!$D:$D,OBRAS!B:B)</f>
        <v>INGENIEROS CIVILES, S.A. DE C.V.</v>
      </c>
      <c r="R1170" s="4" t="str">
        <f>LOOKUP($E1170,OBRAS!$D:$D,OBRAS!A:A)</f>
        <v>VARIOS</v>
      </c>
      <c r="S1170" s="2" t="str">
        <f>LOOKUP($E1170,OBRAS!$D:$D,OBRAS!F:F)</f>
        <v>11000002003501E204K08063A625012162A213</v>
      </c>
      <c r="T1170" s="2" t="str">
        <f>LOOKUP($E1170,OBRAS!$D:$D,OBRAS!G:G)</f>
        <v>CE-966006995-E17-2016</v>
      </c>
      <c r="U1170" s="4" t="s">
        <v>774</v>
      </c>
      <c r="V1170" s="89">
        <v>42811</v>
      </c>
      <c r="W1170" s="6">
        <f>LOOKUP($E1170,OBRAS!$D:$D,OBRAS!K:K)</f>
        <v>79892690.269999996</v>
      </c>
      <c r="X1170" s="109">
        <f t="shared" si="313"/>
        <v>5.8200000000000002E-2</v>
      </c>
      <c r="Y1170" s="109">
        <f t="shared" si="314"/>
        <v>0.98319999999999996</v>
      </c>
      <c r="Z1170" s="109">
        <f t="shared" si="315"/>
        <v>0.98309999999999997</v>
      </c>
      <c r="AA1170" s="4" t="str">
        <f>LOOKUP($E1170,OBRAS!$D:$D,OBRAS!H:H)</f>
        <v>SH-ED-17-R-013</v>
      </c>
    </row>
    <row r="1171" spans="1:27" ht="90" x14ac:dyDescent="0.25">
      <c r="A1171" s="90">
        <v>42811</v>
      </c>
      <c r="B1171" s="56">
        <v>1692</v>
      </c>
      <c r="C1171" s="143">
        <v>93</v>
      </c>
      <c r="D1171" s="4" t="str">
        <f>LOOKUP($E1171,OBRAS!$D:$D,OBRAS!C:C)</f>
        <v>PAVIMENTACION A BASE DE CONCRETO HIDRAULICO DE LAS CALLES MPIO. DE BACANORA ENTRE ORIZABA Y MPIO. BACERAC Y MPIO. BACERAC ENTRE MPIO. DE BACANORA Y MPIO. DE BENJAMIN HILL, 15CMS DE ESPESOR EN CALLE MORELIA EN LA LOCALIDAD DE NOGALES</v>
      </c>
      <c r="E1171" s="4" t="s">
        <v>1244</v>
      </c>
      <c r="F1171" s="4" t="s">
        <v>217</v>
      </c>
      <c r="G1171" s="4" t="str">
        <f>LOOKUP($E1171,OBRAS!$D:$D,OBRAS!E:E)</f>
        <v>C-00052/0197</v>
      </c>
      <c r="H1171" s="80" t="s">
        <v>103</v>
      </c>
      <c r="I1171" s="6">
        <v>869283.05</v>
      </c>
      <c r="K1171" s="6">
        <f t="shared" si="308"/>
        <v>260784.92</v>
      </c>
      <c r="L1171" s="6">
        <f t="shared" si="309"/>
        <v>608498.13</v>
      </c>
      <c r="M1171" s="6">
        <f t="shared" si="310"/>
        <v>97359.7</v>
      </c>
      <c r="N1171" s="6">
        <f t="shared" si="311"/>
        <v>705857.83</v>
      </c>
      <c r="O1171" s="6">
        <f>+ROUND(I1171*0.005,2)</f>
        <v>4346.42</v>
      </c>
      <c r="P1171" s="6">
        <f t="shared" si="312"/>
        <v>701511.41</v>
      </c>
      <c r="Q1171" s="4" t="str">
        <f>LOOKUP($E1171,OBRAS!$D:$D,OBRAS!B:B)</f>
        <v>PREMEZCLADOS NOGALES S.A. DE C.V.</v>
      </c>
      <c r="R1171" s="4" t="str">
        <f>LOOKUP($E1171,OBRAS!$D:$D,OBRAS!A:A)</f>
        <v>NOGALES</v>
      </c>
      <c r="S1171" s="2" t="str">
        <f>LOOKUP($E1171,OBRAS!$D:$D,OBRAS!F:F)</f>
        <v>11000002002201E202K05186A614202165FC03</v>
      </c>
      <c r="T1171" s="2" t="str">
        <f>LOOKUP($E1171,OBRAS!$D:$D,OBRAS!G:G)</f>
        <v>IO-926006995-E99-2016</v>
      </c>
      <c r="U1171" s="4" t="s">
        <v>774</v>
      </c>
      <c r="V1171" s="89">
        <v>42811</v>
      </c>
      <c r="W1171" s="6">
        <f>LOOKUP($E1171,OBRAS!$D:$D,OBRAS!K:K)</f>
        <v>6725615.25</v>
      </c>
      <c r="X1171" s="109">
        <f t="shared" si="313"/>
        <v>0.14990000000000001</v>
      </c>
      <c r="Y1171" s="109">
        <f t="shared" si="314"/>
        <v>0.1825</v>
      </c>
      <c r="Z1171" s="109">
        <f t="shared" si="315"/>
        <v>0.42780000000000001</v>
      </c>
      <c r="AA1171" s="4" t="str">
        <f>LOOKUP($E1171,OBRAS!$D:$D,OBRAS!H:H)</f>
        <v>SH-NC-17-R-009</v>
      </c>
    </row>
    <row r="1172" spans="1:27" ht="60" x14ac:dyDescent="0.25">
      <c r="A1172" s="90">
        <v>42811</v>
      </c>
      <c r="B1172" s="56">
        <v>1693</v>
      </c>
      <c r="C1172" s="143">
        <v>94</v>
      </c>
      <c r="D1172" s="4" t="str">
        <f>LOOKUP($E1172,OBRAS!$D:$D,OBRAS!C:C)</f>
        <v>CONTROL DE CALIDAD DE LA OBRA: REHABILITACION DE PAVIMENTOS A BASE DE RECARPETEO EN BLVD. GARCIA MORALES ENTRE BLVD. QUIROGA Y ACCESO AL AEROPUERTO</v>
      </c>
      <c r="E1172" s="4" t="s">
        <v>1916</v>
      </c>
      <c r="F1172" s="4" t="s">
        <v>224</v>
      </c>
      <c r="G1172" s="4" t="str">
        <f>LOOKUP($E1172,OBRAS!$D:$D,OBRAS!E:E)</f>
        <v>C-00052/0179</v>
      </c>
      <c r="H1172" s="80" t="s">
        <v>215</v>
      </c>
      <c r="I1172" s="6">
        <v>78833.47</v>
      </c>
      <c r="K1172" s="6">
        <v>0</v>
      </c>
      <c r="L1172" s="6">
        <f t="shared" si="309"/>
        <v>78833.47</v>
      </c>
      <c r="M1172" s="6">
        <f t="shared" si="310"/>
        <v>12613.36</v>
      </c>
      <c r="N1172" s="6">
        <f t="shared" si="311"/>
        <v>91446.83</v>
      </c>
      <c r="O1172" s="6">
        <f>+ROUND(I1172*0.005,2)</f>
        <v>394.17</v>
      </c>
      <c r="P1172" s="6">
        <f t="shared" si="312"/>
        <v>91052.66</v>
      </c>
      <c r="Q1172" s="4" t="str">
        <f>LOOKUP($E1172,OBRAS!$D:$D,OBRAS!B:B)</f>
        <v>ALCCON SIGLO XXI, S.A. DE C.V.</v>
      </c>
      <c r="R1172" s="4" t="str">
        <f>LOOKUP($E1172,OBRAS!$D:$D,OBRAS!A:A)</f>
        <v>HERMOSILLO</v>
      </c>
      <c r="S1172" s="2" t="str">
        <f>LOOKUP($E1172,OBRAS!$D:$D,OBRAS!F:F)</f>
        <v>11000002002201E202K05186A614242165CN07</v>
      </c>
      <c r="T1172" s="2" t="str">
        <f>LOOKUP($E1172,OBRAS!$D:$D,OBRAS!G:G)</f>
        <v>AO-926006995-E118-2016</v>
      </c>
      <c r="U1172" s="4" t="s">
        <v>774</v>
      </c>
      <c r="V1172" s="89">
        <v>42811</v>
      </c>
      <c r="W1172" s="6">
        <f>LOOKUP($E1172,OBRAS!$D:$D,OBRAS!K:K)</f>
        <v>365787.3</v>
      </c>
      <c r="X1172" s="109">
        <f t="shared" si="313"/>
        <v>0.25</v>
      </c>
      <c r="Y1172" s="109">
        <f t="shared" si="314"/>
        <v>1.1416999999999999</v>
      </c>
      <c r="Z1172" s="109">
        <f t="shared" si="315"/>
        <v>1.1416999999999999</v>
      </c>
      <c r="AA1172" s="4" t="str">
        <f>LOOKUP($E1172,OBRAS!$D:$D,OBRAS!H:H)</f>
        <v>SH-NC-17-R-004</v>
      </c>
    </row>
    <row r="1173" spans="1:27" ht="90" x14ac:dyDescent="0.25">
      <c r="A1173" s="90">
        <v>42811</v>
      </c>
      <c r="B1173" s="56">
        <v>1694</v>
      </c>
      <c r="C1173" s="143">
        <v>95</v>
      </c>
      <c r="D1173" s="4" t="str">
        <f>LOOKUP($E1173,OBRAS!$D:$D,OBRAS!C:C)</f>
        <v>PAVIMENTACION A BASE DE CONCRETO HIDRAULICO DE LAS CALLES MPIO. DE BACANORA ENTRE ORIZABA Y MPIO. BACERAC Y MPIO. BACERAC ENTRE MPIO. DE BACANORA Y MPIO. DE BENJAMIN HILL, 15CMS DE ESPESOR EN CALLE MORELIA EN LA LOCALIDAD DE NOGALES</v>
      </c>
      <c r="E1173" s="4" t="s">
        <v>1244</v>
      </c>
      <c r="F1173" s="4" t="s">
        <v>225</v>
      </c>
      <c r="G1173" s="4" t="str">
        <f>LOOKUP($E1173,OBRAS!$D:$D,OBRAS!E:E)</f>
        <v>C-00052/0197</v>
      </c>
      <c r="H1173" s="80" t="s">
        <v>221</v>
      </c>
      <c r="I1173" s="6">
        <v>189102.8</v>
      </c>
      <c r="K1173" s="6">
        <f t="shared" si="308"/>
        <v>56730.84</v>
      </c>
      <c r="L1173" s="6">
        <f t="shared" si="309"/>
        <v>132371.96</v>
      </c>
      <c r="M1173" s="6">
        <f t="shared" si="310"/>
        <v>21179.51</v>
      </c>
      <c r="N1173" s="6">
        <f t="shared" si="311"/>
        <v>153551.47</v>
      </c>
      <c r="O1173" s="6">
        <f>+ROUND(I1173*0.005,2)</f>
        <v>945.51</v>
      </c>
      <c r="P1173" s="6">
        <f t="shared" si="312"/>
        <v>152605.96</v>
      </c>
      <c r="Q1173" s="4" t="str">
        <f>LOOKUP($E1173,OBRAS!$D:$D,OBRAS!B:B)</f>
        <v>PREMEZCLADOS NOGALES S.A. DE C.V.</v>
      </c>
      <c r="R1173" s="4" t="str">
        <f>LOOKUP($E1173,OBRAS!$D:$D,OBRAS!A:A)</f>
        <v>NOGALES</v>
      </c>
      <c r="S1173" s="2" t="str">
        <f>LOOKUP($E1173,OBRAS!$D:$D,OBRAS!F:F)</f>
        <v>11000002002201E202K05186A614202165FC03</v>
      </c>
      <c r="T1173" s="2" t="str">
        <f>LOOKUP($E1173,OBRAS!$D:$D,OBRAS!G:G)</f>
        <v>IO-926006995-E99-2016</v>
      </c>
      <c r="U1173" s="4" t="s">
        <v>774</v>
      </c>
      <c r="V1173" s="89">
        <v>42811</v>
      </c>
      <c r="W1173" s="6">
        <f>LOOKUP($E1173,OBRAS!$D:$D,OBRAS!K:K)</f>
        <v>6725615.25</v>
      </c>
      <c r="X1173" s="109">
        <f t="shared" si="313"/>
        <v>3.2599999999999997E-2</v>
      </c>
      <c r="Y1173" s="109">
        <f t="shared" si="314"/>
        <v>0.1825</v>
      </c>
      <c r="Z1173" s="109">
        <f t="shared" si="315"/>
        <v>0.42780000000000001</v>
      </c>
      <c r="AA1173" s="4" t="str">
        <f>LOOKUP($E1173,OBRAS!$D:$D,OBRAS!H:H)</f>
        <v>SH-NC-17-R-009</v>
      </c>
    </row>
    <row r="1174" spans="1:27" ht="30" x14ac:dyDescent="0.25">
      <c r="A1174" s="90">
        <v>42811</v>
      </c>
      <c r="B1174" s="56">
        <v>1695</v>
      </c>
      <c r="C1174" s="143">
        <v>96</v>
      </c>
      <c r="D1174" s="4" t="str">
        <f>LOOKUP($E1174,OBRAS!$D:$D,OBRAS!C:C)</f>
        <v>PAVIMENTACION CON CONCRETO HIDRAULICO DE VARIAS CALLES EN LA LOCALIDAD DE ARIVECHI</v>
      </c>
      <c r="E1174" s="4" t="s">
        <v>1457</v>
      </c>
      <c r="F1174" s="4" t="s">
        <v>217</v>
      </c>
      <c r="G1174" s="4" t="str">
        <f>LOOKUP($E1174,OBRAS!$D:$D,OBRAS!E:E)</f>
        <v>C-00052/0218</v>
      </c>
      <c r="H1174" s="80" t="s">
        <v>55</v>
      </c>
      <c r="I1174" s="6">
        <v>278050.49</v>
      </c>
      <c r="K1174" s="6">
        <f t="shared" si="308"/>
        <v>83415.149999999994</v>
      </c>
      <c r="L1174" s="6">
        <f t="shared" si="309"/>
        <v>194635.34</v>
      </c>
      <c r="M1174" s="6">
        <f t="shared" si="310"/>
        <v>31141.65</v>
      </c>
      <c r="N1174" s="6">
        <f t="shared" si="311"/>
        <v>225776.99</v>
      </c>
      <c r="O1174" s="6">
        <f t="shared" ref="O1174" si="317">+ROUND(I1174*0.005,2)</f>
        <v>1390.25</v>
      </c>
      <c r="P1174" s="6">
        <f t="shared" si="312"/>
        <v>224386.74</v>
      </c>
      <c r="Q1174" s="4" t="str">
        <f>LOOKUP($E1174,OBRAS!$D:$D,OBRAS!B:B)</f>
        <v>EDIVIA DESARROLLOS, S.A. DE C.V.</v>
      </c>
      <c r="R1174" s="4" t="str">
        <f>LOOKUP($E1174,OBRAS!$D:$D,OBRAS!A:A)</f>
        <v>ARIVECHI</v>
      </c>
      <c r="S1174" s="2" t="str">
        <f>LOOKUP($E1174,OBRAS!$D:$D,OBRAS!F:F)</f>
        <v>11000002002201E202K05186A614202165FN09</v>
      </c>
      <c r="T1174" s="2" t="str">
        <f>LOOKUP($E1174,OBRAS!$D:$D,OBRAS!G:G)</f>
        <v>IO-926006995-E127-2016</v>
      </c>
      <c r="U1174" s="4" t="s">
        <v>774</v>
      </c>
      <c r="V1174" s="89">
        <v>42811</v>
      </c>
      <c r="W1174" s="6">
        <f>LOOKUP($E1174,OBRAS!$D:$D,OBRAS!K:K)</f>
        <v>1621630.07</v>
      </c>
      <c r="X1174" s="109">
        <f t="shared" si="313"/>
        <v>0.19889999999999999</v>
      </c>
      <c r="Y1174" s="109">
        <f t="shared" si="314"/>
        <v>0.50280000000000002</v>
      </c>
      <c r="Z1174" s="109">
        <f t="shared" si="315"/>
        <v>0.65190000000000003</v>
      </c>
      <c r="AA1174" s="4" t="str">
        <f>LOOKUP($E1174,OBRAS!$D:$D,OBRAS!H:H)</f>
        <v>SH-NC-17-R-005</v>
      </c>
    </row>
    <row r="1175" spans="1:27" ht="45" x14ac:dyDescent="0.25">
      <c r="A1175" s="90">
        <v>42811</v>
      </c>
      <c r="B1175" s="56">
        <v>1696</v>
      </c>
      <c r="C1175" s="144">
        <v>97</v>
      </c>
      <c r="D1175" s="4" t="str">
        <f>LOOKUP($E1175,OBRAS!$D:$D,OBRAS!C:C)</f>
        <v>REHABILITACION DE PAVIMENTO EN 4 CALLES DE CD. OBREGON SUR EN LA LOCALIDAD DE CD. OBREGON MUNICIPIO DE CAJEME, SONROA</v>
      </c>
      <c r="E1175" s="4" t="s">
        <v>986</v>
      </c>
      <c r="F1175" s="4" t="s">
        <v>217</v>
      </c>
      <c r="G1175" s="4" t="str">
        <f>LOOKUP($E1175,OBRAS!$D:$D,OBRAS!E:E)</f>
        <v>C-00052/0220</v>
      </c>
      <c r="H1175" s="80" t="s">
        <v>55</v>
      </c>
      <c r="I1175" s="6">
        <v>385765.64</v>
      </c>
      <c r="K1175" s="6">
        <f t="shared" si="308"/>
        <v>115729.69</v>
      </c>
      <c r="L1175" s="6">
        <f t="shared" si="309"/>
        <v>270035.95</v>
      </c>
      <c r="M1175" s="6">
        <f t="shared" si="310"/>
        <v>43205.75</v>
      </c>
      <c r="N1175" s="6">
        <f t="shared" si="311"/>
        <v>313241.7</v>
      </c>
      <c r="O1175" s="6">
        <f>+ROUND(I1175*0.005,2)</f>
        <v>1928.83</v>
      </c>
      <c r="P1175" s="6">
        <f t="shared" si="312"/>
        <v>311312.87</v>
      </c>
      <c r="Q1175" s="4" t="str">
        <f>LOOKUP($E1175,OBRAS!$D:$D,OBRAS!B:B)</f>
        <v>GROBSON S. DE R. L.</v>
      </c>
      <c r="R1175" s="4" t="str">
        <f>LOOKUP($E1175,OBRAS!$D:$D,OBRAS!A:A)</f>
        <v>CAJEME</v>
      </c>
      <c r="S1175" s="2" t="str">
        <f>LOOKUP($E1175,OBRAS!$D:$D,OBRAS!F:F)</f>
        <v>11000002002201E202K05186A614202165FN11</v>
      </c>
      <c r="T1175" s="2" t="str">
        <f>LOOKUP($E1175,OBRAS!$D:$D,OBRAS!G:G)</f>
        <v>LO-926006995-E109-2016</v>
      </c>
      <c r="U1175" s="4" t="s">
        <v>774</v>
      </c>
      <c r="V1175" s="89">
        <v>42811</v>
      </c>
      <c r="W1175" s="6">
        <f>LOOKUP($E1175,OBRAS!$D:$D,OBRAS!K:K)</f>
        <v>9501178.9600000009</v>
      </c>
      <c r="X1175" s="109">
        <f t="shared" si="313"/>
        <v>4.7100000000000003E-2</v>
      </c>
      <c r="Y1175" s="109">
        <f t="shared" si="314"/>
        <v>0.43230000000000002</v>
      </c>
      <c r="Z1175" s="109">
        <f t="shared" si="315"/>
        <v>0.60260000000000002</v>
      </c>
      <c r="AA1175" s="4" t="str">
        <f>LOOKUP($E1175,OBRAS!$D:$D,OBRAS!H:H)</f>
        <v>SH-NC-17-R-005</v>
      </c>
    </row>
    <row r="1176" spans="1:27" ht="30" x14ac:dyDescent="0.25">
      <c r="A1176" s="90">
        <v>42811</v>
      </c>
      <c r="B1176" s="56">
        <v>1697</v>
      </c>
      <c r="C1176" s="144">
        <v>98</v>
      </c>
      <c r="D1176" s="4" t="str">
        <f>LOOKUP($E1176,OBRAS!$D:$D,OBRAS!C:C)</f>
        <v>PAVIMENTACION CON CONCRETO HIDRAULICO DEL BLVD. LAZARO GUTIERREZ DE LARA</v>
      </c>
      <c r="E1176" s="4" t="s">
        <v>804</v>
      </c>
      <c r="F1176" s="4" t="s">
        <v>224</v>
      </c>
      <c r="G1176" s="4" t="str">
        <f>LOOKUP($E1176,OBRAS!$D:$D,OBRAS!E:E)</f>
        <v>C-00052/0181</v>
      </c>
      <c r="H1176" s="80" t="s">
        <v>55</v>
      </c>
      <c r="I1176" s="6">
        <v>5486644.2999999998</v>
      </c>
      <c r="K1176" s="6">
        <v>5261540.05</v>
      </c>
      <c r="L1176" s="6">
        <f t="shared" si="309"/>
        <v>225104.25</v>
      </c>
      <c r="M1176" s="6">
        <f t="shared" si="310"/>
        <v>36016.68</v>
      </c>
      <c r="N1176" s="6">
        <f t="shared" si="311"/>
        <v>261120.93</v>
      </c>
      <c r="O1176" s="6">
        <f t="shared" si="316"/>
        <v>26884.55</v>
      </c>
      <c r="P1176" s="6">
        <f t="shared" si="312"/>
        <v>234236.38</v>
      </c>
      <c r="Q1176" s="4" t="str">
        <f>LOOKUP($E1176,OBRAS!$D:$D,OBRAS!B:B)</f>
        <v>PREMEZCLADOS NOGALES, S.A. DE C.V.</v>
      </c>
      <c r="R1176" s="4" t="str">
        <f>LOOKUP($E1176,OBRAS!$D:$D,OBRAS!A:A)</f>
        <v>CANANEA</v>
      </c>
      <c r="S1176" s="2" t="str">
        <f>LOOKUP($E1176,OBRAS!$D:$D,OBRAS!F:F)</f>
        <v>11000002002201E202K05186A614222155DM04</v>
      </c>
      <c r="T1176" s="2" t="str">
        <f>LOOKUP($E1176,OBRAS!$D:$D,OBRAS!G:G)</f>
        <v>CE-926006995-E81-2016</v>
      </c>
      <c r="U1176" s="4" t="s">
        <v>774</v>
      </c>
      <c r="V1176" s="89">
        <v>42811</v>
      </c>
      <c r="W1176" s="6">
        <f>LOOKUP($E1176,OBRAS!$D:$D,OBRAS!K:K)</f>
        <v>32938936.050000001</v>
      </c>
      <c r="X1176" s="109">
        <f t="shared" si="313"/>
        <v>0.19320000000000001</v>
      </c>
      <c r="Y1176" s="109">
        <f t="shared" si="314"/>
        <v>0.31090000000000001</v>
      </c>
      <c r="Z1176" s="109">
        <f t="shared" si="315"/>
        <v>0.39029999999999998</v>
      </c>
      <c r="AA1176" s="4" t="str">
        <f>LOOKUP($E1176,OBRAS!$D:$D,OBRAS!H:H)</f>
        <v>SH-FAFEF-17-R-003</v>
      </c>
    </row>
    <row r="1177" spans="1:27" ht="45" x14ac:dyDescent="0.25">
      <c r="A1177" s="90">
        <v>42811</v>
      </c>
      <c r="B1177" s="56">
        <v>1698</v>
      </c>
      <c r="C1177" s="143">
        <v>99</v>
      </c>
      <c r="D1177" s="4" t="str">
        <f>LOOKUP($E1177,OBRAS!$D:$D,OBRAS!C:C)</f>
        <v>CONSTRUCCION DEL CENTRO DE TRANSICION AL NUEVO SISTEMA DE JUSTICIA PENAL DE HERMOSILLO</v>
      </c>
      <c r="E1177" s="4" t="s">
        <v>1476</v>
      </c>
      <c r="F1177" s="4" t="s">
        <v>225</v>
      </c>
      <c r="G1177" s="4" t="str">
        <f>LOOKUP($E1177,OBRAS!$D:$D,OBRAS!E:E)</f>
        <v>C-00058/0011</v>
      </c>
      <c r="H1177" s="80" t="s">
        <v>103</v>
      </c>
      <c r="I1177" s="6">
        <v>1502129.37</v>
      </c>
      <c r="K1177" s="6">
        <f t="shared" si="308"/>
        <v>450638.81</v>
      </c>
      <c r="L1177" s="6">
        <f t="shared" si="309"/>
        <v>1051490.56</v>
      </c>
      <c r="M1177" s="6">
        <f t="shared" si="310"/>
        <v>168238.49</v>
      </c>
      <c r="N1177" s="6">
        <f t="shared" si="311"/>
        <v>1219729.05</v>
      </c>
      <c r="O1177" s="6">
        <f>+ROUND(I1177*0.005,2)</f>
        <v>7510.65</v>
      </c>
      <c r="P1177" s="6">
        <f t="shared" si="312"/>
        <v>1212218.3999999999</v>
      </c>
      <c r="Q1177" s="4" t="str">
        <f>LOOKUP($E1177,OBRAS!$D:$D,OBRAS!B:B)</f>
        <v>CONSTRUMIL, S.A. DE C.V.</v>
      </c>
      <c r="R1177" s="4" t="str">
        <f>LOOKUP($E1177,OBRAS!$D:$D,OBRAS!A:A)</f>
        <v>HERMOSILLO</v>
      </c>
      <c r="S1177" s="2" t="str">
        <f>LOOKUP($E1177,OBRAS!$D:$D,OBRAS!F:F)</f>
        <v>11000002001202E104K06104A622012165HY07</v>
      </c>
      <c r="T1177" s="2" t="str">
        <f>LOOKUP($E1177,OBRAS!$D:$D,OBRAS!G:G)</f>
        <v>LO-926006995-E114-2016</v>
      </c>
      <c r="U1177" s="4" t="s">
        <v>774</v>
      </c>
      <c r="V1177" s="89">
        <v>42811</v>
      </c>
      <c r="W1177" s="6">
        <f>LOOKUP($E1177,OBRAS!$D:$D,OBRAS!K:K)</f>
        <v>32294129.84</v>
      </c>
      <c r="X1177" s="109">
        <f t="shared" si="313"/>
        <v>5.3999999999999999E-2</v>
      </c>
      <c r="Y1177" s="109">
        <f t="shared" si="314"/>
        <v>5.3999999999999999E-2</v>
      </c>
      <c r="Z1177" s="109">
        <f t="shared" si="315"/>
        <v>0.33779999999999999</v>
      </c>
      <c r="AA1177" s="4" t="str">
        <f>LOOKUP($E1177,OBRAS!$D:$D,OBRAS!H:H)</f>
        <v>SH-FIES-16-001</v>
      </c>
    </row>
    <row r="1178" spans="1:27" ht="60" x14ac:dyDescent="0.25">
      <c r="C1178" s="142">
        <v>100</v>
      </c>
      <c r="D1178" s="4" t="str">
        <f>LOOKUP($E1178,OBRAS!$D:$D,OBRAS!C:C)</f>
        <v>REHABILITACION Y MODERNIZACION DE CASETA DE PEAJE EN EL PUENTE SAN LUIS RIO COLORADO, EN LA LOCALIDAD Y MUNICIPIO DE SAN LUIS RIO COLORADO</v>
      </c>
      <c r="E1178" s="4" t="s">
        <v>2588</v>
      </c>
      <c r="F1178" s="4"/>
      <c r="G1178" s="4" t="str">
        <f>LOOKUP($E1178,OBRAS!$D:$D,OBRAS!E:E)</f>
        <v>C-00123/0021-2017</v>
      </c>
      <c r="H1178" s="80" t="s">
        <v>23</v>
      </c>
      <c r="I1178" s="6">
        <v>6915567.7400000002</v>
      </c>
      <c r="K1178" s="6">
        <v>0</v>
      </c>
      <c r="L1178" s="6">
        <f t="shared" si="309"/>
        <v>6915567.7400000002</v>
      </c>
      <c r="M1178" s="6">
        <f t="shared" si="310"/>
        <v>1106490.8400000001</v>
      </c>
      <c r="N1178" s="6">
        <f t="shared" si="311"/>
        <v>8022058.5800000001</v>
      </c>
      <c r="O1178" s="6">
        <v>0</v>
      </c>
      <c r="P1178" s="6">
        <f t="shared" si="312"/>
        <v>8022058.5800000001</v>
      </c>
      <c r="Q1178" s="4" t="str">
        <f>LOOKUP($E1178,OBRAS!$D:$D,OBRAS!B:B)</f>
        <v>OBRAS CIVILES URBANAS, S.A. DE C.V.</v>
      </c>
      <c r="R1178" s="4" t="str">
        <f>LOOKUP($E1178,OBRAS!$D:$D,OBRAS!A:A)</f>
        <v>S.L.R.C.</v>
      </c>
      <c r="S1178" s="2" t="str">
        <f>LOOKUP($E1178,OBRAS!$D:$D,OBRAS!F:F)</f>
        <v>11000002003501E201K08120A623032165E001</v>
      </c>
      <c r="T1178" s="2" t="str">
        <f>LOOKUP($E1178,OBRAS!$D:$D,OBRAS!G:G)</f>
        <v>CE-926006995-E3-2017</v>
      </c>
      <c r="U1178" s="4" t="s">
        <v>865</v>
      </c>
      <c r="V1178" s="89">
        <v>42817</v>
      </c>
      <c r="W1178" s="6">
        <f>LOOKUP($E1178,OBRAS!$D:$D,OBRAS!K:K)</f>
        <v>26740195.280000001</v>
      </c>
      <c r="X1178" s="109" t="str">
        <f t="shared" si="313"/>
        <v/>
      </c>
      <c r="Y1178" s="109">
        <f t="shared" si="314"/>
        <v>0</v>
      </c>
      <c r="Z1178" s="109">
        <f t="shared" si="315"/>
        <v>0.3</v>
      </c>
      <c r="AA1178" s="4" t="str">
        <f>LOOKUP($E1178,OBRAS!$D:$D,OBRAS!H:H)</f>
        <v>SH-ED-17-002</v>
      </c>
    </row>
    <row r="1179" spans="1:27" ht="45" x14ac:dyDescent="0.25">
      <c r="A1179" s="90">
        <v>42815</v>
      </c>
      <c r="C1179" s="142">
        <v>101</v>
      </c>
      <c r="D1179" s="4" t="str">
        <f>LOOKUP($E1179,OBRAS!$D:$D,OBRAS!C:C)</f>
        <v>SUPERVISION EXTERNA Y CONTROL DE CALIDAD DE LA RECONSTRUCCION DE CALLE 26, DEL KM 70+000 AL KM 101+300, HERMOSILLO</v>
      </c>
      <c r="E1179" s="4" t="s">
        <v>678</v>
      </c>
      <c r="F1179" s="4"/>
      <c r="G1179" s="4" t="str">
        <f>LOOKUP($E1179,OBRAS!$D:$D,OBRAS!E:E)</f>
        <v>C-00098/0022</v>
      </c>
      <c r="H1179" s="80" t="s">
        <v>218</v>
      </c>
      <c r="I1179" s="6">
        <v>196759.69</v>
      </c>
      <c r="K1179" s="6">
        <v>12140.49</v>
      </c>
      <c r="L1179" s="6">
        <f t="shared" si="309"/>
        <v>184619.2</v>
      </c>
      <c r="M1179" s="6">
        <f t="shared" si="310"/>
        <v>29539.07</v>
      </c>
      <c r="N1179" s="6">
        <f t="shared" si="311"/>
        <v>214158.27</v>
      </c>
      <c r="O1179" s="6">
        <f>+ROUND(I1179*0.002,2)+ROUND(I1179*0.0003,2)+ROUND(I1179*0.0003,2)+ROUND(I1179*0.0003,2)</f>
        <v>570.61</v>
      </c>
      <c r="P1179" s="6">
        <f t="shared" si="312"/>
        <v>213587.66</v>
      </c>
      <c r="Q1179" s="4" t="str">
        <f>LOOKUP($E1179,OBRAS!$D:$D,OBRAS!B:B)</f>
        <v>GM3 INGENIERIA Y SERVICIOS, S. DE R.L. DE C.V.</v>
      </c>
      <c r="R1179" s="4" t="str">
        <f>LOOKUP($E1179,OBRAS!$D:$D,OBRAS!A:A)</f>
        <v>HERMOSILLO</v>
      </c>
      <c r="S1179" s="2" t="str">
        <f>LOOKUP($E1179,OBRAS!$D:$D,OBRAS!F:F)</f>
        <v>11000002002207E201K02104A622212161A013</v>
      </c>
      <c r="T1179" s="2" t="str">
        <f>LOOKUP($E1179,OBRAS!$D:$D,OBRAS!G:G)</f>
        <v>CE-926006995-E69-2016</v>
      </c>
      <c r="U1179" s="4" t="s">
        <v>2238</v>
      </c>
      <c r="V1179" s="89">
        <v>42812</v>
      </c>
      <c r="W1179" s="6">
        <f>LOOKUP($E1179,OBRAS!$D:$D,OBRAS!K:K)</f>
        <v>1369447.44</v>
      </c>
      <c r="X1179" s="109">
        <f t="shared" si="313"/>
        <v>0.16669999999999999</v>
      </c>
      <c r="Y1179" s="109">
        <f t="shared" si="314"/>
        <v>1.0639000000000001</v>
      </c>
      <c r="Z1179" s="109">
        <f t="shared" si="315"/>
        <v>1.0638000000000001</v>
      </c>
      <c r="AA1179" s="4" t="str">
        <f>LOOKUP($E1179,OBRAS!$D:$D,OBRAS!H:H)</f>
        <v>SH-ED-16-066</v>
      </c>
    </row>
    <row r="1180" spans="1:27" ht="60" x14ac:dyDescent="0.25">
      <c r="A1180" s="90">
        <v>42815</v>
      </c>
      <c r="C1180" s="142">
        <v>102</v>
      </c>
      <c r="D1180" s="4" t="str">
        <f>LOOKUP($E1180,OBRAS!$D:$D,OBRAS!C:C)</f>
        <v>SUPERVISION EXTERNA Y CONTROL DE CALIDADES DE LA RECONSTRUCCION DE E.C. (CALLE 36 SUR) - GRANJAS ACUICOLAS, DEL KM. 0 + 000 AL KM 12 + 660, HERMOSILLO</v>
      </c>
      <c r="E1180" s="4" t="s">
        <v>687</v>
      </c>
      <c r="F1180" s="4"/>
      <c r="G1180" s="4" t="str">
        <f>LOOKUP($E1180,OBRAS!$D:$D,OBRAS!E:E)</f>
        <v>C-00098/0022</v>
      </c>
      <c r="H1180" s="80" t="s">
        <v>218</v>
      </c>
      <c r="I1180" s="6">
        <v>48719.69</v>
      </c>
      <c r="K1180" s="6">
        <f>ROUND(I1180*0.1,2)</f>
        <v>4871.97</v>
      </c>
      <c r="L1180" s="6">
        <f t="shared" si="309"/>
        <v>43847.72</v>
      </c>
      <c r="M1180" s="6">
        <f t="shared" si="310"/>
        <v>7015.64</v>
      </c>
      <c r="N1180" s="6">
        <f t="shared" si="311"/>
        <v>50863.360000000001</v>
      </c>
      <c r="O1180" s="6">
        <f>+ROUND(I1180*0.002,2)+ROUND(I1180*0.0003,2)+ROUND(I1180*0.0003,2)+ROUND(I1180*0.0003,2)</f>
        <v>141.30000000000001</v>
      </c>
      <c r="P1180" s="6">
        <f t="shared" si="312"/>
        <v>50722.06</v>
      </c>
      <c r="Q1180" s="4" t="str">
        <f>LOOKUP($E1180,OBRAS!$D:$D,OBRAS!B:B)</f>
        <v>ALAMOS INGENIERIA, SA DE CV</v>
      </c>
      <c r="R1180" s="4" t="str">
        <f>LOOKUP($E1180,OBRAS!$D:$D,OBRAS!A:A)</f>
        <v>HERMOSILLO</v>
      </c>
      <c r="S1180" s="2" t="str">
        <f>LOOKUP($E1180,OBRAS!$D:$D,OBRAS!F:F)</f>
        <v>11000002002207E201K02104A622212161A013</v>
      </c>
      <c r="T1180" s="2" t="str">
        <f>LOOKUP($E1180,OBRAS!$D:$D,OBRAS!G:G)</f>
        <v>LICITACIÓN SIMPLIFICADA</v>
      </c>
      <c r="U1180" s="4" t="s">
        <v>2238</v>
      </c>
      <c r="V1180" s="89">
        <v>42812</v>
      </c>
      <c r="W1180" s="6">
        <f>LOOKUP($E1180,OBRAS!$D:$D,OBRAS!K:K)</f>
        <v>659996.81999999995</v>
      </c>
      <c r="X1180" s="109">
        <f t="shared" si="313"/>
        <v>8.5599999999999996E-2</v>
      </c>
      <c r="Y1180" s="109">
        <f t="shared" si="314"/>
        <v>0.49259999999999998</v>
      </c>
      <c r="Z1180" s="109">
        <f t="shared" si="315"/>
        <v>0.54339999999999999</v>
      </c>
      <c r="AA1180" s="4" t="str">
        <f>LOOKUP($E1180,OBRAS!$D:$D,OBRAS!H:H)</f>
        <v>SH-ED-16-066</v>
      </c>
    </row>
    <row r="1181" spans="1:27" ht="45" x14ac:dyDescent="0.25">
      <c r="A1181" s="90">
        <v>42815</v>
      </c>
      <c r="B1181" s="56">
        <v>1780</v>
      </c>
      <c r="C1181" s="142">
        <v>103</v>
      </c>
      <c r="D1181" s="4" t="str">
        <f>LOOKUP($E1181,OBRAS!$D:$D,OBRAS!C:C)</f>
        <v>RECONSTRUCCION DE CALLE 28 NORTE, DEL KM 0 + 000 AL KM 10+160, Y DEL KM 17+210 AL 17+982, HERMOSILLO</v>
      </c>
      <c r="E1181" s="4" t="s">
        <v>349</v>
      </c>
      <c r="F1181" s="4" t="s">
        <v>248</v>
      </c>
      <c r="G1181" s="4" t="str">
        <f>LOOKUP($E1181,OBRAS!$D:$D,OBRAS!E:E)</f>
        <v>C-00054/0072</v>
      </c>
      <c r="H1181" s="80" t="s">
        <v>218</v>
      </c>
      <c r="I1181" s="6">
        <v>1310382.21</v>
      </c>
      <c r="K1181" s="6">
        <f t="shared" si="308"/>
        <v>393114.66</v>
      </c>
      <c r="L1181" s="6">
        <f t="shared" si="309"/>
        <v>917267.55</v>
      </c>
      <c r="M1181" s="6">
        <f t="shared" si="310"/>
        <v>146762.81</v>
      </c>
      <c r="N1181" s="6">
        <f t="shared" si="311"/>
        <v>1064030.3600000001</v>
      </c>
      <c r="O1181" s="6">
        <f t="shared" si="316"/>
        <v>6420.85</v>
      </c>
      <c r="P1181" s="6">
        <f t="shared" si="312"/>
        <v>1057609.51</v>
      </c>
      <c r="Q1181" s="4" t="str">
        <f>LOOKUP($E1181,OBRAS!$D:$D,OBRAS!B:B)</f>
        <v>GRUPO EMPRESARIAL BABASAC, S. A. DE C. V.</v>
      </c>
      <c r="R1181" s="4" t="str">
        <f>LOOKUP($E1181,OBRAS!$D:$D,OBRAS!A:A)</f>
        <v>HERMOSILLO</v>
      </c>
      <c r="S1181" s="2" t="str">
        <f>LOOKUP($E1181,OBRAS!$D:$D,OBRAS!F:F)</f>
        <v>11000002003501E204K08063A625012162A207</v>
      </c>
      <c r="T1181" s="2" t="str">
        <f>LOOKUP($E1181,OBRAS!$D:$D,OBRAS!G:G)</f>
        <v>CE-926006995-E40-2016</v>
      </c>
      <c r="U1181" s="4" t="s">
        <v>774</v>
      </c>
      <c r="V1181" s="89">
        <v>42811</v>
      </c>
      <c r="W1181" s="6">
        <f>LOOKUP($E1181,OBRAS!$D:$D,OBRAS!K:K)</f>
        <v>20694418.350000001</v>
      </c>
      <c r="X1181" s="109">
        <f t="shared" si="313"/>
        <v>7.3499999999999996E-2</v>
      </c>
      <c r="Y1181" s="109">
        <f t="shared" si="314"/>
        <v>1</v>
      </c>
      <c r="Z1181" s="109">
        <f t="shared" si="315"/>
        <v>1</v>
      </c>
      <c r="AA1181" s="4" t="str">
        <f>LOOKUP($E1181,OBRAS!$D:$D,OBRAS!H:H)</f>
        <v>SH-ED-17-R-004</v>
      </c>
    </row>
    <row r="1182" spans="1:27" ht="28.5" customHeight="1" x14ac:dyDescent="0.25">
      <c r="A1182" s="90">
        <v>42817</v>
      </c>
      <c r="B1182" s="56">
        <v>1825</v>
      </c>
      <c r="C1182" s="142">
        <v>104</v>
      </c>
      <c r="D1182" s="4" t="str">
        <f>LOOKUP($E1182,OBRAS!$D:$D,OBRAS!C:C)</f>
        <v>REHABILITACION DE PAVIMIENTOS A BASE DE RECARPETEO EN CALLE REFORMA EN LOS TRAMOS DE PROGRESO Y AVE 13 DE JOSE CARMELO A AVE 8 Y DE BLVD SERNA A BLVD LUIS ENCINAS EN LA LOCALIDAD Y MUNICIPIO DE HERMOSILLO, SON</v>
      </c>
      <c r="E1182" s="4" t="s">
        <v>824</v>
      </c>
      <c r="F1182" s="4" t="s">
        <v>225</v>
      </c>
      <c r="G1182" s="4" t="str">
        <f>LOOKUP($E1182,OBRAS!$D:$D,OBRAS!E:E)</f>
        <v>C-00052/0177</v>
      </c>
      <c r="H1182" s="80" t="s">
        <v>215</v>
      </c>
      <c r="I1182" s="6">
        <v>7165178.0199999996</v>
      </c>
      <c r="K1182" s="6">
        <f t="shared" si="308"/>
        <v>2149553.41</v>
      </c>
      <c r="L1182" s="6">
        <f t="shared" si="309"/>
        <v>5015624.6100000003</v>
      </c>
      <c r="M1182" s="6">
        <f t="shared" si="310"/>
        <v>802499.94</v>
      </c>
      <c r="N1182" s="6">
        <f t="shared" si="311"/>
        <v>5818124.5499999998</v>
      </c>
      <c r="O1182" s="6">
        <f t="shared" ref="O1182:O1187" si="318">+ROUND(I1182*0.005,2)</f>
        <v>35825.89</v>
      </c>
      <c r="P1182" s="6">
        <f t="shared" si="312"/>
        <v>5782298.6600000001</v>
      </c>
      <c r="Q1182" s="4" t="str">
        <f>LOOKUP($E1182,OBRAS!$D:$D,OBRAS!B:B)</f>
        <v>CONSTRUPIMA, S.A. DE C.V.</v>
      </c>
      <c r="R1182" s="4" t="str">
        <f>LOOKUP($E1182,OBRAS!$D:$D,OBRAS!A:A)</f>
        <v>HERMOSILLO</v>
      </c>
      <c r="S1182" s="2" t="str">
        <f>LOOKUP($E1182,OBRAS!$D:$D,OBRAS!F:F)</f>
        <v>11000002002201E202K05186A614202165CN07</v>
      </c>
      <c r="T1182" s="2" t="str">
        <f>LOOKUP($E1182,OBRAS!$D:$D,OBRAS!G:G)</f>
        <v>LO-956006995-E85-2016</v>
      </c>
      <c r="U1182" s="4" t="s">
        <v>774</v>
      </c>
      <c r="V1182" s="89">
        <v>42817</v>
      </c>
      <c r="W1182" s="6">
        <f>LOOKUP($E1182,OBRAS!$D:$D,OBRAS!K:K)</f>
        <v>22873151.760000002</v>
      </c>
      <c r="X1182" s="109">
        <f t="shared" si="313"/>
        <v>0.3634</v>
      </c>
      <c r="Y1182" s="109">
        <f t="shared" si="314"/>
        <v>0.87480000000000002</v>
      </c>
      <c r="Z1182" s="109">
        <f t="shared" si="315"/>
        <v>0.9123</v>
      </c>
      <c r="AA1182" s="4" t="str">
        <f>LOOKUP($E1182,OBRAS!$D:$D,OBRAS!H:H)</f>
        <v>SH-NC-17-R-004</v>
      </c>
    </row>
    <row r="1183" spans="1:27" ht="45" x14ac:dyDescent="0.25">
      <c r="A1183" s="90">
        <v>42815</v>
      </c>
      <c r="B1183" s="56">
        <v>1782</v>
      </c>
      <c r="C1183" s="142">
        <v>105</v>
      </c>
      <c r="D1183" s="4" t="str">
        <f>LOOKUP($E1183,OBRAS!$D:$D,OBRAS!C:C)</f>
        <v>PAVIMENTACION CON CARPETA ASFALTICA EN LAS CALLES AV. SAN LUIS, ALVARO OBREGON Y ABELARDO L. RODRIGUEZ</v>
      </c>
      <c r="E1183" s="4" t="s">
        <v>1652</v>
      </c>
      <c r="F1183" s="4" t="s">
        <v>217</v>
      </c>
      <c r="G1183" s="4" t="str">
        <f>LOOKUP($E1183,OBRAS!$D:$D,OBRAS!E:E)</f>
        <v>C-00052/0229</v>
      </c>
      <c r="H1183" s="80" t="s">
        <v>55</v>
      </c>
      <c r="I1183" s="6">
        <v>915074.25</v>
      </c>
      <c r="K1183" s="6">
        <f t="shared" si="308"/>
        <v>274522.28000000003</v>
      </c>
      <c r="L1183" s="6">
        <f t="shared" si="309"/>
        <v>640551.97</v>
      </c>
      <c r="M1183" s="6">
        <f t="shared" si="310"/>
        <v>102488.32000000001</v>
      </c>
      <c r="N1183" s="6">
        <f t="shared" si="311"/>
        <v>743040.29</v>
      </c>
      <c r="O1183" s="6">
        <f t="shared" si="318"/>
        <v>4575.37</v>
      </c>
      <c r="P1183" s="6">
        <f t="shared" si="312"/>
        <v>738464.92</v>
      </c>
      <c r="Q1183" s="4" t="str">
        <f>LOOKUP($E1183,OBRAS!$D:$D,OBRAS!B:B)</f>
        <v>BARREDA PROYECTO Y CONSTRUCCIONES, S.A. DE C.V.</v>
      </c>
      <c r="R1183" s="4" t="str">
        <f>LOOKUP($E1183,OBRAS!$D:$D,OBRAS!A:A)</f>
        <v>S.L.R.C.</v>
      </c>
      <c r="S1183" s="2" t="str">
        <f>LOOKUP($E1183,OBRAS!$D:$D,OBRAS!F:F)</f>
        <v>11000002002201E202K05186A614202165FN01</v>
      </c>
      <c r="T1183" s="2" t="str">
        <f>LOOKUP($E1183,OBRAS!$D:$D,OBRAS!G:G)</f>
        <v>LO-926006995-E125-2016</v>
      </c>
      <c r="U1183" s="4" t="s">
        <v>774</v>
      </c>
      <c r="V1183" s="89">
        <v>42815</v>
      </c>
      <c r="W1183" s="6">
        <f>LOOKUP($E1183,OBRAS!$D:$D,OBRAS!K:K)</f>
        <v>9494347.9299999997</v>
      </c>
      <c r="X1183" s="109">
        <f t="shared" si="313"/>
        <v>0.1118</v>
      </c>
      <c r="Y1183" s="109">
        <f t="shared" si="314"/>
        <v>0.30559999999999998</v>
      </c>
      <c r="Z1183" s="109">
        <f t="shared" si="315"/>
        <v>0.51390000000000002</v>
      </c>
      <c r="AA1183" s="4" t="str">
        <f>LOOKUP($E1183,OBRAS!$D:$D,OBRAS!H:H)</f>
        <v>SH-NC-17-R-005</v>
      </c>
    </row>
    <row r="1184" spans="1:27" ht="45" x14ac:dyDescent="0.25">
      <c r="A1184" s="90">
        <v>42815</v>
      </c>
      <c r="B1184" s="56">
        <v>1783</v>
      </c>
      <c r="C1184" s="142">
        <v>106</v>
      </c>
      <c r="D1184" s="4" t="str">
        <f>LOOKUP($E1184,OBRAS!$D:$D,OBRAS!C:C)</f>
        <v>PAVIMENTACION CON CARPETA ASFALTICA EN LAS CALLES AV. SAN LUIS, ALVARO OBREGON Y ABELARDO L. RODRIGUEZ</v>
      </c>
      <c r="E1184" s="4" t="s">
        <v>1652</v>
      </c>
      <c r="F1184" s="4" t="s">
        <v>217</v>
      </c>
      <c r="G1184" s="4" t="str">
        <f>LOOKUP($E1184,OBRAS!$D:$D,OBRAS!E:E)</f>
        <v>C-00052/0229</v>
      </c>
      <c r="H1184" s="80" t="s">
        <v>215</v>
      </c>
      <c r="I1184" s="6">
        <v>465616.41</v>
      </c>
      <c r="K1184" s="6">
        <f t="shared" si="308"/>
        <v>139684.92000000001</v>
      </c>
      <c r="L1184" s="6">
        <f t="shared" si="309"/>
        <v>325931.49</v>
      </c>
      <c r="M1184" s="6">
        <f t="shared" si="310"/>
        <v>52149.04</v>
      </c>
      <c r="N1184" s="6">
        <f t="shared" si="311"/>
        <v>378080.53</v>
      </c>
      <c r="O1184" s="6">
        <f t="shared" si="318"/>
        <v>2328.08</v>
      </c>
      <c r="P1184" s="6">
        <f t="shared" si="312"/>
        <v>375752.45</v>
      </c>
      <c r="Q1184" s="4" t="str">
        <f>LOOKUP($E1184,OBRAS!$D:$D,OBRAS!B:B)</f>
        <v>BARREDA PROYECTO Y CONSTRUCCIONES, S.A. DE C.V.</v>
      </c>
      <c r="R1184" s="4" t="str">
        <f>LOOKUP($E1184,OBRAS!$D:$D,OBRAS!A:A)</f>
        <v>S.L.R.C.</v>
      </c>
      <c r="S1184" s="2" t="str">
        <f>LOOKUP($E1184,OBRAS!$D:$D,OBRAS!F:F)</f>
        <v>11000002002201E202K05186A614202165FN01</v>
      </c>
      <c r="T1184" s="2" t="str">
        <f>LOOKUP($E1184,OBRAS!$D:$D,OBRAS!G:G)</f>
        <v>LO-926006995-E125-2016</v>
      </c>
      <c r="U1184" s="4" t="s">
        <v>774</v>
      </c>
      <c r="V1184" s="89">
        <v>42815</v>
      </c>
      <c r="W1184" s="6">
        <f>LOOKUP($E1184,OBRAS!$D:$D,OBRAS!K:K)</f>
        <v>9494347.9299999997</v>
      </c>
      <c r="X1184" s="109">
        <f t="shared" si="313"/>
        <v>5.6899999999999999E-2</v>
      </c>
      <c r="Y1184" s="109">
        <f t="shared" si="314"/>
        <v>0.30559999999999998</v>
      </c>
      <c r="Z1184" s="109">
        <f t="shared" si="315"/>
        <v>0.51390000000000002</v>
      </c>
      <c r="AA1184" s="4" t="str">
        <f>LOOKUP($E1184,OBRAS!$D:$D,OBRAS!H:H)</f>
        <v>SH-NC-17-R-005</v>
      </c>
    </row>
    <row r="1185" spans="1:27" ht="75" x14ac:dyDescent="0.25">
      <c r="A1185" s="90">
        <v>42816</v>
      </c>
      <c r="B1185" s="56">
        <v>1789</v>
      </c>
      <c r="C1185" s="142">
        <v>107</v>
      </c>
      <c r="D1185" s="4" t="str">
        <f>LOOKUP($E1185,OBRAS!$D:$D,OBRAS!C:C)</f>
        <v>REHABILITACION DE PAVIMENTOS A BASE DE RECARPETEO EN CALLE LOPEZ DEL CASTILLO ENTRE YECORA Y ALBERTO GUTIERREZ Y CALLE DR. OLIVARES ENTRE BLVD. PROGRESO Y JOSE CARMELO, EN LA CIUDAD DE HERMOSILLO</v>
      </c>
      <c r="E1185" s="4" t="s">
        <v>2224</v>
      </c>
      <c r="F1185" s="4" t="s">
        <v>217</v>
      </c>
      <c r="G1185" s="4" t="str">
        <f>LOOKUP($E1185,OBRAS!$D:$D,OBRAS!E:E)</f>
        <v>C-00052/0249</v>
      </c>
      <c r="H1185" s="80" t="s">
        <v>103</v>
      </c>
      <c r="I1185" s="6">
        <v>4786493.91</v>
      </c>
      <c r="K1185" s="6">
        <f t="shared" si="308"/>
        <v>1435948.17</v>
      </c>
      <c r="L1185" s="6">
        <f t="shared" si="309"/>
        <v>3350545.74</v>
      </c>
      <c r="M1185" s="6">
        <f t="shared" si="310"/>
        <v>536087.31999999995</v>
      </c>
      <c r="N1185" s="6">
        <f t="shared" si="311"/>
        <v>3886633.06</v>
      </c>
      <c r="O1185" s="6">
        <f t="shared" si="318"/>
        <v>23932.47</v>
      </c>
      <c r="P1185" s="6">
        <f t="shared" si="312"/>
        <v>3862700.59</v>
      </c>
      <c r="Q1185" s="4" t="str">
        <f>LOOKUP($E1185,OBRAS!$D:$D,OBRAS!B:B)</f>
        <v>GRUPO CONSTRUCCIONES PLANIFICADAS, SA DE CV</v>
      </c>
      <c r="R1185" s="4" t="str">
        <f>LOOKUP($E1185,OBRAS!$D:$D,OBRAS!A:A)</f>
        <v>HERMOSILLO</v>
      </c>
      <c r="S1185" s="2" t="str">
        <f>LOOKUP($E1185,OBRAS!$D:$D,OBRAS!F:F)</f>
        <v>11000002002201E202K05186A614202165FQ07</v>
      </c>
      <c r="T1185" s="2" t="str">
        <f>LOOKUP($E1185,OBRAS!$D:$D,OBRAS!G:G)</f>
        <v>LO-926006995-E174-2016</v>
      </c>
      <c r="U1185" s="4" t="s">
        <v>774</v>
      </c>
      <c r="V1185" s="89">
        <v>42816</v>
      </c>
      <c r="W1185" s="6">
        <f>LOOKUP($E1185,OBRAS!$D:$D,OBRAS!K:K)</f>
        <v>28150335.899999999</v>
      </c>
      <c r="X1185" s="109">
        <f t="shared" si="313"/>
        <v>0.19719999999999999</v>
      </c>
      <c r="Y1185" s="109">
        <f t="shared" si="314"/>
        <v>0.19719999999999999</v>
      </c>
      <c r="Z1185" s="109">
        <f t="shared" si="315"/>
        <v>0.43809999999999999</v>
      </c>
      <c r="AA1185" s="4" t="str">
        <f>LOOKUP($E1185,OBRAS!$D:$D,OBRAS!H:H)</f>
        <v>SH-NC-17-R-006</v>
      </c>
    </row>
    <row r="1186" spans="1:27" ht="60" x14ac:dyDescent="0.25">
      <c r="A1186" s="90">
        <v>42816</v>
      </c>
      <c r="B1186" s="56">
        <v>1790</v>
      </c>
      <c r="C1186" s="142">
        <v>108</v>
      </c>
      <c r="D1186" s="4" t="str">
        <f>LOOKUP($E1186,OBRAS!$D:$D,OBRAS!C:C)</f>
        <v>PAVIMENTACION CON CARPETA ASFALTICA DE 5CMS DE ESPESOR DE LA AVENIDA FABRICA DE LOS ANGELES Y AV. PRINCIPAL DE LA LOCALIDAD FABRICA DE LOS ANGELES</v>
      </c>
      <c r="E1186" s="4" t="s">
        <v>907</v>
      </c>
      <c r="F1186" s="4" t="s">
        <v>217</v>
      </c>
      <c r="G1186" s="4" t="str">
        <f>LOOKUP($E1186,OBRAS!$D:$D,OBRAS!E:E)</f>
        <v>C-00052/0200</v>
      </c>
      <c r="H1186" s="80" t="s">
        <v>55</v>
      </c>
      <c r="I1186" s="6">
        <v>1121749.81</v>
      </c>
      <c r="K1186" s="6">
        <f t="shared" si="308"/>
        <v>336524.94</v>
      </c>
      <c r="L1186" s="6">
        <f t="shared" si="309"/>
        <v>785224.87</v>
      </c>
      <c r="M1186" s="6">
        <f t="shared" si="310"/>
        <v>125635.98</v>
      </c>
      <c r="N1186" s="6">
        <f t="shared" si="311"/>
        <v>910860.85</v>
      </c>
      <c r="O1186" s="6">
        <f t="shared" si="318"/>
        <v>5608.75</v>
      </c>
      <c r="P1186" s="6">
        <f t="shared" si="312"/>
        <v>905252.1</v>
      </c>
      <c r="Q1186" s="4" t="str">
        <f>LOOKUP($E1186,OBRAS!$D:$D,OBRAS!B:B)</f>
        <v>PROYECTOS Y EDIFICACIONES RANDA, S.A. DE C.V.</v>
      </c>
      <c r="R1186" s="4" t="str">
        <f>LOOKUP($E1186,OBRAS!$D:$D,OBRAS!A:A)</f>
        <v>SAN MIGUEL DE HORCASITAS</v>
      </c>
      <c r="S1186" s="2" t="str">
        <f>LOOKUP($E1186,OBRAS!$D:$D,OBRAS!F:F)</f>
        <v>11000002002201E202K05186A614202165FC05</v>
      </c>
      <c r="T1186" s="2" t="str">
        <f>LOOKUP($E1186,OBRAS!$D:$D,OBRAS!G:G)</f>
        <v>IO-926006995-E104-2016</v>
      </c>
      <c r="U1186" s="4" t="s">
        <v>774</v>
      </c>
      <c r="V1186" s="89">
        <v>42816</v>
      </c>
      <c r="W1186" s="6">
        <f>LOOKUP($E1186,OBRAS!$D:$D,OBRAS!K:K)</f>
        <v>3979000.91</v>
      </c>
      <c r="X1186" s="109">
        <f t="shared" si="313"/>
        <v>0.32700000000000001</v>
      </c>
      <c r="Y1186" s="109">
        <f t="shared" si="314"/>
        <v>0.91039999999999999</v>
      </c>
      <c r="Z1186" s="109">
        <f t="shared" si="315"/>
        <v>0.93730000000000002</v>
      </c>
      <c r="AA1186" s="4" t="str">
        <f>LOOKUP($E1186,OBRAS!$D:$D,OBRAS!H:H)</f>
        <v>SH-NC-17-R-009</v>
      </c>
    </row>
    <row r="1187" spans="1:27" ht="45" x14ac:dyDescent="0.25">
      <c r="A1187" s="90">
        <v>42816</v>
      </c>
      <c r="B1187" s="56">
        <v>1791</v>
      </c>
      <c r="C1187" s="155">
        <v>109</v>
      </c>
      <c r="D1187" s="4" t="str">
        <f>LOOKUP($E1187,OBRAS!$D:$D,OBRAS!C:C)</f>
        <v>REHABILITACION DE PAVIMENTO EN 4 CALLES DE CD. OBREGON SUR EN LA LOCALIDAD DE CD. OBREGON MUNICIPIO DE CAJEME, SONROA</v>
      </c>
      <c r="E1187" s="4" t="s">
        <v>986</v>
      </c>
      <c r="F1187" s="4" t="s">
        <v>217</v>
      </c>
      <c r="G1187" s="4" t="str">
        <f>LOOKUP($E1187,OBRAS!$D:$D,OBRAS!E:E)</f>
        <v>C-00052/0220</v>
      </c>
      <c r="H1187" s="80" t="s">
        <v>221</v>
      </c>
      <c r="I1187" s="6">
        <v>912140.5</v>
      </c>
      <c r="K1187" s="6">
        <f t="shared" si="308"/>
        <v>273642.15000000002</v>
      </c>
      <c r="L1187" s="6">
        <f t="shared" si="309"/>
        <v>638498.35</v>
      </c>
      <c r="M1187" s="6">
        <f t="shared" si="310"/>
        <v>102159.74</v>
      </c>
      <c r="N1187" s="6">
        <f t="shared" si="311"/>
        <v>740658.09</v>
      </c>
      <c r="O1187" s="6">
        <f t="shared" si="318"/>
        <v>4560.7</v>
      </c>
      <c r="P1187" s="6">
        <f t="shared" si="312"/>
        <v>736097.39</v>
      </c>
      <c r="Q1187" s="4" t="str">
        <f>LOOKUP($E1187,OBRAS!$D:$D,OBRAS!B:B)</f>
        <v>GROBSON S. DE R. L.</v>
      </c>
      <c r="R1187" s="4" t="str">
        <f>LOOKUP($E1187,OBRAS!$D:$D,OBRAS!A:A)</f>
        <v>CAJEME</v>
      </c>
      <c r="S1187" s="2" t="str">
        <f>LOOKUP($E1187,OBRAS!$D:$D,OBRAS!F:F)</f>
        <v>11000002002201E202K05186A614202165FN11</v>
      </c>
      <c r="T1187" s="2" t="str">
        <f>LOOKUP($E1187,OBRAS!$D:$D,OBRAS!G:G)</f>
        <v>LO-926006995-E109-2016</v>
      </c>
      <c r="U1187" s="4" t="s">
        <v>774</v>
      </c>
      <c r="V1187" s="89">
        <v>42816</v>
      </c>
      <c r="W1187" s="6">
        <f>LOOKUP($E1187,OBRAS!$D:$D,OBRAS!K:K)</f>
        <v>9501178.9600000009</v>
      </c>
      <c r="X1187" s="109">
        <f t="shared" si="313"/>
        <v>0.1114</v>
      </c>
      <c r="Y1187" s="109">
        <f t="shared" si="314"/>
        <v>0.43230000000000002</v>
      </c>
      <c r="Z1187" s="109">
        <f t="shared" si="315"/>
        <v>0.60260000000000002</v>
      </c>
      <c r="AA1187" s="4" t="str">
        <f>LOOKUP($E1187,OBRAS!$D:$D,OBRAS!H:H)</f>
        <v>SH-NC-17-R-005</v>
      </c>
    </row>
    <row r="1188" spans="1:27" ht="45" x14ac:dyDescent="0.25">
      <c r="A1188" s="90">
        <v>42816</v>
      </c>
      <c r="B1188" s="56">
        <v>1792</v>
      </c>
      <c r="C1188" s="142">
        <v>110</v>
      </c>
      <c r="D1188" s="4" t="str">
        <f>LOOKUP($E1188,OBRAS!$D:$D,OBRAS!C:C)</f>
        <v>CONSTRUCCIÓN DE CENTRO DE REHABILITACIÓN Y EDUCACIÓN ESPECIAL, CD. OBREGON, CAJEME</v>
      </c>
      <c r="E1188" s="4" t="s">
        <v>621</v>
      </c>
      <c r="F1188" s="4" t="s">
        <v>225</v>
      </c>
      <c r="G1188" s="4" t="str">
        <f>LOOKUP($E1188,OBRAS!$D:$D,OBRAS!E:E)</f>
        <v>C-00119/0001</v>
      </c>
      <c r="H1188" s="80" t="s">
        <v>215</v>
      </c>
      <c r="I1188" s="6">
        <v>2820526.62</v>
      </c>
      <c r="K1188" s="6">
        <f t="shared" si="308"/>
        <v>846157.99</v>
      </c>
      <c r="L1188" s="6">
        <f t="shared" si="309"/>
        <v>1974368.63</v>
      </c>
      <c r="M1188" s="6">
        <f t="shared" si="310"/>
        <v>315898.98</v>
      </c>
      <c r="N1188" s="6">
        <f t="shared" si="311"/>
        <v>2290267.61</v>
      </c>
      <c r="O1188" s="6">
        <f t="shared" si="316"/>
        <v>13820.58</v>
      </c>
      <c r="P1188" s="6">
        <f t="shared" si="312"/>
        <v>2276447.0299999998</v>
      </c>
      <c r="Q1188" s="4" t="str">
        <f>LOOKUP($E1188,OBRAS!$D:$D,OBRAS!B:B)</f>
        <v>PROYECTOS Y CONSTRUCCIONES ALHER, S.A. DE C.V.</v>
      </c>
      <c r="R1188" s="4" t="str">
        <f>LOOKUP($E1188,OBRAS!$D:$D,OBRAS!A:A)</f>
        <v>CAJEME</v>
      </c>
      <c r="S1188" s="2" t="str">
        <f>LOOKUP($E1188,OBRAS!$D:$D,OBRAS!F:F)</f>
        <v>11000002002303E412K27152A622102162A211</v>
      </c>
      <c r="T1188" s="2" t="str">
        <f>LOOKUP($E1188,OBRAS!$D:$D,OBRAS!G:G)</f>
        <v>CE-926006995-E61-2016</v>
      </c>
      <c r="U1188" s="4" t="s">
        <v>774</v>
      </c>
      <c r="V1188" s="89">
        <v>42816</v>
      </c>
      <c r="W1188" s="6">
        <f>LOOKUP($E1188,OBRAS!$D:$D,OBRAS!K:K)</f>
        <v>38949797.340000004</v>
      </c>
      <c r="X1188" s="109">
        <f t="shared" si="313"/>
        <v>8.4000000000000005E-2</v>
      </c>
      <c r="Y1188" s="109">
        <f t="shared" si="314"/>
        <v>0.1762</v>
      </c>
      <c r="Z1188" s="109">
        <f t="shared" si="315"/>
        <v>0.4229</v>
      </c>
      <c r="AA1188" s="4" t="str">
        <f>LOOKUP($E1188,OBRAS!$D:$D,OBRAS!H:H)</f>
        <v>SH-ED-17-R-004</v>
      </c>
    </row>
    <row r="1189" spans="1:27" ht="30" x14ac:dyDescent="0.25">
      <c r="A1189" s="90">
        <v>42816</v>
      </c>
      <c r="B1189" s="56">
        <v>1793</v>
      </c>
      <c r="C1189" s="142">
        <v>111</v>
      </c>
      <c r="D1189" s="4" t="str">
        <f>LOOKUP($E1189,OBRAS!$D:$D,OBRAS!C:C)</f>
        <v>MODERNIZACION Y RECONSTRUCCION DEL TRAMO ETCHOJOA-BACOBAMPO</v>
      </c>
      <c r="E1189" s="4" t="s">
        <v>542</v>
      </c>
      <c r="F1189" s="4" t="s">
        <v>2375</v>
      </c>
      <c r="G1189" s="4" t="str">
        <f>LOOKUP($E1189,OBRAS!$D:$D,OBRAS!E:E)</f>
        <v>C-00054/0054</v>
      </c>
      <c r="H1189" s="80" t="s">
        <v>748</v>
      </c>
      <c r="I1189" s="6">
        <v>8235039.2599999998</v>
      </c>
      <c r="K1189" s="6">
        <f t="shared" si="308"/>
        <v>2470511.7799999998</v>
      </c>
      <c r="L1189" s="6">
        <f t="shared" si="309"/>
        <v>5764527.4800000004</v>
      </c>
      <c r="M1189" s="6">
        <f t="shared" si="310"/>
        <v>922324.4</v>
      </c>
      <c r="N1189" s="6">
        <f t="shared" si="311"/>
        <v>6686851.8799999999</v>
      </c>
      <c r="O1189" s="6">
        <f t="shared" si="316"/>
        <v>40351.69</v>
      </c>
      <c r="P1189" s="6">
        <f t="shared" si="312"/>
        <v>6646500.1900000004</v>
      </c>
      <c r="Q1189" s="4" t="str">
        <f>LOOKUP($E1189,OBRAS!$D:$D,OBRAS!B:B)</f>
        <v>EDIFICACIONES BOZA S.A. DE C.V.</v>
      </c>
      <c r="R1189" s="4" t="str">
        <f>LOOKUP($E1189,OBRAS!$D:$D,OBRAS!A:A)</f>
        <v>ETCHOJOA</v>
      </c>
      <c r="S1189" s="2" t="str">
        <f>LOOKUP($E1189,OBRAS!$D:$D,OBRAS!F:F)</f>
        <v>11000002003501E204K08063A625012162A212</v>
      </c>
      <c r="T1189" s="2" t="str">
        <f>LOOKUP($E1189,OBRAS!$D:$D,OBRAS!G:G)</f>
        <v>CE-926006995-E18-2016</v>
      </c>
      <c r="U1189" s="4" t="s">
        <v>774</v>
      </c>
      <c r="V1189" s="89">
        <v>42816</v>
      </c>
      <c r="W1189" s="6">
        <f>LOOKUP($E1189,OBRAS!$D:$D,OBRAS!K:K)</f>
        <v>63672479.109999999</v>
      </c>
      <c r="X1189" s="109">
        <f t="shared" si="313"/>
        <v>0.15</v>
      </c>
      <c r="Y1189" s="109">
        <f t="shared" si="314"/>
        <v>0.95409999999999995</v>
      </c>
      <c r="Z1189" s="109">
        <f t="shared" si="315"/>
        <v>0.96489999999999998</v>
      </c>
      <c r="AA1189" s="4" t="str">
        <f>LOOKUP($E1189,OBRAS!$D:$D,OBRAS!H:H)</f>
        <v>SH-ED-17-R-004</v>
      </c>
    </row>
    <row r="1190" spans="1:27" ht="60" x14ac:dyDescent="0.25">
      <c r="A1190" s="90">
        <v>42816</v>
      </c>
      <c r="B1190" s="56">
        <v>1794</v>
      </c>
      <c r="C1190" s="142">
        <v>112</v>
      </c>
      <c r="D1190" s="4" t="str">
        <f>LOOKUP($E1190,OBRAS!$D:$D,OBRAS!C:C)</f>
        <v>REHABILITACION DE PAVIMENTOS A BASE DE RECARPETEO EN VARIAS CALLES Y AVENIDAS EN COLONIAS DE EL CENTRO DE LA CIUDAD HEROICA GUAYMAS</v>
      </c>
      <c r="E1190" s="4" t="s">
        <v>1814</v>
      </c>
      <c r="F1190" s="4" t="s">
        <v>217</v>
      </c>
      <c r="G1190" s="4" t="str">
        <f>LOOKUP($E1190,OBRAS!$D:$D,OBRAS!E:E)</f>
        <v>C-00052/0224</v>
      </c>
      <c r="H1190" s="80" t="s">
        <v>103</v>
      </c>
      <c r="I1190" s="6">
        <v>85603.67</v>
      </c>
      <c r="K1190" s="6">
        <f t="shared" si="308"/>
        <v>25681.1</v>
      </c>
      <c r="L1190" s="6">
        <f t="shared" si="309"/>
        <v>59922.57</v>
      </c>
      <c r="M1190" s="6">
        <f t="shared" si="310"/>
        <v>9587.61</v>
      </c>
      <c r="N1190" s="6">
        <f t="shared" si="311"/>
        <v>69510.179999999993</v>
      </c>
      <c r="O1190" s="6">
        <f t="shared" ref="O1190:O1196" si="319">+ROUND(I1190*0.005,2)</f>
        <v>428.02</v>
      </c>
      <c r="P1190" s="6">
        <f t="shared" si="312"/>
        <v>69082.16</v>
      </c>
      <c r="Q1190" s="4" t="str">
        <f>LOOKUP($E1190,OBRAS!$D:$D,OBRAS!B:B)</f>
        <v>INMOBILIARIA SOCE, S.A. DE C.V.</v>
      </c>
      <c r="R1190" s="4" t="str">
        <f>LOOKUP($E1190,OBRAS!$D:$D,OBRAS!A:A)</f>
        <v>GUAYMAS</v>
      </c>
      <c r="S1190" s="2" t="str">
        <f>LOOKUP($E1190,OBRAS!$D:$D,OBRAS!F:F)</f>
        <v>11000002002201E202K05186A614202165FN10</v>
      </c>
      <c r="T1190" s="2" t="str">
        <f>LOOKUP($E1190,OBRAS!$D:$D,OBRAS!G:G)</f>
        <v>IO-926006995-E102-2016</v>
      </c>
      <c r="U1190" s="4" t="s">
        <v>774</v>
      </c>
      <c r="V1190" s="89">
        <v>42816</v>
      </c>
      <c r="W1190" s="6">
        <f>LOOKUP($E1190,OBRAS!$D:$D,OBRAS!K:K)</f>
        <v>6189552.5599999996</v>
      </c>
      <c r="X1190" s="109">
        <f t="shared" si="313"/>
        <v>1.6E-2</v>
      </c>
      <c r="Y1190" s="109">
        <f t="shared" si="314"/>
        <v>0.21490000000000001</v>
      </c>
      <c r="Z1190" s="109">
        <f t="shared" si="315"/>
        <v>0.45050000000000001</v>
      </c>
      <c r="AA1190" s="4" t="str">
        <f>LOOKUP($E1190,OBRAS!$D:$D,OBRAS!H:H)</f>
        <v>SH-NC-17-R-005</v>
      </c>
    </row>
    <row r="1191" spans="1:27" ht="60" x14ac:dyDescent="0.25">
      <c r="A1191" s="90">
        <v>42816</v>
      </c>
      <c r="B1191" s="56">
        <v>1795</v>
      </c>
      <c r="C1191" s="142">
        <v>113</v>
      </c>
      <c r="D1191" s="4" t="str">
        <f>LOOKUP($E1191,OBRAS!$D:$D,OBRAS!C:C)</f>
        <v>REHABILITACION DE PAVIMENTOS A BASE DE RECARPETEO EN VARIAS CALLES Y AVENIDAS EN COLONIAS DE EL CENTRO DE LA CIUDAD HEROICA GUAYMAS</v>
      </c>
      <c r="E1191" s="4" t="s">
        <v>1814</v>
      </c>
      <c r="F1191" s="4" t="s">
        <v>217</v>
      </c>
      <c r="G1191" s="4" t="str">
        <f>LOOKUP($E1191,OBRAS!$D:$D,OBRAS!E:E)</f>
        <v>C-00052/0224</v>
      </c>
      <c r="H1191" s="80" t="s">
        <v>221</v>
      </c>
      <c r="I1191" s="6">
        <v>770671.85</v>
      </c>
      <c r="K1191" s="6">
        <f t="shared" si="308"/>
        <v>231201.56</v>
      </c>
      <c r="L1191" s="6">
        <f t="shared" si="309"/>
        <v>539470.29</v>
      </c>
      <c r="M1191" s="6">
        <f t="shared" si="310"/>
        <v>86315.25</v>
      </c>
      <c r="N1191" s="6">
        <f t="shared" si="311"/>
        <v>625785.54</v>
      </c>
      <c r="O1191" s="6">
        <f t="shared" si="319"/>
        <v>3853.36</v>
      </c>
      <c r="P1191" s="6">
        <f t="shared" si="312"/>
        <v>621932.18000000005</v>
      </c>
      <c r="Q1191" s="4" t="str">
        <f>LOOKUP($E1191,OBRAS!$D:$D,OBRAS!B:B)</f>
        <v>INMOBILIARIA SOCE, S.A. DE C.V.</v>
      </c>
      <c r="R1191" s="4" t="str">
        <f>LOOKUP($E1191,OBRAS!$D:$D,OBRAS!A:A)</f>
        <v>GUAYMAS</v>
      </c>
      <c r="S1191" s="2" t="str">
        <f>LOOKUP($E1191,OBRAS!$D:$D,OBRAS!F:F)</f>
        <v>11000002002201E202K05186A614202165FN10</v>
      </c>
      <c r="T1191" s="2" t="str">
        <f>LOOKUP($E1191,OBRAS!$D:$D,OBRAS!G:G)</f>
        <v>IO-926006995-E102-2016</v>
      </c>
      <c r="U1191" s="4" t="s">
        <v>774</v>
      </c>
      <c r="V1191" s="89">
        <v>42816</v>
      </c>
      <c r="W1191" s="6">
        <f>LOOKUP($E1191,OBRAS!$D:$D,OBRAS!K:K)</f>
        <v>6189552.5599999996</v>
      </c>
      <c r="X1191" s="109">
        <f t="shared" si="313"/>
        <v>0.1444</v>
      </c>
      <c r="Y1191" s="109">
        <f t="shared" si="314"/>
        <v>0.21490000000000001</v>
      </c>
      <c r="Z1191" s="109">
        <f t="shared" si="315"/>
        <v>0.45050000000000001</v>
      </c>
      <c r="AA1191" s="4" t="str">
        <f>LOOKUP($E1191,OBRAS!$D:$D,OBRAS!H:H)</f>
        <v>SH-NC-17-R-005</v>
      </c>
    </row>
    <row r="1192" spans="1:27" ht="60" x14ac:dyDescent="0.25">
      <c r="A1192" s="90">
        <v>42816</v>
      </c>
      <c r="B1192" s="56">
        <v>1796</v>
      </c>
      <c r="C1192" s="142">
        <v>114</v>
      </c>
      <c r="D1192" s="4" t="str">
        <f>LOOKUP($E1192,OBRAS!$D:$D,OBRAS!C:C)</f>
        <v>REHABILITACION DE PAVIMENTOS A BASE DE RECARPETEO EN VARIAS CALLES Y AVENIDAS EN COLONIAS DE EL CENTRO DE LA CIUDAD HEROICA GUAYMAS</v>
      </c>
      <c r="E1192" s="4" t="s">
        <v>1814</v>
      </c>
      <c r="F1192" s="4" t="s">
        <v>217</v>
      </c>
      <c r="G1192" s="4" t="str">
        <f>LOOKUP($E1192,OBRAS!$D:$D,OBRAS!E:E)</f>
        <v>C-00052/0224</v>
      </c>
      <c r="H1192" s="80" t="s">
        <v>55</v>
      </c>
      <c r="I1192" s="6">
        <v>290621.69</v>
      </c>
      <c r="K1192" s="6">
        <f t="shared" si="308"/>
        <v>87186.51</v>
      </c>
      <c r="L1192" s="6">
        <f t="shared" si="309"/>
        <v>203435.18</v>
      </c>
      <c r="M1192" s="6">
        <f t="shared" si="310"/>
        <v>32549.63</v>
      </c>
      <c r="N1192" s="6">
        <f t="shared" si="311"/>
        <v>235984.81</v>
      </c>
      <c r="O1192" s="6">
        <f t="shared" si="319"/>
        <v>1453.11</v>
      </c>
      <c r="P1192" s="6">
        <f t="shared" si="312"/>
        <v>234531.7</v>
      </c>
      <c r="Q1192" s="4" t="str">
        <f>LOOKUP($E1192,OBRAS!$D:$D,OBRAS!B:B)</f>
        <v>INMOBILIARIA SOCE, S.A. DE C.V.</v>
      </c>
      <c r="R1192" s="4" t="str">
        <f>LOOKUP($E1192,OBRAS!$D:$D,OBRAS!A:A)</f>
        <v>GUAYMAS</v>
      </c>
      <c r="S1192" s="2" t="str">
        <f>LOOKUP($E1192,OBRAS!$D:$D,OBRAS!F:F)</f>
        <v>11000002002201E202K05186A614202165FN10</v>
      </c>
      <c r="T1192" s="2" t="str">
        <f>LOOKUP($E1192,OBRAS!$D:$D,OBRAS!G:G)</f>
        <v>IO-926006995-E102-2016</v>
      </c>
      <c r="U1192" s="4" t="s">
        <v>774</v>
      </c>
      <c r="V1192" s="89">
        <v>42816</v>
      </c>
      <c r="W1192" s="6">
        <f>LOOKUP($E1192,OBRAS!$D:$D,OBRAS!K:K)</f>
        <v>6189552.5599999996</v>
      </c>
      <c r="X1192" s="109">
        <f t="shared" si="313"/>
        <v>5.45E-2</v>
      </c>
      <c r="Y1192" s="109">
        <f t="shared" si="314"/>
        <v>0.21490000000000001</v>
      </c>
      <c r="Z1192" s="109">
        <f t="shared" si="315"/>
        <v>0.45050000000000001</v>
      </c>
      <c r="AA1192" s="4" t="str">
        <f>LOOKUP($E1192,OBRAS!$D:$D,OBRAS!H:H)</f>
        <v>SH-NC-17-R-005</v>
      </c>
    </row>
    <row r="1193" spans="1:27" ht="45" x14ac:dyDescent="0.25">
      <c r="A1193" s="90">
        <v>42817</v>
      </c>
      <c r="B1193" s="56">
        <v>1818</v>
      </c>
      <c r="C1193" s="143">
        <v>115</v>
      </c>
      <c r="D1193" s="4" t="str">
        <f>LOOKUP($E1193,OBRAS!$D:$D,OBRAS!C:C)</f>
        <v>REHABILITACION DE PAVIMENTOS DE VARIAS CALLES CON MICROCARPETA EN LA LOCALIDAD Y MUNICIPIO DE PITIQUITO, SONORA</v>
      </c>
      <c r="E1193" s="4" t="s">
        <v>937</v>
      </c>
      <c r="F1193" s="4" t="s">
        <v>225</v>
      </c>
      <c r="G1193" s="4" t="str">
        <f>LOOKUP($E1193,OBRAS!$D:$D,OBRAS!E:E)</f>
        <v>C-00052/0211</v>
      </c>
      <c r="H1193" s="80" t="s">
        <v>55</v>
      </c>
      <c r="I1193" s="6">
        <v>1465856.28</v>
      </c>
      <c r="K1193" s="6">
        <f t="shared" si="308"/>
        <v>439756.88</v>
      </c>
      <c r="L1193" s="6">
        <f t="shared" si="309"/>
        <v>1026099.4</v>
      </c>
      <c r="M1193" s="6">
        <f t="shared" si="310"/>
        <v>164175.9</v>
      </c>
      <c r="N1193" s="6">
        <f t="shared" si="311"/>
        <v>1190275.3</v>
      </c>
      <c r="O1193" s="6">
        <f t="shared" si="319"/>
        <v>7329.28</v>
      </c>
      <c r="P1193" s="6">
        <f t="shared" si="312"/>
        <v>1182946.02</v>
      </c>
      <c r="Q1193" s="4" t="str">
        <f>LOOKUP($E1193,OBRAS!$D:$D,OBRAS!B:B)</f>
        <v>SOL Y MAR CONSTRUCCIONES JEEV, S. DE R. L. DE C. V.</v>
      </c>
      <c r="R1193" s="4" t="str">
        <f>LOOKUP($E1193,OBRAS!$D:$D,OBRAS!A:A)</f>
        <v>PITIQUITO</v>
      </c>
      <c r="S1193" s="2" t="str">
        <f>LOOKUP($E1193,OBRAS!$D:$D,OBRAS!F:F)</f>
        <v>11000002002201E202K05186A614202165FN02</v>
      </c>
      <c r="T1193" s="2" t="str">
        <f>LOOKUP($E1193,OBRAS!$D:$D,OBRAS!G:G)</f>
        <v>IO-926006995-E100-2016</v>
      </c>
      <c r="U1193" s="4" t="s">
        <v>774</v>
      </c>
      <c r="V1193" s="89">
        <v>42817</v>
      </c>
      <c r="W1193" s="6">
        <f>LOOKUP($E1193,OBRAS!$D:$D,OBRAS!K:K)</f>
        <v>3223256.02</v>
      </c>
      <c r="X1193" s="109">
        <f t="shared" si="313"/>
        <v>0.52749999999999997</v>
      </c>
      <c r="Y1193" s="109">
        <f t="shared" si="314"/>
        <v>0.95289999999999997</v>
      </c>
      <c r="Z1193" s="109">
        <f t="shared" si="315"/>
        <v>0.96709999999999996</v>
      </c>
      <c r="AA1193" s="4" t="str">
        <f>LOOKUP($E1193,OBRAS!$D:$D,OBRAS!H:H)</f>
        <v>SH-NC-17-R-005</v>
      </c>
    </row>
    <row r="1194" spans="1:27" ht="45" x14ac:dyDescent="0.25">
      <c r="A1194" s="90">
        <v>42817</v>
      </c>
      <c r="B1194" s="56">
        <v>1819</v>
      </c>
      <c r="C1194" s="143">
        <v>116</v>
      </c>
      <c r="D1194" s="4" t="str">
        <f>LOOKUP($E1194,OBRAS!$D:$D,OBRAS!C:C)</f>
        <v>REHABILITACION DE PAVIMENTOS DE VARIAS CALLES CON MICROCARPETA EN LA LOCALIDAD Y MUNICIPIO DE PITIQUITO, SONORA</v>
      </c>
      <c r="E1194" s="4" t="s">
        <v>937</v>
      </c>
      <c r="F1194" s="4" t="s">
        <v>793</v>
      </c>
      <c r="G1194" s="4" t="str">
        <f>LOOKUP($E1194,OBRAS!$D:$D,OBRAS!E:E)</f>
        <v>C-00052/0211</v>
      </c>
      <c r="H1194" s="80" t="s">
        <v>221</v>
      </c>
      <c r="I1194" s="6">
        <v>310130.28000000003</v>
      </c>
      <c r="K1194" s="6">
        <f t="shared" si="308"/>
        <v>93039.08</v>
      </c>
      <c r="L1194" s="6">
        <f t="shared" si="309"/>
        <v>217091.20000000001</v>
      </c>
      <c r="M1194" s="6">
        <f t="shared" si="310"/>
        <v>34734.589999999997</v>
      </c>
      <c r="N1194" s="6">
        <f t="shared" si="311"/>
        <v>251825.79</v>
      </c>
      <c r="O1194" s="6">
        <f t="shared" si="319"/>
        <v>1550.65</v>
      </c>
      <c r="P1194" s="6">
        <f t="shared" si="312"/>
        <v>250275.14</v>
      </c>
      <c r="Q1194" s="4" t="str">
        <f>LOOKUP($E1194,OBRAS!$D:$D,OBRAS!B:B)</f>
        <v>SOL Y MAR CONSTRUCCIONES JEEV, S. DE R. L. DE C. V.</v>
      </c>
      <c r="R1194" s="4" t="str">
        <f>LOOKUP($E1194,OBRAS!$D:$D,OBRAS!A:A)</f>
        <v>PITIQUITO</v>
      </c>
      <c r="S1194" s="2" t="str">
        <f>LOOKUP($E1194,OBRAS!$D:$D,OBRAS!F:F)</f>
        <v>11000002002201E202K05186A614202165FN02</v>
      </c>
      <c r="T1194" s="2" t="str">
        <f>LOOKUP($E1194,OBRAS!$D:$D,OBRAS!G:G)</f>
        <v>IO-926006995-E100-2016</v>
      </c>
      <c r="U1194" s="4" t="s">
        <v>774</v>
      </c>
      <c r="V1194" s="89">
        <v>42817</v>
      </c>
      <c r="W1194" s="6">
        <f>LOOKUP($E1194,OBRAS!$D:$D,OBRAS!K:K)</f>
        <v>3223256.02</v>
      </c>
      <c r="X1194" s="109">
        <f t="shared" si="313"/>
        <v>0.1116</v>
      </c>
      <c r="Y1194" s="109">
        <f t="shared" si="314"/>
        <v>0.95289999999999997</v>
      </c>
      <c r="Z1194" s="109">
        <f t="shared" si="315"/>
        <v>0.96709999999999996</v>
      </c>
      <c r="AA1194" s="4" t="str">
        <f>LOOKUP($E1194,OBRAS!$D:$D,OBRAS!H:H)</f>
        <v>SH-NC-17-R-005</v>
      </c>
    </row>
    <row r="1195" spans="1:27" ht="45" x14ac:dyDescent="0.25">
      <c r="A1195" s="90">
        <v>42817</v>
      </c>
      <c r="B1195" s="56">
        <v>1820</v>
      </c>
      <c r="C1195" s="155">
        <v>117</v>
      </c>
      <c r="D1195" s="4" t="str">
        <f>LOOKUP($E1195,OBRAS!$D:$D,OBRAS!C:C)</f>
        <v>REHABILITACION DE PAVIMENTOS DE VARIAS CALLES CON MICROCARPETA EN LA LOCALIDAD Y MUNICIPIO DE PITIQUITO, SONORA</v>
      </c>
      <c r="E1195" s="4" t="s">
        <v>937</v>
      </c>
      <c r="F1195" s="4" t="s">
        <v>225</v>
      </c>
      <c r="G1195" s="4" t="str">
        <f>LOOKUP($E1195,OBRAS!$D:$D,OBRAS!E:E)</f>
        <v>C-00052/0211</v>
      </c>
      <c r="H1195" s="80" t="s">
        <v>2584</v>
      </c>
      <c r="I1195" s="6">
        <v>504362.57</v>
      </c>
      <c r="K1195" s="6">
        <f t="shared" si="308"/>
        <v>151308.76999999999</v>
      </c>
      <c r="L1195" s="6">
        <f t="shared" si="309"/>
        <v>353053.8</v>
      </c>
      <c r="M1195" s="6">
        <f t="shared" si="310"/>
        <v>56488.61</v>
      </c>
      <c r="N1195" s="6">
        <f t="shared" si="311"/>
        <v>409542.41</v>
      </c>
      <c r="O1195" s="6">
        <f t="shared" si="319"/>
        <v>2521.81</v>
      </c>
      <c r="P1195" s="6">
        <f t="shared" si="312"/>
        <v>407020.6</v>
      </c>
      <c r="Q1195" s="4" t="str">
        <f>LOOKUP($E1195,OBRAS!$D:$D,OBRAS!B:B)</f>
        <v>SOL Y MAR CONSTRUCCIONES JEEV, S. DE R. L. DE C. V.</v>
      </c>
      <c r="R1195" s="4" t="str">
        <f>LOOKUP($E1195,OBRAS!$D:$D,OBRAS!A:A)</f>
        <v>PITIQUITO</v>
      </c>
      <c r="S1195" s="2" t="str">
        <f>LOOKUP($E1195,OBRAS!$D:$D,OBRAS!F:F)</f>
        <v>11000002002201E202K05186A614202165FN02</v>
      </c>
      <c r="T1195" s="2" t="str">
        <f>LOOKUP($E1195,OBRAS!$D:$D,OBRAS!G:G)</f>
        <v>IO-926006995-E100-2016</v>
      </c>
      <c r="U1195" s="4" t="s">
        <v>774</v>
      </c>
      <c r="V1195" s="89">
        <v>42817</v>
      </c>
      <c r="W1195" s="6">
        <f>LOOKUP($E1195,OBRAS!$D:$D,OBRAS!K:K)</f>
        <v>3223256.02</v>
      </c>
      <c r="X1195" s="109">
        <f t="shared" si="313"/>
        <v>0.18149999999999999</v>
      </c>
      <c r="Y1195" s="109">
        <f t="shared" si="314"/>
        <v>0.95289999999999997</v>
      </c>
      <c r="Z1195" s="109">
        <f t="shared" si="315"/>
        <v>0.96709999999999996</v>
      </c>
      <c r="AA1195" s="4" t="str">
        <f>LOOKUP($E1195,OBRAS!$D:$D,OBRAS!H:H)</f>
        <v>SH-NC-17-R-005</v>
      </c>
    </row>
    <row r="1196" spans="1:27" ht="60" x14ac:dyDescent="0.25">
      <c r="A1196" s="90">
        <v>42817</v>
      </c>
      <c r="B1196" s="56">
        <v>1821</v>
      </c>
      <c r="C1196" s="142">
        <v>118</v>
      </c>
      <c r="D1196" s="4" t="str">
        <f>LOOKUP($E1196,OBRAS!$D:$D,OBRAS!C:C)</f>
        <v>PAVIMENTACION CON CONCRETO HIDRAULICO EN CALLE 10 ENTRE AVENIDA QUIROZ MORA Y AVENIDA H. COLEGIO MILITAR (CALLE N) EN LA LOCALIDAD Y MUNICIPIO DE CABORCA, SONORA</v>
      </c>
      <c r="E1196" s="4" t="s">
        <v>1230</v>
      </c>
      <c r="F1196" s="4" t="s">
        <v>217</v>
      </c>
      <c r="G1196" s="4" t="str">
        <f>LOOKUP($E1196,OBRAS!$D:$D,OBRAS!E:E)</f>
        <v>C-00052/0223</v>
      </c>
      <c r="H1196" s="80" t="s">
        <v>55</v>
      </c>
      <c r="I1196" s="6">
        <v>406563.13</v>
      </c>
      <c r="K1196" s="6">
        <f t="shared" ref="K1196:K1231" si="320">ROUND(I1196*0.3,2)</f>
        <v>121968.94</v>
      </c>
      <c r="L1196" s="6">
        <f t="shared" ref="L1196:L1231" si="321">I1196-K1196</f>
        <v>284594.19</v>
      </c>
      <c r="M1196" s="6">
        <f t="shared" ref="M1196:M1231" si="322">ROUND(L1196*0.16,2)</f>
        <v>45535.07</v>
      </c>
      <c r="N1196" s="6">
        <f t="shared" ref="N1196:N1231" si="323">M1196+L1196</f>
        <v>330129.26</v>
      </c>
      <c r="O1196" s="6">
        <f t="shared" si="319"/>
        <v>2032.82</v>
      </c>
      <c r="P1196" s="6">
        <f t="shared" ref="P1196:P1231" si="324">N1196-O1196</f>
        <v>328096.44</v>
      </c>
      <c r="Q1196" s="4" t="str">
        <f>LOOKUP($E1196,OBRAS!$D:$D,OBRAS!B:B)</f>
        <v>INGENIERIA UNIVERSAL S. A. DE C. V.</v>
      </c>
      <c r="R1196" s="4" t="str">
        <f>LOOKUP($E1196,OBRAS!$D:$D,OBRAS!A:A)</f>
        <v>CABORCA</v>
      </c>
      <c r="S1196" s="2" t="str">
        <f>LOOKUP($E1196,OBRAS!$D:$D,OBRAS!F:F)</f>
        <v>11000002002201E202K05186A614202165FN02</v>
      </c>
      <c r="T1196" s="2" t="str">
        <f>LOOKUP($E1196,OBRAS!$D:$D,OBRAS!G:G)</f>
        <v>LO-926006995-E95-2016</v>
      </c>
      <c r="U1196" s="4" t="s">
        <v>774</v>
      </c>
      <c r="V1196" s="89">
        <v>42817</v>
      </c>
      <c r="W1196" s="6">
        <f>LOOKUP($E1196,OBRAS!$D:$D,OBRAS!K:K)</f>
        <v>11512863.189999999</v>
      </c>
      <c r="X1196" s="109">
        <f t="shared" ref="X1196:X1231" si="325">IF(H1196&lt;&gt;"ANTICIPO",I1196/(W1196/1.16),"")</f>
        <v>4.1000000000000002E-2</v>
      </c>
      <c r="Y1196" s="109">
        <f t="shared" ref="Y1196:Y1231" si="326">SUMIF(E:E,E1196,X:X)</f>
        <v>0.14299999999999999</v>
      </c>
      <c r="Z1196" s="109">
        <f t="shared" ref="Z1196:Z1231" si="327">SUMIF(E:E,E1196,N:N)/W1196</f>
        <v>0.40010000000000001</v>
      </c>
      <c r="AA1196" s="4" t="str">
        <f>LOOKUP($E1196,OBRAS!$D:$D,OBRAS!H:H)</f>
        <v>SH-NC-17-R-005</v>
      </c>
    </row>
    <row r="1197" spans="1:27" ht="30" x14ac:dyDescent="0.25">
      <c r="A1197" s="90">
        <v>42817</v>
      </c>
      <c r="B1197" s="56">
        <v>1822</v>
      </c>
      <c r="C1197" s="142">
        <v>119</v>
      </c>
      <c r="D1197" s="4" t="str">
        <f>LOOKUP($E1197,OBRAS!$D:$D,OBRAS!C:C)</f>
        <v>DIRECTOR RESPONSABLE DE OBRA: CONSTRUCCIÓN DE CENTRO CULTURAL AL NORTE</v>
      </c>
      <c r="E1197" s="4" t="s">
        <v>2585</v>
      </c>
      <c r="F1197" s="4" t="s">
        <v>224</v>
      </c>
      <c r="G1197" s="4" t="str">
        <f>LOOKUP($E1197,OBRAS!$D:$D,OBRAS!E:E)</f>
        <v>C-00098/0035</v>
      </c>
      <c r="H1197" s="80" t="s">
        <v>103</v>
      </c>
      <c r="I1197" s="6">
        <v>59871</v>
      </c>
      <c r="K1197" s="6">
        <v>0</v>
      </c>
      <c r="L1197" s="6">
        <f t="shared" si="321"/>
        <v>59871</v>
      </c>
      <c r="M1197" s="6">
        <f t="shared" si="322"/>
        <v>9579.36</v>
      </c>
      <c r="N1197" s="6">
        <f t="shared" si="323"/>
        <v>69450.36</v>
      </c>
      <c r="O1197" s="6">
        <f>+ROUND(I1197*0.002,2)+ROUND(I1197*0.0003,2)+ROUND(I1197*0.0003,2)+ROUND(I1197*0.0003,2)</f>
        <v>173.62</v>
      </c>
      <c r="P1197" s="6">
        <f t="shared" si="324"/>
        <v>69276.740000000005</v>
      </c>
      <c r="Q1197" s="4" t="str">
        <f>LOOKUP($E1197,OBRAS!$D:$D,OBRAS!B:B)</f>
        <v>CONSTRUCCIONES ANFRE, S.A. DE C.V.</v>
      </c>
      <c r="R1197" s="4" t="str">
        <f>LOOKUP($E1197,OBRAS!$D:$D,OBRAS!A:A)</f>
        <v>HERMOSILLO</v>
      </c>
      <c r="S1197" s="2" t="str">
        <f>LOOKUP($E1197,OBRAS!$D:$D,OBRAS!F:F)</f>
        <v>11000002002207E202K05079A622212161A013</v>
      </c>
      <c r="T1197" s="2" t="str">
        <f>LOOKUP($E1197,OBRAS!$D:$D,OBRAS!G:G)</f>
        <v>ADJUDICACIÓN DIRECTA</v>
      </c>
      <c r="U1197" s="4" t="s">
        <v>774</v>
      </c>
      <c r="V1197" s="89">
        <v>42817</v>
      </c>
      <c r="W1197" s="6">
        <f>LOOKUP($E1197,OBRAS!$D:$D,OBRAS!K:K)</f>
        <v>69450.36</v>
      </c>
      <c r="X1197" s="109">
        <f t="shared" si="325"/>
        <v>1</v>
      </c>
      <c r="Y1197" s="109">
        <f t="shared" si="326"/>
        <v>1</v>
      </c>
      <c r="Z1197" s="109">
        <f t="shared" si="327"/>
        <v>1</v>
      </c>
      <c r="AA1197" s="4" t="str">
        <f>LOOKUP($E1197,OBRAS!$D:$D,OBRAS!H:H)</f>
        <v>SH-ED-17-R-024</v>
      </c>
    </row>
    <row r="1198" spans="1:27" ht="45" x14ac:dyDescent="0.25">
      <c r="A1198" s="90">
        <v>42817</v>
      </c>
      <c r="B1198" s="56">
        <v>1826</v>
      </c>
      <c r="C1198" s="142">
        <v>120</v>
      </c>
      <c r="D1198" s="4" t="str">
        <f>LOOKUP($E1198,OBRAS!$D:$D,OBRAS!C:C)</f>
        <v>PAVIMENTACION CON CONCRETO HIDRAULICO DE 15CM DE ESPESOR EN LAS CALLES FERROCARRIL Y SONORA EN LA LOCALIDAD DE ESQUEDA</v>
      </c>
      <c r="E1198" s="4" t="s">
        <v>1740</v>
      </c>
      <c r="F1198" s="4" t="s">
        <v>217</v>
      </c>
      <c r="G1198" s="4" t="str">
        <f>LOOKUP($E1198,OBRAS!$D:$D,OBRAS!E:E)</f>
        <v>C-00052/0209</v>
      </c>
      <c r="H1198" s="80" t="s">
        <v>55</v>
      </c>
      <c r="I1198" s="6">
        <v>277469.67</v>
      </c>
      <c r="K1198" s="6">
        <f t="shared" si="320"/>
        <v>83240.899999999994</v>
      </c>
      <c r="L1198" s="6">
        <f t="shared" si="321"/>
        <v>194228.77</v>
      </c>
      <c r="M1198" s="6">
        <f t="shared" si="322"/>
        <v>31076.6</v>
      </c>
      <c r="N1198" s="6">
        <f t="shared" si="323"/>
        <v>225305.37</v>
      </c>
      <c r="O1198" s="6">
        <f>+ROUND(I1198*0.005,2)</f>
        <v>1387.35</v>
      </c>
      <c r="P1198" s="6">
        <f t="shared" si="324"/>
        <v>223918.02</v>
      </c>
      <c r="Q1198" s="4" t="str">
        <f>LOOKUP($E1198,OBRAS!$D:$D,OBRAS!B:B)</f>
        <v>SEÑALAMIENTOS Y SERVICIOS INTEGRALES DEL NOROESTE, S.A. DE C.V.</v>
      </c>
      <c r="R1198" s="4" t="str">
        <f>LOOKUP($E1198,OBRAS!$D:$D,OBRAS!A:A)</f>
        <v>FRONTERAS</v>
      </c>
      <c r="S1198" s="2" t="str">
        <f>LOOKUP($E1198,OBRAS!$D:$D,OBRAS!F:F)</f>
        <v>11000002002201E202K05186A614202165FN04</v>
      </c>
      <c r="T1198" s="2" t="str">
        <f>LOOKUP($E1198,OBRAS!$D:$D,OBRAS!G:G)</f>
        <v>IO-926006995-E148-2016</v>
      </c>
      <c r="U1198" s="4" t="s">
        <v>774</v>
      </c>
      <c r="V1198" s="89">
        <v>42817</v>
      </c>
      <c r="W1198" s="6">
        <f>LOOKUP($E1198,OBRAS!$D:$D,OBRAS!K:K)</f>
        <v>5679511.0099999998</v>
      </c>
      <c r="X1198" s="109">
        <f t="shared" si="325"/>
        <v>5.67E-2</v>
      </c>
      <c r="Y1198" s="109">
        <f t="shared" si="326"/>
        <v>0.1242</v>
      </c>
      <c r="Z1198" s="109">
        <f t="shared" si="327"/>
        <v>0.38690000000000002</v>
      </c>
      <c r="AA1198" s="4" t="str">
        <f>LOOKUP($E1198,OBRAS!$D:$D,OBRAS!H:H)</f>
        <v>SH-NC-17-R-005</v>
      </c>
    </row>
    <row r="1199" spans="1:27" ht="75" x14ac:dyDescent="0.25">
      <c r="A1199" s="90">
        <v>42817</v>
      </c>
      <c r="B1199" s="56">
        <v>1827</v>
      </c>
      <c r="C1199" s="142">
        <v>121</v>
      </c>
      <c r="D1199" s="4" t="str">
        <f>LOOKUP($E1199,OBRAS!$D:$D,OBRAS!C:C)</f>
        <v>REHABILITACION DE PAVIMENTOS A BASE DE RECARPETEO EN CALLE GARCIA MORALES ENTRE HIDALGO Y RAYON, ENTRE QUINTANA ROO Y BRAVO, Y ENTRE ABASOLO Y JOSEFA ORTIZ DE DOMINGUEZ</v>
      </c>
      <c r="E1199" s="4" t="s">
        <v>1778</v>
      </c>
      <c r="F1199" s="4" t="s">
        <v>217</v>
      </c>
      <c r="G1199" s="4" t="str">
        <f>LOOKUP($E1199,OBRAS!$D:$D,OBRAS!E:E)</f>
        <v>C-00052/0232</v>
      </c>
      <c r="H1199" s="80" t="s">
        <v>221</v>
      </c>
      <c r="I1199" s="6">
        <v>1071272.6000000001</v>
      </c>
      <c r="K1199" s="6">
        <f t="shared" si="320"/>
        <v>321381.78000000003</v>
      </c>
      <c r="L1199" s="6">
        <f t="shared" si="321"/>
        <v>749890.82</v>
      </c>
      <c r="M1199" s="6">
        <f t="shared" si="322"/>
        <v>119982.53</v>
      </c>
      <c r="N1199" s="6">
        <f t="shared" si="323"/>
        <v>869873.35</v>
      </c>
      <c r="O1199" s="6">
        <f>+ROUND(I1199*0.005,2)</f>
        <v>5356.36</v>
      </c>
      <c r="P1199" s="6">
        <f t="shared" si="324"/>
        <v>864516.99</v>
      </c>
      <c r="Q1199" s="4" t="str">
        <f>LOOKUP($E1199,OBRAS!$D:$D,OBRAS!B:B)</f>
        <v>PROMOCIONES TESIA, S.A. DE C.V.</v>
      </c>
      <c r="R1199" s="4" t="str">
        <f>LOOKUP($E1199,OBRAS!$D:$D,OBRAS!A:A)</f>
        <v>NAVOJOA</v>
      </c>
      <c r="S1199" s="2" t="str">
        <f>LOOKUP($E1199,OBRAS!$D:$D,OBRAS!F:F)</f>
        <v>11000002002201E202K05186A614202165FN12</v>
      </c>
      <c r="T1199" s="2" t="str">
        <f>LOOKUP($E1199,OBRAS!$D:$D,OBRAS!G:G)</f>
        <v>IO-926006995-E160-2016</v>
      </c>
      <c r="U1199" s="4" t="s">
        <v>774</v>
      </c>
      <c r="V1199" s="89">
        <v>42817</v>
      </c>
      <c r="W1199" s="6">
        <f>LOOKUP($E1199,OBRAS!$D:$D,OBRAS!K:K)</f>
        <v>1881441.35</v>
      </c>
      <c r="X1199" s="109">
        <f t="shared" si="325"/>
        <v>0.66049999999999998</v>
      </c>
      <c r="Y1199" s="109">
        <f t="shared" si="326"/>
        <v>0.98929999999999996</v>
      </c>
      <c r="Z1199" s="109">
        <f t="shared" si="327"/>
        <v>0.99250000000000005</v>
      </c>
      <c r="AA1199" s="4" t="str">
        <f>LOOKUP($E1199,OBRAS!$D:$D,OBRAS!H:H)</f>
        <v>SH-NC-17-R-005</v>
      </c>
    </row>
    <row r="1200" spans="1:27" ht="60" x14ac:dyDescent="0.25">
      <c r="A1200" s="90">
        <v>42817</v>
      </c>
      <c r="B1200" s="56">
        <v>1828</v>
      </c>
      <c r="C1200" s="155">
        <v>122</v>
      </c>
      <c r="D1200" s="4" t="str">
        <f>LOOKUP($E1200,OBRAS!$D:$D,OBRAS!C:C)</f>
        <v>CONTROL DE CALIDAD DE LA OBRA: REHABILITACION DE PAVIMENTOS A BASE DE RECARPETEO EN BLVD. GARCIA MORALES ENTRE BLVD. QUIROGA Y ACCESO AL AEROPUERTO</v>
      </c>
      <c r="E1200" s="4" t="s">
        <v>1916</v>
      </c>
      <c r="F1200" s="4" t="s">
        <v>217</v>
      </c>
      <c r="G1200" s="4" t="str">
        <f>LOOKUP($E1200,OBRAS!$D:$D,OBRAS!E:E)</f>
        <v>C-00052/0179</v>
      </c>
      <c r="H1200" s="80" t="s">
        <v>15</v>
      </c>
      <c r="I1200" s="6">
        <v>44672.3</v>
      </c>
      <c r="K1200" s="6">
        <v>0</v>
      </c>
      <c r="L1200" s="6">
        <f t="shared" si="321"/>
        <v>44672.3</v>
      </c>
      <c r="M1200" s="6">
        <f t="shared" si="322"/>
        <v>7147.57</v>
      </c>
      <c r="N1200" s="6">
        <f t="shared" si="323"/>
        <v>51819.87</v>
      </c>
      <c r="O1200" s="6">
        <f>+ROUND(I1200*0.005,2)</f>
        <v>223.36</v>
      </c>
      <c r="P1200" s="6">
        <f t="shared" si="324"/>
        <v>51596.51</v>
      </c>
      <c r="Q1200" s="4" t="str">
        <f>LOOKUP($E1200,OBRAS!$D:$D,OBRAS!B:B)</f>
        <v>ALCCON SIGLO XXI, S.A. DE C.V.</v>
      </c>
      <c r="R1200" s="4" t="str">
        <f>LOOKUP($E1200,OBRAS!$D:$D,OBRAS!A:A)</f>
        <v>HERMOSILLO</v>
      </c>
      <c r="S1200" s="2" t="str">
        <f>LOOKUP($E1200,OBRAS!$D:$D,OBRAS!F:F)</f>
        <v>11000002002201E202K05186A614242165CN07</v>
      </c>
      <c r="T1200" s="2" t="str">
        <f>LOOKUP($E1200,OBRAS!$D:$D,OBRAS!G:G)</f>
        <v>AO-926006995-E118-2016</v>
      </c>
      <c r="U1200" s="4" t="s">
        <v>774</v>
      </c>
      <c r="V1200" s="89">
        <v>42817</v>
      </c>
      <c r="W1200" s="6">
        <f>LOOKUP($E1200,OBRAS!$D:$D,OBRAS!K:K)</f>
        <v>365787.3</v>
      </c>
      <c r="X1200" s="109">
        <f t="shared" si="325"/>
        <v>0.14169999999999999</v>
      </c>
      <c r="Y1200" s="109">
        <f t="shared" si="326"/>
        <v>1.1416999999999999</v>
      </c>
      <c r="Z1200" s="109">
        <f t="shared" si="327"/>
        <v>1.1416999999999999</v>
      </c>
      <c r="AA1200" s="4" t="str">
        <f>LOOKUP($E1200,OBRAS!$D:$D,OBRAS!H:H)</f>
        <v>SH-NC-17-R-004</v>
      </c>
    </row>
    <row r="1201" spans="1:27" ht="75" x14ac:dyDescent="0.25">
      <c r="A1201" s="90">
        <v>42817</v>
      </c>
      <c r="B1201" s="56">
        <v>1829</v>
      </c>
      <c r="C1201" s="155">
        <v>123</v>
      </c>
      <c r="D1201" s="4" t="str">
        <f>LOOKUP($E1201,OBRAS!$D:$D,OBRAS!C:C)</f>
        <v>CONTROL DE CALIDAD DE LA OBRA: REHABILITACION DE PAVIMENTOS A BASE DE RECARPETEO EN AVE JOSE S. HEALY, AVE JOSE CARMELO Y PERIMETRAL NORTE ENTRE BLVD. SOLIDARIDAD Y LÁZARO MERCADO</v>
      </c>
      <c r="E1201" s="4" t="s">
        <v>1914</v>
      </c>
      <c r="F1201" s="4" t="s">
        <v>217</v>
      </c>
      <c r="G1201" s="4" t="str">
        <f>LOOKUP($E1201,OBRAS!$D:$D,OBRAS!E:E)</f>
        <v>C-00052/0178</v>
      </c>
      <c r="H1201" s="80" t="s">
        <v>215</v>
      </c>
      <c r="I1201" s="6">
        <v>107782.82</v>
      </c>
      <c r="K1201" s="6">
        <v>0</v>
      </c>
      <c r="L1201" s="6">
        <f t="shared" si="321"/>
        <v>107782.82</v>
      </c>
      <c r="M1201" s="6">
        <f t="shared" si="322"/>
        <v>17245.25</v>
      </c>
      <c r="N1201" s="6">
        <f t="shared" si="323"/>
        <v>125028.07</v>
      </c>
      <c r="O1201" s="6">
        <f>+ROUND(I1201*0.005,2)</f>
        <v>538.91</v>
      </c>
      <c r="P1201" s="6">
        <f t="shared" si="324"/>
        <v>124489.16</v>
      </c>
      <c r="Q1201" s="4" t="str">
        <f>LOOKUP($E1201,OBRAS!$D:$D,OBRAS!B:B)</f>
        <v>ALCCON SIGLO XXI, S.A. DE C.V.</v>
      </c>
      <c r="R1201" s="4" t="str">
        <f>LOOKUP($E1201,OBRAS!$D:$D,OBRAS!A:A)</f>
        <v>HERMOSILLO</v>
      </c>
      <c r="S1201" s="2" t="str">
        <f>LOOKUP($E1201,OBRAS!$D:$D,OBRAS!F:F)</f>
        <v>11000002002201E202K05186A614202165CN07</v>
      </c>
      <c r="T1201" s="2" t="str">
        <f>LOOKUP($E1201,OBRAS!$D:$D,OBRAS!G:G)</f>
        <v>AO-926006995-E116-2016</v>
      </c>
      <c r="U1201" s="4" t="s">
        <v>774</v>
      </c>
      <c r="V1201" s="89">
        <v>42817</v>
      </c>
      <c r="W1201" s="6">
        <f>LOOKUP($E1201,OBRAS!$D:$D,OBRAS!K:K)</f>
        <v>500112.28</v>
      </c>
      <c r="X1201" s="109">
        <f t="shared" si="325"/>
        <v>0.25</v>
      </c>
      <c r="Y1201" s="109">
        <f t="shared" si="326"/>
        <v>1</v>
      </c>
      <c r="Z1201" s="109">
        <f t="shared" si="327"/>
        <v>1</v>
      </c>
      <c r="AA1201" s="4" t="str">
        <f>LOOKUP($E1201,OBRAS!$D:$D,OBRAS!H:H)</f>
        <v>SH-NC-17-R-004</v>
      </c>
    </row>
    <row r="1202" spans="1:27" x14ac:dyDescent="0.25">
      <c r="C1202" s="142">
        <v>124</v>
      </c>
      <c r="D1202" s="4" t="e">
        <f>LOOKUP($E1202,OBRAS!$D:$D,OBRAS!C:C)</f>
        <v>#N/A</v>
      </c>
      <c r="E1202" s="4"/>
      <c r="F1202" s="4"/>
      <c r="G1202" s="4" t="e">
        <f>LOOKUP($E1202,OBRAS!$D:$D,OBRAS!E:E)</f>
        <v>#N/A</v>
      </c>
      <c r="H1202" s="80"/>
      <c r="I1202" s="6"/>
      <c r="K1202" s="6">
        <f t="shared" si="320"/>
        <v>0</v>
      </c>
      <c r="L1202" s="6">
        <f t="shared" si="321"/>
        <v>0</v>
      </c>
      <c r="M1202" s="6">
        <f t="shared" si="322"/>
        <v>0</v>
      </c>
      <c r="N1202" s="6">
        <f t="shared" si="323"/>
        <v>0</v>
      </c>
      <c r="O1202" s="6">
        <f t="shared" ref="O1202:O1231" si="328">+ROUND(I1202*0.002,2)+ROUND(I1202*0.0003,2)+ROUND(I1202*0.0003,2)+ROUND(I1202*0.0003,2)+ROUND(I1202*0.002,2)</f>
        <v>0</v>
      </c>
      <c r="P1202" s="6">
        <f t="shared" si="324"/>
        <v>0</v>
      </c>
      <c r="Q1202" s="4" t="e">
        <f>LOOKUP($E1202,OBRAS!$D:$D,OBRAS!B:B)</f>
        <v>#N/A</v>
      </c>
      <c r="R1202" s="4" t="e">
        <f>LOOKUP($E1202,OBRAS!$D:$D,OBRAS!A:A)</f>
        <v>#N/A</v>
      </c>
      <c r="S1202" s="2" t="e">
        <f>LOOKUP($E1202,OBRAS!$D:$D,OBRAS!F:F)</f>
        <v>#N/A</v>
      </c>
      <c r="T1202" s="2" t="e">
        <f>LOOKUP($E1202,OBRAS!$D:$D,OBRAS!G:G)</f>
        <v>#N/A</v>
      </c>
      <c r="U1202" s="4"/>
      <c r="V1202" s="4"/>
      <c r="W1202" s="6" t="e">
        <f>LOOKUP($E1202,OBRAS!$D:$D,OBRAS!K:K)</f>
        <v>#N/A</v>
      </c>
      <c r="X1202" s="109" t="e">
        <f t="shared" si="325"/>
        <v>#N/A</v>
      </c>
      <c r="Y1202" s="109">
        <f t="shared" si="326"/>
        <v>0</v>
      </c>
      <c r="Z1202" s="109" t="e">
        <f t="shared" si="327"/>
        <v>#N/A</v>
      </c>
      <c r="AA1202" s="4" t="e">
        <f>LOOKUP($E1202,OBRAS!$D:$D,OBRAS!H:H)</f>
        <v>#N/A</v>
      </c>
    </row>
    <row r="1203" spans="1:27" x14ac:dyDescent="0.25">
      <c r="C1203" s="142">
        <v>125</v>
      </c>
      <c r="D1203" s="4" t="e">
        <f>LOOKUP($E1203,OBRAS!$D:$D,OBRAS!C:C)</f>
        <v>#N/A</v>
      </c>
      <c r="E1203" s="4"/>
      <c r="F1203" s="4"/>
      <c r="G1203" s="4" t="e">
        <f>LOOKUP($E1203,OBRAS!$D:$D,OBRAS!E:E)</f>
        <v>#N/A</v>
      </c>
      <c r="H1203" s="80"/>
      <c r="I1203" s="6"/>
      <c r="K1203" s="6">
        <f t="shared" si="320"/>
        <v>0</v>
      </c>
      <c r="L1203" s="6">
        <f t="shared" si="321"/>
        <v>0</v>
      </c>
      <c r="M1203" s="6">
        <f t="shared" si="322"/>
        <v>0</v>
      </c>
      <c r="N1203" s="6">
        <f t="shared" si="323"/>
        <v>0</v>
      </c>
      <c r="O1203" s="6">
        <f t="shared" si="328"/>
        <v>0</v>
      </c>
      <c r="P1203" s="6">
        <f t="shared" si="324"/>
        <v>0</v>
      </c>
      <c r="Q1203" s="4" t="e">
        <f>LOOKUP($E1203,OBRAS!$D:$D,OBRAS!B:B)</f>
        <v>#N/A</v>
      </c>
      <c r="R1203" s="4" t="e">
        <f>LOOKUP($E1203,OBRAS!$D:$D,OBRAS!A:A)</f>
        <v>#N/A</v>
      </c>
      <c r="S1203" s="2" t="e">
        <f>LOOKUP($E1203,OBRAS!$D:$D,OBRAS!F:F)</f>
        <v>#N/A</v>
      </c>
      <c r="T1203" s="2" t="e">
        <f>LOOKUP($E1203,OBRAS!$D:$D,OBRAS!G:G)</f>
        <v>#N/A</v>
      </c>
      <c r="U1203" s="4"/>
      <c r="V1203" s="4"/>
      <c r="W1203" s="6" t="e">
        <f>LOOKUP($E1203,OBRAS!$D:$D,OBRAS!K:K)</f>
        <v>#N/A</v>
      </c>
      <c r="X1203" s="109" t="e">
        <f t="shared" si="325"/>
        <v>#N/A</v>
      </c>
      <c r="Y1203" s="109">
        <f t="shared" si="326"/>
        <v>0</v>
      </c>
      <c r="Z1203" s="109" t="e">
        <f t="shared" si="327"/>
        <v>#N/A</v>
      </c>
      <c r="AA1203" s="4" t="e">
        <f>LOOKUP($E1203,OBRAS!$D:$D,OBRAS!H:H)</f>
        <v>#N/A</v>
      </c>
    </row>
    <row r="1204" spans="1:27" x14ac:dyDescent="0.25">
      <c r="C1204" s="142">
        <v>126</v>
      </c>
      <c r="D1204" s="4" t="e">
        <f>LOOKUP($E1204,OBRAS!$D:$D,OBRAS!C:C)</f>
        <v>#N/A</v>
      </c>
      <c r="E1204" s="4"/>
      <c r="F1204" s="4"/>
      <c r="G1204" s="4" t="e">
        <f>LOOKUP($E1204,OBRAS!$D:$D,OBRAS!E:E)</f>
        <v>#N/A</v>
      </c>
      <c r="H1204" s="80"/>
      <c r="I1204" s="6"/>
      <c r="K1204" s="6">
        <f t="shared" si="320"/>
        <v>0</v>
      </c>
      <c r="L1204" s="6">
        <f t="shared" si="321"/>
        <v>0</v>
      </c>
      <c r="M1204" s="6">
        <f t="shared" si="322"/>
        <v>0</v>
      </c>
      <c r="N1204" s="6">
        <f t="shared" si="323"/>
        <v>0</v>
      </c>
      <c r="O1204" s="6">
        <f t="shared" si="328"/>
        <v>0</v>
      </c>
      <c r="P1204" s="6">
        <f t="shared" si="324"/>
        <v>0</v>
      </c>
      <c r="Q1204" s="4" t="e">
        <f>LOOKUP($E1204,OBRAS!$D:$D,OBRAS!B:B)</f>
        <v>#N/A</v>
      </c>
      <c r="R1204" s="4" t="e">
        <f>LOOKUP($E1204,OBRAS!$D:$D,OBRAS!A:A)</f>
        <v>#N/A</v>
      </c>
      <c r="S1204" s="2" t="e">
        <f>LOOKUP($E1204,OBRAS!$D:$D,OBRAS!F:F)</f>
        <v>#N/A</v>
      </c>
      <c r="T1204" s="2" t="e">
        <f>LOOKUP($E1204,OBRAS!$D:$D,OBRAS!G:G)</f>
        <v>#N/A</v>
      </c>
      <c r="U1204" s="4"/>
      <c r="V1204" s="4"/>
      <c r="W1204" s="6" t="e">
        <f>LOOKUP($E1204,OBRAS!$D:$D,OBRAS!K:K)</f>
        <v>#N/A</v>
      </c>
      <c r="X1204" s="109" t="e">
        <f t="shared" si="325"/>
        <v>#N/A</v>
      </c>
      <c r="Y1204" s="109">
        <f t="shared" si="326"/>
        <v>0</v>
      </c>
      <c r="Z1204" s="109" t="e">
        <f t="shared" si="327"/>
        <v>#N/A</v>
      </c>
      <c r="AA1204" s="4" t="e">
        <f>LOOKUP($E1204,OBRAS!$D:$D,OBRAS!H:H)</f>
        <v>#N/A</v>
      </c>
    </row>
    <row r="1205" spans="1:27" x14ac:dyDescent="0.25">
      <c r="C1205" s="142">
        <v>127</v>
      </c>
      <c r="D1205" s="4" t="e">
        <f>LOOKUP($E1205,OBRAS!$D:$D,OBRAS!C:C)</f>
        <v>#N/A</v>
      </c>
      <c r="E1205" s="4"/>
      <c r="F1205" s="4"/>
      <c r="G1205" s="4" t="e">
        <f>LOOKUP($E1205,OBRAS!$D:$D,OBRAS!E:E)</f>
        <v>#N/A</v>
      </c>
      <c r="H1205" s="80"/>
      <c r="I1205" s="6"/>
      <c r="K1205" s="6">
        <f t="shared" si="320"/>
        <v>0</v>
      </c>
      <c r="L1205" s="6">
        <f t="shared" si="321"/>
        <v>0</v>
      </c>
      <c r="M1205" s="6">
        <f t="shared" si="322"/>
        <v>0</v>
      </c>
      <c r="N1205" s="6">
        <f t="shared" si="323"/>
        <v>0</v>
      </c>
      <c r="O1205" s="6">
        <f t="shared" si="328"/>
        <v>0</v>
      </c>
      <c r="P1205" s="6">
        <f t="shared" si="324"/>
        <v>0</v>
      </c>
      <c r="Q1205" s="4" t="e">
        <f>LOOKUP($E1205,OBRAS!$D:$D,OBRAS!B:B)</f>
        <v>#N/A</v>
      </c>
      <c r="R1205" s="4" t="e">
        <f>LOOKUP($E1205,OBRAS!$D:$D,OBRAS!A:A)</f>
        <v>#N/A</v>
      </c>
      <c r="S1205" s="2" t="e">
        <f>LOOKUP($E1205,OBRAS!$D:$D,OBRAS!F:F)</f>
        <v>#N/A</v>
      </c>
      <c r="T1205" s="2" t="e">
        <f>LOOKUP($E1205,OBRAS!$D:$D,OBRAS!G:G)</f>
        <v>#N/A</v>
      </c>
      <c r="U1205" s="4"/>
      <c r="V1205" s="4"/>
      <c r="W1205" s="6" t="e">
        <f>LOOKUP($E1205,OBRAS!$D:$D,OBRAS!K:K)</f>
        <v>#N/A</v>
      </c>
      <c r="X1205" s="109" t="e">
        <f t="shared" si="325"/>
        <v>#N/A</v>
      </c>
      <c r="Y1205" s="109">
        <f t="shared" si="326"/>
        <v>0</v>
      </c>
      <c r="Z1205" s="109" t="e">
        <f t="shared" si="327"/>
        <v>#N/A</v>
      </c>
      <c r="AA1205" s="4" t="e">
        <f>LOOKUP($E1205,OBRAS!$D:$D,OBRAS!H:H)</f>
        <v>#N/A</v>
      </c>
    </row>
    <row r="1206" spans="1:27" x14ac:dyDescent="0.25">
      <c r="C1206" s="142">
        <v>128</v>
      </c>
      <c r="D1206" s="4" t="e">
        <f>LOOKUP($E1206,OBRAS!$D:$D,OBRAS!C:C)</f>
        <v>#N/A</v>
      </c>
      <c r="E1206" s="4"/>
      <c r="F1206" s="4"/>
      <c r="G1206" s="4" t="e">
        <f>LOOKUP($E1206,OBRAS!$D:$D,OBRAS!E:E)</f>
        <v>#N/A</v>
      </c>
      <c r="H1206" s="80"/>
      <c r="I1206" s="6"/>
      <c r="K1206" s="6">
        <f t="shared" si="320"/>
        <v>0</v>
      </c>
      <c r="L1206" s="6">
        <f t="shared" si="321"/>
        <v>0</v>
      </c>
      <c r="M1206" s="6">
        <f t="shared" si="322"/>
        <v>0</v>
      </c>
      <c r="N1206" s="6">
        <f t="shared" si="323"/>
        <v>0</v>
      </c>
      <c r="O1206" s="6">
        <f t="shared" si="328"/>
        <v>0</v>
      </c>
      <c r="P1206" s="6">
        <f t="shared" si="324"/>
        <v>0</v>
      </c>
      <c r="Q1206" s="4" t="e">
        <f>LOOKUP($E1206,OBRAS!$D:$D,OBRAS!B:B)</f>
        <v>#N/A</v>
      </c>
      <c r="R1206" s="4" t="e">
        <f>LOOKUP($E1206,OBRAS!$D:$D,OBRAS!A:A)</f>
        <v>#N/A</v>
      </c>
      <c r="S1206" s="2" t="e">
        <f>LOOKUP($E1206,OBRAS!$D:$D,OBRAS!F:F)</f>
        <v>#N/A</v>
      </c>
      <c r="T1206" s="2" t="e">
        <f>LOOKUP($E1206,OBRAS!$D:$D,OBRAS!G:G)</f>
        <v>#N/A</v>
      </c>
      <c r="U1206" s="4"/>
      <c r="V1206" s="4"/>
      <c r="W1206" s="6" t="e">
        <f>LOOKUP($E1206,OBRAS!$D:$D,OBRAS!K:K)</f>
        <v>#N/A</v>
      </c>
      <c r="X1206" s="109" t="e">
        <f t="shared" si="325"/>
        <v>#N/A</v>
      </c>
      <c r="Y1206" s="109">
        <f t="shared" si="326"/>
        <v>0</v>
      </c>
      <c r="Z1206" s="109" t="e">
        <f t="shared" si="327"/>
        <v>#N/A</v>
      </c>
      <c r="AA1206" s="4" t="e">
        <f>LOOKUP($E1206,OBRAS!$D:$D,OBRAS!H:H)</f>
        <v>#N/A</v>
      </c>
    </row>
    <row r="1207" spans="1:27" x14ac:dyDescent="0.25">
      <c r="C1207" s="142">
        <v>129</v>
      </c>
      <c r="D1207" s="4" t="e">
        <f>LOOKUP($E1207,OBRAS!$D:$D,OBRAS!C:C)</f>
        <v>#N/A</v>
      </c>
      <c r="E1207" s="4"/>
      <c r="F1207" s="4"/>
      <c r="G1207" s="4" t="e">
        <f>LOOKUP($E1207,OBRAS!$D:$D,OBRAS!E:E)</f>
        <v>#N/A</v>
      </c>
      <c r="H1207" s="80"/>
      <c r="I1207" s="6"/>
      <c r="K1207" s="6">
        <f t="shared" si="320"/>
        <v>0</v>
      </c>
      <c r="L1207" s="6">
        <f t="shared" si="321"/>
        <v>0</v>
      </c>
      <c r="M1207" s="6">
        <f t="shared" si="322"/>
        <v>0</v>
      </c>
      <c r="N1207" s="6">
        <f t="shared" si="323"/>
        <v>0</v>
      </c>
      <c r="O1207" s="6">
        <f t="shared" si="328"/>
        <v>0</v>
      </c>
      <c r="P1207" s="6">
        <f t="shared" si="324"/>
        <v>0</v>
      </c>
      <c r="Q1207" s="4" t="e">
        <f>LOOKUP($E1207,OBRAS!$D:$D,OBRAS!B:B)</f>
        <v>#N/A</v>
      </c>
      <c r="R1207" s="4" t="e">
        <f>LOOKUP($E1207,OBRAS!$D:$D,OBRAS!A:A)</f>
        <v>#N/A</v>
      </c>
      <c r="S1207" s="2" t="e">
        <f>LOOKUP($E1207,OBRAS!$D:$D,OBRAS!F:F)</f>
        <v>#N/A</v>
      </c>
      <c r="T1207" s="2" t="e">
        <f>LOOKUP($E1207,OBRAS!$D:$D,OBRAS!G:G)</f>
        <v>#N/A</v>
      </c>
      <c r="U1207" s="4"/>
      <c r="V1207" s="4"/>
      <c r="W1207" s="6" t="e">
        <f>LOOKUP($E1207,OBRAS!$D:$D,OBRAS!K:K)</f>
        <v>#N/A</v>
      </c>
      <c r="X1207" s="109" t="e">
        <f t="shared" si="325"/>
        <v>#N/A</v>
      </c>
      <c r="Y1207" s="109">
        <f t="shared" si="326"/>
        <v>0</v>
      </c>
      <c r="Z1207" s="109" t="e">
        <f t="shared" si="327"/>
        <v>#N/A</v>
      </c>
      <c r="AA1207" s="4" t="e">
        <f>LOOKUP($E1207,OBRAS!$D:$D,OBRAS!H:H)</f>
        <v>#N/A</v>
      </c>
    </row>
    <row r="1208" spans="1:27" x14ac:dyDescent="0.25">
      <c r="C1208" s="142">
        <v>130</v>
      </c>
      <c r="D1208" s="4" t="e">
        <f>LOOKUP($E1208,OBRAS!$D:$D,OBRAS!C:C)</f>
        <v>#N/A</v>
      </c>
      <c r="E1208" s="4"/>
      <c r="F1208" s="4"/>
      <c r="G1208" s="4" t="e">
        <f>LOOKUP($E1208,OBRAS!$D:$D,OBRAS!E:E)</f>
        <v>#N/A</v>
      </c>
      <c r="H1208" s="80"/>
      <c r="I1208" s="6"/>
      <c r="K1208" s="6">
        <f t="shared" si="320"/>
        <v>0</v>
      </c>
      <c r="L1208" s="6">
        <f t="shared" si="321"/>
        <v>0</v>
      </c>
      <c r="M1208" s="6">
        <f t="shared" si="322"/>
        <v>0</v>
      </c>
      <c r="N1208" s="6">
        <f t="shared" si="323"/>
        <v>0</v>
      </c>
      <c r="O1208" s="6">
        <f t="shared" si="328"/>
        <v>0</v>
      </c>
      <c r="P1208" s="6">
        <f t="shared" si="324"/>
        <v>0</v>
      </c>
      <c r="Q1208" s="4" t="e">
        <f>LOOKUP($E1208,OBRAS!$D:$D,OBRAS!B:B)</f>
        <v>#N/A</v>
      </c>
      <c r="R1208" s="4" t="e">
        <f>LOOKUP($E1208,OBRAS!$D:$D,OBRAS!A:A)</f>
        <v>#N/A</v>
      </c>
      <c r="S1208" s="2" t="e">
        <f>LOOKUP($E1208,OBRAS!$D:$D,OBRAS!F:F)</f>
        <v>#N/A</v>
      </c>
      <c r="T1208" s="2" t="e">
        <f>LOOKUP($E1208,OBRAS!$D:$D,OBRAS!G:G)</f>
        <v>#N/A</v>
      </c>
      <c r="U1208" s="4"/>
      <c r="V1208" s="4"/>
      <c r="W1208" s="6" t="e">
        <f>LOOKUP($E1208,OBRAS!$D:$D,OBRAS!K:K)</f>
        <v>#N/A</v>
      </c>
      <c r="X1208" s="109" t="e">
        <f t="shared" si="325"/>
        <v>#N/A</v>
      </c>
      <c r="Y1208" s="109">
        <f t="shared" si="326"/>
        <v>0</v>
      </c>
      <c r="Z1208" s="109" t="e">
        <f t="shared" si="327"/>
        <v>#N/A</v>
      </c>
      <c r="AA1208" s="4" t="e">
        <f>LOOKUP($E1208,OBRAS!$D:$D,OBRAS!H:H)</f>
        <v>#N/A</v>
      </c>
    </row>
    <row r="1209" spans="1:27" x14ac:dyDescent="0.25">
      <c r="C1209" s="142">
        <v>131</v>
      </c>
      <c r="D1209" s="4" t="e">
        <f>LOOKUP($E1209,OBRAS!$D:$D,OBRAS!C:C)</f>
        <v>#N/A</v>
      </c>
      <c r="E1209" s="4"/>
      <c r="F1209" s="4"/>
      <c r="G1209" s="4" t="e">
        <f>LOOKUP($E1209,OBRAS!$D:$D,OBRAS!E:E)</f>
        <v>#N/A</v>
      </c>
      <c r="H1209" s="80"/>
      <c r="I1209" s="6"/>
      <c r="K1209" s="6">
        <f t="shared" si="320"/>
        <v>0</v>
      </c>
      <c r="L1209" s="6">
        <f t="shared" si="321"/>
        <v>0</v>
      </c>
      <c r="M1209" s="6">
        <f t="shared" si="322"/>
        <v>0</v>
      </c>
      <c r="N1209" s="6">
        <f t="shared" si="323"/>
        <v>0</v>
      </c>
      <c r="O1209" s="6">
        <f t="shared" si="328"/>
        <v>0</v>
      </c>
      <c r="P1209" s="6">
        <f t="shared" si="324"/>
        <v>0</v>
      </c>
      <c r="Q1209" s="4" t="e">
        <f>LOOKUP($E1209,OBRAS!$D:$D,OBRAS!B:B)</f>
        <v>#N/A</v>
      </c>
      <c r="R1209" s="4" t="e">
        <f>LOOKUP($E1209,OBRAS!$D:$D,OBRAS!A:A)</f>
        <v>#N/A</v>
      </c>
      <c r="S1209" s="2" t="e">
        <f>LOOKUP($E1209,OBRAS!$D:$D,OBRAS!F:F)</f>
        <v>#N/A</v>
      </c>
      <c r="T1209" s="2" t="e">
        <f>LOOKUP($E1209,OBRAS!$D:$D,OBRAS!G:G)</f>
        <v>#N/A</v>
      </c>
      <c r="U1209" s="4"/>
      <c r="V1209" s="4"/>
      <c r="W1209" s="6" t="e">
        <f>LOOKUP($E1209,OBRAS!$D:$D,OBRAS!K:K)</f>
        <v>#N/A</v>
      </c>
      <c r="X1209" s="109" t="e">
        <f t="shared" si="325"/>
        <v>#N/A</v>
      </c>
      <c r="Y1209" s="109">
        <f t="shared" si="326"/>
        <v>0</v>
      </c>
      <c r="Z1209" s="109" t="e">
        <f t="shared" si="327"/>
        <v>#N/A</v>
      </c>
      <c r="AA1209" s="4" t="e">
        <f>LOOKUP($E1209,OBRAS!$D:$D,OBRAS!H:H)</f>
        <v>#N/A</v>
      </c>
    </row>
    <row r="1210" spans="1:27" x14ac:dyDescent="0.25">
      <c r="C1210" s="142">
        <v>132</v>
      </c>
      <c r="D1210" s="4" t="e">
        <f>LOOKUP($E1210,OBRAS!$D:$D,OBRAS!C:C)</f>
        <v>#N/A</v>
      </c>
      <c r="E1210" s="4"/>
      <c r="F1210" s="4"/>
      <c r="G1210" s="4" t="e">
        <f>LOOKUP($E1210,OBRAS!$D:$D,OBRAS!E:E)</f>
        <v>#N/A</v>
      </c>
      <c r="H1210" s="80"/>
      <c r="I1210" s="6"/>
      <c r="K1210" s="6">
        <f t="shared" si="320"/>
        <v>0</v>
      </c>
      <c r="L1210" s="6">
        <f t="shared" si="321"/>
        <v>0</v>
      </c>
      <c r="M1210" s="6">
        <f t="shared" si="322"/>
        <v>0</v>
      </c>
      <c r="N1210" s="6">
        <f t="shared" si="323"/>
        <v>0</v>
      </c>
      <c r="O1210" s="6">
        <f t="shared" si="328"/>
        <v>0</v>
      </c>
      <c r="P1210" s="6">
        <f t="shared" si="324"/>
        <v>0</v>
      </c>
      <c r="Q1210" s="4" t="e">
        <f>LOOKUP($E1210,OBRAS!$D:$D,OBRAS!B:B)</f>
        <v>#N/A</v>
      </c>
      <c r="R1210" s="4" t="e">
        <f>LOOKUP($E1210,OBRAS!$D:$D,OBRAS!A:A)</f>
        <v>#N/A</v>
      </c>
      <c r="S1210" s="2" t="e">
        <f>LOOKUP($E1210,OBRAS!$D:$D,OBRAS!F:F)</f>
        <v>#N/A</v>
      </c>
      <c r="T1210" s="2" t="e">
        <f>LOOKUP($E1210,OBRAS!$D:$D,OBRAS!G:G)</f>
        <v>#N/A</v>
      </c>
      <c r="U1210" s="4"/>
      <c r="V1210" s="4"/>
      <c r="W1210" s="6" t="e">
        <f>LOOKUP($E1210,OBRAS!$D:$D,OBRAS!K:K)</f>
        <v>#N/A</v>
      </c>
      <c r="X1210" s="109" t="e">
        <f t="shared" si="325"/>
        <v>#N/A</v>
      </c>
      <c r="Y1210" s="109">
        <f t="shared" si="326"/>
        <v>0</v>
      </c>
      <c r="Z1210" s="109" t="e">
        <f t="shared" si="327"/>
        <v>#N/A</v>
      </c>
      <c r="AA1210" s="4" t="e">
        <f>LOOKUP($E1210,OBRAS!$D:$D,OBRAS!H:H)</f>
        <v>#N/A</v>
      </c>
    </row>
    <row r="1211" spans="1:27" x14ac:dyDescent="0.25">
      <c r="C1211" s="142">
        <v>133</v>
      </c>
      <c r="D1211" s="4" t="e">
        <f>LOOKUP($E1211,OBRAS!$D:$D,OBRAS!C:C)</f>
        <v>#N/A</v>
      </c>
      <c r="E1211" s="4"/>
      <c r="F1211" s="4"/>
      <c r="G1211" s="4" t="e">
        <f>LOOKUP($E1211,OBRAS!$D:$D,OBRAS!E:E)</f>
        <v>#N/A</v>
      </c>
      <c r="H1211" s="80"/>
      <c r="I1211" s="6"/>
      <c r="K1211" s="6">
        <f t="shared" si="320"/>
        <v>0</v>
      </c>
      <c r="L1211" s="6">
        <f t="shared" si="321"/>
        <v>0</v>
      </c>
      <c r="M1211" s="6">
        <f t="shared" si="322"/>
        <v>0</v>
      </c>
      <c r="N1211" s="6">
        <f t="shared" si="323"/>
        <v>0</v>
      </c>
      <c r="O1211" s="6">
        <f t="shared" si="328"/>
        <v>0</v>
      </c>
      <c r="P1211" s="6">
        <f t="shared" si="324"/>
        <v>0</v>
      </c>
      <c r="Q1211" s="4" t="e">
        <f>LOOKUP($E1211,OBRAS!$D:$D,OBRAS!B:B)</f>
        <v>#N/A</v>
      </c>
      <c r="R1211" s="4" t="e">
        <f>LOOKUP($E1211,OBRAS!$D:$D,OBRAS!A:A)</f>
        <v>#N/A</v>
      </c>
      <c r="S1211" s="2" t="e">
        <f>LOOKUP($E1211,OBRAS!$D:$D,OBRAS!F:F)</f>
        <v>#N/A</v>
      </c>
      <c r="T1211" s="2" t="e">
        <f>LOOKUP($E1211,OBRAS!$D:$D,OBRAS!G:G)</f>
        <v>#N/A</v>
      </c>
      <c r="U1211" s="4"/>
      <c r="V1211" s="4"/>
      <c r="W1211" s="6" t="e">
        <f>LOOKUP($E1211,OBRAS!$D:$D,OBRAS!K:K)</f>
        <v>#N/A</v>
      </c>
      <c r="X1211" s="109" t="e">
        <f t="shared" si="325"/>
        <v>#N/A</v>
      </c>
      <c r="Y1211" s="109">
        <f t="shared" si="326"/>
        <v>0</v>
      </c>
      <c r="Z1211" s="109" t="e">
        <f t="shared" si="327"/>
        <v>#N/A</v>
      </c>
      <c r="AA1211" s="4" t="e">
        <f>LOOKUP($E1211,OBRAS!$D:$D,OBRAS!H:H)</f>
        <v>#N/A</v>
      </c>
    </row>
    <row r="1212" spans="1:27" x14ac:dyDescent="0.25">
      <c r="C1212" s="142">
        <v>134</v>
      </c>
      <c r="D1212" s="4" t="e">
        <f>LOOKUP($E1212,OBRAS!$D:$D,OBRAS!C:C)</f>
        <v>#N/A</v>
      </c>
      <c r="E1212" s="4"/>
      <c r="F1212" s="4"/>
      <c r="G1212" s="4" t="e">
        <f>LOOKUP($E1212,OBRAS!$D:$D,OBRAS!E:E)</f>
        <v>#N/A</v>
      </c>
      <c r="H1212" s="80"/>
      <c r="I1212" s="6"/>
      <c r="K1212" s="6">
        <f t="shared" si="320"/>
        <v>0</v>
      </c>
      <c r="L1212" s="6">
        <f t="shared" si="321"/>
        <v>0</v>
      </c>
      <c r="M1212" s="6">
        <f t="shared" si="322"/>
        <v>0</v>
      </c>
      <c r="N1212" s="6">
        <f t="shared" si="323"/>
        <v>0</v>
      </c>
      <c r="O1212" s="6">
        <f t="shared" si="328"/>
        <v>0</v>
      </c>
      <c r="P1212" s="6">
        <f t="shared" si="324"/>
        <v>0</v>
      </c>
      <c r="Q1212" s="4" t="e">
        <f>LOOKUP($E1212,OBRAS!$D:$D,OBRAS!B:B)</f>
        <v>#N/A</v>
      </c>
      <c r="R1212" s="4" t="e">
        <f>LOOKUP($E1212,OBRAS!$D:$D,OBRAS!A:A)</f>
        <v>#N/A</v>
      </c>
      <c r="S1212" s="2" t="e">
        <f>LOOKUP($E1212,OBRAS!$D:$D,OBRAS!F:F)</f>
        <v>#N/A</v>
      </c>
      <c r="T1212" s="2" t="e">
        <f>LOOKUP($E1212,OBRAS!$D:$D,OBRAS!G:G)</f>
        <v>#N/A</v>
      </c>
      <c r="U1212" s="4"/>
      <c r="V1212" s="4"/>
      <c r="W1212" s="6" t="e">
        <f>LOOKUP($E1212,OBRAS!$D:$D,OBRAS!K:K)</f>
        <v>#N/A</v>
      </c>
      <c r="X1212" s="109" t="e">
        <f t="shared" si="325"/>
        <v>#N/A</v>
      </c>
      <c r="Y1212" s="109">
        <f t="shared" si="326"/>
        <v>0</v>
      </c>
      <c r="Z1212" s="109" t="e">
        <f t="shared" si="327"/>
        <v>#N/A</v>
      </c>
      <c r="AA1212" s="4" t="e">
        <f>LOOKUP($E1212,OBRAS!$D:$D,OBRAS!H:H)</f>
        <v>#N/A</v>
      </c>
    </row>
    <row r="1213" spans="1:27" x14ac:dyDescent="0.25">
      <c r="C1213" s="142">
        <v>135</v>
      </c>
      <c r="D1213" s="4" t="e">
        <f>LOOKUP($E1213,OBRAS!$D:$D,OBRAS!C:C)</f>
        <v>#N/A</v>
      </c>
      <c r="E1213" s="4"/>
      <c r="F1213" s="4"/>
      <c r="G1213" s="4" t="e">
        <f>LOOKUP($E1213,OBRAS!$D:$D,OBRAS!E:E)</f>
        <v>#N/A</v>
      </c>
      <c r="H1213" s="80"/>
      <c r="I1213" s="6"/>
      <c r="K1213" s="6">
        <f t="shared" si="320"/>
        <v>0</v>
      </c>
      <c r="L1213" s="6">
        <f t="shared" si="321"/>
        <v>0</v>
      </c>
      <c r="M1213" s="6">
        <f t="shared" si="322"/>
        <v>0</v>
      </c>
      <c r="N1213" s="6">
        <f t="shared" si="323"/>
        <v>0</v>
      </c>
      <c r="O1213" s="6">
        <f t="shared" si="328"/>
        <v>0</v>
      </c>
      <c r="P1213" s="6">
        <f t="shared" si="324"/>
        <v>0</v>
      </c>
      <c r="Q1213" s="4" t="e">
        <f>LOOKUP($E1213,OBRAS!$D:$D,OBRAS!B:B)</f>
        <v>#N/A</v>
      </c>
      <c r="R1213" s="4" t="e">
        <f>LOOKUP($E1213,OBRAS!$D:$D,OBRAS!A:A)</f>
        <v>#N/A</v>
      </c>
      <c r="S1213" s="2" t="e">
        <f>LOOKUP($E1213,OBRAS!$D:$D,OBRAS!F:F)</f>
        <v>#N/A</v>
      </c>
      <c r="T1213" s="2" t="e">
        <f>LOOKUP($E1213,OBRAS!$D:$D,OBRAS!G:G)</f>
        <v>#N/A</v>
      </c>
      <c r="U1213" s="4"/>
      <c r="V1213" s="4"/>
      <c r="W1213" s="6" t="e">
        <f>LOOKUP($E1213,OBRAS!$D:$D,OBRAS!K:K)</f>
        <v>#N/A</v>
      </c>
      <c r="X1213" s="109" t="e">
        <f t="shared" si="325"/>
        <v>#N/A</v>
      </c>
      <c r="Y1213" s="109">
        <f t="shared" si="326"/>
        <v>0</v>
      </c>
      <c r="Z1213" s="109" t="e">
        <f t="shared" si="327"/>
        <v>#N/A</v>
      </c>
      <c r="AA1213" s="4" t="e">
        <f>LOOKUP($E1213,OBRAS!$D:$D,OBRAS!H:H)</f>
        <v>#N/A</v>
      </c>
    </row>
    <row r="1214" spans="1:27" x14ac:dyDescent="0.25">
      <c r="C1214" s="142">
        <v>136</v>
      </c>
      <c r="D1214" s="4" t="e">
        <f>LOOKUP($E1214,OBRAS!$D:$D,OBRAS!C:C)</f>
        <v>#N/A</v>
      </c>
      <c r="E1214" s="4"/>
      <c r="F1214" s="4"/>
      <c r="G1214" s="4" t="e">
        <f>LOOKUP($E1214,OBRAS!$D:$D,OBRAS!E:E)</f>
        <v>#N/A</v>
      </c>
      <c r="H1214" s="80"/>
      <c r="I1214" s="6"/>
      <c r="K1214" s="6">
        <f t="shared" si="320"/>
        <v>0</v>
      </c>
      <c r="L1214" s="6">
        <f t="shared" si="321"/>
        <v>0</v>
      </c>
      <c r="M1214" s="6">
        <f t="shared" si="322"/>
        <v>0</v>
      </c>
      <c r="N1214" s="6">
        <f t="shared" si="323"/>
        <v>0</v>
      </c>
      <c r="O1214" s="6">
        <f t="shared" si="328"/>
        <v>0</v>
      </c>
      <c r="P1214" s="6">
        <f t="shared" si="324"/>
        <v>0</v>
      </c>
      <c r="Q1214" s="4" t="e">
        <f>LOOKUP($E1214,OBRAS!$D:$D,OBRAS!B:B)</f>
        <v>#N/A</v>
      </c>
      <c r="R1214" s="4" t="e">
        <f>LOOKUP($E1214,OBRAS!$D:$D,OBRAS!A:A)</f>
        <v>#N/A</v>
      </c>
      <c r="S1214" s="2" t="e">
        <f>LOOKUP($E1214,OBRAS!$D:$D,OBRAS!F:F)</f>
        <v>#N/A</v>
      </c>
      <c r="T1214" s="2" t="e">
        <f>LOOKUP($E1214,OBRAS!$D:$D,OBRAS!G:G)</f>
        <v>#N/A</v>
      </c>
      <c r="U1214" s="4"/>
      <c r="V1214" s="4"/>
      <c r="W1214" s="6" t="e">
        <f>LOOKUP($E1214,OBRAS!$D:$D,OBRAS!K:K)</f>
        <v>#N/A</v>
      </c>
      <c r="X1214" s="109" t="e">
        <f t="shared" si="325"/>
        <v>#N/A</v>
      </c>
      <c r="Y1214" s="109">
        <f t="shared" si="326"/>
        <v>0</v>
      </c>
      <c r="Z1214" s="109" t="e">
        <f t="shared" si="327"/>
        <v>#N/A</v>
      </c>
      <c r="AA1214" s="4" t="e">
        <f>LOOKUP($E1214,OBRAS!$D:$D,OBRAS!H:H)</f>
        <v>#N/A</v>
      </c>
    </row>
    <row r="1215" spans="1:27" x14ac:dyDescent="0.25">
      <c r="C1215" s="142">
        <v>137</v>
      </c>
      <c r="D1215" s="4" t="e">
        <f>LOOKUP($E1215,OBRAS!$D:$D,OBRAS!C:C)</f>
        <v>#N/A</v>
      </c>
      <c r="E1215" s="4"/>
      <c r="F1215" s="4"/>
      <c r="G1215" s="4" t="e">
        <f>LOOKUP($E1215,OBRAS!$D:$D,OBRAS!E:E)</f>
        <v>#N/A</v>
      </c>
      <c r="H1215" s="80"/>
      <c r="I1215" s="6"/>
      <c r="K1215" s="6">
        <f t="shared" si="320"/>
        <v>0</v>
      </c>
      <c r="L1215" s="6">
        <f t="shared" si="321"/>
        <v>0</v>
      </c>
      <c r="M1215" s="6">
        <f t="shared" si="322"/>
        <v>0</v>
      </c>
      <c r="N1215" s="6">
        <f t="shared" si="323"/>
        <v>0</v>
      </c>
      <c r="O1215" s="6">
        <f t="shared" si="328"/>
        <v>0</v>
      </c>
      <c r="P1215" s="6">
        <f t="shared" si="324"/>
        <v>0</v>
      </c>
      <c r="Q1215" s="4" t="e">
        <f>LOOKUP($E1215,OBRAS!$D:$D,OBRAS!B:B)</f>
        <v>#N/A</v>
      </c>
      <c r="R1215" s="4" t="e">
        <f>LOOKUP($E1215,OBRAS!$D:$D,OBRAS!A:A)</f>
        <v>#N/A</v>
      </c>
      <c r="S1215" s="2" t="e">
        <f>LOOKUP($E1215,OBRAS!$D:$D,OBRAS!F:F)</f>
        <v>#N/A</v>
      </c>
      <c r="T1215" s="2" t="e">
        <f>LOOKUP($E1215,OBRAS!$D:$D,OBRAS!G:G)</f>
        <v>#N/A</v>
      </c>
      <c r="U1215" s="4"/>
      <c r="V1215" s="4"/>
      <c r="W1215" s="6" t="e">
        <f>LOOKUP($E1215,OBRAS!$D:$D,OBRAS!K:K)</f>
        <v>#N/A</v>
      </c>
      <c r="X1215" s="109" t="e">
        <f t="shared" si="325"/>
        <v>#N/A</v>
      </c>
      <c r="Y1215" s="109">
        <f t="shared" si="326"/>
        <v>0</v>
      </c>
      <c r="Z1215" s="109" t="e">
        <f t="shared" si="327"/>
        <v>#N/A</v>
      </c>
      <c r="AA1215" s="4" t="e">
        <f>LOOKUP($E1215,OBRAS!$D:$D,OBRAS!H:H)</f>
        <v>#N/A</v>
      </c>
    </row>
    <row r="1216" spans="1:27" x14ac:dyDescent="0.25">
      <c r="C1216" s="142">
        <v>138</v>
      </c>
      <c r="D1216" s="4" t="e">
        <f>LOOKUP($E1216,OBRAS!$D:$D,OBRAS!C:C)</f>
        <v>#N/A</v>
      </c>
      <c r="E1216" s="4"/>
      <c r="F1216" s="4"/>
      <c r="G1216" s="4" t="e">
        <f>LOOKUP($E1216,OBRAS!$D:$D,OBRAS!E:E)</f>
        <v>#N/A</v>
      </c>
      <c r="H1216" s="80"/>
      <c r="I1216" s="6"/>
      <c r="K1216" s="6">
        <f t="shared" si="320"/>
        <v>0</v>
      </c>
      <c r="L1216" s="6">
        <f t="shared" si="321"/>
        <v>0</v>
      </c>
      <c r="M1216" s="6">
        <f t="shared" si="322"/>
        <v>0</v>
      </c>
      <c r="N1216" s="6">
        <f t="shared" si="323"/>
        <v>0</v>
      </c>
      <c r="O1216" s="6">
        <f t="shared" si="328"/>
        <v>0</v>
      </c>
      <c r="P1216" s="6">
        <f t="shared" si="324"/>
        <v>0</v>
      </c>
      <c r="Q1216" s="4" t="e">
        <f>LOOKUP($E1216,OBRAS!$D:$D,OBRAS!B:B)</f>
        <v>#N/A</v>
      </c>
      <c r="R1216" s="4" t="e">
        <f>LOOKUP($E1216,OBRAS!$D:$D,OBRAS!A:A)</f>
        <v>#N/A</v>
      </c>
      <c r="S1216" s="2" t="e">
        <f>LOOKUP($E1216,OBRAS!$D:$D,OBRAS!F:F)</f>
        <v>#N/A</v>
      </c>
      <c r="T1216" s="2" t="e">
        <f>LOOKUP($E1216,OBRAS!$D:$D,OBRAS!G:G)</f>
        <v>#N/A</v>
      </c>
      <c r="U1216" s="4"/>
      <c r="V1216" s="4"/>
      <c r="W1216" s="6" t="e">
        <f>LOOKUP($E1216,OBRAS!$D:$D,OBRAS!K:K)</f>
        <v>#N/A</v>
      </c>
      <c r="X1216" s="109" t="e">
        <f t="shared" si="325"/>
        <v>#N/A</v>
      </c>
      <c r="Y1216" s="109">
        <f t="shared" si="326"/>
        <v>0</v>
      </c>
      <c r="Z1216" s="109" t="e">
        <f t="shared" si="327"/>
        <v>#N/A</v>
      </c>
      <c r="AA1216" s="4" t="e">
        <f>LOOKUP($E1216,OBRAS!$D:$D,OBRAS!H:H)</f>
        <v>#N/A</v>
      </c>
    </row>
    <row r="1217" spans="3:27" x14ac:dyDescent="0.25">
      <c r="C1217" s="142">
        <v>139</v>
      </c>
      <c r="D1217" s="4" t="e">
        <f>LOOKUP($E1217,OBRAS!$D:$D,OBRAS!C:C)</f>
        <v>#N/A</v>
      </c>
      <c r="E1217" s="4"/>
      <c r="F1217" s="4"/>
      <c r="G1217" s="4" t="e">
        <f>LOOKUP($E1217,OBRAS!$D:$D,OBRAS!E:E)</f>
        <v>#N/A</v>
      </c>
      <c r="H1217" s="80"/>
      <c r="I1217" s="6"/>
      <c r="K1217" s="6">
        <f t="shared" si="320"/>
        <v>0</v>
      </c>
      <c r="L1217" s="6">
        <f t="shared" si="321"/>
        <v>0</v>
      </c>
      <c r="M1217" s="6">
        <f t="shared" si="322"/>
        <v>0</v>
      </c>
      <c r="N1217" s="6">
        <f t="shared" si="323"/>
        <v>0</v>
      </c>
      <c r="O1217" s="6">
        <f t="shared" si="328"/>
        <v>0</v>
      </c>
      <c r="P1217" s="6">
        <f t="shared" si="324"/>
        <v>0</v>
      </c>
      <c r="Q1217" s="4" t="e">
        <f>LOOKUP($E1217,OBRAS!$D:$D,OBRAS!B:B)</f>
        <v>#N/A</v>
      </c>
      <c r="R1217" s="4" t="e">
        <f>LOOKUP($E1217,OBRAS!$D:$D,OBRAS!A:A)</f>
        <v>#N/A</v>
      </c>
      <c r="S1217" s="2" t="e">
        <f>LOOKUP($E1217,OBRAS!$D:$D,OBRAS!F:F)</f>
        <v>#N/A</v>
      </c>
      <c r="T1217" s="2" t="e">
        <f>LOOKUP($E1217,OBRAS!$D:$D,OBRAS!G:G)</f>
        <v>#N/A</v>
      </c>
      <c r="U1217" s="4"/>
      <c r="V1217" s="4"/>
      <c r="W1217" s="6" t="e">
        <f>LOOKUP($E1217,OBRAS!$D:$D,OBRAS!K:K)</f>
        <v>#N/A</v>
      </c>
      <c r="X1217" s="109" t="e">
        <f t="shared" si="325"/>
        <v>#N/A</v>
      </c>
      <c r="Y1217" s="109">
        <f t="shared" si="326"/>
        <v>0</v>
      </c>
      <c r="Z1217" s="109" t="e">
        <f t="shared" si="327"/>
        <v>#N/A</v>
      </c>
      <c r="AA1217" s="4" t="e">
        <f>LOOKUP($E1217,OBRAS!$D:$D,OBRAS!H:H)</f>
        <v>#N/A</v>
      </c>
    </row>
    <row r="1218" spans="3:27" x14ac:dyDescent="0.25">
      <c r="C1218" s="142">
        <v>140</v>
      </c>
      <c r="D1218" s="4" t="e">
        <f>LOOKUP($E1218,OBRAS!$D:$D,OBRAS!C:C)</f>
        <v>#N/A</v>
      </c>
      <c r="E1218" s="4"/>
      <c r="F1218" s="4"/>
      <c r="G1218" s="4" t="e">
        <f>LOOKUP($E1218,OBRAS!$D:$D,OBRAS!E:E)</f>
        <v>#N/A</v>
      </c>
      <c r="H1218" s="80"/>
      <c r="I1218" s="6"/>
      <c r="K1218" s="6">
        <f t="shared" si="320"/>
        <v>0</v>
      </c>
      <c r="L1218" s="6">
        <f t="shared" si="321"/>
        <v>0</v>
      </c>
      <c r="M1218" s="6">
        <f t="shared" si="322"/>
        <v>0</v>
      </c>
      <c r="N1218" s="6">
        <f t="shared" si="323"/>
        <v>0</v>
      </c>
      <c r="O1218" s="6">
        <f t="shared" si="328"/>
        <v>0</v>
      </c>
      <c r="P1218" s="6">
        <f t="shared" si="324"/>
        <v>0</v>
      </c>
      <c r="Q1218" s="4" t="e">
        <f>LOOKUP($E1218,OBRAS!$D:$D,OBRAS!B:B)</f>
        <v>#N/A</v>
      </c>
      <c r="R1218" s="4" t="e">
        <f>LOOKUP($E1218,OBRAS!$D:$D,OBRAS!A:A)</f>
        <v>#N/A</v>
      </c>
      <c r="S1218" s="2" t="e">
        <f>LOOKUP($E1218,OBRAS!$D:$D,OBRAS!F:F)</f>
        <v>#N/A</v>
      </c>
      <c r="T1218" s="2" t="e">
        <f>LOOKUP($E1218,OBRAS!$D:$D,OBRAS!G:G)</f>
        <v>#N/A</v>
      </c>
      <c r="U1218" s="4"/>
      <c r="V1218" s="4"/>
      <c r="W1218" s="6" t="e">
        <f>LOOKUP($E1218,OBRAS!$D:$D,OBRAS!K:K)</f>
        <v>#N/A</v>
      </c>
      <c r="X1218" s="109" t="e">
        <f t="shared" si="325"/>
        <v>#N/A</v>
      </c>
      <c r="Y1218" s="109">
        <f t="shared" si="326"/>
        <v>0</v>
      </c>
      <c r="Z1218" s="109" t="e">
        <f t="shared" si="327"/>
        <v>#N/A</v>
      </c>
      <c r="AA1218" s="4" t="e">
        <f>LOOKUP($E1218,OBRAS!$D:$D,OBRAS!H:H)</f>
        <v>#N/A</v>
      </c>
    </row>
    <row r="1219" spans="3:27" x14ac:dyDescent="0.25">
      <c r="C1219" s="142">
        <v>141</v>
      </c>
      <c r="D1219" s="4" t="e">
        <f>LOOKUP($E1219,OBRAS!$D:$D,OBRAS!C:C)</f>
        <v>#N/A</v>
      </c>
      <c r="E1219" s="4"/>
      <c r="F1219" s="4"/>
      <c r="G1219" s="4" t="e">
        <f>LOOKUP($E1219,OBRAS!$D:$D,OBRAS!E:E)</f>
        <v>#N/A</v>
      </c>
      <c r="H1219" s="80"/>
      <c r="I1219" s="6"/>
      <c r="K1219" s="6">
        <f t="shared" si="320"/>
        <v>0</v>
      </c>
      <c r="L1219" s="6">
        <f t="shared" si="321"/>
        <v>0</v>
      </c>
      <c r="M1219" s="6">
        <f t="shared" si="322"/>
        <v>0</v>
      </c>
      <c r="N1219" s="6">
        <f t="shared" si="323"/>
        <v>0</v>
      </c>
      <c r="O1219" s="6">
        <f t="shared" si="328"/>
        <v>0</v>
      </c>
      <c r="P1219" s="6">
        <f t="shared" si="324"/>
        <v>0</v>
      </c>
      <c r="Q1219" s="4" t="e">
        <f>LOOKUP($E1219,OBRAS!$D:$D,OBRAS!B:B)</f>
        <v>#N/A</v>
      </c>
      <c r="R1219" s="4" t="e">
        <f>LOOKUP($E1219,OBRAS!$D:$D,OBRAS!A:A)</f>
        <v>#N/A</v>
      </c>
      <c r="S1219" s="2" t="e">
        <f>LOOKUP($E1219,OBRAS!$D:$D,OBRAS!F:F)</f>
        <v>#N/A</v>
      </c>
      <c r="T1219" s="2" t="e">
        <f>LOOKUP($E1219,OBRAS!$D:$D,OBRAS!G:G)</f>
        <v>#N/A</v>
      </c>
      <c r="U1219" s="4"/>
      <c r="V1219" s="4"/>
      <c r="W1219" s="6" t="e">
        <f>LOOKUP($E1219,OBRAS!$D:$D,OBRAS!K:K)</f>
        <v>#N/A</v>
      </c>
      <c r="X1219" s="109" t="e">
        <f t="shared" si="325"/>
        <v>#N/A</v>
      </c>
      <c r="Y1219" s="109">
        <f t="shared" si="326"/>
        <v>0</v>
      </c>
      <c r="Z1219" s="109" t="e">
        <f t="shared" si="327"/>
        <v>#N/A</v>
      </c>
      <c r="AA1219" s="4" t="e">
        <f>LOOKUP($E1219,OBRAS!$D:$D,OBRAS!H:H)</f>
        <v>#N/A</v>
      </c>
    </row>
    <row r="1220" spans="3:27" x14ac:dyDescent="0.25">
      <c r="C1220" s="142">
        <v>142</v>
      </c>
      <c r="D1220" s="4" t="e">
        <f>LOOKUP($E1220,OBRAS!$D:$D,OBRAS!C:C)</f>
        <v>#N/A</v>
      </c>
      <c r="E1220" s="4"/>
      <c r="F1220" s="4"/>
      <c r="G1220" s="4" t="e">
        <f>LOOKUP($E1220,OBRAS!$D:$D,OBRAS!E:E)</f>
        <v>#N/A</v>
      </c>
      <c r="H1220" s="80"/>
      <c r="I1220" s="6"/>
      <c r="K1220" s="6">
        <f t="shared" si="320"/>
        <v>0</v>
      </c>
      <c r="L1220" s="6">
        <f t="shared" si="321"/>
        <v>0</v>
      </c>
      <c r="M1220" s="6">
        <f t="shared" si="322"/>
        <v>0</v>
      </c>
      <c r="N1220" s="6">
        <f t="shared" si="323"/>
        <v>0</v>
      </c>
      <c r="O1220" s="6">
        <f t="shared" si="328"/>
        <v>0</v>
      </c>
      <c r="P1220" s="6">
        <f t="shared" si="324"/>
        <v>0</v>
      </c>
      <c r="Q1220" s="4" t="e">
        <f>LOOKUP($E1220,OBRAS!$D:$D,OBRAS!B:B)</f>
        <v>#N/A</v>
      </c>
      <c r="R1220" s="4" t="e">
        <f>LOOKUP($E1220,OBRAS!$D:$D,OBRAS!A:A)</f>
        <v>#N/A</v>
      </c>
      <c r="S1220" s="2" t="e">
        <f>LOOKUP($E1220,OBRAS!$D:$D,OBRAS!F:F)</f>
        <v>#N/A</v>
      </c>
      <c r="T1220" s="2" t="e">
        <f>LOOKUP($E1220,OBRAS!$D:$D,OBRAS!G:G)</f>
        <v>#N/A</v>
      </c>
      <c r="U1220" s="4"/>
      <c r="V1220" s="4"/>
      <c r="W1220" s="6" t="e">
        <f>LOOKUP($E1220,OBRAS!$D:$D,OBRAS!K:K)</f>
        <v>#N/A</v>
      </c>
      <c r="X1220" s="109" t="e">
        <f t="shared" si="325"/>
        <v>#N/A</v>
      </c>
      <c r="Y1220" s="109">
        <f t="shared" si="326"/>
        <v>0</v>
      </c>
      <c r="Z1220" s="109" t="e">
        <f t="shared" si="327"/>
        <v>#N/A</v>
      </c>
      <c r="AA1220" s="4" t="e">
        <f>LOOKUP($E1220,OBRAS!$D:$D,OBRAS!H:H)</f>
        <v>#N/A</v>
      </c>
    </row>
    <row r="1221" spans="3:27" x14ac:dyDescent="0.25">
      <c r="C1221" s="142">
        <v>143</v>
      </c>
      <c r="D1221" s="4" t="e">
        <f>LOOKUP($E1221,OBRAS!$D:$D,OBRAS!C:C)</f>
        <v>#N/A</v>
      </c>
      <c r="E1221" s="4"/>
      <c r="F1221" s="4"/>
      <c r="G1221" s="4" t="e">
        <f>LOOKUP($E1221,OBRAS!$D:$D,OBRAS!E:E)</f>
        <v>#N/A</v>
      </c>
      <c r="H1221" s="80"/>
      <c r="I1221" s="6"/>
      <c r="K1221" s="6">
        <f t="shared" si="320"/>
        <v>0</v>
      </c>
      <c r="L1221" s="6">
        <f t="shared" si="321"/>
        <v>0</v>
      </c>
      <c r="M1221" s="6">
        <f t="shared" si="322"/>
        <v>0</v>
      </c>
      <c r="N1221" s="6">
        <f t="shared" si="323"/>
        <v>0</v>
      </c>
      <c r="O1221" s="6">
        <f t="shared" si="328"/>
        <v>0</v>
      </c>
      <c r="P1221" s="6">
        <f t="shared" si="324"/>
        <v>0</v>
      </c>
      <c r="Q1221" s="4" t="e">
        <f>LOOKUP($E1221,OBRAS!$D:$D,OBRAS!B:B)</f>
        <v>#N/A</v>
      </c>
      <c r="R1221" s="4" t="e">
        <f>LOOKUP($E1221,OBRAS!$D:$D,OBRAS!A:A)</f>
        <v>#N/A</v>
      </c>
      <c r="S1221" s="2" t="e">
        <f>LOOKUP($E1221,OBRAS!$D:$D,OBRAS!F:F)</f>
        <v>#N/A</v>
      </c>
      <c r="T1221" s="2" t="e">
        <f>LOOKUP($E1221,OBRAS!$D:$D,OBRAS!G:G)</f>
        <v>#N/A</v>
      </c>
      <c r="U1221" s="4"/>
      <c r="V1221" s="4"/>
      <c r="W1221" s="6" t="e">
        <f>LOOKUP($E1221,OBRAS!$D:$D,OBRAS!K:K)</f>
        <v>#N/A</v>
      </c>
      <c r="X1221" s="109" t="e">
        <f t="shared" si="325"/>
        <v>#N/A</v>
      </c>
      <c r="Y1221" s="109">
        <f t="shared" si="326"/>
        <v>0</v>
      </c>
      <c r="Z1221" s="109" t="e">
        <f t="shared" si="327"/>
        <v>#N/A</v>
      </c>
      <c r="AA1221" s="4" t="e">
        <f>LOOKUP($E1221,OBRAS!$D:$D,OBRAS!H:H)</f>
        <v>#N/A</v>
      </c>
    </row>
    <row r="1222" spans="3:27" x14ac:dyDescent="0.25">
      <c r="C1222" s="142">
        <v>144</v>
      </c>
      <c r="D1222" s="4" t="e">
        <f>LOOKUP($E1222,OBRAS!$D:$D,OBRAS!C:C)</f>
        <v>#N/A</v>
      </c>
      <c r="E1222" s="4"/>
      <c r="F1222" s="4"/>
      <c r="G1222" s="4" t="e">
        <f>LOOKUP($E1222,OBRAS!$D:$D,OBRAS!E:E)</f>
        <v>#N/A</v>
      </c>
      <c r="H1222" s="80"/>
      <c r="I1222" s="6"/>
      <c r="K1222" s="6">
        <f t="shared" si="320"/>
        <v>0</v>
      </c>
      <c r="L1222" s="6">
        <f t="shared" si="321"/>
        <v>0</v>
      </c>
      <c r="M1222" s="6">
        <f t="shared" si="322"/>
        <v>0</v>
      </c>
      <c r="N1222" s="6">
        <f t="shared" si="323"/>
        <v>0</v>
      </c>
      <c r="O1222" s="6">
        <f t="shared" si="328"/>
        <v>0</v>
      </c>
      <c r="P1222" s="6">
        <f t="shared" si="324"/>
        <v>0</v>
      </c>
      <c r="Q1222" s="4" t="e">
        <f>LOOKUP($E1222,OBRAS!$D:$D,OBRAS!B:B)</f>
        <v>#N/A</v>
      </c>
      <c r="R1222" s="4" t="e">
        <f>LOOKUP($E1222,OBRAS!$D:$D,OBRAS!A:A)</f>
        <v>#N/A</v>
      </c>
      <c r="S1222" s="2" t="e">
        <f>LOOKUP($E1222,OBRAS!$D:$D,OBRAS!F:F)</f>
        <v>#N/A</v>
      </c>
      <c r="T1222" s="2" t="e">
        <f>LOOKUP($E1222,OBRAS!$D:$D,OBRAS!G:G)</f>
        <v>#N/A</v>
      </c>
      <c r="U1222" s="4"/>
      <c r="V1222" s="4"/>
      <c r="W1222" s="6" t="e">
        <f>LOOKUP($E1222,OBRAS!$D:$D,OBRAS!K:K)</f>
        <v>#N/A</v>
      </c>
      <c r="X1222" s="109" t="e">
        <f t="shared" si="325"/>
        <v>#N/A</v>
      </c>
      <c r="Y1222" s="109">
        <f t="shared" si="326"/>
        <v>0</v>
      </c>
      <c r="Z1222" s="109" t="e">
        <f t="shared" si="327"/>
        <v>#N/A</v>
      </c>
      <c r="AA1222" s="4" t="e">
        <f>LOOKUP($E1222,OBRAS!$D:$D,OBRAS!H:H)</f>
        <v>#N/A</v>
      </c>
    </row>
    <row r="1223" spans="3:27" x14ac:dyDescent="0.25">
      <c r="C1223" s="142">
        <v>145</v>
      </c>
      <c r="D1223" s="4" t="e">
        <f>LOOKUP($E1223,OBRAS!$D:$D,OBRAS!C:C)</f>
        <v>#N/A</v>
      </c>
      <c r="E1223" s="4"/>
      <c r="F1223" s="4"/>
      <c r="G1223" s="4" t="e">
        <f>LOOKUP($E1223,OBRAS!$D:$D,OBRAS!E:E)</f>
        <v>#N/A</v>
      </c>
      <c r="H1223" s="80"/>
      <c r="I1223" s="6"/>
      <c r="K1223" s="6">
        <f t="shared" si="320"/>
        <v>0</v>
      </c>
      <c r="L1223" s="6">
        <f t="shared" si="321"/>
        <v>0</v>
      </c>
      <c r="M1223" s="6">
        <f t="shared" si="322"/>
        <v>0</v>
      </c>
      <c r="N1223" s="6">
        <f t="shared" si="323"/>
        <v>0</v>
      </c>
      <c r="O1223" s="6">
        <f t="shared" si="328"/>
        <v>0</v>
      </c>
      <c r="P1223" s="6">
        <f t="shared" si="324"/>
        <v>0</v>
      </c>
      <c r="Q1223" s="4" t="e">
        <f>LOOKUP($E1223,OBRAS!$D:$D,OBRAS!B:B)</f>
        <v>#N/A</v>
      </c>
      <c r="R1223" s="4" t="e">
        <f>LOOKUP($E1223,OBRAS!$D:$D,OBRAS!A:A)</f>
        <v>#N/A</v>
      </c>
      <c r="S1223" s="2" t="e">
        <f>LOOKUP($E1223,OBRAS!$D:$D,OBRAS!F:F)</f>
        <v>#N/A</v>
      </c>
      <c r="T1223" s="2" t="e">
        <f>LOOKUP($E1223,OBRAS!$D:$D,OBRAS!G:G)</f>
        <v>#N/A</v>
      </c>
      <c r="U1223" s="4"/>
      <c r="V1223" s="4"/>
      <c r="W1223" s="6" t="e">
        <f>LOOKUP($E1223,OBRAS!$D:$D,OBRAS!K:K)</f>
        <v>#N/A</v>
      </c>
      <c r="X1223" s="109" t="e">
        <f t="shared" si="325"/>
        <v>#N/A</v>
      </c>
      <c r="Y1223" s="109">
        <f t="shared" si="326"/>
        <v>0</v>
      </c>
      <c r="Z1223" s="109" t="e">
        <f t="shared" si="327"/>
        <v>#N/A</v>
      </c>
      <c r="AA1223" s="4" t="e">
        <f>LOOKUP($E1223,OBRAS!$D:$D,OBRAS!H:H)</f>
        <v>#N/A</v>
      </c>
    </row>
    <row r="1224" spans="3:27" x14ac:dyDescent="0.25">
      <c r="C1224" s="142">
        <v>146</v>
      </c>
      <c r="D1224" s="4" t="e">
        <f>LOOKUP($E1224,OBRAS!$D:$D,OBRAS!C:C)</f>
        <v>#N/A</v>
      </c>
      <c r="E1224" s="4"/>
      <c r="F1224" s="4"/>
      <c r="G1224" s="4" t="e">
        <f>LOOKUP($E1224,OBRAS!$D:$D,OBRAS!E:E)</f>
        <v>#N/A</v>
      </c>
      <c r="H1224" s="80"/>
      <c r="I1224" s="6"/>
      <c r="K1224" s="6">
        <f t="shared" si="320"/>
        <v>0</v>
      </c>
      <c r="L1224" s="6">
        <f t="shared" si="321"/>
        <v>0</v>
      </c>
      <c r="M1224" s="6">
        <f t="shared" si="322"/>
        <v>0</v>
      </c>
      <c r="N1224" s="6">
        <f t="shared" si="323"/>
        <v>0</v>
      </c>
      <c r="O1224" s="6">
        <f t="shared" si="328"/>
        <v>0</v>
      </c>
      <c r="P1224" s="6">
        <f t="shared" si="324"/>
        <v>0</v>
      </c>
      <c r="Q1224" s="4" t="e">
        <f>LOOKUP($E1224,OBRAS!$D:$D,OBRAS!B:B)</f>
        <v>#N/A</v>
      </c>
      <c r="R1224" s="4" t="e">
        <f>LOOKUP($E1224,OBRAS!$D:$D,OBRAS!A:A)</f>
        <v>#N/A</v>
      </c>
      <c r="S1224" s="2" t="e">
        <f>LOOKUP($E1224,OBRAS!$D:$D,OBRAS!F:F)</f>
        <v>#N/A</v>
      </c>
      <c r="T1224" s="2" t="e">
        <f>LOOKUP($E1224,OBRAS!$D:$D,OBRAS!G:G)</f>
        <v>#N/A</v>
      </c>
      <c r="U1224" s="4"/>
      <c r="V1224" s="4"/>
      <c r="W1224" s="6" t="e">
        <f>LOOKUP($E1224,OBRAS!$D:$D,OBRAS!K:K)</f>
        <v>#N/A</v>
      </c>
      <c r="X1224" s="109" t="e">
        <f t="shared" si="325"/>
        <v>#N/A</v>
      </c>
      <c r="Y1224" s="109">
        <f t="shared" si="326"/>
        <v>0</v>
      </c>
      <c r="Z1224" s="109" t="e">
        <f t="shared" si="327"/>
        <v>#N/A</v>
      </c>
      <c r="AA1224" s="4" t="e">
        <f>LOOKUP($E1224,OBRAS!$D:$D,OBRAS!H:H)</f>
        <v>#N/A</v>
      </c>
    </row>
    <row r="1225" spans="3:27" x14ac:dyDescent="0.25">
      <c r="C1225" s="142">
        <v>147</v>
      </c>
      <c r="D1225" s="4" t="e">
        <f>LOOKUP($E1225,OBRAS!$D:$D,OBRAS!C:C)</f>
        <v>#N/A</v>
      </c>
      <c r="E1225" s="4"/>
      <c r="F1225" s="4"/>
      <c r="G1225" s="4" t="e">
        <f>LOOKUP($E1225,OBRAS!$D:$D,OBRAS!E:E)</f>
        <v>#N/A</v>
      </c>
      <c r="H1225" s="80"/>
      <c r="I1225" s="6"/>
      <c r="K1225" s="6">
        <f t="shared" si="320"/>
        <v>0</v>
      </c>
      <c r="L1225" s="6">
        <f t="shared" si="321"/>
        <v>0</v>
      </c>
      <c r="M1225" s="6">
        <f t="shared" si="322"/>
        <v>0</v>
      </c>
      <c r="N1225" s="6">
        <f t="shared" si="323"/>
        <v>0</v>
      </c>
      <c r="O1225" s="6">
        <f t="shared" si="328"/>
        <v>0</v>
      </c>
      <c r="P1225" s="6">
        <f t="shared" si="324"/>
        <v>0</v>
      </c>
      <c r="Q1225" s="4" t="e">
        <f>LOOKUP($E1225,OBRAS!$D:$D,OBRAS!B:B)</f>
        <v>#N/A</v>
      </c>
      <c r="R1225" s="4" t="e">
        <f>LOOKUP($E1225,OBRAS!$D:$D,OBRAS!A:A)</f>
        <v>#N/A</v>
      </c>
      <c r="S1225" s="2" t="e">
        <f>LOOKUP($E1225,OBRAS!$D:$D,OBRAS!F:F)</f>
        <v>#N/A</v>
      </c>
      <c r="T1225" s="2" t="e">
        <f>LOOKUP($E1225,OBRAS!$D:$D,OBRAS!G:G)</f>
        <v>#N/A</v>
      </c>
      <c r="U1225" s="4"/>
      <c r="V1225" s="4"/>
      <c r="W1225" s="6" t="e">
        <f>LOOKUP($E1225,OBRAS!$D:$D,OBRAS!K:K)</f>
        <v>#N/A</v>
      </c>
      <c r="X1225" s="109" t="e">
        <f t="shared" si="325"/>
        <v>#N/A</v>
      </c>
      <c r="Y1225" s="109">
        <f t="shared" si="326"/>
        <v>0</v>
      </c>
      <c r="Z1225" s="109" t="e">
        <f t="shared" si="327"/>
        <v>#N/A</v>
      </c>
      <c r="AA1225" s="4" t="e">
        <f>LOOKUP($E1225,OBRAS!$D:$D,OBRAS!H:H)</f>
        <v>#N/A</v>
      </c>
    </row>
    <row r="1226" spans="3:27" x14ac:dyDescent="0.25">
      <c r="C1226" s="142">
        <v>148</v>
      </c>
      <c r="D1226" s="4" t="e">
        <f>LOOKUP($E1226,OBRAS!$D:$D,OBRAS!C:C)</f>
        <v>#N/A</v>
      </c>
      <c r="E1226" s="4"/>
      <c r="F1226" s="4"/>
      <c r="G1226" s="4" t="e">
        <f>LOOKUP($E1226,OBRAS!$D:$D,OBRAS!E:E)</f>
        <v>#N/A</v>
      </c>
      <c r="H1226" s="80"/>
      <c r="I1226" s="6"/>
      <c r="K1226" s="6">
        <f t="shared" si="320"/>
        <v>0</v>
      </c>
      <c r="L1226" s="6">
        <f t="shared" si="321"/>
        <v>0</v>
      </c>
      <c r="M1226" s="6">
        <f t="shared" si="322"/>
        <v>0</v>
      </c>
      <c r="N1226" s="6">
        <f t="shared" si="323"/>
        <v>0</v>
      </c>
      <c r="O1226" s="6">
        <f t="shared" si="328"/>
        <v>0</v>
      </c>
      <c r="P1226" s="6">
        <f t="shared" si="324"/>
        <v>0</v>
      </c>
      <c r="Q1226" s="4" t="e">
        <f>LOOKUP($E1226,OBRAS!$D:$D,OBRAS!B:B)</f>
        <v>#N/A</v>
      </c>
      <c r="R1226" s="4" t="e">
        <f>LOOKUP($E1226,OBRAS!$D:$D,OBRAS!A:A)</f>
        <v>#N/A</v>
      </c>
      <c r="S1226" s="2" t="e">
        <f>LOOKUP($E1226,OBRAS!$D:$D,OBRAS!F:F)</f>
        <v>#N/A</v>
      </c>
      <c r="T1226" s="2" t="e">
        <f>LOOKUP($E1226,OBRAS!$D:$D,OBRAS!G:G)</f>
        <v>#N/A</v>
      </c>
      <c r="U1226" s="4"/>
      <c r="V1226" s="4"/>
      <c r="W1226" s="6" t="e">
        <f>LOOKUP($E1226,OBRAS!$D:$D,OBRAS!K:K)</f>
        <v>#N/A</v>
      </c>
      <c r="X1226" s="109" t="e">
        <f t="shared" si="325"/>
        <v>#N/A</v>
      </c>
      <c r="Y1226" s="109">
        <f t="shared" si="326"/>
        <v>0</v>
      </c>
      <c r="Z1226" s="109" t="e">
        <f t="shared" si="327"/>
        <v>#N/A</v>
      </c>
      <c r="AA1226" s="4" t="e">
        <f>LOOKUP($E1226,OBRAS!$D:$D,OBRAS!H:H)</f>
        <v>#N/A</v>
      </c>
    </row>
    <row r="1227" spans="3:27" x14ac:dyDescent="0.25">
      <c r="C1227" s="142">
        <v>149</v>
      </c>
      <c r="D1227" s="4" t="e">
        <f>LOOKUP($E1227,OBRAS!$D:$D,OBRAS!C:C)</f>
        <v>#N/A</v>
      </c>
      <c r="E1227" s="4"/>
      <c r="F1227" s="4"/>
      <c r="G1227" s="4" t="e">
        <f>LOOKUP($E1227,OBRAS!$D:$D,OBRAS!E:E)</f>
        <v>#N/A</v>
      </c>
      <c r="H1227" s="80"/>
      <c r="I1227" s="6"/>
      <c r="K1227" s="6">
        <f t="shared" si="320"/>
        <v>0</v>
      </c>
      <c r="L1227" s="6">
        <f t="shared" si="321"/>
        <v>0</v>
      </c>
      <c r="M1227" s="6">
        <f t="shared" si="322"/>
        <v>0</v>
      </c>
      <c r="N1227" s="6">
        <f t="shared" si="323"/>
        <v>0</v>
      </c>
      <c r="O1227" s="6">
        <f t="shared" si="328"/>
        <v>0</v>
      </c>
      <c r="P1227" s="6">
        <f t="shared" si="324"/>
        <v>0</v>
      </c>
      <c r="Q1227" s="4" t="e">
        <f>LOOKUP($E1227,OBRAS!$D:$D,OBRAS!B:B)</f>
        <v>#N/A</v>
      </c>
      <c r="R1227" s="4" t="e">
        <f>LOOKUP($E1227,OBRAS!$D:$D,OBRAS!A:A)</f>
        <v>#N/A</v>
      </c>
      <c r="S1227" s="2" t="e">
        <f>LOOKUP($E1227,OBRAS!$D:$D,OBRAS!F:F)</f>
        <v>#N/A</v>
      </c>
      <c r="T1227" s="2" t="e">
        <f>LOOKUP($E1227,OBRAS!$D:$D,OBRAS!G:G)</f>
        <v>#N/A</v>
      </c>
      <c r="U1227" s="4"/>
      <c r="V1227" s="4"/>
      <c r="W1227" s="6" t="e">
        <f>LOOKUP($E1227,OBRAS!$D:$D,OBRAS!K:K)</f>
        <v>#N/A</v>
      </c>
      <c r="X1227" s="109" t="e">
        <f t="shared" si="325"/>
        <v>#N/A</v>
      </c>
      <c r="Y1227" s="109">
        <f t="shared" si="326"/>
        <v>0</v>
      </c>
      <c r="Z1227" s="109" t="e">
        <f t="shared" si="327"/>
        <v>#N/A</v>
      </c>
      <c r="AA1227" s="4" t="e">
        <f>LOOKUP($E1227,OBRAS!$D:$D,OBRAS!H:H)</f>
        <v>#N/A</v>
      </c>
    </row>
    <row r="1228" spans="3:27" x14ac:dyDescent="0.25">
      <c r="C1228" s="142">
        <v>150</v>
      </c>
      <c r="D1228" s="4" t="e">
        <f>LOOKUP($E1228,OBRAS!$D:$D,OBRAS!C:C)</f>
        <v>#N/A</v>
      </c>
      <c r="E1228" s="4"/>
      <c r="F1228" s="4"/>
      <c r="G1228" s="4" t="e">
        <f>LOOKUP($E1228,OBRAS!$D:$D,OBRAS!E:E)</f>
        <v>#N/A</v>
      </c>
      <c r="H1228" s="80"/>
      <c r="I1228" s="6"/>
      <c r="K1228" s="6">
        <f t="shared" si="320"/>
        <v>0</v>
      </c>
      <c r="L1228" s="6">
        <f t="shared" si="321"/>
        <v>0</v>
      </c>
      <c r="M1228" s="6">
        <f t="shared" si="322"/>
        <v>0</v>
      </c>
      <c r="N1228" s="6">
        <f t="shared" si="323"/>
        <v>0</v>
      </c>
      <c r="O1228" s="6">
        <f t="shared" si="328"/>
        <v>0</v>
      </c>
      <c r="P1228" s="6">
        <f t="shared" si="324"/>
        <v>0</v>
      </c>
      <c r="Q1228" s="4" t="e">
        <f>LOOKUP($E1228,OBRAS!$D:$D,OBRAS!B:B)</f>
        <v>#N/A</v>
      </c>
      <c r="R1228" s="4" t="e">
        <f>LOOKUP($E1228,OBRAS!$D:$D,OBRAS!A:A)</f>
        <v>#N/A</v>
      </c>
      <c r="S1228" s="2" t="e">
        <f>LOOKUP($E1228,OBRAS!$D:$D,OBRAS!F:F)</f>
        <v>#N/A</v>
      </c>
      <c r="T1228" s="2" t="e">
        <f>LOOKUP($E1228,OBRAS!$D:$D,OBRAS!G:G)</f>
        <v>#N/A</v>
      </c>
      <c r="U1228" s="4"/>
      <c r="V1228" s="4"/>
      <c r="W1228" s="6" t="e">
        <f>LOOKUP($E1228,OBRAS!$D:$D,OBRAS!K:K)</f>
        <v>#N/A</v>
      </c>
      <c r="X1228" s="109" t="e">
        <f t="shared" si="325"/>
        <v>#N/A</v>
      </c>
      <c r="Y1228" s="109">
        <f t="shared" si="326"/>
        <v>0</v>
      </c>
      <c r="Z1228" s="109" t="e">
        <f t="shared" si="327"/>
        <v>#N/A</v>
      </c>
      <c r="AA1228" s="4" t="e">
        <f>LOOKUP($E1228,OBRAS!$D:$D,OBRAS!H:H)</f>
        <v>#N/A</v>
      </c>
    </row>
    <row r="1229" spans="3:27" x14ac:dyDescent="0.25">
      <c r="C1229" s="142">
        <v>151</v>
      </c>
      <c r="D1229" s="4" t="e">
        <f>LOOKUP($E1229,OBRAS!$D:$D,OBRAS!C:C)</f>
        <v>#N/A</v>
      </c>
      <c r="E1229" s="4"/>
      <c r="F1229" s="4"/>
      <c r="G1229" s="4" t="e">
        <f>LOOKUP($E1229,OBRAS!$D:$D,OBRAS!E:E)</f>
        <v>#N/A</v>
      </c>
      <c r="H1229" s="80"/>
      <c r="I1229" s="6"/>
      <c r="K1229" s="6">
        <f t="shared" si="320"/>
        <v>0</v>
      </c>
      <c r="L1229" s="6">
        <f t="shared" si="321"/>
        <v>0</v>
      </c>
      <c r="M1229" s="6">
        <f t="shared" si="322"/>
        <v>0</v>
      </c>
      <c r="N1229" s="6">
        <f t="shared" si="323"/>
        <v>0</v>
      </c>
      <c r="O1229" s="6">
        <f t="shared" si="328"/>
        <v>0</v>
      </c>
      <c r="P1229" s="6">
        <f t="shared" si="324"/>
        <v>0</v>
      </c>
      <c r="Q1229" s="4" t="e">
        <f>LOOKUP($E1229,OBRAS!$D:$D,OBRAS!B:B)</f>
        <v>#N/A</v>
      </c>
      <c r="R1229" s="4" t="e">
        <f>LOOKUP($E1229,OBRAS!$D:$D,OBRAS!A:A)</f>
        <v>#N/A</v>
      </c>
      <c r="S1229" s="2" t="e">
        <f>LOOKUP($E1229,OBRAS!$D:$D,OBRAS!F:F)</f>
        <v>#N/A</v>
      </c>
      <c r="T1229" s="2" t="e">
        <f>LOOKUP($E1229,OBRAS!$D:$D,OBRAS!G:G)</f>
        <v>#N/A</v>
      </c>
      <c r="U1229" s="4"/>
      <c r="V1229" s="4"/>
      <c r="W1229" s="6" t="e">
        <f>LOOKUP($E1229,OBRAS!$D:$D,OBRAS!K:K)</f>
        <v>#N/A</v>
      </c>
      <c r="X1229" s="109" t="e">
        <f t="shared" si="325"/>
        <v>#N/A</v>
      </c>
      <c r="Y1229" s="109">
        <f t="shared" si="326"/>
        <v>0</v>
      </c>
      <c r="Z1229" s="109" t="e">
        <f t="shared" si="327"/>
        <v>#N/A</v>
      </c>
      <c r="AA1229" s="4" t="e">
        <f>LOOKUP($E1229,OBRAS!$D:$D,OBRAS!H:H)</f>
        <v>#N/A</v>
      </c>
    </row>
    <row r="1230" spans="3:27" x14ac:dyDescent="0.25">
      <c r="C1230" s="142">
        <v>152</v>
      </c>
      <c r="D1230" s="4" t="e">
        <f>LOOKUP($E1230,OBRAS!$D:$D,OBRAS!C:C)</f>
        <v>#N/A</v>
      </c>
      <c r="E1230" s="4"/>
      <c r="F1230" s="4"/>
      <c r="G1230" s="4" t="e">
        <f>LOOKUP($E1230,OBRAS!$D:$D,OBRAS!E:E)</f>
        <v>#N/A</v>
      </c>
      <c r="H1230" s="80"/>
      <c r="I1230" s="6"/>
      <c r="K1230" s="6">
        <f t="shared" si="320"/>
        <v>0</v>
      </c>
      <c r="L1230" s="6">
        <f t="shared" si="321"/>
        <v>0</v>
      </c>
      <c r="M1230" s="6">
        <f t="shared" si="322"/>
        <v>0</v>
      </c>
      <c r="N1230" s="6">
        <f t="shared" si="323"/>
        <v>0</v>
      </c>
      <c r="O1230" s="6">
        <f t="shared" si="328"/>
        <v>0</v>
      </c>
      <c r="P1230" s="6">
        <f t="shared" si="324"/>
        <v>0</v>
      </c>
      <c r="Q1230" s="4" t="e">
        <f>LOOKUP($E1230,OBRAS!$D:$D,OBRAS!B:B)</f>
        <v>#N/A</v>
      </c>
      <c r="R1230" s="4" t="e">
        <f>LOOKUP($E1230,OBRAS!$D:$D,OBRAS!A:A)</f>
        <v>#N/A</v>
      </c>
      <c r="S1230" s="2" t="e">
        <f>LOOKUP($E1230,OBRAS!$D:$D,OBRAS!F:F)</f>
        <v>#N/A</v>
      </c>
      <c r="T1230" s="2" t="e">
        <f>LOOKUP($E1230,OBRAS!$D:$D,OBRAS!G:G)</f>
        <v>#N/A</v>
      </c>
      <c r="U1230" s="4"/>
      <c r="V1230" s="4"/>
      <c r="W1230" s="6" t="e">
        <f>LOOKUP($E1230,OBRAS!$D:$D,OBRAS!K:K)</f>
        <v>#N/A</v>
      </c>
      <c r="X1230" s="109" t="e">
        <f t="shared" si="325"/>
        <v>#N/A</v>
      </c>
      <c r="Y1230" s="109">
        <f t="shared" si="326"/>
        <v>0</v>
      </c>
      <c r="Z1230" s="109" t="e">
        <f t="shared" si="327"/>
        <v>#N/A</v>
      </c>
      <c r="AA1230" s="4" t="e">
        <f>LOOKUP($E1230,OBRAS!$D:$D,OBRAS!H:H)</f>
        <v>#N/A</v>
      </c>
    </row>
    <row r="1231" spans="3:27" x14ac:dyDescent="0.25">
      <c r="C1231" s="142">
        <v>153</v>
      </c>
      <c r="D1231" s="4" t="e">
        <f>LOOKUP($E1231,OBRAS!$D:$D,OBRAS!C:C)</f>
        <v>#N/A</v>
      </c>
      <c r="E1231" s="4"/>
      <c r="F1231" s="4"/>
      <c r="G1231" s="4" t="e">
        <f>LOOKUP($E1231,OBRAS!$D:$D,OBRAS!E:E)</f>
        <v>#N/A</v>
      </c>
      <c r="H1231" s="80"/>
      <c r="I1231" s="6"/>
      <c r="K1231" s="6">
        <f t="shared" si="320"/>
        <v>0</v>
      </c>
      <c r="L1231" s="6">
        <f t="shared" si="321"/>
        <v>0</v>
      </c>
      <c r="M1231" s="6">
        <f t="shared" si="322"/>
        <v>0</v>
      </c>
      <c r="N1231" s="6">
        <f t="shared" si="323"/>
        <v>0</v>
      </c>
      <c r="O1231" s="6">
        <f t="shared" si="328"/>
        <v>0</v>
      </c>
      <c r="P1231" s="6">
        <f t="shared" si="324"/>
        <v>0</v>
      </c>
      <c r="Q1231" s="4" t="e">
        <f>LOOKUP($E1231,OBRAS!$D:$D,OBRAS!B:B)</f>
        <v>#N/A</v>
      </c>
      <c r="R1231" s="4" t="e">
        <f>LOOKUP($E1231,OBRAS!$D:$D,OBRAS!A:A)</f>
        <v>#N/A</v>
      </c>
      <c r="S1231" s="2" t="e">
        <f>LOOKUP($E1231,OBRAS!$D:$D,OBRAS!F:F)</f>
        <v>#N/A</v>
      </c>
      <c r="T1231" s="2" t="e">
        <f>LOOKUP($E1231,OBRAS!$D:$D,OBRAS!G:G)</f>
        <v>#N/A</v>
      </c>
      <c r="U1231" s="4"/>
      <c r="V1231" s="4"/>
      <c r="W1231" s="6" t="e">
        <f>LOOKUP($E1231,OBRAS!$D:$D,OBRAS!K:K)</f>
        <v>#N/A</v>
      </c>
      <c r="X1231" s="109" t="e">
        <f t="shared" si="325"/>
        <v>#N/A</v>
      </c>
      <c r="Y1231" s="109">
        <f t="shared" si="326"/>
        <v>0</v>
      </c>
      <c r="Z1231" s="109" t="e">
        <f t="shared" si="327"/>
        <v>#N/A</v>
      </c>
      <c r="AA1231" s="4" t="e">
        <f>LOOKUP($E1231,OBRAS!$D:$D,OBRAS!H:H)</f>
        <v>#N/A</v>
      </c>
    </row>
  </sheetData>
  <autoFilter ref="A1:AA1231"/>
  <customSheetViews>
    <customSheetView guid="{71CFCE49-89A9-4529-8C6D-F507FB0FF9D7}" showPageBreaks="1" fitToPage="1" showAutoFilter="1" topLeftCell="D1">
      <pane ySplit="1" topLeftCell="A264" activePane="bottomLeft" state="frozen"/>
      <selection pane="bottomLeft" activeCell="N372" sqref="N372"/>
      <pageMargins left="0.39" right="0.33" top="0.75" bottom="0.75" header="0.3" footer="0.3"/>
      <printOptions headings="1"/>
      <pageSetup scale="34" fitToHeight="0" orientation="landscape" r:id="rId1"/>
      <autoFilter ref="C1:V464">
        <sortState ref="C3:V464">
          <sortCondition ref="C1:C184"/>
        </sortState>
      </autoFilter>
    </customSheetView>
    <customSheetView guid="{7AFF87B6-B3E0-434A-A0B8-87EB09BABF96}" showAutoFilter="1" topLeftCell="J1">
      <pane ySplit="1" topLeftCell="A303" activePane="bottomLeft" state="frozen"/>
      <selection pane="bottomLeft" activeCell="S303" sqref="S303"/>
      <pageMargins left="0.7" right="0.7" top="0.75" bottom="0.75" header="0.3" footer="0.3"/>
      <pageSetup orientation="landscape" verticalDpi="300" r:id="rId2"/>
      <autoFilter ref="B1:U465">
        <sortState ref="B2:U184">
          <sortCondition ref="B1:B184"/>
        </sortState>
      </autoFilter>
    </customSheetView>
  </customSheetViews>
  <conditionalFormatting sqref="U1232:U1048576 U67:U70 U1:U64">
    <cfRule type="iconSet" priority="167">
      <iconSet iconSet="3Flags">
        <cfvo type="percent" val="0"/>
        <cfvo type="percent" val="33"/>
        <cfvo type="percent" val="67"/>
      </iconSet>
    </cfRule>
  </conditionalFormatting>
  <conditionalFormatting sqref="U66">
    <cfRule type="iconSet" priority="166">
      <iconSet iconSet="3Flags">
        <cfvo type="percent" val="0"/>
        <cfvo type="percent" val="33"/>
        <cfvo type="percent" val="67"/>
      </iconSet>
    </cfRule>
  </conditionalFormatting>
  <conditionalFormatting sqref="U122">
    <cfRule type="iconSet" priority="164">
      <iconSet iconSet="3Flags">
        <cfvo type="percent" val="0"/>
        <cfvo type="percent" val="33"/>
        <cfvo type="percent" val="67"/>
      </iconSet>
    </cfRule>
  </conditionalFormatting>
  <conditionalFormatting sqref="U377">
    <cfRule type="iconSet" priority="163">
      <iconSet iconSet="3Flags">
        <cfvo type="percent" val="0"/>
        <cfvo type="percent" val="33"/>
        <cfvo type="percent" val="67"/>
      </iconSet>
    </cfRule>
  </conditionalFormatting>
  <conditionalFormatting sqref="U379">
    <cfRule type="iconSet" priority="161">
      <iconSet iconSet="3Flags">
        <cfvo type="percent" val="0"/>
        <cfvo type="percent" val="33"/>
        <cfvo type="percent" val="67"/>
      </iconSet>
    </cfRule>
  </conditionalFormatting>
  <conditionalFormatting sqref="U380">
    <cfRule type="iconSet" priority="160">
      <iconSet iconSet="3Flags">
        <cfvo type="percent" val="0"/>
        <cfvo type="percent" val="33"/>
        <cfvo type="percent" val="67"/>
      </iconSet>
    </cfRule>
  </conditionalFormatting>
  <conditionalFormatting sqref="U386">
    <cfRule type="iconSet" priority="154">
      <iconSet iconSet="3Flags">
        <cfvo type="percent" val="0"/>
        <cfvo type="percent" val="33"/>
        <cfvo type="percent" val="67"/>
      </iconSet>
    </cfRule>
  </conditionalFormatting>
  <conditionalFormatting sqref="U396">
    <cfRule type="iconSet" priority="149">
      <iconSet iconSet="3Flags">
        <cfvo type="percent" val="0"/>
        <cfvo type="percent" val="33"/>
        <cfvo type="percent" val="67"/>
      </iconSet>
    </cfRule>
  </conditionalFormatting>
  <conditionalFormatting sqref="U406">
    <cfRule type="iconSet" priority="146">
      <iconSet iconSet="3Flags">
        <cfvo type="percent" val="0"/>
        <cfvo type="percent" val="33"/>
        <cfvo type="percent" val="67"/>
      </iconSet>
    </cfRule>
  </conditionalFormatting>
  <conditionalFormatting sqref="U407">
    <cfRule type="iconSet" priority="140">
      <iconSet iconSet="3Flags">
        <cfvo type="percent" val="0"/>
        <cfvo type="percent" val="33"/>
        <cfvo type="percent" val="67"/>
      </iconSet>
    </cfRule>
  </conditionalFormatting>
  <conditionalFormatting sqref="U412:U413 U415:U424">
    <cfRule type="iconSet" priority="139">
      <iconSet iconSet="3Flags">
        <cfvo type="percent" val="0"/>
        <cfvo type="percent" val="33"/>
        <cfvo type="percent" val="67"/>
      </iconSet>
    </cfRule>
  </conditionalFormatting>
  <conditionalFormatting sqref="U381:U384">
    <cfRule type="iconSet" priority="138">
      <iconSet iconSet="3Flags">
        <cfvo type="percent" val="0"/>
        <cfvo type="percent" val="33"/>
        <cfvo type="percent" val="67"/>
      </iconSet>
    </cfRule>
  </conditionalFormatting>
  <conditionalFormatting sqref="U397">
    <cfRule type="iconSet" priority="137">
      <iconSet iconSet="3Flags">
        <cfvo type="percent" val="0"/>
        <cfvo type="percent" val="33"/>
        <cfvo type="percent" val="67"/>
      </iconSet>
    </cfRule>
  </conditionalFormatting>
  <conditionalFormatting sqref="U385">
    <cfRule type="iconSet" priority="133">
      <iconSet iconSet="3Flags">
        <cfvo type="percent" val="0"/>
        <cfvo type="percent" val="33"/>
        <cfvo type="percent" val="67"/>
      </iconSet>
    </cfRule>
  </conditionalFormatting>
  <conditionalFormatting sqref="U378">
    <cfRule type="iconSet" priority="132">
      <iconSet iconSet="3Flags">
        <cfvo type="percent" val="0"/>
        <cfvo type="percent" val="33"/>
        <cfvo type="percent" val="67"/>
      </iconSet>
    </cfRule>
  </conditionalFormatting>
  <conditionalFormatting sqref="U392">
    <cfRule type="iconSet" priority="131">
      <iconSet iconSet="3Flags">
        <cfvo type="percent" val="0"/>
        <cfvo type="percent" val="33"/>
        <cfvo type="percent" val="67"/>
      </iconSet>
    </cfRule>
  </conditionalFormatting>
  <conditionalFormatting sqref="U395">
    <cfRule type="iconSet" priority="130">
      <iconSet iconSet="3Flags">
        <cfvo type="percent" val="0"/>
        <cfvo type="percent" val="33"/>
        <cfvo type="percent" val="67"/>
      </iconSet>
    </cfRule>
  </conditionalFormatting>
  <conditionalFormatting sqref="U205 U202 U101 U96 U71 U65">
    <cfRule type="iconSet" priority="129">
      <iconSet iconSet="3Flags">
        <cfvo type="percent" val="0"/>
        <cfvo type="percent" val="33"/>
        <cfvo type="percent" val="67"/>
      </iconSet>
    </cfRule>
  </conditionalFormatting>
  <conditionalFormatting sqref="U399">
    <cfRule type="iconSet" priority="128">
      <iconSet iconSet="3Flags">
        <cfvo type="percent" val="0"/>
        <cfvo type="percent" val="33"/>
        <cfvo type="percent" val="67"/>
      </iconSet>
    </cfRule>
  </conditionalFormatting>
  <conditionalFormatting sqref="U398">
    <cfRule type="iconSet" priority="127">
      <iconSet iconSet="3Flags">
        <cfvo type="percent" val="0"/>
        <cfvo type="percent" val="33"/>
        <cfvo type="percent" val="67"/>
      </iconSet>
    </cfRule>
  </conditionalFormatting>
  <conditionalFormatting sqref="U414">
    <cfRule type="iconSet" priority="126">
      <iconSet iconSet="3Flags">
        <cfvo type="percent" val="0"/>
        <cfvo type="percent" val="33"/>
        <cfvo type="percent" val="67"/>
      </iconSet>
    </cfRule>
  </conditionalFormatting>
  <conditionalFormatting sqref="U333">
    <cfRule type="iconSet" priority="125">
      <iconSet iconSet="3Flags">
        <cfvo type="percent" val="0"/>
        <cfvo type="percent" val="33"/>
        <cfvo type="percent" val="67"/>
      </iconSet>
    </cfRule>
  </conditionalFormatting>
  <conditionalFormatting sqref="U393">
    <cfRule type="iconSet" priority="124">
      <iconSet iconSet="3Flags">
        <cfvo type="percent" val="0"/>
        <cfvo type="percent" val="33"/>
        <cfvo type="percent" val="67"/>
      </iconSet>
    </cfRule>
  </conditionalFormatting>
  <conditionalFormatting sqref="U376">
    <cfRule type="iconSet" priority="123">
      <iconSet iconSet="3Flags">
        <cfvo type="percent" val="0"/>
        <cfvo type="percent" val="33"/>
        <cfvo type="percent" val="67"/>
      </iconSet>
    </cfRule>
  </conditionalFormatting>
  <conditionalFormatting sqref="U349">
    <cfRule type="iconSet" priority="122">
      <iconSet iconSet="3Flags">
        <cfvo type="percent" val="0"/>
        <cfvo type="percent" val="33"/>
        <cfvo type="percent" val="67"/>
      </iconSet>
    </cfRule>
  </conditionalFormatting>
  <conditionalFormatting sqref="U411">
    <cfRule type="iconSet" priority="121">
      <iconSet iconSet="3Flags">
        <cfvo type="percent" val="0"/>
        <cfvo type="percent" val="33"/>
        <cfvo type="percent" val="67"/>
      </iconSet>
    </cfRule>
  </conditionalFormatting>
  <conditionalFormatting sqref="U456">
    <cfRule type="iconSet" priority="120">
      <iconSet iconSet="3Flags">
        <cfvo type="percent" val="0"/>
        <cfvo type="percent" val="33"/>
        <cfvo type="percent" val="67"/>
      </iconSet>
    </cfRule>
  </conditionalFormatting>
  <conditionalFormatting sqref="U152">
    <cfRule type="iconSet" priority="119">
      <iconSet iconSet="3Flags">
        <cfvo type="percent" val="0"/>
        <cfvo type="percent" val="33"/>
        <cfvo type="percent" val="67"/>
      </iconSet>
    </cfRule>
  </conditionalFormatting>
  <conditionalFormatting sqref="U504">
    <cfRule type="iconSet" priority="118">
      <iconSet iconSet="3Flags">
        <cfvo type="percent" val="0"/>
        <cfvo type="percent" val="33"/>
        <cfvo type="percent" val="67"/>
      </iconSet>
    </cfRule>
  </conditionalFormatting>
  <conditionalFormatting sqref="U447">
    <cfRule type="iconSet" priority="117">
      <iconSet iconSet="3Flags">
        <cfvo type="percent" val="0"/>
        <cfvo type="percent" val="33"/>
        <cfvo type="percent" val="67"/>
      </iconSet>
    </cfRule>
  </conditionalFormatting>
  <conditionalFormatting sqref="U496">
    <cfRule type="iconSet" priority="116">
      <iconSet iconSet="3Flags">
        <cfvo type="percent" val="0"/>
        <cfvo type="percent" val="33"/>
        <cfvo type="percent" val="67"/>
      </iconSet>
    </cfRule>
  </conditionalFormatting>
  <conditionalFormatting sqref="U510">
    <cfRule type="iconSet" priority="115">
      <iconSet iconSet="3Flags">
        <cfvo type="percent" val="0"/>
        <cfvo type="percent" val="33"/>
        <cfvo type="percent" val="67"/>
      </iconSet>
    </cfRule>
  </conditionalFormatting>
  <conditionalFormatting sqref="U546">
    <cfRule type="iconSet" priority="114">
      <iconSet iconSet="3Flags">
        <cfvo type="percent" val="0"/>
        <cfvo type="percent" val="33"/>
        <cfvo type="percent" val="67"/>
      </iconSet>
    </cfRule>
  </conditionalFormatting>
  <conditionalFormatting sqref="U634:U638 U547 U648:U649 U676:U681 U550:U579 U587 U591:U592 U594:U616 U651:U659 U662:U668 U620:U623 U640:U646 U701:U703 U706:U713 U581:U585 U589 U671:U673 U683:U690 U626:U632 U692:U699">
    <cfRule type="iconSet" priority="113">
      <iconSet iconSet="3Flags">
        <cfvo type="percent" val="0"/>
        <cfvo type="percent" val="33"/>
        <cfvo type="percent" val="67"/>
      </iconSet>
    </cfRule>
  </conditionalFormatting>
  <conditionalFormatting sqref="U394 U72:U95 U408:U410 U387:U391 U97:U100 U206:U332 U334:U348 U102:U121 U153:U201 U506:U509 U448:U455 U497:U503 U123:U151 U203:U204 U425:U446 U400:U405 U511:U545 U350:U375 U457:U495">
    <cfRule type="iconSet" priority="173">
      <iconSet iconSet="3Flags">
        <cfvo type="percent" val="0"/>
        <cfvo type="percent" val="33"/>
        <cfvo type="percent" val="67"/>
      </iconSet>
    </cfRule>
  </conditionalFormatting>
  <conditionalFormatting sqref="U633">
    <cfRule type="iconSet" priority="112">
      <iconSet iconSet="3Flags">
        <cfvo type="percent" val="0"/>
        <cfvo type="percent" val="33"/>
        <cfvo type="percent" val="67"/>
      </iconSet>
    </cfRule>
  </conditionalFormatting>
  <conditionalFormatting sqref="U647">
    <cfRule type="iconSet" priority="111">
      <iconSet iconSet="3Flags">
        <cfvo type="percent" val="0"/>
        <cfvo type="percent" val="33"/>
        <cfvo type="percent" val="67"/>
      </iconSet>
    </cfRule>
  </conditionalFormatting>
  <conditionalFormatting sqref="U505">
    <cfRule type="iconSet" priority="110">
      <iconSet iconSet="3Flags">
        <cfvo type="percent" val="0"/>
        <cfvo type="percent" val="33"/>
        <cfvo type="percent" val="67"/>
      </iconSet>
    </cfRule>
  </conditionalFormatting>
  <conditionalFormatting sqref="U717">
    <cfRule type="iconSet" priority="109">
      <iconSet iconSet="3Flags">
        <cfvo type="percent" val="0"/>
        <cfvo type="percent" val="33"/>
        <cfvo type="percent" val="67"/>
      </iconSet>
    </cfRule>
  </conditionalFormatting>
  <conditionalFormatting sqref="U714:U716">
    <cfRule type="iconSet" priority="108">
      <iconSet iconSet="3Flags">
        <cfvo type="percent" val="0"/>
        <cfvo type="percent" val="33"/>
        <cfvo type="percent" val="67"/>
      </iconSet>
    </cfRule>
  </conditionalFormatting>
  <conditionalFormatting sqref="U718">
    <cfRule type="iconSet" priority="107">
      <iconSet iconSet="3Flags">
        <cfvo type="percent" val="0"/>
        <cfvo type="percent" val="33"/>
        <cfvo type="percent" val="67"/>
      </iconSet>
    </cfRule>
  </conditionalFormatting>
  <conditionalFormatting sqref="U719">
    <cfRule type="iconSet" priority="106">
      <iconSet iconSet="3Flags">
        <cfvo type="percent" val="0"/>
        <cfvo type="percent" val="33"/>
        <cfvo type="percent" val="67"/>
      </iconSet>
    </cfRule>
  </conditionalFormatting>
  <conditionalFormatting sqref="U722">
    <cfRule type="iconSet" priority="105">
      <iconSet iconSet="3Flags">
        <cfvo type="percent" val="0"/>
        <cfvo type="percent" val="33"/>
        <cfvo type="percent" val="67"/>
      </iconSet>
    </cfRule>
  </conditionalFormatting>
  <conditionalFormatting sqref="U745:U750 U759 U935:U936 U938:U954 U762 U752:U754 U801 U808:U819 U834:U835 U843:U844 U846:U856 U858:U862 U864:U869 U872:U883 U893 U898:U907 U910:U913 U956:U961 U963:U966 U968:U976 U982:U983 U985:U989 U991:U992 U995 U998:U1001 U1004:U1005 U1008:U1009 U1013 U1015 U1019:U1022 U1024:U1028 U885:U887 U781 U889:U891 U804:U806 U766:U779 U784:U796 U916:U930 U821:U831 U1034:U1133 U1135:U1152 U1155:U1231">
    <cfRule type="iconSet" priority="103">
      <iconSet iconSet="3Flags">
        <cfvo type="percent" val="0"/>
        <cfvo type="percent" val="33"/>
        <cfvo type="percent" val="67"/>
      </iconSet>
    </cfRule>
  </conditionalFormatting>
  <conditionalFormatting sqref="U727">
    <cfRule type="iconSet" priority="98">
      <iconSet iconSet="3Flags">
        <cfvo type="percent" val="0"/>
        <cfvo type="percent" val="33"/>
        <cfvo type="percent" val="67"/>
      </iconSet>
    </cfRule>
  </conditionalFormatting>
  <conditionalFormatting sqref="U728">
    <cfRule type="iconSet" priority="97">
      <iconSet iconSet="3Flags">
        <cfvo type="percent" val="0"/>
        <cfvo type="percent" val="33"/>
        <cfvo type="percent" val="67"/>
      </iconSet>
    </cfRule>
  </conditionalFormatting>
  <conditionalFormatting sqref="U729">
    <cfRule type="iconSet" priority="96">
      <iconSet iconSet="3Flags">
        <cfvo type="percent" val="0"/>
        <cfvo type="percent" val="33"/>
        <cfvo type="percent" val="67"/>
      </iconSet>
    </cfRule>
  </conditionalFormatting>
  <conditionalFormatting sqref="U720:U721">
    <cfRule type="iconSet" priority="94">
      <iconSet iconSet="3Flags">
        <cfvo type="percent" val="0"/>
        <cfvo type="percent" val="33"/>
        <cfvo type="percent" val="67"/>
      </iconSet>
    </cfRule>
  </conditionalFormatting>
  <conditionalFormatting sqref="U730:U732">
    <cfRule type="iconSet" priority="93">
      <iconSet iconSet="3Flags">
        <cfvo type="percent" val="0"/>
        <cfvo type="percent" val="33"/>
        <cfvo type="percent" val="67"/>
      </iconSet>
    </cfRule>
  </conditionalFormatting>
  <conditionalFormatting sqref="U733">
    <cfRule type="iconSet" priority="92">
      <iconSet iconSet="3Flags">
        <cfvo type="percent" val="0"/>
        <cfvo type="percent" val="33"/>
        <cfvo type="percent" val="67"/>
      </iconSet>
    </cfRule>
  </conditionalFormatting>
  <conditionalFormatting sqref="U734:U735">
    <cfRule type="iconSet" priority="91">
      <iconSet iconSet="3Flags">
        <cfvo type="percent" val="0"/>
        <cfvo type="percent" val="33"/>
        <cfvo type="percent" val="67"/>
      </iconSet>
    </cfRule>
  </conditionalFormatting>
  <conditionalFormatting sqref="U736">
    <cfRule type="iconSet" priority="90">
      <iconSet iconSet="3Flags">
        <cfvo type="percent" val="0"/>
        <cfvo type="percent" val="33"/>
        <cfvo type="percent" val="67"/>
      </iconSet>
    </cfRule>
  </conditionalFormatting>
  <conditionalFormatting sqref="U737:U743">
    <cfRule type="iconSet" priority="89">
      <iconSet iconSet="3Flags">
        <cfvo type="percent" val="0"/>
        <cfvo type="percent" val="33"/>
        <cfvo type="percent" val="67"/>
      </iconSet>
    </cfRule>
  </conditionalFormatting>
  <conditionalFormatting sqref="U675">
    <cfRule type="iconSet" priority="88">
      <iconSet iconSet="3Flags">
        <cfvo type="percent" val="0"/>
        <cfvo type="percent" val="33"/>
        <cfvo type="percent" val="67"/>
      </iconSet>
    </cfRule>
  </conditionalFormatting>
  <conditionalFormatting sqref="U674">
    <cfRule type="iconSet" priority="87">
      <iconSet iconSet="3Flags">
        <cfvo type="percent" val="0"/>
        <cfvo type="percent" val="33"/>
        <cfvo type="percent" val="67"/>
      </iconSet>
    </cfRule>
  </conditionalFormatting>
  <conditionalFormatting sqref="U755">
    <cfRule type="iconSet" priority="86">
      <iconSet iconSet="3Flags">
        <cfvo type="percent" val="0"/>
        <cfvo type="percent" val="33"/>
        <cfvo type="percent" val="67"/>
      </iconSet>
    </cfRule>
  </conditionalFormatting>
  <conditionalFormatting sqref="U756">
    <cfRule type="iconSet" priority="85">
      <iconSet iconSet="3Flags">
        <cfvo type="percent" val="0"/>
        <cfvo type="percent" val="33"/>
        <cfvo type="percent" val="67"/>
      </iconSet>
    </cfRule>
  </conditionalFormatting>
  <conditionalFormatting sqref="U757">
    <cfRule type="iconSet" priority="84">
      <iconSet iconSet="3Flags">
        <cfvo type="percent" val="0"/>
        <cfvo type="percent" val="33"/>
        <cfvo type="percent" val="67"/>
      </iconSet>
    </cfRule>
  </conditionalFormatting>
  <conditionalFormatting sqref="U758">
    <cfRule type="iconSet" priority="83">
      <iconSet iconSet="3Flags">
        <cfvo type="percent" val="0"/>
        <cfvo type="percent" val="33"/>
        <cfvo type="percent" val="67"/>
      </iconSet>
    </cfRule>
  </conditionalFormatting>
  <conditionalFormatting sqref="U934">
    <cfRule type="iconSet" priority="80">
      <iconSet iconSet="3Flags">
        <cfvo type="percent" val="0"/>
        <cfvo type="percent" val="33"/>
        <cfvo type="percent" val="67"/>
      </iconSet>
    </cfRule>
  </conditionalFormatting>
  <conditionalFormatting sqref="U548">
    <cfRule type="iconSet" priority="78">
      <iconSet iconSet="3Flags">
        <cfvo type="percent" val="0"/>
        <cfvo type="percent" val="33"/>
        <cfvo type="percent" val="67"/>
      </iconSet>
    </cfRule>
  </conditionalFormatting>
  <conditionalFormatting sqref="U549">
    <cfRule type="iconSet" priority="77">
      <iconSet iconSet="3Flags">
        <cfvo type="percent" val="0"/>
        <cfvo type="percent" val="33"/>
        <cfvo type="percent" val="67"/>
      </iconSet>
    </cfRule>
  </conditionalFormatting>
  <conditionalFormatting sqref="U586">
    <cfRule type="iconSet" priority="76">
      <iconSet iconSet="3Flags">
        <cfvo type="percent" val="0"/>
        <cfvo type="percent" val="33"/>
        <cfvo type="percent" val="67"/>
      </iconSet>
    </cfRule>
  </conditionalFormatting>
  <conditionalFormatting sqref="U590">
    <cfRule type="iconSet" priority="75">
      <iconSet iconSet="3Flags">
        <cfvo type="percent" val="0"/>
        <cfvo type="percent" val="33"/>
        <cfvo type="percent" val="67"/>
      </iconSet>
    </cfRule>
  </conditionalFormatting>
  <conditionalFormatting sqref="U593">
    <cfRule type="iconSet" priority="74">
      <iconSet iconSet="3Flags">
        <cfvo type="percent" val="0"/>
        <cfvo type="percent" val="33"/>
        <cfvo type="percent" val="67"/>
      </iconSet>
    </cfRule>
  </conditionalFormatting>
  <conditionalFormatting sqref="U726">
    <cfRule type="iconSet" priority="73">
      <iconSet iconSet="3Flags">
        <cfvo type="percent" val="0"/>
        <cfvo type="percent" val="33"/>
        <cfvo type="percent" val="67"/>
      </iconSet>
    </cfRule>
  </conditionalFormatting>
  <conditionalFormatting sqref="U751">
    <cfRule type="iconSet" priority="72">
      <iconSet iconSet="3Flags">
        <cfvo type="percent" val="0"/>
        <cfvo type="percent" val="33"/>
        <cfvo type="percent" val="67"/>
      </iconSet>
    </cfRule>
  </conditionalFormatting>
  <conditionalFormatting sqref="U800">
    <cfRule type="iconSet" priority="71">
      <iconSet iconSet="3Flags">
        <cfvo type="percent" val="0"/>
        <cfvo type="percent" val="33"/>
        <cfvo type="percent" val="67"/>
      </iconSet>
    </cfRule>
  </conditionalFormatting>
  <conditionalFormatting sqref="U807">
    <cfRule type="iconSet" priority="70">
      <iconSet iconSet="3Flags">
        <cfvo type="percent" val="0"/>
        <cfvo type="percent" val="33"/>
        <cfvo type="percent" val="67"/>
      </iconSet>
    </cfRule>
  </conditionalFormatting>
  <conditionalFormatting sqref="U832">
    <cfRule type="iconSet" priority="69">
      <iconSet iconSet="3Flags">
        <cfvo type="percent" val="0"/>
        <cfvo type="percent" val="33"/>
        <cfvo type="percent" val="67"/>
      </iconSet>
    </cfRule>
  </conditionalFormatting>
  <conditionalFormatting sqref="U833">
    <cfRule type="iconSet" priority="68">
      <iconSet iconSet="3Flags">
        <cfvo type="percent" val="0"/>
        <cfvo type="percent" val="33"/>
        <cfvo type="percent" val="67"/>
      </iconSet>
    </cfRule>
  </conditionalFormatting>
  <conditionalFormatting sqref="U837">
    <cfRule type="iconSet" priority="67">
      <iconSet iconSet="3Flags">
        <cfvo type="percent" val="0"/>
        <cfvo type="percent" val="33"/>
        <cfvo type="percent" val="67"/>
      </iconSet>
    </cfRule>
  </conditionalFormatting>
  <conditionalFormatting sqref="U838">
    <cfRule type="iconSet" priority="66">
      <iconSet iconSet="3Flags">
        <cfvo type="percent" val="0"/>
        <cfvo type="percent" val="33"/>
        <cfvo type="percent" val="67"/>
      </iconSet>
    </cfRule>
  </conditionalFormatting>
  <conditionalFormatting sqref="U839">
    <cfRule type="iconSet" priority="65">
      <iconSet iconSet="3Flags">
        <cfvo type="percent" val="0"/>
        <cfvo type="percent" val="33"/>
        <cfvo type="percent" val="67"/>
      </iconSet>
    </cfRule>
  </conditionalFormatting>
  <conditionalFormatting sqref="U840">
    <cfRule type="iconSet" priority="64">
      <iconSet iconSet="3Flags">
        <cfvo type="percent" val="0"/>
        <cfvo type="percent" val="33"/>
        <cfvo type="percent" val="67"/>
      </iconSet>
    </cfRule>
  </conditionalFormatting>
  <conditionalFormatting sqref="U841">
    <cfRule type="iconSet" priority="63">
      <iconSet iconSet="3Flags">
        <cfvo type="percent" val="0"/>
        <cfvo type="percent" val="33"/>
        <cfvo type="percent" val="67"/>
      </iconSet>
    </cfRule>
  </conditionalFormatting>
  <conditionalFormatting sqref="U842">
    <cfRule type="iconSet" priority="62">
      <iconSet iconSet="3Flags">
        <cfvo type="percent" val="0"/>
        <cfvo type="percent" val="33"/>
        <cfvo type="percent" val="67"/>
      </iconSet>
    </cfRule>
  </conditionalFormatting>
  <conditionalFormatting sqref="U845">
    <cfRule type="iconSet" priority="61">
      <iconSet iconSet="3Flags">
        <cfvo type="percent" val="0"/>
        <cfvo type="percent" val="33"/>
        <cfvo type="percent" val="67"/>
      </iconSet>
    </cfRule>
  </conditionalFormatting>
  <conditionalFormatting sqref="U857">
    <cfRule type="iconSet" priority="60">
      <iconSet iconSet="3Flags">
        <cfvo type="percent" val="0"/>
        <cfvo type="percent" val="33"/>
        <cfvo type="percent" val="67"/>
      </iconSet>
    </cfRule>
  </conditionalFormatting>
  <conditionalFormatting sqref="U863">
    <cfRule type="iconSet" priority="59">
      <iconSet iconSet="3Flags">
        <cfvo type="percent" val="0"/>
        <cfvo type="percent" val="33"/>
        <cfvo type="percent" val="67"/>
      </iconSet>
    </cfRule>
  </conditionalFormatting>
  <conditionalFormatting sqref="U870">
    <cfRule type="iconSet" priority="58">
      <iconSet iconSet="3Flags">
        <cfvo type="percent" val="0"/>
        <cfvo type="percent" val="33"/>
        <cfvo type="percent" val="67"/>
      </iconSet>
    </cfRule>
  </conditionalFormatting>
  <conditionalFormatting sqref="U871">
    <cfRule type="iconSet" priority="57">
      <iconSet iconSet="3Flags">
        <cfvo type="percent" val="0"/>
        <cfvo type="percent" val="33"/>
        <cfvo type="percent" val="67"/>
      </iconSet>
    </cfRule>
  </conditionalFormatting>
  <conditionalFormatting sqref="U892">
    <cfRule type="iconSet" priority="56">
      <iconSet iconSet="3Flags">
        <cfvo type="percent" val="0"/>
        <cfvo type="percent" val="33"/>
        <cfvo type="percent" val="67"/>
      </iconSet>
    </cfRule>
  </conditionalFormatting>
  <conditionalFormatting sqref="U896">
    <cfRule type="iconSet" priority="55">
      <iconSet iconSet="3Flags">
        <cfvo type="percent" val="0"/>
        <cfvo type="percent" val="33"/>
        <cfvo type="percent" val="67"/>
      </iconSet>
    </cfRule>
  </conditionalFormatting>
  <conditionalFormatting sqref="U897">
    <cfRule type="iconSet" priority="54">
      <iconSet iconSet="3Flags">
        <cfvo type="percent" val="0"/>
        <cfvo type="percent" val="33"/>
        <cfvo type="percent" val="67"/>
      </iconSet>
    </cfRule>
  </conditionalFormatting>
  <conditionalFormatting sqref="U908">
    <cfRule type="iconSet" priority="53">
      <iconSet iconSet="3Flags">
        <cfvo type="percent" val="0"/>
        <cfvo type="percent" val="33"/>
        <cfvo type="percent" val="67"/>
      </iconSet>
    </cfRule>
  </conditionalFormatting>
  <conditionalFormatting sqref="U909">
    <cfRule type="iconSet" priority="52">
      <iconSet iconSet="3Flags">
        <cfvo type="percent" val="0"/>
        <cfvo type="percent" val="33"/>
        <cfvo type="percent" val="67"/>
      </iconSet>
    </cfRule>
  </conditionalFormatting>
  <conditionalFormatting sqref="U931">
    <cfRule type="iconSet" priority="51">
      <iconSet iconSet="3Flags">
        <cfvo type="percent" val="0"/>
        <cfvo type="percent" val="33"/>
        <cfvo type="percent" val="67"/>
      </iconSet>
    </cfRule>
  </conditionalFormatting>
  <conditionalFormatting sqref="U932">
    <cfRule type="iconSet" priority="50">
      <iconSet iconSet="3Flags">
        <cfvo type="percent" val="0"/>
        <cfvo type="percent" val="33"/>
        <cfvo type="percent" val="67"/>
      </iconSet>
    </cfRule>
  </conditionalFormatting>
  <conditionalFormatting sqref="U933">
    <cfRule type="iconSet" priority="49">
      <iconSet iconSet="3Flags">
        <cfvo type="percent" val="0"/>
        <cfvo type="percent" val="33"/>
        <cfvo type="percent" val="67"/>
      </iconSet>
    </cfRule>
  </conditionalFormatting>
  <conditionalFormatting sqref="U955">
    <cfRule type="iconSet" priority="48">
      <iconSet iconSet="3Flags">
        <cfvo type="percent" val="0"/>
        <cfvo type="percent" val="33"/>
        <cfvo type="percent" val="67"/>
      </iconSet>
    </cfRule>
  </conditionalFormatting>
  <conditionalFormatting sqref="U962">
    <cfRule type="iconSet" priority="47">
      <iconSet iconSet="3Flags">
        <cfvo type="percent" val="0"/>
        <cfvo type="percent" val="33"/>
        <cfvo type="percent" val="67"/>
      </iconSet>
    </cfRule>
  </conditionalFormatting>
  <conditionalFormatting sqref="U967">
    <cfRule type="iconSet" priority="46">
      <iconSet iconSet="3Flags">
        <cfvo type="percent" val="0"/>
        <cfvo type="percent" val="33"/>
        <cfvo type="percent" val="67"/>
      </iconSet>
    </cfRule>
  </conditionalFormatting>
  <conditionalFormatting sqref="U977">
    <cfRule type="iconSet" priority="45">
      <iconSet iconSet="3Flags">
        <cfvo type="percent" val="0"/>
        <cfvo type="percent" val="33"/>
        <cfvo type="percent" val="67"/>
      </iconSet>
    </cfRule>
  </conditionalFormatting>
  <conditionalFormatting sqref="U978">
    <cfRule type="iconSet" priority="44">
      <iconSet iconSet="3Flags">
        <cfvo type="percent" val="0"/>
        <cfvo type="percent" val="33"/>
        <cfvo type="percent" val="67"/>
      </iconSet>
    </cfRule>
  </conditionalFormatting>
  <conditionalFormatting sqref="U979">
    <cfRule type="iconSet" priority="43">
      <iconSet iconSet="3Flags">
        <cfvo type="percent" val="0"/>
        <cfvo type="percent" val="33"/>
        <cfvo type="percent" val="67"/>
      </iconSet>
    </cfRule>
  </conditionalFormatting>
  <conditionalFormatting sqref="U980">
    <cfRule type="iconSet" priority="42">
      <iconSet iconSet="3Flags">
        <cfvo type="percent" val="0"/>
        <cfvo type="percent" val="33"/>
        <cfvo type="percent" val="67"/>
      </iconSet>
    </cfRule>
  </conditionalFormatting>
  <conditionalFormatting sqref="U981">
    <cfRule type="iconSet" priority="41">
      <iconSet iconSet="3Flags">
        <cfvo type="percent" val="0"/>
        <cfvo type="percent" val="33"/>
        <cfvo type="percent" val="67"/>
      </iconSet>
    </cfRule>
  </conditionalFormatting>
  <conditionalFormatting sqref="U984">
    <cfRule type="iconSet" priority="40">
      <iconSet iconSet="3Flags">
        <cfvo type="percent" val="0"/>
        <cfvo type="percent" val="33"/>
        <cfvo type="percent" val="67"/>
      </iconSet>
    </cfRule>
  </conditionalFormatting>
  <conditionalFormatting sqref="U990">
    <cfRule type="iconSet" priority="39">
      <iconSet iconSet="3Flags">
        <cfvo type="percent" val="0"/>
        <cfvo type="percent" val="33"/>
        <cfvo type="percent" val="67"/>
      </iconSet>
    </cfRule>
  </conditionalFormatting>
  <conditionalFormatting sqref="U993">
    <cfRule type="iconSet" priority="38">
      <iconSet iconSet="3Flags">
        <cfvo type="percent" val="0"/>
        <cfvo type="percent" val="33"/>
        <cfvo type="percent" val="67"/>
      </iconSet>
    </cfRule>
  </conditionalFormatting>
  <conditionalFormatting sqref="U994">
    <cfRule type="iconSet" priority="37">
      <iconSet iconSet="3Flags">
        <cfvo type="percent" val="0"/>
        <cfvo type="percent" val="33"/>
        <cfvo type="percent" val="67"/>
      </iconSet>
    </cfRule>
  </conditionalFormatting>
  <conditionalFormatting sqref="U996">
    <cfRule type="iconSet" priority="36">
      <iconSet iconSet="3Flags">
        <cfvo type="percent" val="0"/>
        <cfvo type="percent" val="33"/>
        <cfvo type="percent" val="67"/>
      </iconSet>
    </cfRule>
  </conditionalFormatting>
  <conditionalFormatting sqref="U997">
    <cfRule type="iconSet" priority="35">
      <iconSet iconSet="3Flags">
        <cfvo type="percent" val="0"/>
        <cfvo type="percent" val="33"/>
        <cfvo type="percent" val="67"/>
      </iconSet>
    </cfRule>
  </conditionalFormatting>
  <conditionalFormatting sqref="U1002">
    <cfRule type="iconSet" priority="34">
      <iconSet iconSet="3Flags">
        <cfvo type="percent" val="0"/>
        <cfvo type="percent" val="33"/>
        <cfvo type="percent" val="67"/>
      </iconSet>
    </cfRule>
  </conditionalFormatting>
  <conditionalFormatting sqref="U1003">
    <cfRule type="iconSet" priority="33">
      <iconSet iconSet="3Flags">
        <cfvo type="percent" val="0"/>
        <cfvo type="percent" val="33"/>
        <cfvo type="percent" val="67"/>
      </iconSet>
    </cfRule>
  </conditionalFormatting>
  <conditionalFormatting sqref="U1006">
    <cfRule type="iconSet" priority="32">
      <iconSet iconSet="3Flags">
        <cfvo type="percent" val="0"/>
        <cfvo type="percent" val="33"/>
        <cfvo type="percent" val="67"/>
      </iconSet>
    </cfRule>
  </conditionalFormatting>
  <conditionalFormatting sqref="U1007">
    <cfRule type="iconSet" priority="31">
      <iconSet iconSet="3Flags">
        <cfvo type="percent" val="0"/>
        <cfvo type="percent" val="33"/>
        <cfvo type="percent" val="67"/>
      </iconSet>
    </cfRule>
  </conditionalFormatting>
  <conditionalFormatting sqref="U1010">
    <cfRule type="iconSet" priority="30">
      <iconSet iconSet="3Flags">
        <cfvo type="percent" val="0"/>
        <cfvo type="percent" val="33"/>
        <cfvo type="percent" val="67"/>
      </iconSet>
    </cfRule>
  </conditionalFormatting>
  <conditionalFormatting sqref="U1011">
    <cfRule type="iconSet" priority="29">
      <iconSet iconSet="3Flags">
        <cfvo type="percent" val="0"/>
        <cfvo type="percent" val="33"/>
        <cfvo type="percent" val="67"/>
      </iconSet>
    </cfRule>
  </conditionalFormatting>
  <conditionalFormatting sqref="U1012">
    <cfRule type="iconSet" priority="28">
      <iconSet iconSet="3Flags">
        <cfvo type="percent" val="0"/>
        <cfvo type="percent" val="33"/>
        <cfvo type="percent" val="67"/>
      </iconSet>
    </cfRule>
  </conditionalFormatting>
  <conditionalFormatting sqref="U1014">
    <cfRule type="iconSet" priority="27">
      <iconSet iconSet="3Flags">
        <cfvo type="percent" val="0"/>
        <cfvo type="percent" val="33"/>
        <cfvo type="percent" val="67"/>
      </iconSet>
    </cfRule>
  </conditionalFormatting>
  <conditionalFormatting sqref="U1016">
    <cfRule type="iconSet" priority="26">
      <iconSet iconSet="3Flags">
        <cfvo type="percent" val="0"/>
        <cfvo type="percent" val="33"/>
        <cfvo type="percent" val="67"/>
      </iconSet>
    </cfRule>
  </conditionalFormatting>
  <conditionalFormatting sqref="U1017">
    <cfRule type="iconSet" priority="25">
      <iconSet iconSet="3Flags">
        <cfvo type="percent" val="0"/>
        <cfvo type="percent" val="33"/>
        <cfvo type="percent" val="67"/>
      </iconSet>
    </cfRule>
  </conditionalFormatting>
  <conditionalFormatting sqref="U1018">
    <cfRule type="iconSet" priority="24">
      <iconSet iconSet="3Flags">
        <cfvo type="percent" val="0"/>
        <cfvo type="percent" val="33"/>
        <cfvo type="percent" val="67"/>
      </iconSet>
    </cfRule>
  </conditionalFormatting>
  <conditionalFormatting sqref="U1023">
    <cfRule type="iconSet" priority="23">
      <iconSet iconSet="3Flags">
        <cfvo type="percent" val="0"/>
        <cfvo type="percent" val="33"/>
        <cfvo type="percent" val="67"/>
      </iconSet>
    </cfRule>
  </conditionalFormatting>
  <conditionalFormatting sqref="U1029">
    <cfRule type="iconSet" priority="22">
      <iconSet iconSet="3Flags">
        <cfvo type="percent" val="0"/>
        <cfvo type="percent" val="33"/>
        <cfvo type="percent" val="67"/>
      </iconSet>
    </cfRule>
  </conditionalFormatting>
  <conditionalFormatting sqref="U1030">
    <cfRule type="iconSet" priority="21">
      <iconSet iconSet="3Flags">
        <cfvo type="percent" val="0"/>
        <cfvo type="percent" val="33"/>
        <cfvo type="percent" val="67"/>
      </iconSet>
    </cfRule>
  </conditionalFormatting>
  <conditionalFormatting sqref="U1031">
    <cfRule type="iconSet" priority="20">
      <iconSet iconSet="3Flags">
        <cfvo type="percent" val="0"/>
        <cfvo type="percent" val="33"/>
        <cfvo type="percent" val="67"/>
      </iconSet>
    </cfRule>
  </conditionalFormatting>
  <conditionalFormatting sqref="U1032">
    <cfRule type="iconSet" priority="19">
      <iconSet iconSet="3Flags">
        <cfvo type="percent" val="0"/>
        <cfvo type="percent" val="33"/>
        <cfvo type="percent" val="67"/>
      </iconSet>
    </cfRule>
  </conditionalFormatting>
  <conditionalFormatting sqref="U1033">
    <cfRule type="iconSet" priority="18">
      <iconSet iconSet="3Flags">
        <cfvo type="percent" val="0"/>
        <cfvo type="percent" val="33"/>
        <cfvo type="percent" val="67"/>
      </iconSet>
    </cfRule>
  </conditionalFormatting>
  <conditionalFormatting sqref="U660 U650">
    <cfRule type="iconSet" priority="17">
      <iconSet iconSet="3Flags">
        <cfvo type="percent" val="0"/>
        <cfvo type="percent" val="33"/>
        <cfvo type="percent" val="67"/>
      </iconSet>
    </cfRule>
  </conditionalFormatting>
  <conditionalFormatting sqref="U884 U617:U619">
    <cfRule type="iconSet" priority="16">
      <iconSet iconSet="3Flags">
        <cfvo type="percent" val="0"/>
        <cfvo type="percent" val="33"/>
        <cfvo type="percent" val="67"/>
      </iconSet>
    </cfRule>
  </conditionalFormatting>
  <conditionalFormatting sqref="U895 U888 U780 U761 U639">
    <cfRule type="iconSet" priority="15">
      <iconSet iconSet="3Flags">
        <cfvo type="percent" val="0"/>
        <cfvo type="percent" val="33"/>
        <cfvo type="percent" val="67"/>
      </iconSet>
    </cfRule>
  </conditionalFormatting>
  <conditionalFormatting sqref="U723:U725">
    <cfRule type="iconSet" priority="14">
      <iconSet iconSet="3Flags">
        <cfvo type="percent" val="0"/>
        <cfvo type="percent" val="33"/>
        <cfvo type="percent" val="67"/>
      </iconSet>
    </cfRule>
  </conditionalFormatting>
  <conditionalFormatting sqref="U802:U803">
    <cfRule type="iconSet" priority="13">
      <iconSet iconSet="3Flags">
        <cfvo type="percent" val="0"/>
        <cfvo type="percent" val="33"/>
        <cfvo type="percent" val="67"/>
      </iconSet>
    </cfRule>
  </conditionalFormatting>
  <conditionalFormatting sqref="U937">
    <cfRule type="iconSet" priority="12">
      <iconSet iconSet="3Flags">
        <cfvo type="percent" val="0"/>
        <cfvo type="percent" val="33"/>
        <cfvo type="percent" val="67"/>
      </iconSet>
    </cfRule>
  </conditionalFormatting>
  <conditionalFormatting sqref="U783 U763:U765 U704:U705 U700">
    <cfRule type="iconSet" priority="11">
      <iconSet iconSet="3Flags">
        <cfvo type="percent" val="0"/>
        <cfvo type="percent" val="33"/>
        <cfvo type="percent" val="67"/>
      </iconSet>
    </cfRule>
  </conditionalFormatting>
  <conditionalFormatting sqref="U914:U915">
    <cfRule type="iconSet" priority="10">
      <iconSet iconSet="3Flags">
        <cfvo type="percent" val="0"/>
        <cfvo type="percent" val="33"/>
        <cfvo type="percent" val="67"/>
      </iconSet>
    </cfRule>
  </conditionalFormatting>
  <conditionalFormatting sqref="U894 U820 U782 U669:U670 U588 U580">
    <cfRule type="iconSet" priority="9">
      <iconSet iconSet="3Flags">
        <cfvo type="percent" val="0"/>
        <cfvo type="percent" val="33"/>
        <cfvo type="percent" val="67"/>
      </iconSet>
    </cfRule>
  </conditionalFormatting>
  <conditionalFormatting sqref="U760 U661">
    <cfRule type="iconSet" priority="8">
      <iconSet iconSet="3Flags">
        <cfvo type="percent" val="0"/>
        <cfvo type="percent" val="33"/>
        <cfvo type="percent" val="67"/>
      </iconSet>
    </cfRule>
  </conditionalFormatting>
  <conditionalFormatting sqref="U744 U682">
    <cfRule type="iconSet" priority="7">
      <iconSet iconSet="3Flags">
        <cfvo type="percent" val="0"/>
        <cfvo type="percent" val="33"/>
        <cfvo type="percent" val="67"/>
      </iconSet>
    </cfRule>
  </conditionalFormatting>
  <conditionalFormatting sqref="U624:U625">
    <cfRule type="iconSet" priority="6">
      <iconSet iconSet="3Flags">
        <cfvo type="percent" val="0"/>
        <cfvo type="percent" val="33"/>
        <cfvo type="percent" val="67"/>
      </iconSet>
    </cfRule>
  </conditionalFormatting>
  <conditionalFormatting sqref="U797:U799">
    <cfRule type="iconSet" priority="5">
      <iconSet iconSet="3Flags">
        <cfvo type="percent" val="0"/>
        <cfvo type="percent" val="33"/>
        <cfvo type="percent" val="67"/>
      </iconSet>
    </cfRule>
  </conditionalFormatting>
  <conditionalFormatting sqref="U836 U691">
    <cfRule type="iconSet" priority="4">
      <iconSet iconSet="3Flags">
        <cfvo type="percent" val="0"/>
        <cfvo type="percent" val="33"/>
        <cfvo type="percent" val="67"/>
      </iconSet>
    </cfRule>
  </conditionalFormatting>
  <conditionalFormatting sqref="U1134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U1153:U1154">
    <cfRule type="iconSet" priority="1">
      <iconSet iconSet="3Flags">
        <cfvo type="percent" val="0"/>
        <cfvo type="percent" val="33"/>
        <cfvo type="percent" val="67"/>
      </iconSet>
    </cfRule>
  </conditionalFormatting>
  <printOptions headings="1"/>
  <pageMargins left="0.49" right="0.45" top="0.75" bottom="0.75" header="0.3" footer="0.3"/>
  <pageSetup scale="34" fitToHeight="0" orientation="landscape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Hoja1!$A$1:$A$11</xm:f>
          </x14:formula1>
          <xm:sqref>U3:U1231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8" sqref="D8"/>
    </sheetView>
  </sheetViews>
  <sheetFormatPr baseColWidth="10" defaultRowHeight="15" x14ac:dyDescent="0.25"/>
  <sheetData>
    <row r="1" spans="1:1" x14ac:dyDescent="0.25">
      <c r="A1" t="s">
        <v>863</v>
      </c>
    </row>
    <row r="2" spans="1:1" x14ac:dyDescent="0.25">
      <c r="A2" t="s">
        <v>864</v>
      </c>
    </row>
    <row r="3" spans="1:1" x14ac:dyDescent="0.25">
      <c r="A3" t="s">
        <v>865</v>
      </c>
    </row>
    <row r="4" spans="1:1" x14ac:dyDescent="0.25">
      <c r="A4" t="s">
        <v>2476</v>
      </c>
    </row>
    <row r="5" spans="1:1" x14ac:dyDescent="0.25">
      <c r="A5" t="s">
        <v>866</v>
      </c>
    </row>
    <row r="6" spans="1:1" x14ac:dyDescent="0.25">
      <c r="A6" t="s">
        <v>867</v>
      </c>
    </row>
    <row r="7" spans="1:1" x14ac:dyDescent="0.25">
      <c r="A7" t="s">
        <v>774</v>
      </c>
    </row>
    <row r="8" spans="1:1" x14ac:dyDescent="0.25">
      <c r="A8" t="s">
        <v>2238</v>
      </c>
    </row>
    <row r="9" spans="1:1" x14ac:dyDescent="0.25">
      <c r="A9" t="s">
        <v>868</v>
      </c>
    </row>
    <row r="10" spans="1:1" x14ac:dyDescent="0.25">
      <c r="A10" t="s">
        <v>869</v>
      </c>
    </row>
    <row r="11" spans="1:1" x14ac:dyDescent="0.25">
      <c r="A11" t="s">
        <v>870</v>
      </c>
    </row>
  </sheetData>
  <sortState ref="A1:A11">
    <sortCondition ref="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91"/>
  <sheetViews>
    <sheetView topLeftCell="E1" zoomScaleNormal="100" zoomScaleSheetLayoutView="100" workbookViewId="0">
      <pane ySplit="2" topLeftCell="A87" activePane="bottomLeft" state="frozen"/>
      <selection pane="bottomLeft" activeCell="I112" sqref="I112"/>
    </sheetView>
  </sheetViews>
  <sheetFormatPr baseColWidth="10" defaultColWidth="10.7109375" defaultRowHeight="12.75" x14ac:dyDescent="0.2"/>
  <cols>
    <col min="1" max="1" width="12" style="71" bestFit="1" customWidth="1"/>
    <col min="2" max="2" width="32.7109375" style="72" customWidth="1"/>
    <col min="3" max="3" width="16.28515625" style="71" bestFit="1" customWidth="1"/>
    <col min="4" max="4" width="25" style="73" customWidth="1"/>
    <col min="5" max="5" width="13.28515625" style="71" bestFit="1" customWidth="1"/>
    <col min="6" max="6" width="12.140625" style="74" customWidth="1"/>
    <col min="7" max="7" width="17.5703125" style="58" bestFit="1" customWidth="1"/>
    <col min="8" max="9" width="14.42578125" style="58" bestFit="1" customWidth="1"/>
    <col min="10" max="10" width="15.28515625" style="58" bestFit="1" customWidth="1"/>
    <col min="11" max="11" width="10.140625" style="71" customWidth="1"/>
    <col min="12" max="13" width="13.42578125" style="58" bestFit="1" customWidth="1"/>
    <col min="14" max="14" width="9.85546875" style="74" bestFit="1" customWidth="1"/>
    <col min="15" max="15" width="14.28515625" style="58" customWidth="1"/>
    <col min="16" max="16" width="14.85546875" style="58" customWidth="1"/>
    <col min="17" max="16384" width="10.7109375" style="58"/>
  </cols>
  <sheetData>
    <row r="1" spans="1:16" x14ac:dyDescent="0.2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8"/>
    </row>
    <row r="2" spans="1:16" s="62" customFormat="1" ht="25.5" x14ac:dyDescent="0.2">
      <c r="A2" s="59" t="s">
        <v>0</v>
      </c>
      <c r="B2" s="60" t="s">
        <v>2</v>
      </c>
      <c r="C2" s="59" t="s">
        <v>508</v>
      </c>
      <c r="D2" s="59" t="s">
        <v>1</v>
      </c>
      <c r="E2" s="59" t="s">
        <v>509</v>
      </c>
      <c r="F2" s="59" t="s">
        <v>842</v>
      </c>
      <c r="G2" s="61" t="s">
        <v>510</v>
      </c>
      <c r="H2" s="61" t="s">
        <v>511</v>
      </c>
      <c r="I2" s="61" t="s">
        <v>618</v>
      </c>
      <c r="J2" s="61" t="s">
        <v>847</v>
      </c>
      <c r="K2" s="61" t="s">
        <v>617</v>
      </c>
      <c r="L2" s="61" t="s">
        <v>23</v>
      </c>
      <c r="M2" s="61" t="s">
        <v>833</v>
      </c>
      <c r="N2" s="61" t="s">
        <v>512</v>
      </c>
      <c r="O2" s="61" t="s">
        <v>513</v>
      </c>
      <c r="P2" s="61" t="s">
        <v>514</v>
      </c>
    </row>
    <row r="3" spans="1:16" ht="51" x14ac:dyDescent="0.2">
      <c r="A3" s="63" t="s">
        <v>290</v>
      </c>
      <c r="B3" s="65" t="s">
        <v>519</v>
      </c>
      <c r="C3" s="63" t="s">
        <v>520</v>
      </c>
      <c r="D3" s="66" t="s">
        <v>521</v>
      </c>
      <c r="E3" s="63" t="s">
        <v>522</v>
      </c>
      <c r="F3" s="68">
        <f>(SUMIFS('SOLICITUD DE PAGO'!N:N,'SOLICITUD DE PAGO'!E:E,'AVANCE FINANCIERO 2016'!C3,'SOLICITUD DE PAGO'!U:U,"1. S.H. PAGADO")+SUMIFS('SOLICITUD DE PAGO'!N:N,'SOLICITUD DE PAGO'!E:E,'AVANCE FINANCIERO 2016'!C3,'SOLICITUD DE PAGO'!U:U,"2. S.H. PENDIENTE")+SUMIFS('SOLICITUD DE PAGO'!N:N,'SOLICITUD DE PAGO'!E:E,'AVANCE FINANCIERO 2016'!C3,'SOLICITUD DE PAGO'!U:U,"3. O.P. DGPE")+SUMIFS('SOLICITUD DE PAGO'!N:N,'SOLICITUD DE PAGO'!E:E,'AVANCE FINANCIERO 2016'!C3,'SOLICITUD DE PAGO'!U:U,"4. ESPERA FACT.")+SUMIFS('SOLICITUD DE PAGO'!N:N,'SOLICITUD DE PAGO'!E:E,'AVANCE FINANCIERO 2016'!C3,'SOLICITUD DE PAGO'!U:U,"5. SOL. PEDIDO"))/H3</f>
        <v>0.98</v>
      </c>
      <c r="G3" s="69">
        <v>44459231.509999998</v>
      </c>
      <c r="H3" s="69">
        <v>43137255</v>
      </c>
      <c r="I3" s="69">
        <v>43137255</v>
      </c>
      <c r="J3" s="69">
        <f t="shared" ref="J3:J34" si="0">I3-G3</f>
        <v>-1321976.51</v>
      </c>
      <c r="K3" s="75">
        <f>COUNTIF('SOLICITUD DE PAGO'!E:E,'AVANCE FINANCIERO 2016'!C3)-1</f>
        <v>4</v>
      </c>
      <c r="L3" s="69">
        <v>12704756.26</v>
      </c>
      <c r="M3" s="69">
        <f>(L3/1.16)-SUMIF('SOLICITUD DE PAGO'!E:E,'AVANCE FINANCIERO 2016'!C3,'SOLICITUD DE PAGO'!K:K)</f>
        <v>0</v>
      </c>
      <c r="N3" s="70" t="s">
        <v>515</v>
      </c>
      <c r="O3" s="91">
        <f>SUMIF('SOLICITUD DE PAGO'!E:E,C3,'SOLICITUD DE PAGO'!N:N)</f>
        <v>42349187.560000002</v>
      </c>
      <c r="P3" s="69">
        <f>G3-O3</f>
        <v>2110043.9500000002</v>
      </c>
    </row>
    <row r="4" spans="1:16" ht="51" x14ac:dyDescent="0.2">
      <c r="A4" s="63" t="s">
        <v>25</v>
      </c>
      <c r="B4" s="65" t="s">
        <v>281</v>
      </c>
      <c r="C4" s="63" t="s">
        <v>279</v>
      </c>
      <c r="D4" s="66" t="s">
        <v>280</v>
      </c>
      <c r="E4" s="63" t="s">
        <v>282</v>
      </c>
      <c r="F4" s="68">
        <f>(SUMIFS('SOLICITUD DE PAGO'!N:N,'SOLICITUD DE PAGO'!E:E,'AVANCE FINANCIERO 2016'!C4,'SOLICITUD DE PAGO'!U:U,"1. S.H. PAGADO")+SUMIFS('SOLICITUD DE PAGO'!N:N,'SOLICITUD DE PAGO'!E:E,'AVANCE FINANCIERO 2016'!C4,'SOLICITUD DE PAGO'!U:U,"2. S.H. PENDIENTE")+SUMIFS('SOLICITUD DE PAGO'!N:N,'SOLICITUD DE PAGO'!E:E,'AVANCE FINANCIERO 2016'!C4,'SOLICITUD DE PAGO'!U:U,"3. O.P. DGPE")+SUMIFS('SOLICITUD DE PAGO'!N:N,'SOLICITUD DE PAGO'!E:E,'AVANCE FINANCIERO 2016'!C4,'SOLICITUD DE PAGO'!U:U,"4. ESPERA FACT.")+SUMIFS('SOLICITUD DE PAGO'!N:N,'SOLICITUD DE PAGO'!E:E,'AVANCE FINANCIERO 2016'!C4,'SOLICITUD DE PAGO'!U:U,"5. SOL. PEDIDO"))/H4</f>
        <v>1</v>
      </c>
      <c r="G4" s="69">
        <v>22980026.969999999</v>
      </c>
      <c r="H4" s="69">
        <v>22980026.969999999</v>
      </c>
      <c r="I4" s="69">
        <v>23580647</v>
      </c>
      <c r="J4" s="69">
        <f t="shared" si="0"/>
        <v>600620.03</v>
      </c>
      <c r="K4" s="75">
        <f>COUNTIF('SOLICITUD DE PAGO'!E:E,'AVANCE FINANCIERO 2016'!C4)-1</f>
        <v>7</v>
      </c>
      <c r="L4" s="69">
        <f t="shared" ref="L4:L42" si="1">H4*0.3</f>
        <v>6894008.0899999999</v>
      </c>
      <c r="M4" s="69">
        <f>(L4/1.16)-SUMIF('SOLICITUD DE PAGO'!E:E,'AVANCE FINANCIERO 2016'!C4,'SOLICITUD DE PAGO'!K:K)</f>
        <v>0</v>
      </c>
      <c r="N4" s="70" t="s">
        <v>515</v>
      </c>
      <c r="O4" s="91">
        <f>SUMIF('SOLICITUD DE PAGO'!E:E,C4,'SOLICITUD DE PAGO'!N:N)</f>
        <v>22980026.969999999</v>
      </c>
      <c r="P4" s="69">
        <f t="shared" ref="P4:P67" si="2">G4-O4</f>
        <v>0</v>
      </c>
    </row>
    <row r="5" spans="1:16" ht="38.25" x14ac:dyDescent="0.2">
      <c r="A5" s="64" t="s">
        <v>258</v>
      </c>
      <c r="B5" s="65" t="s">
        <v>395</v>
      </c>
      <c r="C5" s="63" t="s">
        <v>394</v>
      </c>
      <c r="D5" s="66" t="s">
        <v>396</v>
      </c>
      <c r="E5" s="67" t="s">
        <v>397</v>
      </c>
      <c r="F5" s="68">
        <f>(SUMIFS('SOLICITUD DE PAGO'!N:N,'SOLICITUD DE PAGO'!E:E,'AVANCE FINANCIERO 2016'!C5,'SOLICITUD DE PAGO'!U:U,"1. S.H. PAGADO")+SUMIFS('SOLICITUD DE PAGO'!N:N,'SOLICITUD DE PAGO'!E:E,'AVANCE FINANCIERO 2016'!C5,'SOLICITUD DE PAGO'!U:U,"2. S.H. PENDIENTE")+SUMIFS('SOLICITUD DE PAGO'!N:N,'SOLICITUD DE PAGO'!E:E,'AVANCE FINANCIERO 2016'!C5,'SOLICITUD DE PAGO'!U:U,"3. O.P. DGPE")+SUMIFS('SOLICITUD DE PAGO'!N:N,'SOLICITUD DE PAGO'!E:E,'AVANCE FINANCIERO 2016'!C5,'SOLICITUD DE PAGO'!U:U,"4. ESPERA FACT.")+SUMIFS('SOLICITUD DE PAGO'!N:N,'SOLICITUD DE PAGO'!E:E,'AVANCE FINANCIERO 2016'!C5,'SOLICITUD DE PAGO'!U:U,"5. SOL. PEDIDO"))/H5</f>
        <v>0.99</v>
      </c>
      <c r="G5" s="69">
        <v>26465400</v>
      </c>
      <c r="H5" s="69">
        <v>26465400</v>
      </c>
      <c r="I5" s="69">
        <v>26470588</v>
      </c>
      <c r="J5" s="69">
        <f t="shared" si="0"/>
        <v>5188</v>
      </c>
      <c r="K5" s="75">
        <f>COUNTIF('SOLICITUD DE PAGO'!E:E,'AVANCE FINANCIERO 2016'!C5)-1</f>
        <v>9</v>
      </c>
      <c r="L5" s="69">
        <f t="shared" si="1"/>
        <v>7939620</v>
      </c>
      <c r="M5" s="69">
        <f>(L5/1.16)-SUMIF('SOLICITUD DE PAGO'!E:E,'AVANCE FINANCIERO 2016'!C5,'SOLICITUD DE PAGO'!K:K)</f>
        <v>0</v>
      </c>
      <c r="N5" s="70" t="s">
        <v>515</v>
      </c>
      <c r="O5" s="91">
        <f>SUMIF('SOLICITUD DE PAGO'!E:E,C5,'SOLICITUD DE PAGO'!N:N)</f>
        <v>26465400.02</v>
      </c>
      <c r="P5" s="69">
        <f t="shared" si="2"/>
        <v>-0.02</v>
      </c>
    </row>
    <row r="6" spans="1:16" ht="51" x14ac:dyDescent="0.2">
      <c r="A6" s="63" t="s">
        <v>25</v>
      </c>
      <c r="B6" s="65" t="s">
        <v>518</v>
      </c>
      <c r="C6" s="63" t="s">
        <v>80</v>
      </c>
      <c r="D6" s="66" t="s">
        <v>78</v>
      </c>
      <c r="E6" s="63" t="s">
        <v>81</v>
      </c>
      <c r="F6" s="68">
        <f>(SUMIFS('SOLICITUD DE PAGO'!N:N,'SOLICITUD DE PAGO'!E:E,'AVANCE FINANCIERO 2016'!C6,'SOLICITUD DE PAGO'!U:U,"1. S.H. PAGADO")+SUMIFS('SOLICITUD DE PAGO'!N:N,'SOLICITUD DE PAGO'!E:E,'AVANCE FINANCIERO 2016'!C6,'SOLICITUD DE PAGO'!U:U,"2. S.H. PENDIENTE")+SUMIFS('SOLICITUD DE PAGO'!N:N,'SOLICITUD DE PAGO'!E:E,'AVANCE FINANCIERO 2016'!C6,'SOLICITUD DE PAGO'!U:U,"3. O.P. DGPE")+SUMIFS('SOLICITUD DE PAGO'!N:N,'SOLICITUD DE PAGO'!E:E,'AVANCE FINANCIERO 2016'!C6,'SOLICITUD DE PAGO'!U:U,"4. ESPERA FACT.")+SUMIFS('SOLICITUD DE PAGO'!N:N,'SOLICITUD DE PAGO'!E:E,'AVANCE FINANCIERO 2016'!C6,'SOLICITUD DE PAGO'!U:U,"5. SOL. PEDIDO"))/H6</f>
        <v>1</v>
      </c>
      <c r="G6" s="69">
        <v>17283667.420000002</v>
      </c>
      <c r="H6" s="69">
        <v>17283667.420000002</v>
      </c>
      <c r="I6" s="69">
        <v>17647059</v>
      </c>
      <c r="J6" s="69">
        <f t="shared" si="0"/>
        <v>363391.58</v>
      </c>
      <c r="K6" s="75">
        <f>COUNTIF('SOLICITUD DE PAGO'!E:E,'AVANCE FINANCIERO 2016'!C6)-1</f>
        <v>5</v>
      </c>
      <c r="L6" s="69">
        <f t="shared" si="1"/>
        <v>5185100.2300000004</v>
      </c>
      <c r="M6" s="69">
        <f>(L6/1.16)-SUMIF('SOLICITUD DE PAGO'!E:E,'AVANCE FINANCIERO 2016'!C6,'SOLICITUD DE PAGO'!K:K)</f>
        <v>0.01</v>
      </c>
      <c r="N6" s="70" t="s">
        <v>515</v>
      </c>
      <c r="O6" s="91">
        <f>SUMIF('SOLICITUD DE PAGO'!E:E,C6,'SOLICITUD DE PAGO'!N:N)</f>
        <v>17283667.41</v>
      </c>
      <c r="P6" s="69">
        <f t="shared" si="2"/>
        <v>0.01</v>
      </c>
    </row>
    <row r="7" spans="1:16" ht="38.25" x14ac:dyDescent="0.2">
      <c r="A7" s="63" t="s">
        <v>32</v>
      </c>
      <c r="B7" s="65" t="s">
        <v>516</v>
      </c>
      <c r="C7" s="63" t="s">
        <v>503</v>
      </c>
      <c r="D7" s="66" t="s">
        <v>505</v>
      </c>
      <c r="E7" s="63" t="s">
        <v>517</v>
      </c>
      <c r="F7" s="68">
        <f>(SUMIFS('SOLICITUD DE PAGO'!N:N,'SOLICITUD DE PAGO'!E:E,'AVANCE FINANCIERO 2016'!C7,'SOLICITUD DE PAGO'!U:U,"1. S.H. PAGADO")+SUMIFS('SOLICITUD DE PAGO'!N:N,'SOLICITUD DE PAGO'!E:E,'AVANCE FINANCIERO 2016'!C7,'SOLICITUD DE PAGO'!U:U,"2. S.H. PENDIENTE")+SUMIFS('SOLICITUD DE PAGO'!N:N,'SOLICITUD DE PAGO'!E:E,'AVANCE FINANCIERO 2016'!C7,'SOLICITUD DE PAGO'!U:U,"3. O.P. DGPE")+SUMIFS('SOLICITUD DE PAGO'!N:N,'SOLICITUD DE PAGO'!E:E,'AVANCE FINANCIERO 2016'!C7,'SOLICITUD DE PAGO'!U:U,"4. ESPERA FACT.")+SUMIFS('SOLICITUD DE PAGO'!N:N,'SOLICITUD DE PAGO'!E:E,'AVANCE FINANCIERO 2016'!C7,'SOLICITUD DE PAGO'!U:U,"5. SOL. PEDIDO"))/H7</f>
        <v>1.0900000000000001</v>
      </c>
      <c r="G7" s="69">
        <v>6199918.1900000004</v>
      </c>
      <c r="H7" s="69">
        <v>6199918.1900000004</v>
      </c>
      <c r="I7" s="69">
        <v>6310680</v>
      </c>
      <c r="J7" s="69">
        <f t="shared" si="0"/>
        <v>110761.81</v>
      </c>
      <c r="K7" s="75">
        <f>COUNTIF('SOLICITUD DE PAGO'!E:E,'AVANCE FINANCIERO 2016'!C7)-1</f>
        <v>5</v>
      </c>
      <c r="L7" s="69">
        <f t="shared" si="1"/>
        <v>1859975.46</v>
      </c>
      <c r="M7" s="69">
        <f>(L7/1.16)-SUMIF('SOLICITUD DE PAGO'!E:E,'AVANCE FINANCIERO 2016'!C7,'SOLICITUD DE PAGO'!K:K)</f>
        <v>-0.01</v>
      </c>
      <c r="N7" s="70" t="s">
        <v>515</v>
      </c>
      <c r="O7" s="91">
        <f>SUMIF('SOLICITUD DE PAGO'!E:E,C7,'SOLICITUD DE PAGO'!N:N)</f>
        <v>6757250.3600000003</v>
      </c>
      <c r="P7" s="69">
        <f t="shared" si="2"/>
        <v>-557332.17000000004</v>
      </c>
    </row>
    <row r="8" spans="1:16" ht="38.25" x14ac:dyDescent="0.2">
      <c r="A8" s="63" t="s">
        <v>9</v>
      </c>
      <c r="B8" s="65" t="s">
        <v>523</v>
      </c>
      <c r="C8" s="63" t="s">
        <v>524</v>
      </c>
      <c r="D8" s="66" t="s">
        <v>525</v>
      </c>
      <c r="E8" s="63" t="s">
        <v>526</v>
      </c>
      <c r="F8" s="68">
        <f>(SUMIFS('SOLICITUD DE PAGO'!N:N,'SOLICITUD DE PAGO'!E:E,'AVANCE FINANCIERO 2016'!C8,'SOLICITUD DE PAGO'!U:U,"1. S.H. PAGADO")+SUMIFS('SOLICITUD DE PAGO'!N:N,'SOLICITUD DE PAGO'!E:E,'AVANCE FINANCIERO 2016'!C8,'SOLICITUD DE PAGO'!U:U,"2. S.H. PENDIENTE")+SUMIFS('SOLICITUD DE PAGO'!N:N,'SOLICITUD DE PAGO'!E:E,'AVANCE FINANCIERO 2016'!C8,'SOLICITUD DE PAGO'!U:U,"3. O.P. DGPE")+SUMIFS('SOLICITUD DE PAGO'!N:N,'SOLICITUD DE PAGO'!E:E,'AVANCE FINANCIERO 2016'!C8,'SOLICITUD DE PAGO'!U:U,"4. ESPERA FACT.")+SUMIFS('SOLICITUD DE PAGO'!N:N,'SOLICITUD DE PAGO'!E:E,'AVANCE FINANCIERO 2016'!C8,'SOLICITUD DE PAGO'!U:U,"5. SOL. PEDIDO"))/H8</f>
        <v>0.99</v>
      </c>
      <c r="G8" s="69">
        <v>22955014.68</v>
      </c>
      <c r="H8" s="69">
        <v>22995014.68</v>
      </c>
      <c r="I8" s="69">
        <v>23529412</v>
      </c>
      <c r="J8" s="69">
        <f t="shared" si="0"/>
        <v>574397.31999999995</v>
      </c>
      <c r="K8" s="75">
        <f>COUNTIF('SOLICITUD DE PAGO'!E:E,'AVANCE FINANCIERO 2016'!C8)-1</f>
        <v>5</v>
      </c>
      <c r="L8" s="69">
        <f t="shared" si="1"/>
        <v>6898504.4000000004</v>
      </c>
      <c r="M8" s="69">
        <f>(L8/1.16)-SUMIF('SOLICITUD DE PAGO'!E:E,'AVANCE FINANCIERO 2016'!C8,'SOLICITUD DE PAGO'!K:K)</f>
        <v>121654.51</v>
      </c>
      <c r="N8" s="70" t="s">
        <v>515</v>
      </c>
      <c r="O8" s="91">
        <f>SUMIF('SOLICITUD DE PAGO'!E:E,C8,'SOLICITUD DE PAGO'!N:N)</f>
        <v>22653736.48</v>
      </c>
      <c r="P8" s="69">
        <f t="shared" si="2"/>
        <v>301278.2</v>
      </c>
    </row>
    <row r="9" spans="1:16" ht="38.25" x14ac:dyDescent="0.2">
      <c r="A9" s="63" t="s">
        <v>290</v>
      </c>
      <c r="B9" s="65" t="s">
        <v>531</v>
      </c>
      <c r="C9" s="63" t="s">
        <v>532</v>
      </c>
      <c r="D9" s="66" t="s">
        <v>533</v>
      </c>
      <c r="E9" s="63" t="s">
        <v>534</v>
      </c>
      <c r="F9" s="68">
        <f>(SUMIFS('SOLICITUD DE PAGO'!N:N,'SOLICITUD DE PAGO'!E:E,'AVANCE FINANCIERO 2016'!C9,'SOLICITUD DE PAGO'!U:U,"1. S.H. PAGADO")+SUMIFS('SOLICITUD DE PAGO'!N:N,'SOLICITUD DE PAGO'!E:E,'AVANCE FINANCIERO 2016'!C9,'SOLICITUD DE PAGO'!U:U,"2. S.H. PENDIENTE")+SUMIFS('SOLICITUD DE PAGO'!N:N,'SOLICITUD DE PAGO'!E:E,'AVANCE FINANCIERO 2016'!C9,'SOLICITUD DE PAGO'!U:U,"3. O.P. DGPE")+SUMIFS('SOLICITUD DE PAGO'!N:N,'SOLICITUD DE PAGO'!E:E,'AVANCE FINANCIERO 2016'!C9,'SOLICITUD DE PAGO'!U:U,"4. ESPERA FACT.")+SUMIFS('SOLICITUD DE PAGO'!N:N,'SOLICITUD DE PAGO'!E:E,'AVANCE FINANCIERO 2016'!C9,'SOLICITUD DE PAGO'!U:U,"5. SOL. PEDIDO"))/H9</f>
        <v>0.99</v>
      </c>
      <c r="G9" s="69">
        <v>83353232.650000006</v>
      </c>
      <c r="H9" s="69">
        <v>83333341</v>
      </c>
      <c r="I9" s="69">
        <v>83333341</v>
      </c>
      <c r="J9" s="69">
        <f t="shared" si="0"/>
        <v>-19891.650000000001</v>
      </c>
      <c r="K9" s="75">
        <f>COUNTIF('SOLICITUD DE PAGO'!E:E,'AVANCE FINANCIERO 2016'!C9)-1</f>
        <v>11</v>
      </c>
      <c r="L9" s="69">
        <f t="shared" si="1"/>
        <v>25000002.300000001</v>
      </c>
      <c r="M9" s="69">
        <f>(L9/1.16)-SUMIF('SOLICITUD DE PAGO'!E:E,'AVANCE FINANCIERO 2016'!C9,'SOLICITUD DE PAGO'!K:K)</f>
        <v>-70</v>
      </c>
      <c r="N9" s="70" t="s">
        <v>515</v>
      </c>
      <c r="O9" s="91">
        <f>SUMIF('SOLICITUD DE PAGO'!E:E,C9,'SOLICITUD DE PAGO'!N:N)</f>
        <v>82830309.079999998</v>
      </c>
      <c r="P9" s="69">
        <f t="shared" si="2"/>
        <v>522923.57</v>
      </c>
    </row>
    <row r="10" spans="1:16" ht="63.75" x14ac:dyDescent="0.2">
      <c r="A10" s="63" t="s">
        <v>88</v>
      </c>
      <c r="B10" s="65" t="s">
        <v>527</v>
      </c>
      <c r="C10" s="63" t="s">
        <v>528</v>
      </c>
      <c r="D10" s="66" t="s">
        <v>529</v>
      </c>
      <c r="E10" s="63" t="s">
        <v>530</v>
      </c>
      <c r="F10" s="68">
        <f>(SUMIFS('SOLICITUD DE PAGO'!N:N,'SOLICITUD DE PAGO'!E:E,'AVANCE FINANCIERO 2016'!C10,'SOLICITUD DE PAGO'!U:U,"1. S.H. PAGADO")+SUMIFS('SOLICITUD DE PAGO'!N:N,'SOLICITUD DE PAGO'!E:E,'AVANCE FINANCIERO 2016'!C10,'SOLICITUD DE PAGO'!U:U,"2. S.H. PENDIENTE")+SUMIFS('SOLICITUD DE PAGO'!N:N,'SOLICITUD DE PAGO'!E:E,'AVANCE FINANCIERO 2016'!C10,'SOLICITUD DE PAGO'!U:U,"3. O.P. DGPE")+SUMIFS('SOLICITUD DE PAGO'!N:N,'SOLICITUD DE PAGO'!E:E,'AVANCE FINANCIERO 2016'!C10,'SOLICITUD DE PAGO'!U:U,"4. ESPERA FACT.")+SUMIFS('SOLICITUD DE PAGO'!N:N,'SOLICITUD DE PAGO'!E:E,'AVANCE FINANCIERO 2016'!C10,'SOLICITUD DE PAGO'!U:U,"5. SOL. PEDIDO"))/H10</f>
        <v>0.84</v>
      </c>
      <c r="G10" s="69">
        <v>28542774.780000001</v>
      </c>
      <c r="H10" s="69">
        <v>28542774.780000001</v>
      </c>
      <c r="I10" s="69">
        <v>29491525</v>
      </c>
      <c r="J10" s="69">
        <f t="shared" si="0"/>
        <v>948750.22</v>
      </c>
      <c r="K10" s="75">
        <f>COUNTIF('SOLICITUD DE PAGO'!E:E,'AVANCE FINANCIERO 2016'!C10)-1</f>
        <v>6</v>
      </c>
      <c r="L10" s="69">
        <f t="shared" si="1"/>
        <v>8562832.4299999997</v>
      </c>
      <c r="M10" s="69">
        <f>(L10/1.16)-SUMIF('SOLICITUD DE PAGO'!E:E,'AVANCE FINANCIERO 2016'!C10,'SOLICITUD DE PAGO'!K:K)</f>
        <v>0</v>
      </c>
      <c r="N10" s="70" t="s">
        <v>515</v>
      </c>
      <c r="O10" s="91">
        <f>SUMIF('SOLICITUD DE PAGO'!E:E,C10,'SOLICITUD DE PAGO'!N:N)</f>
        <v>24016616.91</v>
      </c>
      <c r="P10" s="69">
        <f t="shared" si="2"/>
        <v>4526157.87</v>
      </c>
    </row>
    <row r="11" spans="1:16" ht="25.5" x14ac:dyDescent="0.2">
      <c r="A11" s="63" t="s">
        <v>9</v>
      </c>
      <c r="B11" s="65" t="s">
        <v>538</v>
      </c>
      <c r="C11" s="63" t="s">
        <v>539</v>
      </c>
      <c r="D11" s="66" t="s">
        <v>169</v>
      </c>
      <c r="E11" s="63" t="s">
        <v>540</v>
      </c>
      <c r="F11" s="68">
        <f>(SUMIFS('SOLICITUD DE PAGO'!N:N,'SOLICITUD DE PAGO'!E:E,'AVANCE FINANCIERO 2016'!C11,'SOLICITUD DE PAGO'!U:U,"1. S.H. PAGADO")+SUMIFS('SOLICITUD DE PAGO'!N:N,'SOLICITUD DE PAGO'!E:E,'AVANCE FINANCIERO 2016'!C11,'SOLICITUD DE PAGO'!U:U,"2. S.H. PENDIENTE")+SUMIFS('SOLICITUD DE PAGO'!N:N,'SOLICITUD DE PAGO'!E:E,'AVANCE FINANCIERO 2016'!C11,'SOLICITUD DE PAGO'!U:U,"3. O.P. DGPE")+SUMIFS('SOLICITUD DE PAGO'!N:N,'SOLICITUD DE PAGO'!E:E,'AVANCE FINANCIERO 2016'!C11,'SOLICITUD DE PAGO'!U:U,"4. ESPERA FACT.")+SUMIFS('SOLICITUD DE PAGO'!N:N,'SOLICITUD DE PAGO'!E:E,'AVANCE FINANCIERO 2016'!C11,'SOLICITUD DE PAGO'!U:U,"5. SOL. PEDIDO"))/H11</f>
        <v>1</v>
      </c>
      <c r="G11" s="69">
        <v>37981342.780000001</v>
      </c>
      <c r="H11" s="69">
        <v>37981342.780000001</v>
      </c>
      <c r="I11" s="69">
        <v>38235294</v>
      </c>
      <c r="J11" s="69">
        <f t="shared" si="0"/>
        <v>253951.22</v>
      </c>
      <c r="K11" s="75">
        <f>COUNTIF('SOLICITUD DE PAGO'!E:E,'AVANCE FINANCIERO 2016'!C11)-1</f>
        <v>6</v>
      </c>
      <c r="L11" s="69">
        <f t="shared" si="1"/>
        <v>11394402.83</v>
      </c>
      <c r="M11" s="69">
        <f>(L11/1.16)-SUMIF('SOLICITUD DE PAGO'!E:E,'AVANCE FINANCIERO 2016'!C11,'SOLICITUD DE PAGO'!K:K)</f>
        <v>0</v>
      </c>
      <c r="N11" s="70" t="s">
        <v>515</v>
      </c>
      <c r="O11" s="91">
        <f>SUMIF('SOLICITUD DE PAGO'!E:E,C11,'SOLICITUD DE PAGO'!N:N)</f>
        <v>37981342.789999999</v>
      </c>
      <c r="P11" s="69">
        <f t="shared" si="2"/>
        <v>-0.01</v>
      </c>
    </row>
    <row r="12" spans="1:16" ht="38.25" x14ac:dyDescent="0.2">
      <c r="A12" s="63" t="s">
        <v>258</v>
      </c>
      <c r="B12" s="65" t="s">
        <v>545</v>
      </c>
      <c r="C12" s="63" t="s">
        <v>546</v>
      </c>
      <c r="D12" s="66" t="s">
        <v>547</v>
      </c>
      <c r="E12" s="63" t="s">
        <v>548</v>
      </c>
      <c r="F12" s="68">
        <f>(SUMIFS('SOLICITUD DE PAGO'!N:N,'SOLICITUD DE PAGO'!E:E,'AVANCE FINANCIERO 2016'!C12,'SOLICITUD DE PAGO'!U:U,"1. S.H. PAGADO")+SUMIFS('SOLICITUD DE PAGO'!N:N,'SOLICITUD DE PAGO'!E:E,'AVANCE FINANCIERO 2016'!C12,'SOLICITUD DE PAGO'!U:U,"2. S.H. PENDIENTE")+SUMIFS('SOLICITUD DE PAGO'!N:N,'SOLICITUD DE PAGO'!E:E,'AVANCE FINANCIERO 2016'!C12,'SOLICITUD DE PAGO'!U:U,"3. O.P. DGPE")+SUMIFS('SOLICITUD DE PAGO'!N:N,'SOLICITUD DE PAGO'!E:E,'AVANCE FINANCIERO 2016'!C12,'SOLICITUD DE PAGO'!U:U,"4. ESPERA FACT.")+SUMIFS('SOLICITUD DE PAGO'!N:N,'SOLICITUD DE PAGO'!E:E,'AVANCE FINANCIERO 2016'!C12,'SOLICITUD DE PAGO'!U:U,"5. SOL. PEDIDO"))/H12</f>
        <v>1</v>
      </c>
      <c r="G12" s="69">
        <v>24701108.239999998</v>
      </c>
      <c r="H12" s="69">
        <v>24701108.239999998</v>
      </c>
      <c r="I12" s="69">
        <v>24992487</v>
      </c>
      <c r="J12" s="69">
        <f t="shared" si="0"/>
        <v>291378.76</v>
      </c>
      <c r="K12" s="75">
        <f>COUNTIF('SOLICITUD DE PAGO'!E:E,'AVANCE FINANCIERO 2016'!C12)-1</f>
        <v>6</v>
      </c>
      <c r="L12" s="69">
        <f t="shared" si="1"/>
        <v>7410332.4699999997</v>
      </c>
      <c r="M12" s="69">
        <f>(L12/1.16)-SUMIF('SOLICITUD DE PAGO'!E:E,'AVANCE FINANCIERO 2016'!C12,'SOLICITUD DE PAGO'!K:K)</f>
        <v>0</v>
      </c>
      <c r="N12" s="70" t="s">
        <v>515</v>
      </c>
      <c r="O12" s="91">
        <f>SUMIF('SOLICITUD DE PAGO'!E:E,C12,'SOLICITUD DE PAGO'!N:N)</f>
        <v>24701108.239999998</v>
      </c>
      <c r="P12" s="69">
        <f t="shared" si="2"/>
        <v>0</v>
      </c>
    </row>
    <row r="13" spans="1:16" ht="38.25" x14ac:dyDescent="0.2">
      <c r="A13" s="63" t="s">
        <v>299</v>
      </c>
      <c r="B13" s="65" t="s">
        <v>535</v>
      </c>
      <c r="C13" s="63" t="s">
        <v>536</v>
      </c>
      <c r="D13" s="66" t="s">
        <v>537</v>
      </c>
      <c r="E13" s="63"/>
      <c r="F13" s="68">
        <f>(SUMIFS('SOLICITUD DE PAGO'!N:N,'SOLICITUD DE PAGO'!E:E,'AVANCE FINANCIERO 2016'!C13,'SOLICITUD DE PAGO'!U:U,"1. S.H. PAGADO")+SUMIFS('SOLICITUD DE PAGO'!N:N,'SOLICITUD DE PAGO'!E:E,'AVANCE FINANCIERO 2016'!C13,'SOLICITUD DE PAGO'!U:U,"2. S.H. PENDIENTE")+SUMIFS('SOLICITUD DE PAGO'!N:N,'SOLICITUD DE PAGO'!E:E,'AVANCE FINANCIERO 2016'!C13,'SOLICITUD DE PAGO'!U:U,"3. O.P. DGPE")+SUMIFS('SOLICITUD DE PAGO'!N:N,'SOLICITUD DE PAGO'!E:E,'AVANCE FINANCIERO 2016'!C13,'SOLICITUD DE PAGO'!U:U,"4. ESPERA FACT.")+SUMIFS('SOLICITUD DE PAGO'!N:N,'SOLICITUD DE PAGO'!E:E,'AVANCE FINANCIERO 2016'!C13,'SOLICITUD DE PAGO'!U:U,"5. SOL. PEDIDO"))/H13</f>
        <v>0.88</v>
      </c>
      <c r="G13" s="69">
        <v>154846331.36000001</v>
      </c>
      <c r="H13" s="69">
        <v>154846331.36000001</v>
      </c>
      <c r="I13" s="69">
        <v>156862745</v>
      </c>
      <c r="J13" s="69">
        <f t="shared" si="0"/>
        <v>2016413.64</v>
      </c>
      <c r="K13" s="75">
        <f>COUNTIF('SOLICITUD DE PAGO'!E:E,'AVANCE FINANCIERO 2016'!C13)-1</f>
        <v>6</v>
      </c>
      <c r="L13" s="69">
        <f t="shared" si="1"/>
        <v>46453899.409999996</v>
      </c>
      <c r="M13" s="69">
        <f>(L13/1.16)-SUMIF('SOLICITUD DE PAGO'!E:E,'AVANCE FINANCIERO 2016'!C13,'SOLICITUD DE PAGO'!K:K)</f>
        <v>6636595.0899999999</v>
      </c>
      <c r="N13" s="70" t="s">
        <v>515</v>
      </c>
      <c r="O13" s="91">
        <f>SUMIF('SOLICITUD DE PAGO'!E:E,C13,'SOLICITUD DE PAGO'!N:N)</f>
        <v>136883280.63999999</v>
      </c>
      <c r="P13" s="69">
        <f t="shared" si="2"/>
        <v>17963050.719999999</v>
      </c>
    </row>
    <row r="14" spans="1:16" ht="51" x14ac:dyDescent="0.2">
      <c r="A14" s="63" t="s">
        <v>290</v>
      </c>
      <c r="B14" s="65" t="s">
        <v>341</v>
      </c>
      <c r="C14" s="63" t="s">
        <v>343</v>
      </c>
      <c r="D14" s="66" t="s">
        <v>342</v>
      </c>
      <c r="E14" s="63" t="s">
        <v>344</v>
      </c>
      <c r="F14" s="68">
        <f>(SUMIFS('SOLICITUD DE PAGO'!N:N,'SOLICITUD DE PAGO'!E:E,'AVANCE FINANCIERO 2016'!C14,'SOLICITUD DE PAGO'!U:U,"1. S.H. PAGADO")+SUMIFS('SOLICITUD DE PAGO'!N:N,'SOLICITUD DE PAGO'!E:E,'AVANCE FINANCIERO 2016'!C14,'SOLICITUD DE PAGO'!U:U,"2. S.H. PENDIENTE")+SUMIFS('SOLICITUD DE PAGO'!N:N,'SOLICITUD DE PAGO'!E:E,'AVANCE FINANCIERO 2016'!C14,'SOLICITUD DE PAGO'!U:U,"3. O.P. DGPE")+SUMIFS('SOLICITUD DE PAGO'!N:N,'SOLICITUD DE PAGO'!E:E,'AVANCE FINANCIERO 2016'!C14,'SOLICITUD DE PAGO'!U:U,"4. ESPERA FACT.")+SUMIFS('SOLICITUD DE PAGO'!N:N,'SOLICITUD DE PAGO'!E:E,'AVANCE FINANCIERO 2016'!C14,'SOLICITUD DE PAGO'!U:U,"5. SOL. PEDIDO"))/H14</f>
        <v>1.1200000000000001</v>
      </c>
      <c r="G14" s="69">
        <v>53890912.700000003</v>
      </c>
      <c r="H14" s="69">
        <v>53890912.700000003</v>
      </c>
      <c r="I14" s="69">
        <v>56498999</v>
      </c>
      <c r="J14" s="69">
        <f t="shared" si="0"/>
        <v>2608086.2999999998</v>
      </c>
      <c r="K14" s="75">
        <f>COUNTIF('SOLICITUD DE PAGO'!E:E,'AVANCE FINANCIERO 2016'!C14)-1</f>
        <v>8</v>
      </c>
      <c r="L14" s="69">
        <f t="shared" si="1"/>
        <v>16167273.810000001</v>
      </c>
      <c r="M14" s="69">
        <f>(L14/1.16)-SUMIF('SOLICITUD DE PAGO'!E:E,'AVANCE FINANCIERO 2016'!C14,'SOLICITUD DE PAGO'!K:K)</f>
        <v>0</v>
      </c>
      <c r="N14" s="70" t="s">
        <v>515</v>
      </c>
      <c r="O14" s="91">
        <f>SUMIF('SOLICITUD DE PAGO'!E:E,C14,'SOLICITUD DE PAGO'!N:N)</f>
        <v>60542635.299999997</v>
      </c>
      <c r="P14" s="69">
        <f t="shared" si="2"/>
        <v>-6651722.5999999996</v>
      </c>
    </row>
    <row r="15" spans="1:16" ht="51" x14ac:dyDescent="0.2">
      <c r="A15" s="63" t="s">
        <v>290</v>
      </c>
      <c r="B15" s="65" t="s">
        <v>596</v>
      </c>
      <c r="C15" s="63" t="s">
        <v>597</v>
      </c>
      <c r="D15" s="66" t="s">
        <v>259</v>
      </c>
      <c r="E15" s="63" t="s">
        <v>598</v>
      </c>
      <c r="F15" s="68">
        <f>(SUMIFS('SOLICITUD DE PAGO'!N:N,'SOLICITUD DE PAGO'!E:E,'AVANCE FINANCIERO 2016'!C15,'SOLICITUD DE PAGO'!U:U,"1. S.H. PAGADO")+SUMIFS('SOLICITUD DE PAGO'!N:N,'SOLICITUD DE PAGO'!E:E,'AVANCE FINANCIERO 2016'!C15,'SOLICITUD DE PAGO'!U:U,"2. S.H. PENDIENTE")+SUMIFS('SOLICITUD DE PAGO'!N:N,'SOLICITUD DE PAGO'!E:E,'AVANCE FINANCIERO 2016'!C15,'SOLICITUD DE PAGO'!U:U,"3. O.P. DGPE")+SUMIFS('SOLICITUD DE PAGO'!N:N,'SOLICITUD DE PAGO'!E:E,'AVANCE FINANCIERO 2016'!C15,'SOLICITUD DE PAGO'!U:U,"4. ESPERA FACT.")+SUMIFS('SOLICITUD DE PAGO'!N:N,'SOLICITUD DE PAGO'!E:E,'AVANCE FINANCIERO 2016'!C15,'SOLICITUD DE PAGO'!U:U,"5. SOL. PEDIDO"))/H15</f>
        <v>0.96</v>
      </c>
      <c r="G15" s="69">
        <v>82337829.239999995</v>
      </c>
      <c r="H15" s="69">
        <v>81555281</v>
      </c>
      <c r="I15" s="69">
        <v>81555281</v>
      </c>
      <c r="J15" s="69">
        <f t="shared" si="0"/>
        <v>-782548.24</v>
      </c>
      <c r="K15" s="75">
        <f>COUNTIF('SOLICITUD DE PAGO'!E:E,'AVANCE FINANCIERO 2016'!C15)-1</f>
        <v>11</v>
      </c>
      <c r="L15" s="69">
        <f t="shared" si="1"/>
        <v>24466584.300000001</v>
      </c>
      <c r="M15" s="69">
        <f>(L15/1.16)-SUMIF('SOLICITUD DE PAGO'!E:E,'AVANCE FINANCIERO 2016'!C15,'SOLICITUD DE PAGO'!K:K)</f>
        <v>429980.36</v>
      </c>
      <c r="N15" s="70" t="s">
        <v>515</v>
      </c>
      <c r="O15" s="91">
        <f>SUMIF('SOLICITUD DE PAGO'!E:E,C15,'SOLICITUD DE PAGO'!N:N)</f>
        <v>78539339.810000002</v>
      </c>
      <c r="P15" s="69">
        <f t="shared" si="2"/>
        <v>3798489.43</v>
      </c>
    </row>
    <row r="16" spans="1:16" ht="51" x14ac:dyDescent="0.2">
      <c r="A16" s="63" t="s">
        <v>32</v>
      </c>
      <c r="B16" s="65" t="s">
        <v>541</v>
      </c>
      <c r="C16" s="63" t="s">
        <v>542</v>
      </c>
      <c r="D16" s="66" t="s">
        <v>543</v>
      </c>
      <c r="E16" s="63" t="s">
        <v>544</v>
      </c>
      <c r="F16" s="68">
        <f>(SUMIFS('SOLICITUD DE PAGO'!N:N,'SOLICITUD DE PAGO'!E:E,'AVANCE FINANCIERO 2016'!C16,'SOLICITUD DE PAGO'!U:U,"1. S.H. PAGADO")+SUMIFS('SOLICITUD DE PAGO'!N:N,'SOLICITUD DE PAGO'!E:E,'AVANCE FINANCIERO 2016'!C16,'SOLICITUD DE PAGO'!U:U,"2. S.H. PENDIENTE")+SUMIFS('SOLICITUD DE PAGO'!N:N,'SOLICITUD DE PAGO'!E:E,'AVANCE FINANCIERO 2016'!C16,'SOLICITUD DE PAGO'!U:U,"3. O.P. DGPE")+SUMIFS('SOLICITUD DE PAGO'!N:N,'SOLICITUD DE PAGO'!E:E,'AVANCE FINANCIERO 2016'!C16,'SOLICITUD DE PAGO'!U:U,"4. ESPERA FACT.")+SUMIFS('SOLICITUD DE PAGO'!N:N,'SOLICITUD DE PAGO'!E:E,'AVANCE FINANCIERO 2016'!C16,'SOLICITUD DE PAGO'!U:U,"5. SOL. PEDIDO"))/H16</f>
        <v>0.96</v>
      </c>
      <c r="G16" s="69">
        <v>63672479.109999999</v>
      </c>
      <c r="H16" s="69">
        <v>63672479.109999999</v>
      </c>
      <c r="I16" s="69">
        <v>65405254</v>
      </c>
      <c r="J16" s="69">
        <f t="shared" si="0"/>
        <v>1732774.89</v>
      </c>
      <c r="K16" s="75">
        <f>COUNTIF('SOLICITUD DE PAGO'!E:E,'AVANCE FINANCIERO 2016'!C16)-1</f>
        <v>9</v>
      </c>
      <c r="L16" s="69">
        <f t="shared" si="1"/>
        <v>19101743.73</v>
      </c>
      <c r="M16" s="69">
        <f>(L16/1.16)-SUMIF('SOLICITUD DE PAGO'!E:E,'AVANCE FINANCIERO 2016'!C16,'SOLICITUD DE PAGO'!K:K)</f>
        <v>588462.75</v>
      </c>
      <c r="N16" s="70" t="s">
        <v>515</v>
      </c>
      <c r="O16" s="91">
        <f>SUMIF('SOLICITUD DE PAGO'!E:E,C16,'SOLICITUD DE PAGO'!N:N)</f>
        <v>61437023.210000001</v>
      </c>
      <c r="P16" s="69">
        <f t="shared" si="2"/>
        <v>2235455.9</v>
      </c>
    </row>
    <row r="17" spans="1:16" ht="63.75" x14ac:dyDescent="0.2">
      <c r="A17" s="63" t="s">
        <v>290</v>
      </c>
      <c r="B17" s="65" t="s">
        <v>553</v>
      </c>
      <c r="C17" s="63" t="s">
        <v>554</v>
      </c>
      <c r="D17" s="66" t="s">
        <v>555</v>
      </c>
      <c r="E17" s="63" t="s">
        <v>556</v>
      </c>
      <c r="F17" s="68">
        <f>(SUMIFS('SOLICITUD DE PAGO'!N:N,'SOLICITUD DE PAGO'!E:E,'AVANCE FINANCIERO 2016'!C17,'SOLICITUD DE PAGO'!U:U,"1. S.H. PAGADO")+SUMIFS('SOLICITUD DE PAGO'!N:N,'SOLICITUD DE PAGO'!E:E,'AVANCE FINANCIERO 2016'!C17,'SOLICITUD DE PAGO'!U:U,"2. S.H. PENDIENTE")+SUMIFS('SOLICITUD DE PAGO'!N:N,'SOLICITUD DE PAGO'!E:E,'AVANCE FINANCIERO 2016'!C17,'SOLICITUD DE PAGO'!U:U,"3. O.P. DGPE")+SUMIFS('SOLICITUD DE PAGO'!N:N,'SOLICITUD DE PAGO'!E:E,'AVANCE FINANCIERO 2016'!C17,'SOLICITUD DE PAGO'!U:U,"4. ESPERA FACT.")+SUMIFS('SOLICITUD DE PAGO'!N:N,'SOLICITUD DE PAGO'!E:E,'AVANCE FINANCIERO 2016'!C17,'SOLICITUD DE PAGO'!U:U,"5. SOL. PEDIDO"))/H17</f>
        <v>0.95</v>
      </c>
      <c r="G17" s="69">
        <v>112909841.56</v>
      </c>
      <c r="H17" s="69">
        <v>112909841.56</v>
      </c>
      <c r="I17" s="69">
        <v>113241558</v>
      </c>
      <c r="J17" s="69">
        <f t="shared" si="0"/>
        <v>331716.44</v>
      </c>
      <c r="K17" s="75">
        <f>COUNTIF('SOLICITUD DE PAGO'!E:E,'AVANCE FINANCIERO 2016'!C17)-1</f>
        <v>8</v>
      </c>
      <c r="L17" s="69">
        <f t="shared" si="1"/>
        <v>33872952.469999999</v>
      </c>
      <c r="M17" s="69">
        <f>(L17/1.16)-SUMIF('SOLICITUD DE PAGO'!E:E,'AVANCE FINANCIERO 2016'!C17,'SOLICITUD DE PAGO'!K:K)</f>
        <v>2010616.07</v>
      </c>
      <c r="N17" s="70" t="s">
        <v>515</v>
      </c>
      <c r="O17" s="91">
        <f>SUMIF('SOLICITUD DE PAGO'!E:E,C17,'SOLICITUD DE PAGO'!N:N)</f>
        <v>107467674.09999999</v>
      </c>
      <c r="P17" s="69">
        <f t="shared" si="2"/>
        <v>5442167.46</v>
      </c>
    </row>
    <row r="18" spans="1:16" ht="25.5" x14ac:dyDescent="0.2">
      <c r="A18" s="63" t="s">
        <v>88</v>
      </c>
      <c r="B18" s="65" t="s">
        <v>585</v>
      </c>
      <c r="C18" s="63" t="s">
        <v>586</v>
      </c>
      <c r="D18" s="66" t="s">
        <v>587</v>
      </c>
      <c r="E18" s="63" t="s">
        <v>588</v>
      </c>
      <c r="F18" s="68">
        <f>(SUMIFS('SOLICITUD DE PAGO'!N:N,'SOLICITUD DE PAGO'!E:E,'AVANCE FINANCIERO 2016'!C18,'SOLICITUD DE PAGO'!U:U,"1. S.H. PAGADO")+SUMIFS('SOLICITUD DE PAGO'!N:N,'SOLICITUD DE PAGO'!E:E,'AVANCE FINANCIERO 2016'!C18,'SOLICITUD DE PAGO'!U:U,"2. S.H. PENDIENTE")+SUMIFS('SOLICITUD DE PAGO'!N:N,'SOLICITUD DE PAGO'!E:E,'AVANCE FINANCIERO 2016'!C18,'SOLICITUD DE PAGO'!U:U,"3. O.P. DGPE")+SUMIFS('SOLICITUD DE PAGO'!N:N,'SOLICITUD DE PAGO'!E:E,'AVANCE FINANCIERO 2016'!C18,'SOLICITUD DE PAGO'!U:U,"4. ESPERA FACT.")+SUMIFS('SOLICITUD DE PAGO'!N:N,'SOLICITUD DE PAGO'!E:E,'AVANCE FINANCIERO 2016'!C18,'SOLICITUD DE PAGO'!U:U,"5. SOL. PEDIDO"))/H18</f>
        <v>0.74</v>
      </c>
      <c r="G18" s="69">
        <v>78902188.120000005</v>
      </c>
      <c r="H18" s="69">
        <v>78902188.120000005</v>
      </c>
      <c r="I18" s="69">
        <v>79396161</v>
      </c>
      <c r="J18" s="69">
        <f t="shared" si="0"/>
        <v>493972.88</v>
      </c>
      <c r="K18" s="75">
        <f>COUNTIF('SOLICITUD DE PAGO'!E:E,'AVANCE FINANCIERO 2016'!C18)-1</f>
        <v>5</v>
      </c>
      <c r="L18" s="69">
        <f t="shared" si="1"/>
        <v>23670656.440000001</v>
      </c>
      <c r="M18" s="69">
        <f>(L18/1.16)-SUMIF('SOLICITUD DE PAGO'!E:E,'AVANCE FINANCIERO 2016'!C18,'SOLICITUD DE PAGO'!K:K)</f>
        <v>-0.01</v>
      </c>
      <c r="N18" s="70" t="s">
        <v>515</v>
      </c>
      <c r="O18" s="91">
        <f>SUMIF('SOLICITUD DE PAGO'!E:E,C18,'SOLICITUD DE PAGO'!N:N)</f>
        <v>58517746.530000001</v>
      </c>
      <c r="P18" s="69">
        <f t="shared" si="2"/>
        <v>20384441.59</v>
      </c>
    </row>
    <row r="19" spans="1:16" ht="63.75" x14ac:dyDescent="0.2">
      <c r="A19" s="63" t="s">
        <v>290</v>
      </c>
      <c r="B19" s="65" t="s">
        <v>589</v>
      </c>
      <c r="C19" s="63" t="s">
        <v>590</v>
      </c>
      <c r="D19" s="66" t="s">
        <v>351</v>
      </c>
      <c r="E19" s="63" t="s">
        <v>591</v>
      </c>
      <c r="F19" s="68">
        <f>(SUMIFS('SOLICITUD DE PAGO'!N:N,'SOLICITUD DE PAGO'!E:E,'AVANCE FINANCIERO 2016'!C19,'SOLICITUD DE PAGO'!U:U,"1. S.H. PAGADO")+SUMIFS('SOLICITUD DE PAGO'!N:N,'SOLICITUD DE PAGO'!E:E,'AVANCE FINANCIERO 2016'!C19,'SOLICITUD DE PAGO'!U:U,"2. S.H. PENDIENTE")+SUMIFS('SOLICITUD DE PAGO'!N:N,'SOLICITUD DE PAGO'!E:E,'AVANCE FINANCIERO 2016'!C19,'SOLICITUD DE PAGO'!U:U,"3. O.P. DGPE")+SUMIFS('SOLICITUD DE PAGO'!N:N,'SOLICITUD DE PAGO'!E:E,'AVANCE FINANCIERO 2016'!C19,'SOLICITUD DE PAGO'!U:U,"4. ESPERA FACT.")+SUMIFS('SOLICITUD DE PAGO'!N:N,'SOLICITUD DE PAGO'!E:E,'AVANCE FINANCIERO 2016'!C19,'SOLICITUD DE PAGO'!U:U,"5. SOL. PEDIDO"))/H19</f>
        <v>0.93</v>
      </c>
      <c r="G19" s="69">
        <v>33809827.159999996</v>
      </c>
      <c r="H19" s="69">
        <v>33809827.159999996</v>
      </c>
      <c r="I19" s="69">
        <v>34313725</v>
      </c>
      <c r="J19" s="69">
        <f t="shared" si="0"/>
        <v>503897.84</v>
      </c>
      <c r="K19" s="75">
        <f>COUNTIF('SOLICITUD DE PAGO'!E:E,'AVANCE FINANCIERO 2016'!C19)-1</f>
        <v>4</v>
      </c>
      <c r="L19" s="69">
        <f t="shared" si="1"/>
        <v>10142948.15</v>
      </c>
      <c r="M19" s="69">
        <f>(L19/1.16)-SUMIF('SOLICITUD DE PAGO'!E:E,'AVANCE FINANCIERO 2016'!C19,'SOLICITUD DE PAGO'!K:K)</f>
        <v>886981.9</v>
      </c>
      <c r="N19" s="70" t="s">
        <v>515</v>
      </c>
      <c r="O19" s="91">
        <f>SUMIF('SOLICITUD DE PAGO'!E:E,C19,'SOLICITUD DE PAGO'!N:N)</f>
        <v>31409062.780000001</v>
      </c>
      <c r="P19" s="69">
        <f t="shared" si="2"/>
        <v>2400764.38</v>
      </c>
    </row>
    <row r="20" spans="1:16" ht="76.5" x14ac:dyDescent="0.2">
      <c r="A20" s="63" t="s">
        <v>290</v>
      </c>
      <c r="B20" s="65" t="s">
        <v>565</v>
      </c>
      <c r="C20" s="63" t="s">
        <v>566</v>
      </c>
      <c r="D20" s="66" t="s">
        <v>567</v>
      </c>
      <c r="E20" s="63" t="s">
        <v>568</v>
      </c>
      <c r="F20" s="68">
        <f>(SUMIFS('SOLICITUD DE PAGO'!N:N,'SOLICITUD DE PAGO'!E:E,'AVANCE FINANCIERO 2016'!C20,'SOLICITUD DE PAGO'!U:U,"1. S.H. PAGADO")+SUMIFS('SOLICITUD DE PAGO'!N:N,'SOLICITUD DE PAGO'!E:E,'AVANCE FINANCIERO 2016'!C20,'SOLICITUD DE PAGO'!U:U,"2. S.H. PENDIENTE")+SUMIFS('SOLICITUD DE PAGO'!N:N,'SOLICITUD DE PAGO'!E:E,'AVANCE FINANCIERO 2016'!C20,'SOLICITUD DE PAGO'!U:U,"3. O.P. DGPE")+SUMIFS('SOLICITUD DE PAGO'!N:N,'SOLICITUD DE PAGO'!E:E,'AVANCE FINANCIERO 2016'!C20,'SOLICITUD DE PAGO'!U:U,"4. ESPERA FACT.")+SUMIFS('SOLICITUD DE PAGO'!N:N,'SOLICITUD DE PAGO'!E:E,'AVANCE FINANCIERO 2016'!C20,'SOLICITUD DE PAGO'!U:U,"5. SOL. PEDIDO"))/H20</f>
        <v>0.97</v>
      </c>
      <c r="G20" s="69">
        <v>21349397.859999999</v>
      </c>
      <c r="H20" s="69">
        <v>21349397.859999999</v>
      </c>
      <c r="I20" s="69">
        <v>21568627</v>
      </c>
      <c r="J20" s="69">
        <f t="shared" si="0"/>
        <v>219229.14</v>
      </c>
      <c r="K20" s="75">
        <f>COUNTIF('SOLICITUD DE PAGO'!E:E,'AVANCE FINANCIERO 2016'!C20)-1</f>
        <v>5</v>
      </c>
      <c r="L20" s="69">
        <f t="shared" si="1"/>
        <v>6404819.3600000003</v>
      </c>
      <c r="M20" s="69">
        <f>(L20/1.16)-SUMIF('SOLICITUD DE PAGO'!E:E,'AVANCE FINANCIERO 2016'!C20,'SOLICITUD DE PAGO'!K:K)</f>
        <v>0</v>
      </c>
      <c r="N20" s="70" t="s">
        <v>515</v>
      </c>
      <c r="O20" s="91">
        <f>SUMIF('SOLICITUD DE PAGO'!E:E,C20,'SOLICITUD DE PAGO'!N:N)</f>
        <v>20641582.440000001</v>
      </c>
      <c r="P20" s="69">
        <f t="shared" si="2"/>
        <v>707815.42</v>
      </c>
    </row>
    <row r="21" spans="1:16" ht="102" x14ac:dyDescent="0.2">
      <c r="A21" s="63" t="s">
        <v>290</v>
      </c>
      <c r="B21" s="65" t="s">
        <v>573</v>
      </c>
      <c r="C21" s="63" t="s">
        <v>574</v>
      </c>
      <c r="D21" s="66" t="s">
        <v>575</v>
      </c>
      <c r="E21" s="63" t="s">
        <v>576</v>
      </c>
      <c r="F21" s="68">
        <f>(SUMIFS('SOLICITUD DE PAGO'!N:N,'SOLICITUD DE PAGO'!E:E,'AVANCE FINANCIERO 2016'!C21,'SOLICITUD DE PAGO'!U:U,"1. S.H. PAGADO")+SUMIFS('SOLICITUD DE PAGO'!N:N,'SOLICITUD DE PAGO'!E:E,'AVANCE FINANCIERO 2016'!C21,'SOLICITUD DE PAGO'!U:U,"2. S.H. PENDIENTE")+SUMIFS('SOLICITUD DE PAGO'!N:N,'SOLICITUD DE PAGO'!E:E,'AVANCE FINANCIERO 2016'!C21,'SOLICITUD DE PAGO'!U:U,"3. O.P. DGPE")+SUMIFS('SOLICITUD DE PAGO'!N:N,'SOLICITUD DE PAGO'!E:E,'AVANCE FINANCIERO 2016'!C21,'SOLICITUD DE PAGO'!U:U,"4. ESPERA FACT.")+SUMIFS('SOLICITUD DE PAGO'!N:N,'SOLICITUD DE PAGO'!E:E,'AVANCE FINANCIERO 2016'!C21,'SOLICITUD DE PAGO'!U:U,"5. SOL. PEDIDO"))/H21</f>
        <v>1</v>
      </c>
      <c r="G21" s="69">
        <v>11799981.390000001</v>
      </c>
      <c r="H21" s="69">
        <v>11799981.390000001</v>
      </c>
      <c r="I21" s="69">
        <v>12058824</v>
      </c>
      <c r="J21" s="69">
        <f t="shared" si="0"/>
        <v>258842.61</v>
      </c>
      <c r="K21" s="75">
        <f>COUNTIF('SOLICITUD DE PAGO'!E:E,'AVANCE FINANCIERO 2016'!C21)-1</f>
        <v>5</v>
      </c>
      <c r="L21" s="69">
        <f t="shared" si="1"/>
        <v>3539994.42</v>
      </c>
      <c r="M21" s="69">
        <f>(L21/1.16)-SUMIF('SOLICITUD DE PAGO'!E:E,'AVANCE FINANCIERO 2016'!C21,'SOLICITUD DE PAGO'!K:K)</f>
        <v>14172.98</v>
      </c>
      <c r="N21" s="70" t="s">
        <v>515</v>
      </c>
      <c r="O21" s="91">
        <f>SUMIF('SOLICITUD DE PAGO'!E:E,C21,'SOLICITUD DE PAGO'!N:N)</f>
        <v>11761619.85</v>
      </c>
      <c r="P21" s="69">
        <f t="shared" si="2"/>
        <v>38361.54</v>
      </c>
    </row>
    <row r="22" spans="1:16" ht="76.5" x14ac:dyDescent="0.2">
      <c r="A22" s="63" t="s">
        <v>290</v>
      </c>
      <c r="B22" s="65" t="s">
        <v>549</v>
      </c>
      <c r="C22" s="63" t="s">
        <v>550</v>
      </c>
      <c r="D22" s="66" t="s">
        <v>551</v>
      </c>
      <c r="E22" s="63" t="s">
        <v>552</v>
      </c>
      <c r="F22" s="68">
        <f>(SUMIFS('SOLICITUD DE PAGO'!N:N,'SOLICITUD DE PAGO'!E:E,'AVANCE FINANCIERO 2016'!C22,'SOLICITUD DE PAGO'!U:U,"1. S.H. PAGADO")+SUMIFS('SOLICITUD DE PAGO'!N:N,'SOLICITUD DE PAGO'!E:E,'AVANCE FINANCIERO 2016'!C22,'SOLICITUD DE PAGO'!U:U,"2. S.H. PENDIENTE")+SUMIFS('SOLICITUD DE PAGO'!N:N,'SOLICITUD DE PAGO'!E:E,'AVANCE FINANCIERO 2016'!C22,'SOLICITUD DE PAGO'!U:U,"3. O.P. DGPE")+SUMIFS('SOLICITUD DE PAGO'!N:N,'SOLICITUD DE PAGO'!E:E,'AVANCE FINANCIERO 2016'!C22,'SOLICITUD DE PAGO'!U:U,"4. ESPERA FACT.")+SUMIFS('SOLICITUD DE PAGO'!N:N,'SOLICITUD DE PAGO'!E:E,'AVANCE FINANCIERO 2016'!C22,'SOLICITUD DE PAGO'!U:U,"5. SOL. PEDIDO"))/H22</f>
        <v>0.72</v>
      </c>
      <c r="G22" s="69">
        <v>14898875.880000001</v>
      </c>
      <c r="H22" s="69">
        <v>14898875.880000001</v>
      </c>
      <c r="I22" s="69">
        <v>15096178</v>
      </c>
      <c r="J22" s="69">
        <f t="shared" si="0"/>
        <v>197302.12</v>
      </c>
      <c r="K22" s="75">
        <f>COUNTIF('SOLICITUD DE PAGO'!E:E,'AVANCE FINANCIERO 2016'!C22)-1</f>
        <v>5</v>
      </c>
      <c r="L22" s="69">
        <f t="shared" si="1"/>
        <v>4469662.76</v>
      </c>
      <c r="M22" s="69">
        <f>(L22/1.16)-SUMIF('SOLICITUD DE PAGO'!E:E,'AVANCE FINANCIERO 2016'!C22,'SOLICITUD DE PAGO'!K:K)</f>
        <v>1532822.52</v>
      </c>
      <c r="N22" s="70" t="s">
        <v>515</v>
      </c>
      <c r="O22" s="91">
        <f>SUMIF('SOLICITUD DE PAGO'!E:E,C22,'SOLICITUD DE PAGO'!N:N)</f>
        <v>10750036.25</v>
      </c>
      <c r="P22" s="69">
        <f t="shared" si="2"/>
        <v>4148839.63</v>
      </c>
    </row>
    <row r="23" spans="1:16" ht="51" x14ac:dyDescent="0.2">
      <c r="A23" s="63" t="s">
        <v>560</v>
      </c>
      <c r="B23" s="65" t="s">
        <v>561</v>
      </c>
      <c r="C23" s="63" t="s">
        <v>562</v>
      </c>
      <c r="D23" s="66" t="s">
        <v>563</v>
      </c>
      <c r="E23" s="63" t="s">
        <v>564</v>
      </c>
      <c r="F23" s="68">
        <f>(SUMIFS('SOLICITUD DE PAGO'!N:N,'SOLICITUD DE PAGO'!E:E,'AVANCE FINANCIERO 2016'!C23,'SOLICITUD DE PAGO'!U:U,"1. S.H. PAGADO")+SUMIFS('SOLICITUD DE PAGO'!N:N,'SOLICITUD DE PAGO'!E:E,'AVANCE FINANCIERO 2016'!C23,'SOLICITUD DE PAGO'!U:U,"2. S.H. PENDIENTE")+SUMIFS('SOLICITUD DE PAGO'!N:N,'SOLICITUD DE PAGO'!E:E,'AVANCE FINANCIERO 2016'!C23,'SOLICITUD DE PAGO'!U:U,"3. O.P. DGPE")+SUMIFS('SOLICITUD DE PAGO'!N:N,'SOLICITUD DE PAGO'!E:E,'AVANCE FINANCIERO 2016'!C23,'SOLICITUD DE PAGO'!U:U,"4. ESPERA FACT.")+SUMIFS('SOLICITUD DE PAGO'!N:N,'SOLICITUD DE PAGO'!E:E,'AVANCE FINANCIERO 2016'!C23,'SOLICITUD DE PAGO'!U:U,"5. SOL. PEDIDO"))/H23</f>
        <v>0.94</v>
      </c>
      <c r="G23" s="69">
        <v>40380067.490000002</v>
      </c>
      <c r="H23" s="69">
        <v>40380067.490000002</v>
      </c>
      <c r="I23" s="69">
        <v>40686285</v>
      </c>
      <c r="J23" s="69">
        <f t="shared" si="0"/>
        <v>306217.51</v>
      </c>
      <c r="K23" s="75">
        <f>COUNTIF('SOLICITUD DE PAGO'!E:E,'AVANCE FINANCIERO 2016'!C23)-1</f>
        <v>6</v>
      </c>
      <c r="L23" s="69">
        <f t="shared" si="1"/>
        <v>12114020.25</v>
      </c>
      <c r="M23" s="69">
        <f>(L23/1.16)-SUMIF('SOLICITUD DE PAGO'!E:E,'AVANCE FINANCIERO 2016'!C23,'SOLICITUD DE PAGO'!K:K)</f>
        <v>0.01</v>
      </c>
      <c r="N23" s="70" t="s">
        <v>515</v>
      </c>
      <c r="O23" s="91">
        <f>SUMIF('SOLICITUD DE PAGO'!E:E,C23,'SOLICITUD DE PAGO'!N:N)</f>
        <v>38057345.609999999</v>
      </c>
      <c r="P23" s="69">
        <f t="shared" si="2"/>
        <v>2322721.88</v>
      </c>
    </row>
    <row r="24" spans="1:16" ht="25.5" x14ac:dyDescent="0.2">
      <c r="A24" s="63" t="s">
        <v>290</v>
      </c>
      <c r="B24" s="65" t="s">
        <v>599</v>
      </c>
      <c r="C24" s="63" t="s">
        <v>600</v>
      </c>
      <c r="D24" s="66" t="s">
        <v>469</v>
      </c>
      <c r="E24" s="63" t="s">
        <v>601</v>
      </c>
      <c r="F24" s="68">
        <f>(SUMIFS('SOLICITUD DE PAGO'!N:N,'SOLICITUD DE PAGO'!E:E,'AVANCE FINANCIERO 2016'!C24,'SOLICITUD DE PAGO'!U:U,"1. S.H. PAGADO")+SUMIFS('SOLICITUD DE PAGO'!N:N,'SOLICITUD DE PAGO'!E:E,'AVANCE FINANCIERO 2016'!C24,'SOLICITUD DE PAGO'!U:U,"2. S.H. PENDIENTE")+SUMIFS('SOLICITUD DE PAGO'!N:N,'SOLICITUD DE PAGO'!E:E,'AVANCE FINANCIERO 2016'!C24,'SOLICITUD DE PAGO'!U:U,"3. O.P. DGPE")+SUMIFS('SOLICITUD DE PAGO'!N:N,'SOLICITUD DE PAGO'!E:E,'AVANCE FINANCIERO 2016'!C24,'SOLICITUD DE PAGO'!U:U,"4. ESPERA FACT.")+SUMIFS('SOLICITUD DE PAGO'!N:N,'SOLICITUD DE PAGO'!E:E,'AVANCE FINANCIERO 2016'!C24,'SOLICITUD DE PAGO'!U:U,"5. SOL. PEDIDO"))/H24</f>
        <v>1</v>
      </c>
      <c r="G24" s="69">
        <v>25694303.850000001</v>
      </c>
      <c r="H24" s="69">
        <v>25694303.850000001</v>
      </c>
      <c r="I24" s="69">
        <v>25980392</v>
      </c>
      <c r="J24" s="69">
        <f t="shared" si="0"/>
        <v>286088.15000000002</v>
      </c>
      <c r="K24" s="75">
        <f>COUNTIF('SOLICITUD DE PAGO'!E:E,'AVANCE FINANCIERO 2016'!C24)-1</f>
        <v>5</v>
      </c>
      <c r="L24" s="69">
        <f t="shared" si="1"/>
        <v>7708291.1600000001</v>
      </c>
      <c r="M24" s="69">
        <f>(L24/1.16)-SUMIF('SOLICITUD DE PAGO'!E:E,'AVANCE FINANCIERO 2016'!C24,'SOLICITUD DE PAGO'!K:K)</f>
        <v>0.01</v>
      </c>
      <c r="N24" s="70" t="s">
        <v>515</v>
      </c>
      <c r="O24" s="91">
        <f>SUMIF('SOLICITUD DE PAGO'!E:E,C24,'SOLICITUD DE PAGO'!N:N)</f>
        <v>25694303.850000001</v>
      </c>
      <c r="P24" s="69">
        <f t="shared" si="2"/>
        <v>0</v>
      </c>
    </row>
    <row r="25" spans="1:16" ht="51" x14ac:dyDescent="0.2">
      <c r="A25" s="63" t="s">
        <v>290</v>
      </c>
      <c r="B25" s="65" t="s">
        <v>569</v>
      </c>
      <c r="C25" s="63" t="s">
        <v>570</v>
      </c>
      <c r="D25" s="66" t="s">
        <v>571</v>
      </c>
      <c r="E25" s="63" t="s">
        <v>572</v>
      </c>
      <c r="F25" s="68">
        <f>(SUMIFS('SOLICITUD DE PAGO'!N:N,'SOLICITUD DE PAGO'!E:E,'AVANCE FINANCIERO 2016'!C25,'SOLICITUD DE PAGO'!U:U,"1. S.H. PAGADO")+SUMIFS('SOLICITUD DE PAGO'!N:N,'SOLICITUD DE PAGO'!E:E,'AVANCE FINANCIERO 2016'!C25,'SOLICITUD DE PAGO'!U:U,"2. S.H. PENDIENTE")+SUMIFS('SOLICITUD DE PAGO'!N:N,'SOLICITUD DE PAGO'!E:E,'AVANCE FINANCIERO 2016'!C25,'SOLICITUD DE PAGO'!U:U,"3. O.P. DGPE")+SUMIFS('SOLICITUD DE PAGO'!N:N,'SOLICITUD DE PAGO'!E:E,'AVANCE FINANCIERO 2016'!C25,'SOLICITUD DE PAGO'!U:U,"4. ESPERA FACT.")+SUMIFS('SOLICITUD DE PAGO'!N:N,'SOLICITUD DE PAGO'!E:E,'AVANCE FINANCIERO 2016'!C25,'SOLICITUD DE PAGO'!U:U,"5. SOL. PEDIDO"))/H25</f>
        <v>1.04</v>
      </c>
      <c r="G25" s="69">
        <v>22856582.300000001</v>
      </c>
      <c r="H25" s="69">
        <v>22856582.300000001</v>
      </c>
      <c r="I25" s="69">
        <v>26960784</v>
      </c>
      <c r="J25" s="69">
        <f t="shared" si="0"/>
        <v>4104201.7</v>
      </c>
      <c r="K25" s="75">
        <f>COUNTIF('SOLICITUD DE PAGO'!E:E,'AVANCE FINANCIERO 2016'!C25)-1</f>
        <v>5</v>
      </c>
      <c r="L25" s="69">
        <f t="shared" si="1"/>
        <v>6856974.6900000004</v>
      </c>
      <c r="M25" s="69">
        <f>(L25/1.16)-SUMIF('SOLICITUD DE PAGO'!E:E,'AVANCE FINANCIERO 2016'!C25,'SOLICITUD DE PAGO'!K:K)</f>
        <v>0</v>
      </c>
      <c r="N25" s="70" t="s">
        <v>515</v>
      </c>
      <c r="O25" s="91">
        <f>SUMIF('SOLICITUD DE PAGO'!E:E,C25,'SOLICITUD DE PAGO'!N:N)</f>
        <v>23822904.77</v>
      </c>
      <c r="P25" s="69">
        <f t="shared" si="2"/>
        <v>-966322.47</v>
      </c>
    </row>
    <row r="26" spans="1:16" ht="63.75" x14ac:dyDescent="0.2">
      <c r="A26" s="63" t="s">
        <v>290</v>
      </c>
      <c r="B26" s="65" t="s">
        <v>557</v>
      </c>
      <c r="C26" s="63" t="s">
        <v>558</v>
      </c>
      <c r="D26" s="66" t="s">
        <v>505</v>
      </c>
      <c r="E26" s="63" t="s">
        <v>559</v>
      </c>
      <c r="F26" s="68">
        <f>(SUMIFS('SOLICITUD DE PAGO'!N:N,'SOLICITUD DE PAGO'!E:E,'AVANCE FINANCIERO 2016'!C26,'SOLICITUD DE PAGO'!U:U,"1. S.H. PAGADO")+SUMIFS('SOLICITUD DE PAGO'!N:N,'SOLICITUD DE PAGO'!E:E,'AVANCE FINANCIERO 2016'!C26,'SOLICITUD DE PAGO'!U:U,"2. S.H. PENDIENTE")+SUMIFS('SOLICITUD DE PAGO'!N:N,'SOLICITUD DE PAGO'!E:E,'AVANCE FINANCIERO 2016'!C26,'SOLICITUD DE PAGO'!U:U,"3. O.P. DGPE")+SUMIFS('SOLICITUD DE PAGO'!N:N,'SOLICITUD DE PAGO'!E:E,'AVANCE FINANCIERO 2016'!C26,'SOLICITUD DE PAGO'!U:U,"4. ESPERA FACT.")+SUMIFS('SOLICITUD DE PAGO'!N:N,'SOLICITUD DE PAGO'!E:E,'AVANCE FINANCIERO 2016'!C26,'SOLICITUD DE PAGO'!U:U,"5. SOL. PEDIDO"))/H26</f>
        <v>1</v>
      </c>
      <c r="G26" s="69">
        <v>20287001.809999999</v>
      </c>
      <c r="H26" s="69">
        <v>20287001.809999999</v>
      </c>
      <c r="I26" s="69">
        <v>22549020</v>
      </c>
      <c r="J26" s="69">
        <f t="shared" si="0"/>
        <v>2262018.19</v>
      </c>
      <c r="K26" s="75">
        <f>COUNTIF('SOLICITUD DE PAGO'!E:E,'AVANCE FINANCIERO 2016'!C26)-1</f>
        <v>4</v>
      </c>
      <c r="L26" s="69">
        <f t="shared" si="1"/>
        <v>6086100.54</v>
      </c>
      <c r="M26" s="69">
        <f>(L26/1.16)-SUMIF('SOLICITUD DE PAGO'!E:E,'AVANCE FINANCIERO 2016'!C26,'SOLICITUD DE PAGO'!K:K)</f>
        <v>0</v>
      </c>
      <c r="N26" s="70" t="s">
        <v>515</v>
      </c>
      <c r="O26" s="91">
        <f>SUMIF('SOLICITUD DE PAGO'!E:E,C26,'SOLICITUD DE PAGO'!N:N)</f>
        <v>20287001.809999999</v>
      </c>
      <c r="P26" s="69">
        <f t="shared" si="2"/>
        <v>0</v>
      </c>
    </row>
    <row r="27" spans="1:16" ht="51" x14ac:dyDescent="0.2">
      <c r="A27" s="63" t="s">
        <v>290</v>
      </c>
      <c r="B27" s="65" t="s">
        <v>581</v>
      </c>
      <c r="C27" s="63" t="s">
        <v>582</v>
      </c>
      <c r="D27" s="66" t="s">
        <v>583</v>
      </c>
      <c r="E27" s="63" t="s">
        <v>584</v>
      </c>
      <c r="F27" s="68">
        <f>(SUMIFS('SOLICITUD DE PAGO'!N:N,'SOLICITUD DE PAGO'!E:E,'AVANCE FINANCIERO 2016'!C27,'SOLICITUD DE PAGO'!U:U,"1. S.H. PAGADO")+SUMIFS('SOLICITUD DE PAGO'!N:N,'SOLICITUD DE PAGO'!E:E,'AVANCE FINANCIERO 2016'!C27,'SOLICITUD DE PAGO'!U:U,"2. S.H. PENDIENTE")+SUMIFS('SOLICITUD DE PAGO'!N:N,'SOLICITUD DE PAGO'!E:E,'AVANCE FINANCIERO 2016'!C27,'SOLICITUD DE PAGO'!U:U,"3. O.P. DGPE")+SUMIFS('SOLICITUD DE PAGO'!N:N,'SOLICITUD DE PAGO'!E:E,'AVANCE FINANCIERO 2016'!C27,'SOLICITUD DE PAGO'!U:U,"4. ESPERA FACT.")+SUMIFS('SOLICITUD DE PAGO'!N:N,'SOLICITUD DE PAGO'!E:E,'AVANCE FINANCIERO 2016'!C27,'SOLICITUD DE PAGO'!U:U,"5. SOL. PEDIDO"))/H27</f>
        <v>0.92</v>
      </c>
      <c r="G27" s="69">
        <v>31555491.960000001</v>
      </c>
      <c r="H27" s="69">
        <v>31555491.960000001</v>
      </c>
      <c r="I27" s="69">
        <v>31862745</v>
      </c>
      <c r="J27" s="69">
        <f t="shared" si="0"/>
        <v>307253.03999999998</v>
      </c>
      <c r="K27" s="75">
        <f>COUNTIF('SOLICITUD DE PAGO'!E:E,'AVANCE FINANCIERO 2016'!C27)-1</f>
        <v>8</v>
      </c>
      <c r="L27" s="69">
        <f t="shared" si="1"/>
        <v>9466647.5899999999</v>
      </c>
      <c r="M27" s="69">
        <f>(L27/1.16)-SUMIF('SOLICITUD DE PAGO'!E:E,'AVANCE FINANCIERO 2016'!C27,'SOLICITUD DE PAGO'!K:K)</f>
        <v>0</v>
      </c>
      <c r="N27" s="70" t="s">
        <v>515</v>
      </c>
      <c r="O27" s="91">
        <f>SUMIF('SOLICITUD DE PAGO'!E:E,C27,'SOLICITUD DE PAGO'!N:N)</f>
        <v>29012202.75</v>
      </c>
      <c r="P27" s="69">
        <f t="shared" si="2"/>
        <v>2543289.21</v>
      </c>
    </row>
    <row r="28" spans="1:16" ht="51" x14ac:dyDescent="0.2">
      <c r="A28" s="63" t="s">
        <v>9</v>
      </c>
      <c r="B28" s="65" t="s">
        <v>577</v>
      </c>
      <c r="C28" s="63" t="s">
        <v>578</v>
      </c>
      <c r="D28" s="66" t="s">
        <v>579</v>
      </c>
      <c r="E28" s="63" t="s">
        <v>580</v>
      </c>
      <c r="F28" s="68">
        <f>(SUMIFS('SOLICITUD DE PAGO'!N:N,'SOLICITUD DE PAGO'!E:E,'AVANCE FINANCIERO 2016'!C28,'SOLICITUD DE PAGO'!U:U,"1. S.H. PAGADO")+SUMIFS('SOLICITUD DE PAGO'!N:N,'SOLICITUD DE PAGO'!E:E,'AVANCE FINANCIERO 2016'!C28,'SOLICITUD DE PAGO'!U:U,"2. S.H. PENDIENTE")+SUMIFS('SOLICITUD DE PAGO'!N:N,'SOLICITUD DE PAGO'!E:E,'AVANCE FINANCIERO 2016'!C28,'SOLICITUD DE PAGO'!U:U,"3. O.P. DGPE")+SUMIFS('SOLICITUD DE PAGO'!N:N,'SOLICITUD DE PAGO'!E:E,'AVANCE FINANCIERO 2016'!C28,'SOLICITUD DE PAGO'!U:U,"4. ESPERA FACT.")+SUMIFS('SOLICITUD DE PAGO'!N:N,'SOLICITUD DE PAGO'!E:E,'AVANCE FINANCIERO 2016'!C28,'SOLICITUD DE PAGO'!U:U,"5. SOL. PEDIDO"))/H28</f>
        <v>0.53</v>
      </c>
      <c r="G28" s="69">
        <v>66720538.119999997</v>
      </c>
      <c r="H28" s="69">
        <v>61267295</v>
      </c>
      <c r="I28" s="69">
        <v>61267295</v>
      </c>
      <c r="J28" s="69">
        <f t="shared" si="0"/>
        <v>-5453243.1200000001</v>
      </c>
      <c r="K28" s="75">
        <f>COUNTIF('SOLICITUD DE PAGO'!E:E,'AVANCE FINANCIERO 2016'!C28)-1</f>
        <v>8</v>
      </c>
      <c r="L28" s="69">
        <f t="shared" si="1"/>
        <v>18380188.5</v>
      </c>
      <c r="M28" s="69">
        <f>(L28/1.16)-SUMIF('SOLICITUD DE PAGO'!E:E,'AVANCE FINANCIERO 2016'!C28,'SOLICITUD DE PAGO'!K:K)</f>
        <v>10571410.09</v>
      </c>
      <c r="N28" s="70" t="s">
        <v>515</v>
      </c>
      <c r="O28" s="91">
        <f>SUMIF('SOLICITUD DE PAGO'!E:E,C28,'SOLICITUD DE PAGO'!N:N)</f>
        <v>32654011.649999999</v>
      </c>
      <c r="P28" s="69">
        <f t="shared" si="2"/>
        <v>34066526.469999999</v>
      </c>
    </row>
    <row r="29" spans="1:16" ht="63.75" x14ac:dyDescent="0.2">
      <c r="A29" s="63" t="s">
        <v>9</v>
      </c>
      <c r="B29" s="65" t="s">
        <v>363</v>
      </c>
      <c r="C29" s="63" t="s">
        <v>364</v>
      </c>
      <c r="D29" s="66" t="s">
        <v>66</v>
      </c>
      <c r="E29" s="63" t="s">
        <v>365</v>
      </c>
      <c r="F29" s="68">
        <f>(SUMIFS('SOLICITUD DE PAGO'!N:N,'SOLICITUD DE PAGO'!E:E,'AVANCE FINANCIERO 2016'!C29,'SOLICITUD DE PAGO'!U:U,"1. S.H. PAGADO")+SUMIFS('SOLICITUD DE PAGO'!N:N,'SOLICITUD DE PAGO'!E:E,'AVANCE FINANCIERO 2016'!C29,'SOLICITUD DE PAGO'!U:U,"2. S.H. PENDIENTE")+SUMIFS('SOLICITUD DE PAGO'!N:N,'SOLICITUD DE PAGO'!E:E,'AVANCE FINANCIERO 2016'!C29,'SOLICITUD DE PAGO'!U:U,"3. O.P. DGPE")+SUMIFS('SOLICITUD DE PAGO'!N:N,'SOLICITUD DE PAGO'!E:E,'AVANCE FINANCIERO 2016'!C29,'SOLICITUD DE PAGO'!U:U,"4. ESPERA FACT.")+SUMIFS('SOLICITUD DE PAGO'!N:N,'SOLICITUD DE PAGO'!E:E,'AVANCE FINANCIERO 2016'!C29,'SOLICITUD DE PAGO'!U:U,"5. SOL. PEDIDO"))/H29</f>
        <v>0.99</v>
      </c>
      <c r="G29" s="69">
        <v>23895598.399999999</v>
      </c>
      <c r="H29" s="69">
        <v>23895598.399999999</v>
      </c>
      <c r="I29" s="69">
        <v>26470588</v>
      </c>
      <c r="J29" s="69">
        <f t="shared" si="0"/>
        <v>2574989.6</v>
      </c>
      <c r="K29" s="75">
        <f>COUNTIF('SOLICITUD DE PAGO'!E:E,'AVANCE FINANCIERO 2016'!C29)-1</f>
        <v>7</v>
      </c>
      <c r="L29" s="69">
        <f t="shared" si="1"/>
        <v>7168679.5199999996</v>
      </c>
      <c r="M29" s="69">
        <f>(L29/1.16)-SUMIF('SOLICITUD DE PAGO'!E:E,'AVANCE FINANCIERO 2016'!C29,'SOLICITUD DE PAGO'!K:K)</f>
        <v>89932.06</v>
      </c>
      <c r="N29" s="70" t="s">
        <v>515</v>
      </c>
      <c r="O29" s="91">
        <f>SUMIF('SOLICITUD DE PAGO'!E:E,C29,'SOLICITUD DE PAGO'!N:N)</f>
        <v>23652182.280000001</v>
      </c>
      <c r="P29" s="69">
        <f t="shared" si="2"/>
        <v>243416.12</v>
      </c>
    </row>
    <row r="30" spans="1:16" ht="38.25" x14ac:dyDescent="0.2">
      <c r="A30" s="63" t="s">
        <v>290</v>
      </c>
      <c r="B30" s="65" t="s">
        <v>606</v>
      </c>
      <c r="C30" s="63" t="s">
        <v>607</v>
      </c>
      <c r="D30" s="66" t="s">
        <v>608</v>
      </c>
      <c r="E30" s="63" t="s">
        <v>609</v>
      </c>
      <c r="F30" s="68">
        <f>(SUMIFS('SOLICITUD DE PAGO'!N:N,'SOLICITUD DE PAGO'!E:E,'AVANCE FINANCIERO 2016'!C30,'SOLICITUD DE PAGO'!U:U,"1. S.H. PAGADO")+SUMIFS('SOLICITUD DE PAGO'!N:N,'SOLICITUD DE PAGO'!E:E,'AVANCE FINANCIERO 2016'!C30,'SOLICITUD DE PAGO'!U:U,"2. S.H. PENDIENTE")+SUMIFS('SOLICITUD DE PAGO'!N:N,'SOLICITUD DE PAGO'!E:E,'AVANCE FINANCIERO 2016'!C30,'SOLICITUD DE PAGO'!U:U,"3. O.P. DGPE")+SUMIFS('SOLICITUD DE PAGO'!N:N,'SOLICITUD DE PAGO'!E:E,'AVANCE FINANCIERO 2016'!C30,'SOLICITUD DE PAGO'!U:U,"4. ESPERA FACT.")+SUMIFS('SOLICITUD DE PAGO'!N:N,'SOLICITUD DE PAGO'!E:E,'AVANCE FINANCIERO 2016'!C30,'SOLICITUD DE PAGO'!U:U,"5. SOL. PEDIDO"))/H30</f>
        <v>0.51</v>
      </c>
      <c r="G30" s="69">
        <v>27782320.260000002</v>
      </c>
      <c r="H30" s="69">
        <v>27450980</v>
      </c>
      <c r="I30" s="69">
        <v>27450980</v>
      </c>
      <c r="J30" s="69">
        <f t="shared" si="0"/>
        <v>-331340.26</v>
      </c>
      <c r="K30" s="75">
        <f>COUNTIF('SOLICITUD DE PAGO'!E:E,'AVANCE FINANCIERO 2016'!C30)-1</f>
        <v>4</v>
      </c>
      <c r="L30" s="69">
        <f t="shared" si="1"/>
        <v>8235294</v>
      </c>
      <c r="M30" s="69">
        <f>(L30/1.16)-SUMIF('SOLICITUD DE PAGO'!E:E,'AVANCE FINANCIERO 2016'!C30,'SOLICITUD DE PAGO'!K:K)</f>
        <v>4999649.29</v>
      </c>
      <c r="N30" s="70" t="s">
        <v>515</v>
      </c>
      <c r="O30" s="91">
        <f>SUMIF('SOLICITUD DE PAGO'!E:E,C30,'SOLICITUD DE PAGO'!N:N)</f>
        <v>14017997.970000001</v>
      </c>
      <c r="P30" s="69">
        <f t="shared" si="2"/>
        <v>13764322.289999999</v>
      </c>
    </row>
    <row r="31" spans="1:16" ht="38.25" x14ac:dyDescent="0.2">
      <c r="A31" s="63" t="s">
        <v>290</v>
      </c>
      <c r="B31" s="65" t="s">
        <v>592</v>
      </c>
      <c r="C31" s="63" t="s">
        <v>593</v>
      </c>
      <c r="D31" s="66" t="s">
        <v>594</v>
      </c>
      <c r="E31" s="63" t="s">
        <v>595</v>
      </c>
      <c r="F31" s="68">
        <f>(SUMIFS('SOLICITUD DE PAGO'!N:N,'SOLICITUD DE PAGO'!E:E,'AVANCE FINANCIERO 2016'!C31,'SOLICITUD DE PAGO'!U:U,"1. S.H. PAGADO")+SUMIFS('SOLICITUD DE PAGO'!N:N,'SOLICITUD DE PAGO'!E:E,'AVANCE FINANCIERO 2016'!C31,'SOLICITUD DE PAGO'!U:U,"2. S.H. PENDIENTE")+SUMIFS('SOLICITUD DE PAGO'!N:N,'SOLICITUD DE PAGO'!E:E,'AVANCE FINANCIERO 2016'!C31,'SOLICITUD DE PAGO'!U:U,"3. O.P. DGPE")+SUMIFS('SOLICITUD DE PAGO'!N:N,'SOLICITUD DE PAGO'!E:E,'AVANCE FINANCIERO 2016'!C31,'SOLICITUD DE PAGO'!U:U,"4. ESPERA FACT.")+SUMIFS('SOLICITUD DE PAGO'!N:N,'SOLICITUD DE PAGO'!E:E,'AVANCE FINANCIERO 2016'!C31,'SOLICITUD DE PAGO'!U:U,"5. SOL. PEDIDO"))/H31</f>
        <v>0.74</v>
      </c>
      <c r="G31" s="69">
        <v>15890776.26</v>
      </c>
      <c r="H31" s="69">
        <v>15686275</v>
      </c>
      <c r="I31" s="69">
        <v>15686275</v>
      </c>
      <c r="J31" s="69">
        <f t="shared" si="0"/>
        <v>-204501.26</v>
      </c>
      <c r="K31" s="75">
        <f>COUNTIF('SOLICITUD DE PAGO'!E:E,'AVANCE FINANCIERO 2016'!C31)-1</f>
        <v>5</v>
      </c>
      <c r="L31" s="69">
        <f t="shared" si="1"/>
        <v>4705882.5</v>
      </c>
      <c r="M31" s="69">
        <f>(L31/1.16)-SUMIF('SOLICITUD DE PAGO'!E:E,'AVANCE FINANCIERO 2016'!C31,'SOLICITUD DE PAGO'!K:K)</f>
        <v>1530809.03</v>
      </c>
      <c r="N31" s="70" t="s">
        <v>515</v>
      </c>
      <c r="O31" s="91">
        <f>SUMIF('SOLICITUD DE PAGO'!E:E,C31,'SOLICITUD DE PAGO'!N:N)</f>
        <v>11604235.6</v>
      </c>
      <c r="P31" s="69">
        <f t="shared" si="2"/>
        <v>4286540.66</v>
      </c>
    </row>
    <row r="32" spans="1:16" ht="25.5" x14ac:dyDescent="0.2">
      <c r="A32" s="63" t="s">
        <v>48</v>
      </c>
      <c r="B32" s="65" t="s">
        <v>602</v>
      </c>
      <c r="C32" s="63" t="s">
        <v>603</v>
      </c>
      <c r="D32" s="66" t="s">
        <v>604</v>
      </c>
      <c r="E32" s="63" t="s">
        <v>605</v>
      </c>
      <c r="F32" s="68">
        <f>(SUMIFS('SOLICITUD DE PAGO'!N:N,'SOLICITUD DE PAGO'!E:E,'AVANCE FINANCIERO 2016'!C32,'SOLICITUD DE PAGO'!U:U,"1. S.H. PAGADO")+SUMIFS('SOLICITUD DE PAGO'!N:N,'SOLICITUD DE PAGO'!E:E,'AVANCE FINANCIERO 2016'!C32,'SOLICITUD DE PAGO'!U:U,"2. S.H. PENDIENTE")+SUMIFS('SOLICITUD DE PAGO'!N:N,'SOLICITUD DE PAGO'!E:E,'AVANCE FINANCIERO 2016'!C32,'SOLICITUD DE PAGO'!U:U,"3. O.P. DGPE")+SUMIFS('SOLICITUD DE PAGO'!N:N,'SOLICITUD DE PAGO'!E:E,'AVANCE FINANCIERO 2016'!C32,'SOLICITUD DE PAGO'!U:U,"4. ESPERA FACT.")+SUMIFS('SOLICITUD DE PAGO'!N:N,'SOLICITUD DE PAGO'!E:E,'AVANCE FINANCIERO 2016'!C32,'SOLICITUD DE PAGO'!U:U,"5. SOL. PEDIDO"))/H32</f>
        <v>0.92</v>
      </c>
      <c r="G32" s="69">
        <v>34216706.5</v>
      </c>
      <c r="H32" s="69">
        <v>34166354</v>
      </c>
      <c r="I32" s="69">
        <v>34166354</v>
      </c>
      <c r="J32" s="69">
        <f t="shared" si="0"/>
        <v>-50352.5</v>
      </c>
      <c r="K32" s="75">
        <f>COUNTIF('SOLICITUD DE PAGO'!E:E,'AVANCE FINANCIERO 2016'!C32)-1</f>
        <v>5</v>
      </c>
      <c r="L32" s="69">
        <f t="shared" si="1"/>
        <v>10249906.199999999</v>
      </c>
      <c r="M32" s="69">
        <f>(L32/1.16)-SUMIF('SOLICITUD DE PAGO'!E:E,'AVANCE FINANCIERO 2016'!C32,'SOLICITUD DE PAGO'!K:K)</f>
        <v>209678</v>
      </c>
      <c r="N32" s="70" t="s">
        <v>672</v>
      </c>
      <c r="O32" s="91">
        <f>SUMIF('SOLICITUD DE PAGO'!E:E,C32,'SOLICITUD DE PAGO'!N:N)</f>
        <v>33598376.380000003</v>
      </c>
      <c r="P32" s="69">
        <f t="shared" si="2"/>
        <v>618330.12</v>
      </c>
    </row>
    <row r="33" spans="1:16" ht="51" x14ac:dyDescent="0.2">
      <c r="A33" s="63" t="s">
        <v>290</v>
      </c>
      <c r="B33" s="65" t="s">
        <v>369</v>
      </c>
      <c r="C33" s="63" t="s">
        <v>370</v>
      </c>
      <c r="D33" s="66" t="s">
        <v>610</v>
      </c>
      <c r="E33" s="63" t="s">
        <v>371</v>
      </c>
      <c r="F33" s="68">
        <f>(SUMIFS('SOLICITUD DE PAGO'!N:N,'SOLICITUD DE PAGO'!E:E,'AVANCE FINANCIERO 2016'!C33,'SOLICITUD DE PAGO'!U:U,"1. S.H. PAGADO")+SUMIFS('SOLICITUD DE PAGO'!N:N,'SOLICITUD DE PAGO'!E:E,'AVANCE FINANCIERO 2016'!C33,'SOLICITUD DE PAGO'!U:U,"2. S.H. PENDIENTE")+SUMIFS('SOLICITUD DE PAGO'!N:N,'SOLICITUD DE PAGO'!E:E,'AVANCE FINANCIERO 2016'!C33,'SOLICITUD DE PAGO'!U:U,"3. O.P. DGPE")+SUMIFS('SOLICITUD DE PAGO'!N:N,'SOLICITUD DE PAGO'!E:E,'AVANCE FINANCIERO 2016'!C33,'SOLICITUD DE PAGO'!U:U,"4. ESPERA FACT.")+SUMIFS('SOLICITUD DE PAGO'!N:N,'SOLICITUD DE PAGO'!E:E,'AVANCE FINANCIERO 2016'!C33,'SOLICITUD DE PAGO'!U:U,"5. SOL. PEDIDO"))/H33</f>
        <v>0.99</v>
      </c>
      <c r="G33" s="69">
        <v>76463113.200000003</v>
      </c>
      <c r="H33" s="69">
        <v>76463113.200000003</v>
      </c>
      <c r="I33" s="69">
        <v>76520295</v>
      </c>
      <c r="J33" s="69">
        <f t="shared" si="0"/>
        <v>57181.8</v>
      </c>
      <c r="K33" s="75">
        <f>COUNTIF('SOLICITUD DE PAGO'!E:E,'AVANCE FINANCIERO 2016'!C33)-1</f>
        <v>9</v>
      </c>
      <c r="L33" s="69">
        <f t="shared" si="1"/>
        <v>22938933.960000001</v>
      </c>
      <c r="M33" s="69">
        <f>(L33/1.16)-SUMIF('SOLICITUD DE PAGO'!E:E,'AVANCE FINANCIERO 2016'!C33,'SOLICITUD DE PAGO'!K:K)</f>
        <v>331457.89</v>
      </c>
      <c r="N33" s="70" t="s">
        <v>515</v>
      </c>
      <c r="O33" s="91">
        <f>SUMIF('SOLICITUD DE PAGO'!E:E,C33,'SOLICITUD DE PAGO'!N:N)</f>
        <v>75565967.129999995</v>
      </c>
      <c r="P33" s="69">
        <f t="shared" si="2"/>
        <v>897146.07</v>
      </c>
    </row>
    <row r="34" spans="1:16" ht="51" x14ac:dyDescent="0.2">
      <c r="A34" s="63" t="s">
        <v>290</v>
      </c>
      <c r="B34" s="65" t="s">
        <v>380</v>
      </c>
      <c r="C34" s="63" t="s">
        <v>381</v>
      </c>
      <c r="D34" s="66" t="s">
        <v>378</v>
      </c>
      <c r="E34" s="63" t="s">
        <v>382</v>
      </c>
      <c r="F34" s="68">
        <f>(SUMIFS('SOLICITUD DE PAGO'!N:N,'SOLICITUD DE PAGO'!E:E,'AVANCE FINANCIERO 2016'!C34,'SOLICITUD DE PAGO'!U:U,"1. S.H. PAGADO")+SUMIFS('SOLICITUD DE PAGO'!N:N,'SOLICITUD DE PAGO'!E:E,'AVANCE FINANCIERO 2016'!C34,'SOLICITUD DE PAGO'!U:U,"2. S.H. PENDIENTE")+SUMIFS('SOLICITUD DE PAGO'!N:N,'SOLICITUD DE PAGO'!E:E,'AVANCE FINANCIERO 2016'!C34,'SOLICITUD DE PAGO'!U:U,"3. O.P. DGPE")+SUMIFS('SOLICITUD DE PAGO'!N:N,'SOLICITUD DE PAGO'!E:E,'AVANCE FINANCIERO 2016'!C34,'SOLICITUD DE PAGO'!U:U,"4. ESPERA FACT.")+SUMIFS('SOLICITUD DE PAGO'!N:N,'SOLICITUD DE PAGO'!E:E,'AVANCE FINANCIERO 2016'!C34,'SOLICITUD DE PAGO'!U:U,"5. SOL. PEDIDO"))/H34</f>
        <v>0.74</v>
      </c>
      <c r="G34" s="69">
        <v>79270178.980000004</v>
      </c>
      <c r="H34" s="69">
        <v>79270178.980000004</v>
      </c>
      <c r="I34" s="69">
        <v>79369734</v>
      </c>
      <c r="J34" s="69">
        <f t="shared" si="0"/>
        <v>99555.02</v>
      </c>
      <c r="K34" s="75">
        <f>COUNTIF('SOLICITUD DE PAGO'!E:E,'AVANCE FINANCIERO 2016'!C34)-1</f>
        <v>7</v>
      </c>
      <c r="L34" s="69">
        <f t="shared" si="1"/>
        <v>23781053.690000001</v>
      </c>
      <c r="M34" s="69">
        <f>(L34/1.16)-SUMIF('SOLICITUD DE PAGO'!E:E,'AVANCE FINANCIERO 2016'!C34,'SOLICITUD DE PAGO'!K:K)</f>
        <v>7523023.96</v>
      </c>
      <c r="N34" s="70" t="s">
        <v>515</v>
      </c>
      <c r="O34" s="91">
        <f>SUMIF('SOLICITUD DE PAGO'!E:E,C34,'SOLICITUD DE PAGO'!N:N)</f>
        <v>58907860.75</v>
      </c>
      <c r="P34" s="69">
        <f t="shared" si="2"/>
        <v>20362318.23</v>
      </c>
    </row>
    <row r="35" spans="1:16" ht="38.25" x14ac:dyDescent="0.2">
      <c r="A35" s="63" t="s">
        <v>9</v>
      </c>
      <c r="B35" s="65" t="s">
        <v>350</v>
      </c>
      <c r="C35" s="63" t="s">
        <v>349</v>
      </c>
      <c r="D35" s="66" t="s">
        <v>351</v>
      </c>
      <c r="E35" s="63" t="s">
        <v>591</v>
      </c>
      <c r="F35" s="68">
        <f>(SUMIFS('SOLICITUD DE PAGO'!N:N,'SOLICITUD DE PAGO'!E:E,'AVANCE FINANCIERO 2016'!C35,'SOLICITUD DE PAGO'!U:U,"1. S.H. PAGADO")+SUMIFS('SOLICITUD DE PAGO'!N:N,'SOLICITUD DE PAGO'!E:E,'AVANCE FINANCIERO 2016'!C35,'SOLICITUD DE PAGO'!U:U,"2. S.H. PENDIENTE")+SUMIFS('SOLICITUD DE PAGO'!N:N,'SOLICITUD DE PAGO'!E:E,'AVANCE FINANCIERO 2016'!C35,'SOLICITUD DE PAGO'!U:U,"3. O.P. DGPE")+SUMIFS('SOLICITUD DE PAGO'!N:N,'SOLICITUD DE PAGO'!E:E,'AVANCE FINANCIERO 2016'!C35,'SOLICITUD DE PAGO'!U:U,"4. ESPERA FACT.")+SUMIFS('SOLICITUD DE PAGO'!N:N,'SOLICITUD DE PAGO'!E:E,'AVANCE FINANCIERO 2016'!C35,'SOLICITUD DE PAGO'!U:U,"5. SOL. PEDIDO"))/H35</f>
        <v>1</v>
      </c>
      <c r="G35" s="69">
        <v>20694418.350000001</v>
      </c>
      <c r="H35" s="69">
        <v>20694418.350000001</v>
      </c>
      <c r="I35" s="69">
        <v>20800000</v>
      </c>
      <c r="J35" s="69">
        <f t="shared" ref="J35:J66" si="3">I35-G35</f>
        <v>105581.65</v>
      </c>
      <c r="K35" s="75">
        <f>COUNTIF('SOLICITUD DE PAGO'!E:E,'AVANCE FINANCIERO 2016'!C35)-1</f>
        <v>7</v>
      </c>
      <c r="L35" s="69">
        <f t="shared" si="1"/>
        <v>6208325.5099999998</v>
      </c>
      <c r="M35" s="69">
        <f>(L35/1.16)-SUMIF('SOLICITUD DE PAGO'!E:E,'AVANCE FINANCIERO 2016'!C35,'SOLICITUD DE PAGO'!K:K)</f>
        <v>0</v>
      </c>
      <c r="N35" s="70" t="s">
        <v>515</v>
      </c>
      <c r="O35" s="91">
        <f>SUMIF('SOLICITUD DE PAGO'!E:E,C35,'SOLICITUD DE PAGO'!N:N)</f>
        <v>20694418.329999998</v>
      </c>
      <c r="P35" s="69">
        <f t="shared" si="2"/>
        <v>0.02</v>
      </c>
    </row>
    <row r="36" spans="1:16" ht="25.5" x14ac:dyDescent="0.2">
      <c r="A36" s="63" t="s">
        <v>9</v>
      </c>
      <c r="B36" s="65" t="s">
        <v>338</v>
      </c>
      <c r="C36" s="63" t="s">
        <v>300</v>
      </c>
      <c r="D36" s="66" t="s">
        <v>339</v>
      </c>
      <c r="E36" s="63" t="s">
        <v>340</v>
      </c>
      <c r="F36" s="68">
        <f>(SUMIFS('SOLICITUD DE PAGO'!N:N,'SOLICITUD DE PAGO'!E:E,'AVANCE FINANCIERO 2016'!C36,'SOLICITUD DE PAGO'!U:U,"1. S.H. PAGADO")+SUMIFS('SOLICITUD DE PAGO'!N:N,'SOLICITUD DE PAGO'!E:E,'AVANCE FINANCIERO 2016'!C36,'SOLICITUD DE PAGO'!U:U,"2. S.H. PENDIENTE")+SUMIFS('SOLICITUD DE PAGO'!N:N,'SOLICITUD DE PAGO'!E:E,'AVANCE FINANCIERO 2016'!C36,'SOLICITUD DE PAGO'!U:U,"3. O.P. DGPE")+SUMIFS('SOLICITUD DE PAGO'!N:N,'SOLICITUD DE PAGO'!E:E,'AVANCE FINANCIERO 2016'!C36,'SOLICITUD DE PAGO'!U:U,"4. ESPERA FACT.")+SUMIFS('SOLICITUD DE PAGO'!N:N,'SOLICITUD DE PAGO'!E:E,'AVANCE FINANCIERO 2016'!C36,'SOLICITUD DE PAGO'!U:U,"5. SOL. PEDIDO"))/H36</f>
        <v>1.05</v>
      </c>
      <c r="G36" s="69">
        <v>17497804.670000002</v>
      </c>
      <c r="H36" s="69">
        <v>17497804.670000002</v>
      </c>
      <c r="I36" s="69">
        <v>17505868</v>
      </c>
      <c r="J36" s="69">
        <f t="shared" si="3"/>
        <v>8063.33</v>
      </c>
      <c r="K36" s="75">
        <f>COUNTIF('SOLICITUD DE PAGO'!E:E,'AVANCE FINANCIERO 2016'!C36)-1</f>
        <v>7</v>
      </c>
      <c r="L36" s="69">
        <f t="shared" si="1"/>
        <v>5249341.4000000004</v>
      </c>
      <c r="M36" s="69">
        <f>(L36/1.16)-SUMIF('SOLICITUD DE PAGO'!E:E,'AVANCE FINANCIERO 2016'!C36,'SOLICITUD DE PAGO'!K:K)</f>
        <v>0</v>
      </c>
      <c r="N36" s="70" t="s">
        <v>515</v>
      </c>
      <c r="O36" s="91">
        <f>SUMIF('SOLICITUD DE PAGO'!E:E,C36,'SOLICITUD DE PAGO'!N:N)</f>
        <v>18289741.390000001</v>
      </c>
      <c r="P36" s="69">
        <f t="shared" si="2"/>
        <v>-791936.72</v>
      </c>
    </row>
    <row r="37" spans="1:16" ht="38.25" x14ac:dyDescent="0.2">
      <c r="A37" s="63" t="s">
        <v>9</v>
      </c>
      <c r="B37" s="65" t="s">
        <v>611</v>
      </c>
      <c r="C37" s="63" t="s">
        <v>386</v>
      </c>
      <c r="D37" s="66" t="s">
        <v>612</v>
      </c>
      <c r="E37" s="63" t="s">
        <v>388</v>
      </c>
      <c r="F37" s="68">
        <f>(SUMIFS('SOLICITUD DE PAGO'!N:N,'SOLICITUD DE PAGO'!E:E,'AVANCE FINANCIERO 2016'!C37,'SOLICITUD DE PAGO'!U:U,"1. S.H. PAGADO")+SUMIFS('SOLICITUD DE PAGO'!N:N,'SOLICITUD DE PAGO'!E:E,'AVANCE FINANCIERO 2016'!C37,'SOLICITUD DE PAGO'!U:U,"2. S.H. PENDIENTE")+SUMIFS('SOLICITUD DE PAGO'!N:N,'SOLICITUD DE PAGO'!E:E,'AVANCE FINANCIERO 2016'!C37,'SOLICITUD DE PAGO'!U:U,"3. O.P. DGPE")+SUMIFS('SOLICITUD DE PAGO'!N:N,'SOLICITUD DE PAGO'!E:E,'AVANCE FINANCIERO 2016'!C37,'SOLICITUD DE PAGO'!U:U,"4. ESPERA FACT.")+SUMIFS('SOLICITUD DE PAGO'!N:N,'SOLICITUD DE PAGO'!E:E,'AVANCE FINANCIERO 2016'!C37,'SOLICITUD DE PAGO'!U:U,"5. SOL. PEDIDO"))/H37</f>
        <v>0.65</v>
      </c>
      <c r="G37" s="69">
        <v>45827894.390000001</v>
      </c>
      <c r="H37" s="69">
        <v>45827894.390000001</v>
      </c>
      <c r="I37" s="69">
        <v>46631451</v>
      </c>
      <c r="J37" s="69">
        <f t="shared" si="3"/>
        <v>803556.61</v>
      </c>
      <c r="K37" s="75">
        <f>COUNTIF('SOLICITUD DE PAGO'!E:E,'AVANCE FINANCIERO 2016'!C37)-1</f>
        <v>8</v>
      </c>
      <c r="L37" s="69">
        <f t="shared" si="1"/>
        <v>13748368.32</v>
      </c>
      <c r="M37" s="69">
        <f>(L37/1.16)-SUMIF('SOLICITUD DE PAGO'!E:E,'AVANCE FINANCIERO 2016'!C37,'SOLICITUD DE PAGO'!K:K)</f>
        <v>5924031</v>
      </c>
      <c r="N37" s="70" t="s">
        <v>515</v>
      </c>
      <c r="O37" s="91">
        <f>SUMIF('SOLICITUD DE PAGO'!E:E,C37,'SOLICITUD DE PAGO'!N:N)</f>
        <v>29793517.149999999</v>
      </c>
      <c r="P37" s="69">
        <f t="shared" si="2"/>
        <v>16034377.24</v>
      </c>
    </row>
    <row r="38" spans="1:16" ht="51" x14ac:dyDescent="0.2">
      <c r="A38" s="63" t="s">
        <v>9</v>
      </c>
      <c r="B38" s="65" t="s">
        <v>324</v>
      </c>
      <c r="C38" s="63" t="s">
        <v>326</v>
      </c>
      <c r="D38" s="66" t="s">
        <v>325</v>
      </c>
      <c r="E38" s="63" t="s">
        <v>327</v>
      </c>
      <c r="F38" s="68">
        <f>(SUMIFS('SOLICITUD DE PAGO'!N:N,'SOLICITUD DE PAGO'!E:E,'AVANCE FINANCIERO 2016'!C38,'SOLICITUD DE PAGO'!U:U,"1. S.H. PAGADO")+SUMIFS('SOLICITUD DE PAGO'!N:N,'SOLICITUD DE PAGO'!E:E,'AVANCE FINANCIERO 2016'!C38,'SOLICITUD DE PAGO'!U:U,"2. S.H. PENDIENTE")+SUMIFS('SOLICITUD DE PAGO'!N:N,'SOLICITUD DE PAGO'!E:E,'AVANCE FINANCIERO 2016'!C38,'SOLICITUD DE PAGO'!U:U,"3. O.P. DGPE")+SUMIFS('SOLICITUD DE PAGO'!N:N,'SOLICITUD DE PAGO'!E:E,'AVANCE FINANCIERO 2016'!C38,'SOLICITUD DE PAGO'!U:U,"4. ESPERA FACT.")+SUMIFS('SOLICITUD DE PAGO'!N:N,'SOLICITUD DE PAGO'!E:E,'AVANCE FINANCIERO 2016'!C38,'SOLICITUD DE PAGO'!U:U,"5. SOL. PEDIDO"))/H38</f>
        <v>0.88</v>
      </c>
      <c r="G38" s="69">
        <v>19015925.609999999</v>
      </c>
      <c r="H38" s="69">
        <v>19015925.609999999</v>
      </c>
      <c r="I38" s="69">
        <v>19150000</v>
      </c>
      <c r="J38" s="69">
        <f t="shared" si="3"/>
        <v>134074.39000000001</v>
      </c>
      <c r="K38" s="75">
        <f>COUNTIF('SOLICITUD DE PAGO'!E:E,'AVANCE FINANCIERO 2016'!C38)-1</f>
        <v>4</v>
      </c>
      <c r="L38" s="69">
        <f t="shared" si="1"/>
        <v>5704777.6799999997</v>
      </c>
      <c r="M38" s="69">
        <f>(L38/1.16)-SUMIF('SOLICITUD DE PAGO'!E:E,'AVANCE FINANCIERO 2016'!C38,'SOLICITUD DE PAGO'!K:K)</f>
        <v>859568.56</v>
      </c>
      <c r="N38" s="70" t="s">
        <v>515</v>
      </c>
      <c r="O38" s="91">
        <f>SUMIF('SOLICITUD DE PAGO'!E:E,C38,'SOLICITUD DE PAGO'!N:N)</f>
        <v>16689360.01</v>
      </c>
      <c r="P38" s="69">
        <f t="shared" si="2"/>
        <v>2326565.6</v>
      </c>
    </row>
    <row r="39" spans="1:16" ht="51" x14ac:dyDescent="0.2">
      <c r="A39" s="63" t="s">
        <v>9</v>
      </c>
      <c r="B39" s="65" t="s">
        <v>377</v>
      </c>
      <c r="C39" s="63" t="s">
        <v>375</v>
      </c>
      <c r="D39" s="66" t="s">
        <v>378</v>
      </c>
      <c r="E39" s="63" t="s">
        <v>376</v>
      </c>
      <c r="F39" s="68">
        <f>(SUMIFS('SOLICITUD DE PAGO'!N:N,'SOLICITUD DE PAGO'!E:E,'AVANCE FINANCIERO 2016'!C39,'SOLICITUD DE PAGO'!U:U,"1. S.H. PAGADO")+SUMIFS('SOLICITUD DE PAGO'!N:N,'SOLICITUD DE PAGO'!E:E,'AVANCE FINANCIERO 2016'!C39,'SOLICITUD DE PAGO'!U:U,"2. S.H. PENDIENTE")+SUMIFS('SOLICITUD DE PAGO'!N:N,'SOLICITUD DE PAGO'!E:E,'AVANCE FINANCIERO 2016'!C39,'SOLICITUD DE PAGO'!U:U,"3. O.P. DGPE")+SUMIFS('SOLICITUD DE PAGO'!N:N,'SOLICITUD DE PAGO'!E:E,'AVANCE FINANCIERO 2016'!C39,'SOLICITUD DE PAGO'!U:U,"4. ESPERA FACT.")+SUMIFS('SOLICITUD DE PAGO'!N:N,'SOLICITUD DE PAGO'!E:E,'AVANCE FINANCIERO 2016'!C39,'SOLICITUD DE PAGO'!U:U,"5. SOL. PEDIDO"))/H39</f>
        <v>0.77</v>
      </c>
      <c r="G39" s="69">
        <v>22599852.190000001</v>
      </c>
      <c r="H39" s="69">
        <v>22599852.190000001</v>
      </c>
      <c r="I39" s="69">
        <v>22800000</v>
      </c>
      <c r="J39" s="69">
        <f t="shared" si="3"/>
        <v>200147.81</v>
      </c>
      <c r="K39" s="75">
        <f>COUNTIF('SOLICITUD DE PAGO'!E:E,'AVANCE FINANCIERO 2016'!C39)-1</f>
        <v>11</v>
      </c>
      <c r="L39" s="69">
        <f t="shared" si="1"/>
        <v>6779955.6600000001</v>
      </c>
      <c r="M39" s="69">
        <f>(L39/1.16)-SUMIF('SOLICITUD DE PAGO'!E:E,'AVANCE FINANCIERO 2016'!C39,'SOLICITUD DE PAGO'!K:K)</f>
        <v>1929378.6</v>
      </c>
      <c r="N39" s="70" t="s">
        <v>515</v>
      </c>
      <c r="O39" s="91">
        <f>SUMIF('SOLICITUD DE PAGO'!E:E,C39,'SOLICITUD DE PAGO'!N:N)</f>
        <v>17377667.43</v>
      </c>
      <c r="P39" s="69">
        <f t="shared" si="2"/>
        <v>5222184.76</v>
      </c>
    </row>
    <row r="40" spans="1:16" ht="38.25" x14ac:dyDescent="0.2">
      <c r="A40" s="66" t="s">
        <v>330</v>
      </c>
      <c r="B40" s="65" t="s">
        <v>328</v>
      </c>
      <c r="C40" s="63" t="s">
        <v>331</v>
      </c>
      <c r="D40" s="66" t="s">
        <v>329</v>
      </c>
      <c r="E40" s="63" t="s">
        <v>332</v>
      </c>
      <c r="F40" s="68">
        <f>(SUMIFS('SOLICITUD DE PAGO'!N:N,'SOLICITUD DE PAGO'!E:E,'AVANCE FINANCIERO 2016'!C40,'SOLICITUD DE PAGO'!U:U,"1. S.H. PAGADO")+SUMIFS('SOLICITUD DE PAGO'!N:N,'SOLICITUD DE PAGO'!E:E,'AVANCE FINANCIERO 2016'!C40,'SOLICITUD DE PAGO'!U:U,"2. S.H. PENDIENTE")+SUMIFS('SOLICITUD DE PAGO'!N:N,'SOLICITUD DE PAGO'!E:E,'AVANCE FINANCIERO 2016'!C40,'SOLICITUD DE PAGO'!U:U,"3. O.P. DGPE")+SUMIFS('SOLICITUD DE PAGO'!N:N,'SOLICITUD DE PAGO'!E:E,'AVANCE FINANCIERO 2016'!C40,'SOLICITUD DE PAGO'!U:U,"4. ESPERA FACT.")+SUMIFS('SOLICITUD DE PAGO'!N:N,'SOLICITUD DE PAGO'!E:E,'AVANCE FINANCIERO 2016'!C40,'SOLICITUD DE PAGO'!U:U,"5. SOL. PEDIDO"))/H40</f>
        <v>1.25</v>
      </c>
      <c r="G40" s="69">
        <v>1767887.55</v>
      </c>
      <c r="H40" s="69">
        <v>1767887.55</v>
      </c>
      <c r="I40" s="69">
        <v>2270275</v>
      </c>
      <c r="J40" s="69">
        <f t="shared" si="3"/>
        <v>502387.45</v>
      </c>
      <c r="K40" s="75">
        <f>COUNTIF('SOLICITUD DE PAGO'!E:E,'AVANCE FINANCIERO 2016'!C40)-1</f>
        <v>4</v>
      </c>
      <c r="L40" s="69">
        <f t="shared" si="1"/>
        <v>530366.27</v>
      </c>
      <c r="M40" s="69">
        <f>(L40/1.16)-SUMIF('SOLICITUD DE PAGO'!E:E,'AVANCE FINANCIERO 2016'!C40,'SOLICITUD DE PAGO'!K:K)</f>
        <v>0</v>
      </c>
      <c r="N40" s="70" t="s">
        <v>515</v>
      </c>
      <c r="O40" s="91">
        <f>SUMIF('SOLICITUD DE PAGO'!E:E,C40,'SOLICITUD DE PAGO'!N:N)</f>
        <v>2209859.4300000002</v>
      </c>
      <c r="P40" s="69">
        <f t="shared" si="2"/>
        <v>-441971.88</v>
      </c>
    </row>
    <row r="41" spans="1:16" ht="51" x14ac:dyDescent="0.2">
      <c r="A41" s="63" t="s">
        <v>299</v>
      </c>
      <c r="B41" s="65" t="s">
        <v>613</v>
      </c>
      <c r="C41" s="63" t="s">
        <v>462</v>
      </c>
      <c r="D41" s="66" t="s">
        <v>459</v>
      </c>
      <c r="E41" s="63" t="s">
        <v>461</v>
      </c>
      <c r="F41" s="68">
        <f>(SUMIFS('SOLICITUD DE PAGO'!N:N,'SOLICITUD DE PAGO'!E:E,'AVANCE FINANCIERO 2016'!C41,'SOLICITUD DE PAGO'!U:U,"1. S.H. PAGADO")+SUMIFS('SOLICITUD DE PAGO'!N:N,'SOLICITUD DE PAGO'!E:E,'AVANCE FINANCIERO 2016'!C41,'SOLICITUD DE PAGO'!U:U,"2. S.H. PENDIENTE")+SUMIFS('SOLICITUD DE PAGO'!N:N,'SOLICITUD DE PAGO'!E:E,'AVANCE FINANCIERO 2016'!C41,'SOLICITUD DE PAGO'!U:U,"3. O.P. DGPE")+SUMIFS('SOLICITUD DE PAGO'!N:N,'SOLICITUD DE PAGO'!E:E,'AVANCE FINANCIERO 2016'!C41,'SOLICITUD DE PAGO'!U:U,"4. ESPERA FACT.")+SUMIFS('SOLICITUD DE PAGO'!N:N,'SOLICITUD DE PAGO'!E:E,'AVANCE FINANCIERO 2016'!C41,'SOLICITUD DE PAGO'!U:U,"5. SOL. PEDIDO"))/H41</f>
        <v>0.52</v>
      </c>
      <c r="G41" s="69">
        <v>91796179.200000003</v>
      </c>
      <c r="H41" s="69">
        <v>91796179.200000003</v>
      </c>
      <c r="I41" s="69">
        <v>91802629</v>
      </c>
      <c r="J41" s="69">
        <f t="shared" si="3"/>
        <v>6449.8</v>
      </c>
      <c r="K41" s="75">
        <f>COUNTIF('SOLICITUD DE PAGO'!E:E,'AVANCE FINANCIERO 2016'!C41)-1</f>
        <v>5</v>
      </c>
      <c r="L41" s="69">
        <f t="shared" si="1"/>
        <v>27538853.760000002</v>
      </c>
      <c r="M41" s="69">
        <f>(L41/1.16)-SUMIF('SOLICITUD DE PAGO'!E:E,'AVANCE FINANCIERO 2016'!C41,'SOLICITUD DE PAGO'!K:K)</f>
        <v>16317450.699999999</v>
      </c>
      <c r="N41" s="70" t="s">
        <v>515</v>
      </c>
      <c r="O41" s="91">
        <f>SUMIF('SOLICITUD DE PAGO'!E:E,C41,'SOLICITUD DE PAGO'!N:N)</f>
        <v>47630279.289999999</v>
      </c>
      <c r="P41" s="69">
        <f t="shared" si="2"/>
        <v>44165899.909999996</v>
      </c>
    </row>
    <row r="42" spans="1:16" ht="38.25" x14ac:dyDescent="0.2">
      <c r="A42" s="66" t="s">
        <v>258</v>
      </c>
      <c r="B42" s="76" t="s">
        <v>619</v>
      </c>
      <c r="C42" s="70" t="s">
        <v>621</v>
      </c>
      <c r="D42" s="66" t="s">
        <v>620</v>
      </c>
      <c r="E42" s="63" t="s">
        <v>622</v>
      </c>
      <c r="F42" s="68">
        <f>(SUMIFS('SOLICITUD DE PAGO'!N:N,'SOLICITUD DE PAGO'!E:E,'AVANCE FINANCIERO 2016'!C42,'SOLICITUD DE PAGO'!U:U,"1. S.H. PAGADO")+SUMIFS('SOLICITUD DE PAGO'!N:N,'SOLICITUD DE PAGO'!E:E,'AVANCE FINANCIERO 2016'!C42,'SOLICITUD DE PAGO'!U:U,"2. S.H. PENDIENTE")+SUMIFS('SOLICITUD DE PAGO'!N:N,'SOLICITUD DE PAGO'!E:E,'AVANCE FINANCIERO 2016'!C42,'SOLICITUD DE PAGO'!U:U,"3. O.P. DGPE")+SUMIFS('SOLICITUD DE PAGO'!N:N,'SOLICITUD DE PAGO'!E:E,'AVANCE FINANCIERO 2016'!C42,'SOLICITUD DE PAGO'!U:U,"4. ESPERA FACT.")+SUMIFS('SOLICITUD DE PAGO'!N:N,'SOLICITUD DE PAGO'!E:E,'AVANCE FINANCIERO 2016'!C42,'SOLICITUD DE PAGO'!U:U,"5. SOL. PEDIDO"))/H42</f>
        <v>0.42</v>
      </c>
      <c r="G42" s="77">
        <v>38949797.340000004</v>
      </c>
      <c r="H42" s="77">
        <v>38890185</v>
      </c>
      <c r="I42" s="83">
        <v>38890185</v>
      </c>
      <c r="J42" s="69">
        <f t="shared" si="3"/>
        <v>-59612.34</v>
      </c>
      <c r="K42" s="75">
        <f>COUNTIF('SOLICITUD DE PAGO'!E:E,'AVANCE FINANCIERO 2016'!C42)-1</f>
        <v>4</v>
      </c>
      <c r="L42" s="69">
        <f t="shared" si="1"/>
        <v>11667055.5</v>
      </c>
      <c r="M42" s="69">
        <f>(L42/1.16)-SUMIF('SOLICITUD DE PAGO'!E:E,'AVANCE FINANCIERO 2016'!C42,'SOLICITUD DE PAGO'!K:K)</f>
        <v>8283185.8300000001</v>
      </c>
      <c r="N42" s="70" t="s">
        <v>515</v>
      </c>
      <c r="O42" s="91">
        <f>SUMIF('SOLICITUD DE PAGO'!E:E,C42,'SOLICITUD DE PAGO'!N:N)</f>
        <v>16470362.02</v>
      </c>
      <c r="P42" s="69">
        <f t="shared" si="2"/>
        <v>22479435.32</v>
      </c>
    </row>
    <row r="43" spans="1:16" ht="76.5" x14ac:dyDescent="0.2">
      <c r="A43" s="63" t="s">
        <v>9</v>
      </c>
      <c r="B43" s="65" t="s">
        <v>706</v>
      </c>
      <c r="C43" s="63" t="s">
        <v>707</v>
      </c>
      <c r="D43" s="66" t="s">
        <v>708</v>
      </c>
      <c r="E43" s="63" t="s">
        <v>709</v>
      </c>
      <c r="F43" s="68">
        <f>(SUMIFS('SOLICITUD DE PAGO'!N:N,'SOLICITUD DE PAGO'!E:E,'AVANCE FINANCIERO 2016'!C43,'SOLICITUD DE PAGO'!U:U,"1. S.H. PAGADO")+SUMIFS('SOLICITUD DE PAGO'!N:N,'SOLICITUD DE PAGO'!E:E,'AVANCE FINANCIERO 2016'!C43,'SOLICITUD DE PAGO'!U:U,"2. S.H. PENDIENTE")+SUMIFS('SOLICITUD DE PAGO'!N:N,'SOLICITUD DE PAGO'!E:E,'AVANCE FINANCIERO 2016'!C43,'SOLICITUD DE PAGO'!U:U,"3. O.P. DGPE")+SUMIFS('SOLICITUD DE PAGO'!N:N,'SOLICITUD DE PAGO'!E:E,'AVANCE FINANCIERO 2016'!C43,'SOLICITUD DE PAGO'!U:U,"4. ESPERA FACT.")+SUMIFS('SOLICITUD DE PAGO'!N:N,'SOLICITUD DE PAGO'!E:E,'AVANCE FINANCIERO 2016'!C43,'SOLICITUD DE PAGO'!U:U,"5. SOL. PEDIDO"))/H43</f>
        <v>0.67</v>
      </c>
      <c r="G43" s="83">
        <v>2145846.29</v>
      </c>
      <c r="H43" s="83">
        <v>2145846.29</v>
      </c>
      <c r="I43" s="83">
        <v>2205000</v>
      </c>
      <c r="J43" s="69">
        <f t="shared" si="3"/>
        <v>59153.71</v>
      </c>
      <c r="K43" s="75">
        <f>COUNTIF('SOLICITUD DE PAGO'!E:E,'AVANCE FINANCIERO 2016'!C43)-1</f>
        <v>5</v>
      </c>
      <c r="L43" s="83">
        <v>643753.89</v>
      </c>
      <c r="M43" s="69">
        <f>(L43/1.16)-SUMIF('SOLICITUD DE PAGO'!E:E,'AVANCE FINANCIERO 2016'!C43,'SOLICITUD DE PAGO'!K:K)</f>
        <v>-258789.47</v>
      </c>
      <c r="N43" s="87" t="s">
        <v>672</v>
      </c>
      <c r="O43" s="91">
        <f>SUMIF('SOLICITUD DE PAGO'!E:E,C43,'SOLICITUD DE PAGO'!N:N)</f>
        <v>2147119.75</v>
      </c>
      <c r="P43" s="69">
        <f t="shared" si="2"/>
        <v>-1273.46</v>
      </c>
    </row>
    <row r="44" spans="1:16" ht="51" x14ac:dyDescent="0.2">
      <c r="A44" s="63" t="s">
        <v>631</v>
      </c>
      <c r="B44" s="65" t="s">
        <v>630</v>
      </c>
      <c r="C44" s="63" t="s">
        <v>633</v>
      </c>
      <c r="D44" s="66" t="s">
        <v>632</v>
      </c>
      <c r="E44" s="63" t="s">
        <v>634</v>
      </c>
      <c r="F44" s="68">
        <f>(SUMIFS('SOLICITUD DE PAGO'!N:N,'SOLICITUD DE PAGO'!E:E,'AVANCE FINANCIERO 2016'!C44,'SOLICITUD DE PAGO'!U:U,"1. S.H. PAGADO")+SUMIFS('SOLICITUD DE PAGO'!N:N,'SOLICITUD DE PAGO'!E:E,'AVANCE FINANCIERO 2016'!C44,'SOLICITUD DE PAGO'!U:U,"2. S.H. PENDIENTE")+SUMIFS('SOLICITUD DE PAGO'!N:N,'SOLICITUD DE PAGO'!E:E,'AVANCE FINANCIERO 2016'!C44,'SOLICITUD DE PAGO'!U:U,"3. O.P. DGPE")+SUMIFS('SOLICITUD DE PAGO'!N:N,'SOLICITUD DE PAGO'!E:E,'AVANCE FINANCIERO 2016'!C44,'SOLICITUD DE PAGO'!U:U,"4. ESPERA FACT.")+SUMIFS('SOLICITUD DE PAGO'!N:N,'SOLICITUD DE PAGO'!E:E,'AVANCE FINANCIERO 2016'!C44,'SOLICITUD DE PAGO'!U:U,"5. SOL. PEDIDO"))/H44</f>
        <v>0.76</v>
      </c>
      <c r="G44" s="83">
        <v>11695805.57</v>
      </c>
      <c r="H44" s="83">
        <v>11695805.57</v>
      </c>
      <c r="I44" s="83">
        <v>12342713</v>
      </c>
      <c r="J44" s="69">
        <f t="shared" si="3"/>
        <v>646907.43000000005</v>
      </c>
      <c r="K44" s="75">
        <f>COUNTIF('SOLICITUD DE PAGO'!E:E,'AVANCE FINANCIERO 2016'!C44)-1</f>
        <v>3</v>
      </c>
      <c r="L44" s="83">
        <v>3508741.67</v>
      </c>
      <c r="M44" s="69">
        <f>(L44/1.16)-SUMIF('SOLICITUD DE PAGO'!E:E,'AVANCE FINANCIERO 2016'!C44,'SOLICITUD DE PAGO'!K:K)</f>
        <v>1050141.6299999999</v>
      </c>
      <c r="N44" s="70" t="s">
        <v>515</v>
      </c>
      <c r="O44" s="91">
        <f>SUMIF('SOLICITUD DE PAGO'!E:E,C44,'SOLICITUD DE PAGO'!N:N)</f>
        <v>8853422.1999999993</v>
      </c>
      <c r="P44" s="69">
        <f t="shared" si="2"/>
        <v>2842383.37</v>
      </c>
    </row>
    <row r="45" spans="1:16" ht="76.5" x14ac:dyDescent="0.2">
      <c r="A45" s="63" t="s">
        <v>235</v>
      </c>
      <c r="B45" s="65" t="s">
        <v>711</v>
      </c>
      <c r="C45" s="63" t="s">
        <v>712</v>
      </c>
      <c r="D45" s="66" t="s">
        <v>604</v>
      </c>
      <c r="E45" s="63" t="s">
        <v>713</v>
      </c>
      <c r="F45" s="68">
        <f>(SUMIFS('SOLICITUD DE PAGO'!N:N,'SOLICITUD DE PAGO'!E:E,'AVANCE FINANCIERO 2016'!C45,'SOLICITUD DE PAGO'!U:U,"1. S.H. PAGADO")+SUMIFS('SOLICITUD DE PAGO'!N:N,'SOLICITUD DE PAGO'!E:E,'AVANCE FINANCIERO 2016'!C45,'SOLICITUD DE PAGO'!U:U,"2. S.H. PENDIENTE")+SUMIFS('SOLICITUD DE PAGO'!N:N,'SOLICITUD DE PAGO'!E:E,'AVANCE FINANCIERO 2016'!C45,'SOLICITUD DE PAGO'!U:U,"3. O.P. DGPE")+SUMIFS('SOLICITUD DE PAGO'!N:N,'SOLICITUD DE PAGO'!E:E,'AVANCE FINANCIERO 2016'!C45,'SOLICITUD DE PAGO'!U:U,"4. ESPERA FACT.")+SUMIFS('SOLICITUD DE PAGO'!N:N,'SOLICITUD DE PAGO'!E:E,'AVANCE FINANCIERO 2016'!C45,'SOLICITUD DE PAGO'!U:U,"5. SOL. PEDIDO"))/H45</f>
        <v>0.44</v>
      </c>
      <c r="G45" s="83">
        <v>87577216.609999999</v>
      </c>
      <c r="H45" s="83">
        <v>87577216.609999999</v>
      </c>
      <c r="I45" s="83">
        <v>88235294</v>
      </c>
      <c r="J45" s="69">
        <f t="shared" si="3"/>
        <v>658077.39</v>
      </c>
      <c r="K45" s="75">
        <f>COUNTIF('SOLICITUD DE PAGO'!E:E,'AVANCE FINANCIERO 2016'!C45)-1</f>
        <v>2</v>
      </c>
      <c r="L45" s="83">
        <v>26273164.98</v>
      </c>
      <c r="M45" s="69">
        <f>(L45/1.16)-SUMIF('SOLICITUD DE PAGO'!E:E,'AVANCE FINANCIERO 2016'!C45,'SOLICITUD DE PAGO'!K:K)</f>
        <v>18264673.329999998</v>
      </c>
      <c r="N45" s="70" t="s">
        <v>515</v>
      </c>
      <c r="O45" s="91">
        <f>SUMIF('SOLICITUD DE PAGO'!E:E,C45,'SOLICITUD DE PAGO'!N:N)</f>
        <v>38140834.140000001</v>
      </c>
      <c r="P45" s="69">
        <f t="shared" si="2"/>
        <v>49436382.469999999</v>
      </c>
    </row>
    <row r="46" spans="1:16" ht="38.25" x14ac:dyDescent="0.2">
      <c r="A46" s="63" t="s">
        <v>9</v>
      </c>
      <c r="B46" s="65" t="str">
        <f>LOOKUP(C46,OBRAS!D:D,OBRAS!C:C)</f>
        <v>CONSTRUCCION DE PUENTE VEHICULAR SOBRE RIO MAYO, EN EL PERIFERICO PONIENTE EN NAVOJOA</v>
      </c>
      <c r="C46" s="63" t="s">
        <v>776</v>
      </c>
      <c r="D46" s="66" t="str">
        <f>LOOKUP(C46,OBRAS!D:D,OBRAS!B:B)</f>
        <v>ING. LUIS EDUARDO GUERRA ESQUIVEL</v>
      </c>
      <c r="E46" s="63" t="str">
        <f>LOOKUP(C46,OBRAS!D:D,OBRAS!E:E)</f>
        <v>C-00052/0174</v>
      </c>
      <c r="F46" s="68">
        <f>(SUMIFS('SOLICITUD DE PAGO'!N:N,'SOLICITUD DE PAGO'!E:E,'AVANCE FINANCIERO 2016'!C46,'SOLICITUD DE PAGO'!U:U,"1. S.H. PAGADO")+SUMIFS('SOLICITUD DE PAGO'!N:N,'SOLICITUD DE PAGO'!E:E,'AVANCE FINANCIERO 2016'!C46,'SOLICITUD DE PAGO'!U:U,"2. S.H. PENDIENTE")+SUMIFS('SOLICITUD DE PAGO'!N:N,'SOLICITUD DE PAGO'!E:E,'AVANCE FINANCIERO 2016'!C46,'SOLICITUD DE PAGO'!U:U,"3. O.P. DGPE")+SUMIFS('SOLICITUD DE PAGO'!N:N,'SOLICITUD DE PAGO'!E:E,'AVANCE FINANCIERO 2016'!C46,'SOLICITUD DE PAGO'!U:U,"4. ESPERA FACT.")+SUMIFS('SOLICITUD DE PAGO'!N:N,'SOLICITUD DE PAGO'!E:E,'AVANCE FINANCIERO 2016'!C46,'SOLICITUD DE PAGO'!U:U,"5. SOL. PEDIDO"))/H46</f>
        <v>0.75</v>
      </c>
      <c r="G46" s="83">
        <f>LOOKUP(C46,OBRAS!D:D,OBRAS!K:K)</f>
        <v>82488388.799999997</v>
      </c>
      <c r="H46" s="83">
        <v>82488388.799999997</v>
      </c>
      <c r="I46" s="83">
        <f>LOOKUP(C46,OBRAS!D:D,OBRAS!I:I)</f>
        <v>83559322</v>
      </c>
      <c r="J46" s="69">
        <f t="shared" si="3"/>
        <v>1070933.2</v>
      </c>
      <c r="K46" s="75">
        <f>COUNTIF('SOLICITUD DE PAGO'!E:E,'AVANCE FINANCIERO 2016'!C46)-1</f>
        <v>4</v>
      </c>
      <c r="L46" s="91">
        <v>24746516.640000001</v>
      </c>
      <c r="M46" s="69">
        <f>(L46/1.16)-SUMIF('SOLICITUD DE PAGO'!E:E,'AVANCE FINANCIERO 2016'!C46,'SOLICITUD DE PAGO'!K:K)</f>
        <v>7543322.29</v>
      </c>
      <c r="N46" s="70" t="s">
        <v>515</v>
      </c>
      <c r="O46" s="91">
        <f>SUMIF('SOLICITUD DE PAGO'!E:E,C46,'SOLICITUD DE PAGO'!N:N)</f>
        <v>62071129.810000002</v>
      </c>
      <c r="P46" s="69">
        <f t="shared" si="2"/>
        <v>20417258.989999998</v>
      </c>
    </row>
    <row r="47" spans="1:16" ht="25.5" x14ac:dyDescent="0.2">
      <c r="A47" s="63" t="s">
        <v>9</v>
      </c>
      <c r="B47" s="65" t="str">
        <f>LOOKUP(C47,OBRAS!D:D,OBRAS!C:C)</f>
        <v>MODERNIZACIÓN DE LA CALLE ROSALES, ETAPA 1 EN  HERMOSILLO, SONORA.</v>
      </c>
      <c r="C47" s="63" t="s">
        <v>858</v>
      </c>
      <c r="D47" s="66" t="str">
        <f>LOOKUP(C47,OBRAS!D:D,OBRAS!B:B)</f>
        <v>CONSTRUCTORA PARGEL, S. A. DE C. V.</v>
      </c>
      <c r="E47" s="63" t="str">
        <f>LOOKUP(C47,OBRAS!D:D,OBRAS!E:E)</f>
        <v>C-00052/0180</v>
      </c>
      <c r="F47" s="68">
        <f>(SUMIFS('SOLICITUD DE PAGO'!N:N,'SOLICITUD DE PAGO'!E:E,'AVANCE FINANCIERO 2016'!C47,'SOLICITUD DE PAGO'!U:U,"1. S.H. PAGADO")+SUMIFS('SOLICITUD DE PAGO'!N:N,'SOLICITUD DE PAGO'!E:E,'AVANCE FINANCIERO 2016'!C47,'SOLICITUD DE PAGO'!U:U,"2. S.H. PENDIENTE")+SUMIFS('SOLICITUD DE PAGO'!N:N,'SOLICITUD DE PAGO'!E:E,'AVANCE FINANCIERO 2016'!C47,'SOLICITUD DE PAGO'!U:U,"3. O.P. DGPE")+SUMIFS('SOLICITUD DE PAGO'!N:N,'SOLICITUD DE PAGO'!E:E,'AVANCE FINANCIERO 2016'!C47,'SOLICITUD DE PAGO'!U:U,"4. ESPERA FACT.")+SUMIFS('SOLICITUD DE PAGO'!N:N,'SOLICITUD DE PAGO'!E:E,'AVANCE FINANCIERO 2016'!C47,'SOLICITUD DE PAGO'!U:U,"5. SOL. PEDIDO"))/H47</f>
        <v>0.34</v>
      </c>
      <c r="G47" s="83">
        <f>LOOKUP(C47,OBRAS!D:D,OBRAS!K:K)</f>
        <v>29931744.359999999</v>
      </c>
      <c r="H47" s="83">
        <v>29845342</v>
      </c>
      <c r="I47" s="83">
        <f>LOOKUP(C47,OBRAS!D:D,OBRAS!I:I)</f>
        <v>29845342</v>
      </c>
      <c r="J47" s="69">
        <f t="shared" si="3"/>
        <v>-86402.36</v>
      </c>
      <c r="K47" s="75">
        <f>COUNTIF('SOLICITUD DE PAGO'!E:E,'AVANCE FINANCIERO 2016'!C47)-1</f>
        <v>3</v>
      </c>
      <c r="L47" s="91">
        <v>8953602.5999999996</v>
      </c>
      <c r="M47" s="69">
        <f>(L47/1.16)-SUMIF('SOLICITUD DE PAGO'!E:E,'AVANCE FINANCIERO 2016'!C47,'SOLICITUD DE PAGO'!K:K)</f>
        <v>6804531.3200000003</v>
      </c>
      <c r="N47" s="70" t="s">
        <v>672</v>
      </c>
      <c r="O47" s="91">
        <f>SUMIF('SOLICITUD DE PAGO'!E:E,C47,'SOLICITUD DE PAGO'!N:N)</f>
        <v>11427743.869999999</v>
      </c>
      <c r="P47" s="69">
        <f t="shared" si="2"/>
        <v>18504000.489999998</v>
      </c>
    </row>
    <row r="48" spans="1:16" ht="38.25" x14ac:dyDescent="0.2">
      <c r="A48" s="63" t="s">
        <v>9</v>
      </c>
      <c r="B48" s="65" t="str">
        <f>LOOKUP(C48,OBRAS!D:D,OBRAS!C:C)</f>
        <v>PAVIMENTACION CON CONCRETO HIDRAULICO DEL BLVD. LAZARO GUTIERREZ DE LARA</v>
      </c>
      <c r="C48" s="63" t="s">
        <v>804</v>
      </c>
      <c r="D48" s="66" t="str">
        <f>LOOKUP(C48,OBRAS!D:D,OBRAS!B:B)</f>
        <v>PREMEZCLADOS NOGALES, S.A. DE C.V.</v>
      </c>
      <c r="E48" s="63" t="str">
        <f>LOOKUP(C48,OBRAS!D:D,OBRAS!E:E)</f>
        <v>C-00052/0181</v>
      </c>
      <c r="F48" s="68">
        <f>(SUMIFS('SOLICITUD DE PAGO'!N:N,'SOLICITUD DE PAGO'!E:E,'AVANCE FINANCIERO 2016'!C48,'SOLICITUD DE PAGO'!U:U,"1. S.H. PAGADO")+SUMIFS('SOLICITUD DE PAGO'!N:N,'SOLICITUD DE PAGO'!E:E,'AVANCE FINANCIERO 2016'!C48,'SOLICITUD DE PAGO'!U:U,"2. S.H. PENDIENTE")+SUMIFS('SOLICITUD DE PAGO'!N:N,'SOLICITUD DE PAGO'!E:E,'AVANCE FINANCIERO 2016'!C48,'SOLICITUD DE PAGO'!U:U,"3. O.P. DGPE")+SUMIFS('SOLICITUD DE PAGO'!N:N,'SOLICITUD DE PAGO'!E:E,'AVANCE FINANCIERO 2016'!C48,'SOLICITUD DE PAGO'!U:U,"4. ESPERA FACT.")+SUMIFS('SOLICITUD DE PAGO'!N:N,'SOLICITUD DE PAGO'!E:E,'AVANCE FINANCIERO 2016'!C48,'SOLICITUD DE PAGO'!U:U,"5. SOL. PEDIDO"))/H48</f>
        <v>0.39</v>
      </c>
      <c r="G48" s="83">
        <f>LOOKUP(C48,OBRAS!D:D,OBRAS!K:K)</f>
        <v>32938936.050000001</v>
      </c>
      <c r="H48" s="83">
        <v>32938936.050000001</v>
      </c>
      <c r="I48" s="83">
        <f>LOOKUP(C48,OBRAS!D:D,OBRAS!I:I)</f>
        <v>33217818.809999999</v>
      </c>
      <c r="J48" s="69">
        <f t="shared" si="3"/>
        <v>278882.76</v>
      </c>
      <c r="K48" s="75">
        <f>COUNTIF('SOLICITUD DE PAGO'!E:E,'AVANCE FINANCIERO 2016'!C48)-1</f>
        <v>3</v>
      </c>
      <c r="L48" s="91">
        <v>9881680.8100000005</v>
      </c>
      <c r="M48" s="69">
        <f>(L48/1.16)-SUMIF('SOLICITUD DE PAGO'!E:E,'AVANCE FINANCIERO 2016'!C48,'SOLICITUD DE PAGO'!K:K)</f>
        <v>2254945.7400000002</v>
      </c>
      <c r="N48" s="70" t="s">
        <v>806</v>
      </c>
      <c r="O48" s="91">
        <f>SUMIF('SOLICITUD DE PAGO'!E:E,C48,'SOLICITUD DE PAGO'!N:N)</f>
        <v>12855435.41</v>
      </c>
      <c r="P48" s="69">
        <f t="shared" si="2"/>
        <v>20083500.640000001</v>
      </c>
    </row>
    <row r="49" spans="1:16" ht="25.5" x14ac:dyDescent="0.2">
      <c r="A49" s="63" t="s">
        <v>9</v>
      </c>
      <c r="B49" s="65" t="str">
        <f>LOOKUP(C49,OBRAS!D:D,OBRAS!C:C)</f>
        <v>REUBICACION DE COLECTOR Y CARCAMO DE BOMBEO</v>
      </c>
      <c r="C49" s="63" t="s">
        <v>813</v>
      </c>
      <c r="D49" s="66" t="str">
        <f>LOOKUP(C49,OBRAS!D:D,OBRAS!B:B)</f>
        <v>CONSTRUCTORA KIOKI, S. A. DE C. V.</v>
      </c>
      <c r="E49" s="63" t="str">
        <f>LOOKUP(C49,OBRAS!D:D,OBRAS!E:E)</f>
        <v>C-00051/0005</v>
      </c>
      <c r="F49" s="68">
        <f>(SUMIFS('SOLICITUD DE PAGO'!N:N,'SOLICITUD DE PAGO'!E:E,'AVANCE FINANCIERO 2016'!C49,'SOLICITUD DE PAGO'!U:U,"1. S.H. PAGADO")+SUMIFS('SOLICITUD DE PAGO'!N:N,'SOLICITUD DE PAGO'!E:E,'AVANCE FINANCIERO 2016'!C49,'SOLICITUD DE PAGO'!U:U,"2. S.H. PENDIENTE")+SUMIFS('SOLICITUD DE PAGO'!N:N,'SOLICITUD DE PAGO'!E:E,'AVANCE FINANCIERO 2016'!C49,'SOLICITUD DE PAGO'!U:U,"3. O.P. DGPE")+SUMIFS('SOLICITUD DE PAGO'!N:N,'SOLICITUD DE PAGO'!E:E,'AVANCE FINANCIERO 2016'!C49,'SOLICITUD DE PAGO'!U:U,"4. ESPERA FACT.")+SUMIFS('SOLICITUD DE PAGO'!N:N,'SOLICITUD DE PAGO'!E:E,'AVANCE FINANCIERO 2016'!C49,'SOLICITUD DE PAGO'!U:U,"5. SOL. PEDIDO"))/H49</f>
        <v>0.45</v>
      </c>
      <c r="G49" s="83">
        <f>LOOKUP(C49,OBRAS!D:D,OBRAS!K:K)</f>
        <v>12899260.779999999</v>
      </c>
      <c r="H49" s="83">
        <v>12899260.779999999</v>
      </c>
      <c r="I49" s="83">
        <f>LOOKUP(C49,OBRAS!D:D,OBRAS!I:I)</f>
        <v>13176148</v>
      </c>
      <c r="J49" s="69">
        <f t="shared" si="3"/>
        <v>276887.21999999997</v>
      </c>
      <c r="K49" s="75">
        <f>COUNTIF('SOLICITUD DE PAGO'!E:E,'AVANCE FINANCIERO 2016'!C49)-1</f>
        <v>1</v>
      </c>
      <c r="L49" s="91">
        <v>3869778.24</v>
      </c>
      <c r="M49" s="69">
        <f>(L49/1.16)-SUMIF('SOLICITUD DE PAGO'!E:E,'AVANCE FINANCIERO 2016'!C49,'SOLICITUD DE PAGO'!K:K)</f>
        <v>2616815.2000000002</v>
      </c>
      <c r="N49" s="70" t="s">
        <v>672</v>
      </c>
      <c r="O49" s="91">
        <f>SUMIF('SOLICITUD DE PAGO'!E:E,C49,'SOLICITUD DE PAGO'!N:N)</f>
        <v>5816414.29</v>
      </c>
      <c r="P49" s="69">
        <f t="shared" si="2"/>
        <v>7082846.4900000002</v>
      </c>
    </row>
    <row r="50" spans="1:16" ht="51" x14ac:dyDescent="0.2">
      <c r="A50" s="63" t="s">
        <v>9</v>
      </c>
      <c r="B50" s="65" t="str">
        <f>LOOKUP(C50,OBRAS!D:D,OBRAS!C:C)</f>
        <v>CONSERVACION Y RECONSTRUCCION DEL CAMINO DE ACCESO AL DELFINARIO, DESDE EL BLVD. MANLIO FABIO BELTRONES AL BLVD. ENCINAS JOHNSON</v>
      </c>
      <c r="C50" s="63" t="s">
        <v>814</v>
      </c>
      <c r="D50" s="66" t="str">
        <f>LOOKUP(C50,OBRAS!D:D,OBRAS!B:B)</f>
        <v>EDIFICADORA CABO HARO, S.A. DE C.V.</v>
      </c>
      <c r="E50" s="63" t="str">
        <f>LOOKUP(C50,OBRAS!D:D,OBRAS!E:E)</f>
        <v>C-00054/0076</v>
      </c>
      <c r="F50" s="68">
        <f>(SUMIFS('SOLICITUD DE PAGO'!N:N,'SOLICITUD DE PAGO'!E:E,'AVANCE FINANCIERO 2016'!C50,'SOLICITUD DE PAGO'!U:U,"1. S.H. PAGADO")+SUMIFS('SOLICITUD DE PAGO'!N:N,'SOLICITUD DE PAGO'!E:E,'AVANCE FINANCIERO 2016'!C50,'SOLICITUD DE PAGO'!U:U,"2. S.H. PENDIENTE")+SUMIFS('SOLICITUD DE PAGO'!N:N,'SOLICITUD DE PAGO'!E:E,'AVANCE FINANCIERO 2016'!C50,'SOLICITUD DE PAGO'!U:U,"3. O.P. DGPE")+SUMIFS('SOLICITUD DE PAGO'!N:N,'SOLICITUD DE PAGO'!E:E,'AVANCE FINANCIERO 2016'!C50,'SOLICITUD DE PAGO'!U:U,"4. ESPERA FACT.")+SUMIFS('SOLICITUD DE PAGO'!N:N,'SOLICITUD DE PAGO'!E:E,'AVANCE FINANCIERO 2016'!C50,'SOLICITUD DE PAGO'!U:U,"5. SOL. PEDIDO"))/H50</f>
        <v>0.79</v>
      </c>
      <c r="G50" s="83">
        <f>LOOKUP(C50,OBRAS!D:D,OBRAS!K:K)</f>
        <v>15121824.33</v>
      </c>
      <c r="H50" s="83">
        <v>14705882</v>
      </c>
      <c r="I50" s="83">
        <f>LOOKUP(C50,OBRAS!D:D,OBRAS!I:I)</f>
        <v>14705882</v>
      </c>
      <c r="J50" s="69">
        <f t="shared" si="3"/>
        <v>-415942.33</v>
      </c>
      <c r="K50" s="75">
        <f>COUNTIF('SOLICITUD DE PAGO'!E:E,'AVANCE FINANCIERO 2016'!C50)-1</f>
        <v>3</v>
      </c>
      <c r="L50" s="91">
        <v>4411764.59</v>
      </c>
      <c r="M50" s="69">
        <f>(L50/1.16)-SUMIF('SOLICITUD DE PAGO'!E:E,'AVANCE FINANCIERO 2016'!C50,'SOLICITUD DE PAGO'!K:K)</f>
        <v>1154285.5900000001</v>
      </c>
      <c r="N50" s="70" t="s">
        <v>672</v>
      </c>
      <c r="O50" s="91">
        <f>SUMIF('SOLICITUD DE PAGO'!E:E,C50,'SOLICITUD DE PAGO'!N:N)</f>
        <v>11581615.67</v>
      </c>
      <c r="P50" s="69">
        <f t="shared" si="2"/>
        <v>3540208.66</v>
      </c>
    </row>
    <row r="51" spans="1:16" ht="25.5" x14ac:dyDescent="0.2">
      <c r="A51" s="65" t="s">
        <v>967</v>
      </c>
      <c r="B51" s="65" t="str">
        <f>LOOKUP(C51,OBRAS!D:D,OBRAS!C:C)</f>
        <v>BOULEVARD DE ACCESO A LA LOCALIDAD Y MUNICIPIO DE BENJAMIN HILL, SONORA</v>
      </c>
      <c r="C51" s="63" t="s">
        <v>992</v>
      </c>
      <c r="D51" s="66" t="str">
        <f>LOOKUP(C51,OBRAS!D:D,OBRAS!B:B)</f>
        <v>MEZQUITE CONSTRUCCIONES,S.A.DE C.V.</v>
      </c>
      <c r="E51" s="63" t="str">
        <f>LOOKUP(C51,OBRAS!D:D,OBRAS!E:E)</f>
        <v>C-00052/0202</v>
      </c>
      <c r="F51" s="68">
        <f>(SUMIFS('SOLICITUD DE PAGO'!N:N,'SOLICITUD DE PAGO'!E:E,'AVANCE FINANCIERO 2016'!C51,'SOLICITUD DE PAGO'!U:U,"1. S.H. PAGADO")+SUMIFS('SOLICITUD DE PAGO'!N:N,'SOLICITUD DE PAGO'!E:E,'AVANCE FINANCIERO 2016'!C51,'SOLICITUD DE PAGO'!U:U,"2. S.H. PENDIENTE")+SUMIFS('SOLICITUD DE PAGO'!N:N,'SOLICITUD DE PAGO'!E:E,'AVANCE FINANCIERO 2016'!C51,'SOLICITUD DE PAGO'!U:U,"3. O.P. DGPE")+SUMIFS('SOLICITUD DE PAGO'!N:N,'SOLICITUD DE PAGO'!E:E,'AVANCE FINANCIERO 2016'!C51,'SOLICITUD DE PAGO'!U:U,"4. ESPERA FACT.")+SUMIFS('SOLICITUD DE PAGO'!N:N,'SOLICITUD DE PAGO'!E:E,'AVANCE FINANCIERO 2016'!C51,'SOLICITUD DE PAGO'!U:U,"5. SOL. PEDIDO"))/H51</f>
        <v>0.7</v>
      </c>
      <c r="G51" s="83">
        <f>LOOKUP(C51,OBRAS!D:D,OBRAS!K:K)</f>
        <v>7078846.0700000003</v>
      </c>
      <c r="H51" s="69">
        <f t="shared" ref="H51:H56" si="4">IF(G51&lt;I51,G51,I51)</f>
        <v>7078846.0700000003</v>
      </c>
      <c r="I51" s="83">
        <f>LOOKUP(C51,OBRAS!D:D,OBRAS!I:I)</f>
        <v>7078846.0700000003</v>
      </c>
      <c r="J51" s="69">
        <f t="shared" si="3"/>
        <v>0</v>
      </c>
      <c r="K51" s="75">
        <f>COUNTIF('SOLICITUD DE PAGO'!E:E,'AVANCE FINANCIERO 2016'!C51)-1</f>
        <v>2</v>
      </c>
      <c r="L51" s="83">
        <f t="shared" ref="L51:L56" si="5">H51*0.3</f>
        <v>2123653.8199999998</v>
      </c>
      <c r="M51" s="69">
        <f>(L51/1.16)-SUMIF('SOLICITUD DE PAGO'!E:E,'AVANCE FINANCIERO 2016'!C51,'SOLICITUD DE PAGO'!K:K)</f>
        <v>773034.56</v>
      </c>
      <c r="N51" s="70"/>
      <c r="O51" s="91">
        <f>SUMIF('SOLICITUD DE PAGO'!E:E,C51,'SOLICITUD DE PAGO'!N:N)</f>
        <v>4986499.17</v>
      </c>
      <c r="P51" s="69">
        <f t="shared" si="2"/>
        <v>2092346.9</v>
      </c>
    </row>
    <row r="52" spans="1:16" ht="51" x14ac:dyDescent="0.2">
      <c r="A52" s="65" t="s">
        <v>109</v>
      </c>
      <c r="B52" s="65" t="str">
        <f>LOOKUP(C52,OBRAS!D:D,OBRAS!C:C)</f>
        <v>CONSTRUCCION DE CENTRO COMUNITARIO DE APRENDIZAJE EN LA LOCALIDAD DE GUAJARAY, MUNICIPIO DE ALAMOS</v>
      </c>
      <c r="C52" s="63" t="s">
        <v>1644</v>
      </c>
      <c r="D52" s="66" t="str">
        <f>LOOKUP(C52,OBRAS!D:D,OBRAS!B:B)</f>
        <v>ING. GAUDENCIO RAMOS MONTEON</v>
      </c>
      <c r="E52" s="63" t="str">
        <f>LOOKUP(C52,OBRAS!D:D,OBRAS!E:E)</f>
        <v>C-00061/0019</v>
      </c>
      <c r="F52" s="68">
        <f>(SUMIFS('SOLICITUD DE PAGO'!N:N,'SOLICITUD DE PAGO'!E:E,'AVANCE FINANCIERO 2016'!C52,'SOLICITUD DE PAGO'!U:U,"1. S.H. PAGADO")+SUMIFS('SOLICITUD DE PAGO'!N:N,'SOLICITUD DE PAGO'!E:E,'AVANCE FINANCIERO 2016'!C52,'SOLICITUD DE PAGO'!U:U,"2. S.H. PENDIENTE")+SUMIFS('SOLICITUD DE PAGO'!N:N,'SOLICITUD DE PAGO'!E:E,'AVANCE FINANCIERO 2016'!C52,'SOLICITUD DE PAGO'!U:U,"3. O.P. DGPE")+SUMIFS('SOLICITUD DE PAGO'!N:N,'SOLICITUD DE PAGO'!E:E,'AVANCE FINANCIERO 2016'!C52,'SOLICITUD DE PAGO'!U:U,"4. ESPERA FACT.")+SUMIFS('SOLICITUD DE PAGO'!N:N,'SOLICITUD DE PAGO'!E:E,'AVANCE FINANCIERO 2016'!C52,'SOLICITUD DE PAGO'!U:U,"5. SOL. PEDIDO"))/H52</f>
        <v>0.43</v>
      </c>
      <c r="G52" s="83">
        <f>LOOKUP(C52,OBRAS!D:D,OBRAS!K:K)</f>
        <v>2879975.4</v>
      </c>
      <c r="H52" s="69">
        <f t="shared" si="4"/>
        <v>2879975.4</v>
      </c>
      <c r="I52" s="83">
        <f>LOOKUP(C52,OBRAS!D:D,OBRAS!I:I)</f>
        <v>2929404.64</v>
      </c>
      <c r="J52" s="69">
        <f t="shared" si="3"/>
        <v>49429.24</v>
      </c>
      <c r="K52" s="75">
        <f>COUNTIF('SOLICITUD DE PAGO'!E:E,'AVANCE FINANCIERO 2016'!C52)-1</f>
        <v>2</v>
      </c>
      <c r="L52" s="83">
        <f t="shared" si="5"/>
        <v>863992.62</v>
      </c>
      <c r="M52" s="69">
        <f>(L52/1.16)-SUMIF('SOLICITUD DE PAGO'!E:E,'AVANCE FINANCIERO 2016'!C52,'SOLICITUD DE PAGO'!K:K)</f>
        <v>602979.34</v>
      </c>
      <c r="N52" s="70"/>
      <c r="O52" s="91">
        <f>SUMIF('SOLICITUD DE PAGO'!E:E,C52,'SOLICITUD DE PAGO'!N:N)</f>
        <v>1247911.32</v>
      </c>
      <c r="P52" s="69">
        <f t="shared" si="2"/>
        <v>1632064.08</v>
      </c>
    </row>
    <row r="53" spans="1:16" ht="51" x14ac:dyDescent="0.2">
      <c r="A53" s="65" t="s">
        <v>109</v>
      </c>
      <c r="B53" s="65" t="str">
        <f>LOOKUP(C53,OBRAS!D:D,OBRAS!C:C)</f>
        <v>CONSTRUCCION DE CENTRO COMUNITARIO DE APRENDIZAJE EN LA LOCALIDAD DE MESA COLORADA, MUNICIPIO DE ALAMOS</v>
      </c>
      <c r="C53" s="63" t="s">
        <v>1647</v>
      </c>
      <c r="D53" s="66" t="str">
        <f>LOOKUP(C53,OBRAS!D:D,OBRAS!B:B)</f>
        <v>ING. GAUDENCIO RAMOS MONTEON</v>
      </c>
      <c r="E53" s="63" t="str">
        <f>LOOKUP(C53,OBRAS!D:D,OBRAS!E:E)</f>
        <v>C-00061/0020</v>
      </c>
      <c r="F53" s="68">
        <f>(SUMIFS('SOLICITUD DE PAGO'!N:N,'SOLICITUD DE PAGO'!E:E,'AVANCE FINANCIERO 2016'!C53,'SOLICITUD DE PAGO'!U:U,"1. S.H. PAGADO")+SUMIFS('SOLICITUD DE PAGO'!N:N,'SOLICITUD DE PAGO'!E:E,'AVANCE FINANCIERO 2016'!C53,'SOLICITUD DE PAGO'!U:U,"2. S.H. PENDIENTE")+SUMIFS('SOLICITUD DE PAGO'!N:N,'SOLICITUD DE PAGO'!E:E,'AVANCE FINANCIERO 2016'!C53,'SOLICITUD DE PAGO'!U:U,"3. O.P. DGPE")+SUMIFS('SOLICITUD DE PAGO'!N:N,'SOLICITUD DE PAGO'!E:E,'AVANCE FINANCIERO 2016'!C53,'SOLICITUD DE PAGO'!U:U,"4. ESPERA FACT.")+SUMIFS('SOLICITUD DE PAGO'!N:N,'SOLICITUD DE PAGO'!E:E,'AVANCE FINANCIERO 2016'!C53,'SOLICITUD DE PAGO'!U:U,"5. SOL. PEDIDO"))/H53</f>
        <v>0.43</v>
      </c>
      <c r="G53" s="83">
        <f>LOOKUP(C53,OBRAS!D:D,OBRAS!K:K)</f>
        <v>2879974.93</v>
      </c>
      <c r="H53" s="69">
        <f t="shared" si="4"/>
        <v>2879974.93</v>
      </c>
      <c r="I53" s="83">
        <f>LOOKUP(C53,OBRAS!D:D,OBRAS!I:I)</f>
        <v>2913396.64</v>
      </c>
      <c r="J53" s="69">
        <f t="shared" si="3"/>
        <v>33421.71</v>
      </c>
      <c r="K53" s="75">
        <f>COUNTIF('SOLICITUD DE PAGO'!E:E,'AVANCE FINANCIERO 2016'!C53)-1</f>
        <v>2</v>
      </c>
      <c r="L53" s="83">
        <f t="shared" si="5"/>
        <v>863992.48</v>
      </c>
      <c r="M53" s="69">
        <f>(L53/1.16)-SUMIF('SOLICITUD DE PAGO'!E:E,'AVANCE FINANCIERO 2016'!C53,'SOLICITUD DE PAGO'!K:K)</f>
        <v>602979.22</v>
      </c>
      <c r="N53" s="70"/>
      <c r="O53" s="91">
        <f>SUMIF('SOLICITUD DE PAGO'!E:E,C53,'SOLICITUD DE PAGO'!N:N)</f>
        <v>1247911.18</v>
      </c>
      <c r="P53" s="69">
        <f t="shared" si="2"/>
        <v>1632063.75</v>
      </c>
    </row>
    <row r="54" spans="1:16" ht="51" x14ac:dyDescent="0.2">
      <c r="A54" s="65" t="s">
        <v>299</v>
      </c>
      <c r="B54" s="65" t="str">
        <f>LOOKUP(C54,OBRAS!D:D,OBRAS!C:C)</f>
        <v xml:space="preserve"> CONSTRUCCION Y REHABILITACION DE CENTRO COMUNITARIO DE APRENDIZAJE EN LA LOCALIDAD DE TIERRA BLANCA MUNICIPIO DE NAVOJOA, SONORA</v>
      </c>
      <c r="C54" s="63" t="s">
        <v>1650</v>
      </c>
      <c r="D54" s="66" t="str">
        <f>LOOKUP(C54,OBRAS!D:D,OBRAS!B:B)</f>
        <v>CERTUS GERENCIA DE PROYECTOS S. A. DE C. V.</v>
      </c>
      <c r="E54" s="63" t="str">
        <f>LOOKUP(C54,OBRAS!D:D,OBRAS!E:E)</f>
        <v>C-00061/0021</v>
      </c>
      <c r="F54" s="68">
        <f>(SUMIFS('SOLICITUD DE PAGO'!N:N,'SOLICITUD DE PAGO'!E:E,'AVANCE FINANCIERO 2016'!C54,'SOLICITUD DE PAGO'!U:U,"1. S.H. PAGADO")+SUMIFS('SOLICITUD DE PAGO'!N:N,'SOLICITUD DE PAGO'!E:E,'AVANCE FINANCIERO 2016'!C54,'SOLICITUD DE PAGO'!U:U,"2. S.H. PENDIENTE")+SUMIFS('SOLICITUD DE PAGO'!N:N,'SOLICITUD DE PAGO'!E:E,'AVANCE FINANCIERO 2016'!C54,'SOLICITUD DE PAGO'!U:U,"3. O.P. DGPE")+SUMIFS('SOLICITUD DE PAGO'!N:N,'SOLICITUD DE PAGO'!E:E,'AVANCE FINANCIERO 2016'!C54,'SOLICITUD DE PAGO'!U:U,"4. ESPERA FACT.")+SUMIFS('SOLICITUD DE PAGO'!N:N,'SOLICITUD DE PAGO'!E:E,'AVANCE FINANCIERO 2016'!C54,'SOLICITUD DE PAGO'!U:U,"5. SOL. PEDIDO"))/H54</f>
        <v>0.38</v>
      </c>
      <c r="G54" s="83">
        <f>LOOKUP(C54,OBRAS!D:D,OBRAS!K:K)</f>
        <v>2113583.09</v>
      </c>
      <c r="H54" s="112">
        <f t="shared" si="4"/>
        <v>2113583.09</v>
      </c>
      <c r="I54" s="83">
        <f>LOOKUP(C54,OBRAS!D:D,OBRAS!I:I)</f>
        <v>2173380.5499999998</v>
      </c>
      <c r="J54" s="69">
        <f t="shared" si="3"/>
        <v>59797.46</v>
      </c>
      <c r="K54" s="75">
        <f>COUNTIF('SOLICITUD DE PAGO'!E:E,'AVANCE FINANCIERO 2016'!C54)-1</f>
        <v>1</v>
      </c>
      <c r="L54" s="83">
        <f t="shared" si="5"/>
        <v>634074.93000000005</v>
      </c>
      <c r="M54" s="69">
        <f>(L54/1.16)-SUMIF('SOLICITUD DE PAGO'!E:E,'AVANCE FINANCIERO 2016'!C54,'SOLICITUD DE PAGO'!K:K)</f>
        <v>481713.67</v>
      </c>
      <c r="N54" s="70"/>
      <c r="O54" s="91">
        <f>SUMIF('SOLICITUD DE PAGO'!E:E,C54,'SOLICITUD DE PAGO'!N:N)</f>
        <v>809744.76</v>
      </c>
      <c r="P54" s="69">
        <f t="shared" si="2"/>
        <v>1303838.33</v>
      </c>
    </row>
    <row r="55" spans="1:16" ht="51" x14ac:dyDescent="0.2">
      <c r="A55" s="65" t="s">
        <v>25</v>
      </c>
      <c r="B55" s="65" t="str">
        <f>LOOKUP(C55,OBRAS!D:D,OBRAS!C:C)</f>
        <v xml:space="preserve">CONSTRUCCION DE CENTRO COMUNITARIO DE APRENDIZAJE EN LA LOCALIDAD DE POZO DULCE MUNICIPIO DE HUATABAMPO </v>
      </c>
      <c r="C55" s="63" t="s">
        <v>1651</v>
      </c>
      <c r="D55" s="66" t="str">
        <f>LOOKUP(C55,OBRAS!D:D,OBRAS!B:B)</f>
        <v>CERTUS GERENCIA DE PROYECTOS S. A. DE C. V.</v>
      </c>
      <c r="E55" s="63" t="str">
        <f>LOOKUP(C55,OBRAS!D:D,OBRAS!E:E)</f>
        <v xml:space="preserve"> C-00061/0022</v>
      </c>
      <c r="F55" s="68">
        <f>(SUMIFS('SOLICITUD DE PAGO'!N:N,'SOLICITUD DE PAGO'!E:E,'AVANCE FINANCIERO 2016'!C55,'SOLICITUD DE PAGO'!U:U,"1. S.H. PAGADO")+SUMIFS('SOLICITUD DE PAGO'!N:N,'SOLICITUD DE PAGO'!E:E,'AVANCE FINANCIERO 2016'!C55,'SOLICITUD DE PAGO'!U:U,"2. S.H. PENDIENTE")+SUMIFS('SOLICITUD DE PAGO'!N:N,'SOLICITUD DE PAGO'!E:E,'AVANCE FINANCIERO 2016'!C55,'SOLICITUD DE PAGO'!U:U,"3. O.P. DGPE")+SUMIFS('SOLICITUD DE PAGO'!N:N,'SOLICITUD DE PAGO'!E:E,'AVANCE FINANCIERO 2016'!C55,'SOLICITUD DE PAGO'!U:U,"4. ESPERA FACT.")+SUMIFS('SOLICITUD DE PAGO'!N:N,'SOLICITUD DE PAGO'!E:E,'AVANCE FINANCIERO 2016'!C55,'SOLICITUD DE PAGO'!U:U,"5. SOL. PEDIDO"))/H55</f>
        <v>0.4</v>
      </c>
      <c r="G55" s="83">
        <f>LOOKUP(C55,OBRAS!D:D,OBRAS!K:K)</f>
        <v>2246395.02</v>
      </c>
      <c r="H55" s="112">
        <f t="shared" si="4"/>
        <v>2246395.02</v>
      </c>
      <c r="I55" s="83">
        <f>LOOKUP(C55,OBRAS!D:D,OBRAS!I:I)</f>
        <v>2271528.17</v>
      </c>
      <c r="J55" s="69">
        <f t="shared" si="3"/>
        <v>25133.15</v>
      </c>
      <c r="K55" s="75">
        <f>COUNTIF('SOLICITUD DE PAGO'!E:E,'AVANCE FINANCIERO 2016'!C55)-1</f>
        <v>1</v>
      </c>
      <c r="L55" s="83">
        <f t="shared" si="5"/>
        <v>673918.51</v>
      </c>
      <c r="M55" s="69">
        <f>(L55/1.16)-SUMIF('SOLICITUD DE PAGO'!E:E,'AVANCE FINANCIERO 2016'!C55,'SOLICITUD DE PAGO'!K:K)</f>
        <v>499160.79</v>
      </c>
      <c r="N55" s="70"/>
      <c r="O55" s="91">
        <f>SUMIF('SOLICITUD DE PAGO'!E:E,C55,'SOLICITUD DE PAGO'!N:N)</f>
        <v>895333.14</v>
      </c>
      <c r="P55" s="69">
        <f t="shared" si="2"/>
        <v>1351061.88</v>
      </c>
    </row>
    <row r="56" spans="1:16" ht="38.25" x14ac:dyDescent="0.2">
      <c r="A56" s="65" t="s">
        <v>134</v>
      </c>
      <c r="B56" s="65" t="str">
        <f>LOOKUP(C56,OBRAS!D:D,OBRAS!C:C)</f>
        <v>REHABILITACION DE COLECTOR DE AGUAS RESIDUALES</v>
      </c>
      <c r="C56" s="63" t="s">
        <v>1739</v>
      </c>
      <c r="D56" s="66" t="str">
        <f>LOOKUP(C56,OBRAS!D:D,OBRAS!B:B)</f>
        <v>CONSTRUCTORA MIRAMAR, S.A. DE C.V.</v>
      </c>
      <c r="E56" s="63" t="str">
        <f>LOOKUP(C56,OBRAS!D:D,OBRAS!E:E)</f>
        <v>C-00051/0003</v>
      </c>
      <c r="F56" s="68">
        <f>(SUMIFS('SOLICITUD DE PAGO'!N:N,'SOLICITUD DE PAGO'!E:E,'AVANCE FINANCIERO 2016'!C56,'SOLICITUD DE PAGO'!U:U,"1. S.H. PAGADO")+SUMIFS('SOLICITUD DE PAGO'!N:N,'SOLICITUD DE PAGO'!E:E,'AVANCE FINANCIERO 2016'!C56,'SOLICITUD DE PAGO'!U:U,"2. S.H. PENDIENTE")+SUMIFS('SOLICITUD DE PAGO'!N:N,'SOLICITUD DE PAGO'!E:E,'AVANCE FINANCIERO 2016'!C56,'SOLICITUD DE PAGO'!U:U,"3. O.P. DGPE")+SUMIFS('SOLICITUD DE PAGO'!N:N,'SOLICITUD DE PAGO'!E:E,'AVANCE FINANCIERO 2016'!C56,'SOLICITUD DE PAGO'!U:U,"4. ESPERA FACT.")+SUMIFS('SOLICITUD DE PAGO'!N:N,'SOLICITUD DE PAGO'!E:E,'AVANCE FINANCIERO 2016'!C56,'SOLICITUD DE PAGO'!U:U,"5. SOL. PEDIDO"))/H56</f>
        <v>0.99</v>
      </c>
      <c r="G56" s="83">
        <f>LOOKUP(C56,OBRAS!D:D,OBRAS!K:K)</f>
        <v>1284585.54</v>
      </c>
      <c r="H56" s="112">
        <f t="shared" si="4"/>
        <v>1284585.54</v>
      </c>
      <c r="I56" s="83">
        <f>LOOKUP(C56,OBRAS!D:D,OBRAS!I:I)</f>
        <v>1569130</v>
      </c>
      <c r="J56" s="69">
        <f t="shared" si="3"/>
        <v>284544.46000000002</v>
      </c>
      <c r="K56" s="75">
        <f>COUNTIF('SOLICITUD DE PAGO'!E:E,'AVANCE FINANCIERO 2016'!C56)-1</f>
        <v>3</v>
      </c>
      <c r="L56" s="83">
        <f t="shared" si="5"/>
        <v>385375.66</v>
      </c>
      <c r="M56" s="69">
        <f>(L56/1.16)-SUMIF('SOLICITUD DE PAGO'!E:E,'AVANCE FINANCIERO 2016'!C56,'SOLICITUD DE PAGO'!K:K)</f>
        <v>0</v>
      </c>
      <c r="N56" s="70" t="s">
        <v>785</v>
      </c>
      <c r="O56" s="91">
        <f>SUMIF('SOLICITUD DE PAGO'!E:E,C56,'SOLICITUD DE PAGO'!N:N)</f>
        <v>1276459.99</v>
      </c>
      <c r="P56" s="69">
        <f t="shared" si="2"/>
        <v>8125.55</v>
      </c>
    </row>
    <row r="57" spans="1:16" ht="63.75" x14ac:dyDescent="0.2">
      <c r="A57" s="146" t="s">
        <v>9</v>
      </c>
      <c r="B57" s="65" t="str">
        <f>LOOKUP(C57,OBRAS!D:D,OBRAS!C:C)</f>
        <v>REHABILITACION DE PAVIMENTOS A BASE DE RECARPETEO EN CALLE MONTEVERDE ENTRE BLVD. PROGRESO Y VERACRUZ EN LA LOCALIDAD Y MUNICIPIO DE HERMOSILLO, SONORA</v>
      </c>
      <c r="C57" s="63" t="s">
        <v>777</v>
      </c>
      <c r="D57" s="66" t="str">
        <f>LOOKUP(C57,OBRAS!D:D,OBRAS!B:B)</f>
        <v>PROYECTOS Y CONSTRUCCIONES VIRGO, S. A. DE C. V.</v>
      </c>
      <c r="E57" s="63" t="str">
        <f>LOOKUP(C57,OBRAS!D:D,OBRAS!E:E)</f>
        <v>C-00052/0175</v>
      </c>
      <c r="F57" s="68">
        <f>(SUMIFS('SOLICITUD DE PAGO'!N:N,'SOLICITUD DE PAGO'!E:E,'AVANCE FINANCIERO 2016'!C57,'SOLICITUD DE PAGO'!U:U,"1. S.H. PAGADO")+SUMIFS('SOLICITUD DE PAGO'!N:N,'SOLICITUD DE PAGO'!E:E,'AVANCE FINANCIERO 2016'!C57,'SOLICITUD DE PAGO'!U:U,"2. S.H. PENDIENTE")+SUMIFS('SOLICITUD DE PAGO'!N:N,'SOLICITUD DE PAGO'!E:E,'AVANCE FINANCIERO 2016'!C57,'SOLICITUD DE PAGO'!U:U,"3. O.P. DGPE")+SUMIFS('SOLICITUD DE PAGO'!N:N,'SOLICITUD DE PAGO'!E:E,'AVANCE FINANCIERO 2016'!C57,'SOLICITUD DE PAGO'!U:U,"4. ESPERA FACT.")+SUMIFS('SOLICITUD DE PAGO'!N:N,'SOLICITUD DE PAGO'!E:E,'AVANCE FINANCIERO 2016'!C57,'SOLICITUD DE PAGO'!U:U,"5. SOL. PEDIDO"))/H57</f>
        <v>0.98</v>
      </c>
      <c r="G57" s="83">
        <f>LOOKUP(C57,OBRAS!D:D,OBRAS!K:K)</f>
        <v>19539418.57</v>
      </c>
      <c r="H57" s="147">
        <v>19539418.57</v>
      </c>
      <c r="I57" s="83">
        <f>LOOKUP(C57,OBRAS!D:D,OBRAS!I:I)</f>
        <v>20492557.449999999</v>
      </c>
      <c r="J57" s="69">
        <f t="shared" si="3"/>
        <v>953138.88</v>
      </c>
      <c r="K57" s="75">
        <f>COUNTIF('SOLICITUD DE PAGO'!E:E,'AVANCE FINANCIERO 2016'!C57)-1</f>
        <v>4</v>
      </c>
      <c r="L57" s="91">
        <v>5861825.5800000001</v>
      </c>
      <c r="M57" s="69">
        <f>(L57/1.16)-SUMIF('SOLICITUD DE PAGO'!E:E,'AVANCE FINANCIERO 2016'!C57,'SOLICITUD DE PAGO'!K:K)</f>
        <v>139244.41</v>
      </c>
      <c r="N57" s="70" t="s">
        <v>785</v>
      </c>
      <c r="O57" s="91">
        <f>SUMIF('SOLICITUD DE PAGO'!E:E,C57,'SOLICITUD DE PAGO'!N:N)</f>
        <v>19162530.32</v>
      </c>
      <c r="P57" s="69">
        <f t="shared" si="2"/>
        <v>376888.25</v>
      </c>
    </row>
    <row r="58" spans="1:16" ht="38.25" customHeight="1" x14ac:dyDescent="0.2">
      <c r="A58" s="63" t="s">
        <v>9</v>
      </c>
      <c r="B58" s="65" t="str">
        <f>LOOKUP(C58,OBRAS!D:D,OBRAS!C:C)</f>
        <v>REHABILITACION DE PAVIMIENTOS A BASE DE RECARPETEO EN CALLE REFORMA EN LOS TRAMOS DE PROGRESO Y AVE 13 DE JOSE CARMELO A AVE 8 Y DE BLVD SERNA A BLVD LUIS ENCINAS EN LA LOCALIDAD Y MUNICIPIO DE HERMOSILLO, SON</v>
      </c>
      <c r="C58" s="63" t="s">
        <v>824</v>
      </c>
      <c r="D58" s="66" t="str">
        <f>LOOKUP(C58,OBRAS!D:D,OBRAS!B:B)</f>
        <v>CONSTRUPIMA, S.A. DE C.V.</v>
      </c>
      <c r="E58" s="63" t="str">
        <f>LOOKUP(C58,OBRAS!D:D,OBRAS!E:E)</f>
        <v>C-00052/0177</v>
      </c>
      <c r="F58" s="68">
        <f>(SUMIFS('SOLICITUD DE PAGO'!N:N,'SOLICITUD DE PAGO'!E:E,'AVANCE FINANCIERO 2016'!C58,'SOLICITUD DE PAGO'!U:U,"1. S.H. PAGADO")+SUMIFS('SOLICITUD DE PAGO'!N:N,'SOLICITUD DE PAGO'!E:E,'AVANCE FINANCIERO 2016'!C58,'SOLICITUD DE PAGO'!U:U,"2. S.H. PENDIENTE")+SUMIFS('SOLICITUD DE PAGO'!N:N,'SOLICITUD DE PAGO'!E:E,'AVANCE FINANCIERO 2016'!C58,'SOLICITUD DE PAGO'!U:U,"3. O.P. DGPE")+SUMIFS('SOLICITUD DE PAGO'!N:N,'SOLICITUD DE PAGO'!E:E,'AVANCE FINANCIERO 2016'!C58,'SOLICITUD DE PAGO'!U:U,"4. ESPERA FACT.")+SUMIFS('SOLICITUD DE PAGO'!N:N,'SOLICITUD DE PAGO'!E:E,'AVANCE FINANCIERO 2016'!C58,'SOLICITUD DE PAGO'!U:U,"5. SOL. PEDIDO"))/H58</f>
        <v>0.91</v>
      </c>
      <c r="G58" s="83">
        <f>LOOKUP(C58,OBRAS!D:D,OBRAS!K:K)</f>
        <v>22873151.760000002</v>
      </c>
      <c r="H58" s="147">
        <v>23003099.84</v>
      </c>
      <c r="I58" s="83">
        <f>LOOKUP(C58,OBRAS!D:D,OBRAS!I:I)</f>
        <v>23003099.84</v>
      </c>
      <c r="J58" s="69">
        <f t="shared" si="3"/>
        <v>129948.08</v>
      </c>
      <c r="K58" s="75">
        <f>COUNTIF('SOLICITUD DE PAGO'!E:E,'AVANCE FINANCIERO 2016'!C58)-1</f>
        <v>4</v>
      </c>
      <c r="L58" s="91">
        <v>6861945.5199999996</v>
      </c>
      <c r="M58" s="69">
        <f>(L58/1.16)-SUMIF('SOLICITUD DE PAGO'!E:E,'AVANCE FINANCIERO 2016'!C58,'SOLICITUD DE PAGO'!K:K)</f>
        <v>741250.92</v>
      </c>
      <c r="N58" s="70" t="s">
        <v>785</v>
      </c>
      <c r="O58" s="91">
        <f>SUMIF('SOLICITUD DE PAGO'!E:E,C58,'SOLICITUD DE PAGO'!N:N)</f>
        <v>20866832.530000001</v>
      </c>
      <c r="P58" s="69">
        <f t="shared" si="2"/>
        <v>2006319.23</v>
      </c>
    </row>
    <row r="59" spans="1:16" ht="51" x14ac:dyDescent="0.2">
      <c r="A59" s="63" t="s">
        <v>9</v>
      </c>
      <c r="B59" s="65" t="str">
        <f>LOOKUP(C59,OBRAS!D:D,OBRAS!C:C)</f>
        <v>REHABILITACION DE PAVIMENTOS A BASE DE RECARPETEO EN AVE JOSE S. HEALY, AVE JOSE CARMELO Y PERIMETRAL NORTE</v>
      </c>
      <c r="C59" s="63" t="s">
        <v>872</v>
      </c>
      <c r="D59" s="66" t="str">
        <f>LOOKUP(C59,OBRAS!D:D,OBRAS!B:B)</f>
        <v>GRUPO CONSTRUCCIONES PLANIFICADAS, SA DE CV</v>
      </c>
      <c r="E59" s="63" t="str">
        <f>LOOKUP(C59,OBRAS!D:D,OBRAS!E:E)</f>
        <v>C-00052/0178</v>
      </c>
      <c r="F59" s="68">
        <f>(SUMIFS('SOLICITUD DE PAGO'!N:N,'SOLICITUD DE PAGO'!E:E,'AVANCE FINANCIERO 2016'!C59,'SOLICITUD DE PAGO'!U:U,"1. S.H. PAGADO")+SUMIFS('SOLICITUD DE PAGO'!N:N,'SOLICITUD DE PAGO'!E:E,'AVANCE FINANCIERO 2016'!C59,'SOLICITUD DE PAGO'!U:U,"2. S.H. PENDIENTE")+SUMIFS('SOLICITUD DE PAGO'!N:N,'SOLICITUD DE PAGO'!E:E,'AVANCE FINANCIERO 2016'!C59,'SOLICITUD DE PAGO'!U:U,"3. O.P. DGPE")+SUMIFS('SOLICITUD DE PAGO'!N:N,'SOLICITUD DE PAGO'!E:E,'AVANCE FINANCIERO 2016'!C59,'SOLICITUD DE PAGO'!U:U,"4. ESPERA FACT.")+SUMIFS('SOLICITUD DE PAGO'!N:N,'SOLICITUD DE PAGO'!E:E,'AVANCE FINANCIERO 2016'!C59,'SOLICITUD DE PAGO'!U:U,"5. SOL. PEDIDO"))/H59</f>
        <v>0.96</v>
      </c>
      <c r="G59" s="83">
        <f>LOOKUP(C59,OBRAS!D:D,OBRAS!K:K)</f>
        <v>26153970.379999999</v>
      </c>
      <c r="H59" s="112">
        <v>26153970.379999999</v>
      </c>
      <c r="I59" s="83">
        <f>LOOKUP(C59,OBRAS!D:D,OBRAS!I:I)</f>
        <v>28724473.370000001</v>
      </c>
      <c r="J59" s="69">
        <f t="shared" si="3"/>
        <v>2570502.9900000002</v>
      </c>
      <c r="K59" s="75">
        <f>COUNTIF('SOLICITUD DE PAGO'!E:E,'AVANCE FINANCIERO 2016'!C59)-1</f>
        <v>4</v>
      </c>
      <c r="L59" s="91">
        <v>7846191.1100000003</v>
      </c>
      <c r="M59" s="69">
        <f>(L59/1.16)-SUMIF('SOLICITUD DE PAGO'!E:E,'AVANCE FINANCIERO 2016'!C59,'SOLICITUD DE PAGO'!K:K)</f>
        <v>373390.12</v>
      </c>
      <c r="N59" s="70" t="s">
        <v>785</v>
      </c>
      <c r="O59" s="91">
        <f>SUMIF('SOLICITUD DE PAGO'!E:E,C59,'SOLICITUD DE PAGO'!N:N)</f>
        <v>25143327.75</v>
      </c>
      <c r="P59" s="69">
        <f t="shared" si="2"/>
        <v>1010642.63</v>
      </c>
    </row>
    <row r="60" spans="1:16" ht="38.25" customHeight="1" x14ac:dyDescent="0.2">
      <c r="A60" s="63" t="s">
        <v>9</v>
      </c>
      <c r="B60" s="65" t="str">
        <f>LOOKUP(C60,OBRAS!D:D,OBRAS!C:C)</f>
        <v>REHABILITACIÓN DE PAVIMENTOS A BASE DE RECARPETEO EN BLVD. GARCIA MORALES ENTRE ANTONIO QUIROGA Y ACCESO AL AEROPUERTO EN LA LOCALIDAD Y MUNICIPIO DE HERMOSILLO, SONORA.</v>
      </c>
      <c r="C60" s="63" t="s">
        <v>835</v>
      </c>
      <c r="D60" s="66" t="str">
        <f>LOOKUP(C60,OBRAS!D:D,OBRAS!B:B)</f>
        <v>CONSTRUCCIONES EL LLANO, S.A. DE C.V.</v>
      </c>
      <c r="E60" s="63" t="str">
        <f>LOOKUP(C60,OBRAS!D:D,OBRAS!E:E)</f>
        <v>C-00052/0179</v>
      </c>
      <c r="F60" s="68">
        <f>(SUMIFS('SOLICITUD DE PAGO'!N:N,'SOLICITUD DE PAGO'!E:E,'AVANCE FINANCIERO 2016'!C60,'SOLICITUD DE PAGO'!U:U,"1. S.H. PAGADO")+SUMIFS('SOLICITUD DE PAGO'!N:N,'SOLICITUD DE PAGO'!E:E,'AVANCE FINANCIERO 2016'!C60,'SOLICITUD DE PAGO'!U:U,"2. S.H. PENDIENTE")+SUMIFS('SOLICITUD DE PAGO'!N:N,'SOLICITUD DE PAGO'!E:E,'AVANCE FINANCIERO 2016'!C60,'SOLICITUD DE PAGO'!U:U,"3. O.P. DGPE")+SUMIFS('SOLICITUD DE PAGO'!N:N,'SOLICITUD DE PAGO'!E:E,'AVANCE FINANCIERO 2016'!C60,'SOLICITUD DE PAGO'!U:U,"4. ESPERA FACT.")+SUMIFS('SOLICITUD DE PAGO'!N:N,'SOLICITUD DE PAGO'!E:E,'AVANCE FINANCIERO 2016'!C60,'SOLICITUD DE PAGO'!U:U,"5. SOL. PEDIDO"))/H60</f>
        <v>0.98</v>
      </c>
      <c r="G60" s="83">
        <f>LOOKUP(C60,OBRAS!D:D,OBRAS!K:K)</f>
        <v>19069990.460000001</v>
      </c>
      <c r="H60" s="112">
        <v>19069990.460000001</v>
      </c>
      <c r="I60" s="83">
        <f>LOOKUP(C60,OBRAS!D:D,OBRAS!I:I)</f>
        <v>20970756</v>
      </c>
      <c r="J60" s="69">
        <f t="shared" si="3"/>
        <v>1900765.54</v>
      </c>
      <c r="K60" s="75">
        <f>COUNTIF('SOLICITUD DE PAGO'!E:E,'AVANCE FINANCIERO 2016'!C60)-1</f>
        <v>6</v>
      </c>
      <c r="L60" s="91">
        <v>5720997.1399999997</v>
      </c>
      <c r="M60" s="69">
        <f>(L60/1.16)-SUMIF('SOLICITUD DE PAGO'!E:E,'AVANCE FINANCIERO 2016'!C60,'SOLICITUD DE PAGO'!K:K)</f>
        <v>120987.23</v>
      </c>
      <c r="N60" s="70" t="s">
        <v>785</v>
      </c>
      <c r="O60" s="91">
        <f>SUMIF('SOLICITUD DE PAGO'!E:E,C60,'SOLICITUD DE PAGO'!N:N)</f>
        <v>18742518.379999999</v>
      </c>
      <c r="P60" s="69">
        <f t="shared" si="2"/>
        <v>327472.08</v>
      </c>
    </row>
    <row r="61" spans="1:16" ht="51" x14ac:dyDescent="0.2">
      <c r="A61" s="65" t="s">
        <v>9</v>
      </c>
      <c r="B61" s="65" t="str">
        <f>LOOKUP(C61,OBRAS!D:D,OBRAS!C:C)</f>
        <v>REHABILITACION DE PAVIMENTOS A BASE DE RECARPETEO EN BLVD. LUIS ENCINAS ENTRE BENITO JUAREZ Y PERIFERICO ORIENTE</v>
      </c>
      <c r="C61" s="63" t="s">
        <v>1725</v>
      </c>
      <c r="D61" s="66" t="str">
        <f>LOOKUP(C61,OBRAS!D:D,OBRAS!B:B)</f>
        <v>EDIFICACIONES Y PROYECTOS MOCELIK, S.A. DE C.V.</v>
      </c>
      <c r="E61" s="63" t="str">
        <f>LOOKUP(C61,OBRAS!D:D,OBRAS!E:E)</f>
        <v>C-00052/0226</v>
      </c>
      <c r="F61" s="68">
        <f>(SUMIFS('SOLICITUD DE PAGO'!N:N,'SOLICITUD DE PAGO'!E:E,'AVANCE FINANCIERO 2016'!C61,'SOLICITUD DE PAGO'!U:U,"1. S.H. PAGADO")+SUMIFS('SOLICITUD DE PAGO'!N:N,'SOLICITUD DE PAGO'!E:E,'AVANCE FINANCIERO 2016'!C61,'SOLICITUD DE PAGO'!U:U,"2. S.H. PENDIENTE")+SUMIFS('SOLICITUD DE PAGO'!N:N,'SOLICITUD DE PAGO'!E:E,'AVANCE FINANCIERO 2016'!C61,'SOLICITUD DE PAGO'!U:U,"3. O.P. DGPE")+SUMIFS('SOLICITUD DE PAGO'!N:N,'SOLICITUD DE PAGO'!E:E,'AVANCE FINANCIERO 2016'!C61,'SOLICITUD DE PAGO'!U:U,"4. ESPERA FACT.")+SUMIFS('SOLICITUD DE PAGO'!N:N,'SOLICITUD DE PAGO'!E:E,'AVANCE FINANCIERO 2016'!C61,'SOLICITUD DE PAGO'!U:U,"5. SOL. PEDIDO"))/H61</f>
        <v>0.86</v>
      </c>
      <c r="G61" s="83">
        <f>LOOKUP(C61,OBRAS!D:D,OBRAS!K:K)</f>
        <v>14497968.359999999</v>
      </c>
      <c r="H61" s="112">
        <v>14497968.359999999</v>
      </c>
      <c r="I61" s="83">
        <f>LOOKUP(C61,OBRAS!D:D,OBRAS!I:I)</f>
        <v>14664527.17</v>
      </c>
      <c r="J61" s="69">
        <f t="shared" si="3"/>
        <v>166558.81</v>
      </c>
      <c r="K61" s="75">
        <f>COUNTIF('SOLICITUD DE PAGO'!E:E,'AVANCE FINANCIERO 2016'!C61)-1</f>
        <v>3</v>
      </c>
      <c r="L61" s="83">
        <v>4349390.51</v>
      </c>
      <c r="M61" s="69">
        <f>(L61/1.16)-SUMIF('SOLICITUD DE PAGO'!E:E,'AVANCE FINANCIERO 2016'!C61,'SOLICITUD DE PAGO'!K:K)</f>
        <v>773573.36</v>
      </c>
      <c r="N61" s="70" t="s">
        <v>785</v>
      </c>
      <c r="O61" s="91">
        <f>SUMIF('SOLICITUD DE PAGO'!E:E,C61,'SOLICITUD DE PAGO'!N:N)</f>
        <v>12404163.130000001</v>
      </c>
      <c r="P61" s="69">
        <f t="shared" si="2"/>
        <v>2093805.23</v>
      </c>
    </row>
    <row r="62" spans="1:16" ht="63.75" x14ac:dyDescent="0.2">
      <c r="A62" s="65" t="s">
        <v>88</v>
      </c>
      <c r="B62" s="65" t="str">
        <f>LOOKUP(C62,OBRAS!D:D,OBRAS!C:C)</f>
        <v>PAVIMENTACION CON CONCRETO HIDRAULICO EN CALLE 10 ENTRE AVENIDA QUIROZ MORA Y AVENIDA H. COLEGIO MILITAR (CALLE N) EN LA LOCALIDAD Y MUNICIPIO DE CABORCA, SONORA</v>
      </c>
      <c r="C62" s="63" t="s">
        <v>1230</v>
      </c>
      <c r="D62" s="66" t="str">
        <f>LOOKUP(C62,OBRAS!D:D,OBRAS!B:B)</f>
        <v>INGENIERIA UNIVERSAL S. A. DE C. V.</v>
      </c>
      <c r="E62" s="63" t="str">
        <f>LOOKUP(C62,OBRAS!D:D,OBRAS!E:E)</f>
        <v>C-00052/0223</v>
      </c>
      <c r="F62" s="68">
        <f>(SUMIFS('SOLICITUD DE PAGO'!N:N,'SOLICITUD DE PAGO'!E:E,'AVANCE FINANCIERO 2016'!C62,'SOLICITUD DE PAGO'!U:U,"1. S.H. PAGADO")+SUMIFS('SOLICITUD DE PAGO'!N:N,'SOLICITUD DE PAGO'!E:E,'AVANCE FINANCIERO 2016'!C62,'SOLICITUD DE PAGO'!U:U,"2. S.H. PENDIENTE")+SUMIFS('SOLICITUD DE PAGO'!N:N,'SOLICITUD DE PAGO'!E:E,'AVANCE FINANCIERO 2016'!C62,'SOLICITUD DE PAGO'!U:U,"3. O.P. DGPE")+SUMIFS('SOLICITUD DE PAGO'!N:N,'SOLICITUD DE PAGO'!E:E,'AVANCE FINANCIERO 2016'!C62,'SOLICITUD DE PAGO'!U:U,"4. ESPERA FACT.")+SUMIFS('SOLICITUD DE PAGO'!N:N,'SOLICITUD DE PAGO'!E:E,'AVANCE FINANCIERO 2016'!C62,'SOLICITUD DE PAGO'!U:U,"5. SOL. PEDIDO"))/H62</f>
        <v>0.4</v>
      </c>
      <c r="G62" s="83">
        <f>LOOKUP(C62,OBRAS!D:D,OBRAS!K:K)</f>
        <v>11512863.189999999</v>
      </c>
      <c r="H62" s="112">
        <f>IF(G62&lt;I62,G62,I62)</f>
        <v>11512863.189999999</v>
      </c>
      <c r="I62" s="83">
        <f>LOOKUP(C62,OBRAS!D:D,OBRAS!I:I)</f>
        <v>11781894.369999999</v>
      </c>
      <c r="J62" s="69">
        <f t="shared" si="3"/>
        <v>269031.18</v>
      </c>
      <c r="K62" s="75">
        <f>COUNTIF('SOLICITUD DE PAGO'!E:E,'AVANCE FINANCIERO 2016'!C62)-1</f>
        <v>3</v>
      </c>
      <c r="L62" s="83">
        <f>H62*0.3</f>
        <v>3453858.96</v>
      </c>
      <c r="M62" s="69">
        <f>(L62/1.16)-SUMIF('SOLICITUD DE PAGO'!E:E,'AVANCE FINANCIERO 2016'!C62,'SOLICITUD DE PAGO'!K:K)</f>
        <v>2551802.4900000002</v>
      </c>
      <c r="N62" s="70" t="s">
        <v>785</v>
      </c>
      <c r="O62" s="91">
        <f>SUMIF('SOLICITUD DE PAGO'!E:E,C62,'SOLICITUD DE PAGO'!N:N)</f>
        <v>4605984.45</v>
      </c>
      <c r="P62" s="69">
        <f t="shared" si="2"/>
        <v>6906878.7400000002</v>
      </c>
    </row>
    <row r="63" spans="1:16" ht="38.25" x14ac:dyDescent="0.2">
      <c r="A63" s="63" t="s">
        <v>1662</v>
      </c>
      <c r="B63" s="65" t="str">
        <f>LOOKUP(C63,OBRAS!D:D,OBRAS!C:C)</f>
        <v>PAVIMENTACION CON CONCRETO HIDRAULICO EN LA CALLE 2 DE ABRIL EN LA LOCALIDAD DE VILLA JUAREZ</v>
      </c>
      <c r="C63" s="63" t="s">
        <v>975</v>
      </c>
      <c r="D63" s="66" t="str">
        <f>LOOKUP(C63,OBRAS!D:D,OBRAS!B:B)</f>
        <v>ING. LUIS ENRIQUE PEÑA RODRIGO</v>
      </c>
      <c r="E63" s="63" t="str">
        <f>LOOKUP(C63,OBRAS!D:D,OBRAS!E:E)</f>
        <v>C-00052/0206</v>
      </c>
      <c r="F63" s="68">
        <f>(SUMIFS('SOLICITUD DE PAGO'!N:N,'SOLICITUD DE PAGO'!E:E,'AVANCE FINANCIERO 2016'!C63,'SOLICITUD DE PAGO'!U:U,"1. S.H. PAGADO")+SUMIFS('SOLICITUD DE PAGO'!N:N,'SOLICITUD DE PAGO'!E:E,'AVANCE FINANCIERO 2016'!C63,'SOLICITUD DE PAGO'!U:U,"2. S.H. PENDIENTE")+SUMIFS('SOLICITUD DE PAGO'!N:N,'SOLICITUD DE PAGO'!E:E,'AVANCE FINANCIERO 2016'!C63,'SOLICITUD DE PAGO'!U:U,"3. O.P. DGPE")+SUMIFS('SOLICITUD DE PAGO'!N:N,'SOLICITUD DE PAGO'!E:E,'AVANCE FINANCIERO 2016'!C63,'SOLICITUD DE PAGO'!U:U,"4. ESPERA FACT.")+SUMIFS('SOLICITUD DE PAGO'!N:N,'SOLICITUD DE PAGO'!E:E,'AVANCE FINANCIERO 2016'!C63,'SOLICITUD DE PAGO'!U:U,"5. SOL. PEDIDO"))/H63</f>
        <v>0.73</v>
      </c>
      <c r="G63" s="83">
        <f>LOOKUP(C63,OBRAS!D:D,OBRAS!K:K)</f>
        <v>14487117.35</v>
      </c>
      <c r="H63" s="112">
        <v>14487117.35</v>
      </c>
      <c r="I63" s="83">
        <f>LOOKUP(C63,OBRAS!D:D,OBRAS!I:I)</f>
        <v>14575023.41</v>
      </c>
      <c r="J63" s="69">
        <f t="shared" si="3"/>
        <v>87906.06</v>
      </c>
      <c r="K63" s="75">
        <f>COUNTIF('SOLICITUD DE PAGO'!E:E,'AVANCE FINANCIERO 2016'!C63)-1</f>
        <v>3</v>
      </c>
      <c r="L63" s="83">
        <v>255475.41</v>
      </c>
      <c r="M63" s="69">
        <f>(L63/1.16)-SUMIF('SOLICITUD DE PAGO'!E:E,'AVANCE FINANCIERO 2016'!C63,'SOLICITUD DE PAGO'!K:K)</f>
        <v>-2104345.69</v>
      </c>
      <c r="N63" s="70" t="s">
        <v>785</v>
      </c>
      <c r="O63" s="91">
        <f>SUMIF('SOLICITUD DE PAGO'!E:E,C63,'SOLICITUD DE PAGO'!N:N)</f>
        <v>10638006.82</v>
      </c>
      <c r="P63" s="69">
        <f t="shared" si="2"/>
        <v>3849110.53</v>
      </c>
    </row>
    <row r="64" spans="1:16" ht="38.25" x14ac:dyDescent="0.2">
      <c r="A64" s="65" t="s">
        <v>258</v>
      </c>
      <c r="B64" s="65" t="str">
        <f>LOOKUP(C64,OBRAS!D:D,OBRAS!C:C)</f>
        <v>REHABILITACION DE PAVIMENTOS EN 15 CALLES DE CD. OBREGON CENTRO</v>
      </c>
      <c r="C64" s="63" t="s">
        <v>1625</v>
      </c>
      <c r="D64" s="66" t="str">
        <f>LOOKUP(C64,OBRAS!D:D,OBRAS!B:B)</f>
        <v>CORPORATIVO DE SERVICIOS &amp; PLANEACION EN INFRAESTRUCTURA, S.A. DE C.V.</v>
      </c>
      <c r="E64" s="63" t="str">
        <f>LOOKUP(C64,OBRAS!D:D,OBRAS!E:E)</f>
        <v>C-00052/0222</v>
      </c>
      <c r="F64" s="68">
        <f>(SUMIFS('SOLICITUD DE PAGO'!N:N,'SOLICITUD DE PAGO'!E:E,'AVANCE FINANCIERO 2016'!C64,'SOLICITUD DE PAGO'!U:U,"1. S.H. PAGADO")+SUMIFS('SOLICITUD DE PAGO'!N:N,'SOLICITUD DE PAGO'!E:E,'AVANCE FINANCIERO 2016'!C64,'SOLICITUD DE PAGO'!U:U,"2. S.H. PENDIENTE")+SUMIFS('SOLICITUD DE PAGO'!N:N,'SOLICITUD DE PAGO'!E:E,'AVANCE FINANCIERO 2016'!C64,'SOLICITUD DE PAGO'!U:U,"3. O.P. DGPE")+SUMIFS('SOLICITUD DE PAGO'!N:N,'SOLICITUD DE PAGO'!E:E,'AVANCE FINANCIERO 2016'!C64,'SOLICITUD DE PAGO'!U:U,"4. ESPERA FACT.")+SUMIFS('SOLICITUD DE PAGO'!N:N,'SOLICITUD DE PAGO'!E:E,'AVANCE FINANCIERO 2016'!C64,'SOLICITUD DE PAGO'!U:U,"5. SOL. PEDIDO"))/H64</f>
        <v>0.3</v>
      </c>
      <c r="G64" s="83">
        <f>LOOKUP(C64,OBRAS!D:D,OBRAS!K:K)</f>
        <v>22807797.98</v>
      </c>
      <c r="H64" s="112">
        <f>IF(G64&lt;I64,G64,I64)</f>
        <v>22807797.98</v>
      </c>
      <c r="I64" s="83">
        <f>LOOKUP(C64,OBRAS!D:D,OBRAS!I:I)</f>
        <v>23038534.969999999</v>
      </c>
      <c r="J64" s="69">
        <f t="shared" si="3"/>
        <v>230736.99</v>
      </c>
      <c r="K64" s="75">
        <f>COUNTIF('SOLICITUD DE PAGO'!E:E,'AVANCE FINANCIERO 2016'!C64)-1</f>
        <v>0</v>
      </c>
      <c r="L64" s="83">
        <f>H64*0.3</f>
        <v>6842339.3899999997</v>
      </c>
      <c r="M64" s="69">
        <f>(L64/1.16)-SUMIF('SOLICITUD DE PAGO'!E:E,'AVANCE FINANCIERO 2016'!C64,'SOLICITUD DE PAGO'!K:K)</f>
        <v>5898568.4400000004</v>
      </c>
      <c r="N64" s="70" t="s">
        <v>785</v>
      </c>
      <c r="O64" s="91">
        <f>SUMIF('SOLICITUD DE PAGO'!E:E,C64,'SOLICITUD DE PAGO'!N:N)</f>
        <v>6842339.3899999997</v>
      </c>
      <c r="P64" s="69">
        <f t="shared" si="2"/>
        <v>15965458.59</v>
      </c>
    </row>
    <row r="65" spans="1:16" ht="51" x14ac:dyDescent="0.2">
      <c r="A65" s="65" t="s">
        <v>48</v>
      </c>
      <c r="B65" s="65" t="str">
        <f>LOOKUP(C65,OBRAS!D:D,OBRAS!C:C)</f>
        <v>REHABILITACION DE PAVIMENTOS A BASE DE RECARPETEO EN 4 CALLES EN LAS COLONIAS AL NORTE DE LA CIUDAD HEROICA GUAYMAS</v>
      </c>
      <c r="C65" s="63" t="s">
        <v>1731</v>
      </c>
      <c r="D65" s="66" t="str">
        <f>LOOKUP(C65,OBRAS!D:D,OBRAS!B:B)</f>
        <v>EDIFICACIONES Y PROYECTOS MOCELIK, S.A. DE C.V.</v>
      </c>
      <c r="E65" s="63" t="str">
        <f>LOOKUP(C65,OBRAS!D:D,OBRAS!E:E)</f>
        <v>C-00052/0230</v>
      </c>
      <c r="F65" s="68">
        <f>(SUMIFS('SOLICITUD DE PAGO'!N:N,'SOLICITUD DE PAGO'!E:E,'AVANCE FINANCIERO 2016'!C65,'SOLICITUD DE PAGO'!U:U,"1. S.H. PAGADO")+SUMIFS('SOLICITUD DE PAGO'!N:N,'SOLICITUD DE PAGO'!E:E,'AVANCE FINANCIERO 2016'!C65,'SOLICITUD DE PAGO'!U:U,"2. S.H. PENDIENTE")+SUMIFS('SOLICITUD DE PAGO'!N:N,'SOLICITUD DE PAGO'!E:E,'AVANCE FINANCIERO 2016'!C65,'SOLICITUD DE PAGO'!U:U,"3. O.P. DGPE")+SUMIFS('SOLICITUD DE PAGO'!N:N,'SOLICITUD DE PAGO'!E:E,'AVANCE FINANCIERO 2016'!C65,'SOLICITUD DE PAGO'!U:U,"4. ESPERA FACT.")+SUMIFS('SOLICITUD DE PAGO'!N:N,'SOLICITUD DE PAGO'!E:E,'AVANCE FINANCIERO 2016'!C65,'SOLICITUD DE PAGO'!U:U,"5. SOL. PEDIDO"))/H65</f>
        <v>0.37</v>
      </c>
      <c r="G65" s="83">
        <f>LOOKUP(C65,OBRAS!D:D,OBRAS!K:K)</f>
        <v>6446641.3200000003</v>
      </c>
      <c r="H65" s="112">
        <v>6446641.3200000003</v>
      </c>
      <c r="I65" s="83">
        <f>LOOKUP(C65,OBRAS!D:D,OBRAS!I:I)</f>
        <v>6549298.5099999998</v>
      </c>
      <c r="J65" s="69">
        <f t="shared" si="3"/>
        <v>102657.19</v>
      </c>
      <c r="K65" s="75">
        <f>COUNTIF('SOLICITUD DE PAGO'!E:E,'AVANCE FINANCIERO 2016'!C65)-1</f>
        <v>1</v>
      </c>
      <c r="L65" s="83">
        <f>H65*0.3</f>
        <v>1933992.4</v>
      </c>
      <c r="M65" s="69">
        <f>(L65/1.16)-SUMIF('SOLICITUD DE PAGO'!E:E,'AVANCE FINANCIERO 2016'!C65,'SOLICITUD DE PAGO'!K:K)</f>
        <v>1508684.49</v>
      </c>
      <c r="N65" s="70" t="s">
        <v>785</v>
      </c>
      <c r="O65" s="91">
        <f>SUMIF('SOLICITUD DE PAGO'!E:E,C65,'SOLICITUD DE PAGO'!N:N)</f>
        <v>2363135.2999999998</v>
      </c>
      <c r="P65" s="69">
        <f t="shared" si="2"/>
        <v>4083506.02</v>
      </c>
    </row>
    <row r="66" spans="1:16" ht="63.75" x14ac:dyDescent="0.2">
      <c r="A66" s="66" t="s">
        <v>909</v>
      </c>
      <c r="B66" s="65" t="str">
        <f>LOOKUP(C66,OBRAS!D:D,OBRAS!C:C)</f>
        <v>PAVIMENTACION CON CARPETA ASFALTICA DE 5CMS DE ESPESOR DE LA AVENIDA FABRICA DE LOS ANGELES Y AV. PRINCIPAL DE LA LOCALIDAD FABRICA DE LOS ANGELES</v>
      </c>
      <c r="C66" s="63" t="s">
        <v>907</v>
      </c>
      <c r="D66" s="66" t="str">
        <f>LOOKUP(C66,OBRAS!D:D,OBRAS!B:B)</f>
        <v>PROYECTOS Y EDIFICACIONES RANDA, S.A. DE C.V.</v>
      </c>
      <c r="E66" s="63" t="str">
        <f>LOOKUP(C66,OBRAS!D:D,OBRAS!E:E)</f>
        <v>C-00052/0200</v>
      </c>
      <c r="F66" s="68">
        <f>(SUMIFS('SOLICITUD DE PAGO'!N:N,'SOLICITUD DE PAGO'!E:E,'AVANCE FINANCIERO 2016'!C66,'SOLICITUD DE PAGO'!U:U,"1. S.H. PAGADO")+SUMIFS('SOLICITUD DE PAGO'!N:N,'SOLICITUD DE PAGO'!E:E,'AVANCE FINANCIERO 2016'!C66,'SOLICITUD DE PAGO'!U:U,"2. S.H. PENDIENTE")+SUMIFS('SOLICITUD DE PAGO'!N:N,'SOLICITUD DE PAGO'!E:E,'AVANCE FINANCIERO 2016'!C66,'SOLICITUD DE PAGO'!U:U,"3. O.P. DGPE")+SUMIFS('SOLICITUD DE PAGO'!N:N,'SOLICITUD DE PAGO'!E:E,'AVANCE FINANCIERO 2016'!C66,'SOLICITUD DE PAGO'!U:U,"4. ESPERA FACT.")+SUMIFS('SOLICITUD DE PAGO'!N:N,'SOLICITUD DE PAGO'!E:E,'AVANCE FINANCIERO 2016'!C66,'SOLICITUD DE PAGO'!U:U,"5. SOL. PEDIDO"))/H66</f>
        <v>0.94</v>
      </c>
      <c r="G66" s="83">
        <f>LOOKUP(C66,OBRAS!D:D,OBRAS!K:K)</f>
        <v>3979000.91</v>
      </c>
      <c r="H66" s="112">
        <v>3979000.91</v>
      </c>
      <c r="I66" s="83">
        <f>LOOKUP(C66,OBRAS!D:D,OBRAS!I:I)</f>
        <v>4037637.99</v>
      </c>
      <c r="J66" s="69">
        <f t="shared" si="3"/>
        <v>58637.08</v>
      </c>
      <c r="K66" s="75">
        <f>COUNTIF('SOLICITUD DE PAGO'!E:E,'AVANCE FINANCIERO 2016'!C66)-1</f>
        <v>3</v>
      </c>
      <c r="L66" s="83">
        <v>1193700.27</v>
      </c>
      <c r="M66" s="69">
        <f>(L66/1.16)-SUMIF('SOLICITUD DE PAGO'!E:E,'AVANCE FINANCIERO 2016'!C66,'SOLICITUD DE PAGO'!K:K)</f>
        <v>92195.14</v>
      </c>
      <c r="N66" s="70" t="s">
        <v>785</v>
      </c>
      <c r="O66" s="91">
        <f>SUMIF('SOLICITUD DE PAGO'!E:E,C66,'SOLICITUD DE PAGO'!N:N)</f>
        <v>3729459.4</v>
      </c>
      <c r="P66" s="69">
        <f t="shared" si="2"/>
        <v>249541.51</v>
      </c>
    </row>
    <row r="67" spans="1:16" ht="63.75" x14ac:dyDescent="0.2">
      <c r="A67" s="65" t="s">
        <v>922</v>
      </c>
      <c r="B67" s="65" t="str">
        <f>LOOKUP(C67,OBRAS!D:D,OBRAS!C:C)</f>
        <v>PAVIMENTACION CON CONCRETO HIDRAULICO DE 15 CMS DE ESPESOR EN LAS CALLES JOSE A. LUNA Y VICENTE GUERRERO EN LA LOCALIDAD Y MUNICIPIO DE ACONCHI, SONORA</v>
      </c>
      <c r="C67" s="63" t="s">
        <v>924</v>
      </c>
      <c r="D67" s="66" t="str">
        <f>LOOKUP(C67,OBRAS!D:D,OBRAS!B:B)</f>
        <v>ORTOPLAN CONSULTORES S. A. DE C. V.</v>
      </c>
      <c r="E67" s="63" t="str">
        <f>LOOKUP(C67,OBRAS!D:D,OBRAS!E:E)</f>
        <v>C-00052/0214</v>
      </c>
      <c r="F67" s="68">
        <f>(SUMIFS('SOLICITUD DE PAGO'!N:N,'SOLICITUD DE PAGO'!E:E,'AVANCE FINANCIERO 2016'!C67,'SOLICITUD DE PAGO'!U:U,"1. S.H. PAGADO")+SUMIFS('SOLICITUD DE PAGO'!N:N,'SOLICITUD DE PAGO'!E:E,'AVANCE FINANCIERO 2016'!C67,'SOLICITUD DE PAGO'!U:U,"2. S.H. PENDIENTE")+SUMIFS('SOLICITUD DE PAGO'!N:N,'SOLICITUD DE PAGO'!E:E,'AVANCE FINANCIERO 2016'!C67,'SOLICITUD DE PAGO'!U:U,"3. O.P. DGPE")+SUMIFS('SOLICITUD DE PAGO'!N:N,'SOLICITUD DE PAGO'!E:E,'AVANCE FINANCIERO 2016'!C67,'SOLICITUD DE PAGO'!U:U,"4. ESPERA FACT.")+SUMIFS('SOLICITUD DE PAGO'!N:N,'SOLICITUD DE PAGO'!E:E,'AVANCE FINANCIERO 2016'!C67,'SOLICITUD DE PAGO'!U:U,"5. SOL. PEDIDO"))/H67</f>
        <v>0.87</v>
      </c>
      <c r="G67" s="83">
        <f>LOOKUP(C67,OBRAS!D:D,OBRAS!K:K)</f>
        <v>2595924.5299999998</v>
      </c>
      <c r="H67" s="112">
        <f>IF(G67&lt;I67,G67,I67)</f>
        <v>2595924.5299999998</v>
      </c>
      <c r="I67" s="83">
        <f>LOOKUP(C67,OBRAS!D:D,OBRAS!I:I)</f>
        <v>2629862.5</v>
      </c>
      <c r="J67" s="69">
        <f t="shared" ref="J67:J91" si="6">I67-G67</f>
        <v>33937.97</v>
      </c>
      <c r="K67" s="75">
        <f>COUNTIF('SOLICITUD DE PAGO'!E:E,'AVANCE FINANCIERO 2016'!C67)-1</f>
        <v>3</v>
      </c>
      <c r="L67" s="83">
        <f>H67*0.3</f>
        <v>778777.36</v>
      </c>
      <c r="M67" s="69">
        <f>(L67/1.16)-SUMIF('SOLICITUD DE PAGO'!E:E,'AVANCE FINANCIERO 2016'!C67,'SOLICITUD DE PAGO'!K:K)</f>
        <v>125673.08</v>
      </c>
      <c r="N67" s="70" t="s">
        <v>785</v>
      </c>
      <c r="O67" s="91">
        <f>SUMIF('SOLICITUD DE PAGO'!E:E,C67,'SOLICITUD DE PAGO'!N:N)</f>
        <v>2255769.36</v>
      </c>
      <c r="P67" s="69">
        <f t="shared" si="2"/>
        <v>340155.17</v>
      </c>
    </row>
    <row r="68" spans="1:16" ht="38.25" x14ac:dyDescent="0.2">
      <c r="A68" s="63" t="s">
        <v>897</v>
      </c>
      <c r="B68" s="65" t="str">
        <f>LOOKUP(C68,OBRAS!D:D,OBRAS!C:C)</f>
        <v>REHABILITACION DE PAVIMENTOS DE AV. MIGUEL HIDALGO EN LA LOCALIDAD Y MUNICIPIO DE SANTA CRUZ, SONORA.</v>
      </c>
      <c r="C68" s="63" t="s">
        <v>900</v>
      </c>
      <c r="D68" s="66" t="str">
        <f>LOOKUP(C68,OBRAS!D:D,OBRAS!B:B)</f>
        <v>PROMOCIONES TESIA, S.A. DE C.V.</v>
      </c>
      <c r="E68" s="63" t="str">
        <f>LOOKUP(C68,OBRAS!D:D,OBRAS!E:E)</f>
        <v>C-00052/0203</v>
      </c>
      <c r="F68" s="68">
        <f>(SUMIFS('SOLICITUD DE PAGO'!N:N,'SOLICITUD DE PAGO'!E:E,'AVANCE FINANCIERO 2016'!C68,'SOLICITUD DE PAGO'!U:U,"1. S.H. PAGADO")+SUMIFS('SOLICITUD DE PAGO'!N:N,'SOLICITUD DE PAGO'!E:E,'AVANCE FINANCIERO 2016'!C68,'SOLICITUD DE PAGO'!U:U,"2. S.H. PENDIENTE")+SUMIFS('SOLICITUD DE PAGO'!N:N,'SOLICITUD DE PAGO'!E:E,'AVANCE FINANCIERO 2016'!C68,'SOLICITUD DE PAGO'!U:U,"3. O.P. DGPE")+SUMIFS('SOLICITUD DE PAGO'!N:N,'SOLICITUD DE PAGO'!E:E,'AVANCE FINANCIERO 2016'!C68,'SOLICITUD DE PAGO'!U:U,"4. ESPERA FACT.")+SUMIFS('SOLICITUD DE PAGO'!N:N,'SOLICITUD DE PAGO'!E:E,'AVANCE FINANCIERO 2016'!C68,'SOLICITUD DE PAGO'!U:U,"5. SOL. PEDIDO"))/H68</f>
        <v>0.97</v>
      </c>
      <c r="G68" s="83">
        <f>LOOKUP(C68,OBRAS!D:D,OBRAS!K:K)</f>
        <v>851581.37</v>
      </c>
      <c r="H68" s="112">
        <v>851581.37</v>
      </c>
      <c r="I68" s="83">
        <f>LOOKUP(C68,OBRAS!D:D,OBRAS!I:I)</f>
        <v>852298.09</v>
      </c>
      <c r="J68" s="69">
        <f t="shared" si="6"/>
        <v>716.72</v>
      </c>
      <c r="K68" s="75">
        <f>COUNTIF('SOLICITUD DE PAGO'!E:E,'AVANCE FINANCIERO 2016'!C68)-1</f>
        <v>3</v>
      </c>
      <c r="L68" s="83">
        <v>255474.41</v>
      </c>
      <c r="M68" s="69">
        <f>(L68/1.16)-SUMIF('SOLICITUD DE PAGO'!E:E,'AVANCE FINANCIERO 2016'!C68,'SOLICITUD DE PAGO'!K:K)</f>
        <v>-7.0000000000000007E-2</v>
      </c>
      <c r="N68" s="70" t="s">
        <v>785</v>
      </c>
      <c r="O68" s="91">
        <f>SUMIF('SOLICITUD DE PAGO'!E:E,C68,'SOLICITUD DE PAGO'!N:N)</f>
        <v>827939.63</v>
      </c>
      <c r="P68" s="69">
        <f t="shared" ref="P68:P91" si="7">G68-O68</f>
        <v>23641.74</v>
      </c>
    </row>
    <row r="69" spans="1:16" ht="51" x14ac:dyDescent="0.2">
      <c r="A69" s="65" t="s">
        <v>967</v>
      </c>
      <c r="B69" s="65" t="str">
        <f>LOOKUP(C69,OBRAS!D:D,OBRAS!C:C)</f>
        <v>PAVIMENTACION CON CONCRETO HIDRAULICO DE 15CMS DE ESPESOR EN BLVD. MIGUEL ALEMAN EN LA LOCALIDAD DE BENJAMIN HILL</v>
      </c>
      <c r="C69" s="63" t="s">
        <v>972</v>
      </c>
      <c r="D69" s="66" t="str">
        <f>LOOKUP(C69,OBRAS!D:D,OBRAS!B:B)</f>
        <v>VICOMMING, S.A. DE C.V.</v>
      </c>
      <c r="E69" s="63" t="str">
        <f>LOOKUP(C69,OBRAS!D:D,OBRAS!E:E)</f>
        <v>C-00052/0189</v>
      </c>
      <c r="F69" s="68">
        <f>(SUMIFS('SOLICITUD DE PAGO'!N:N,'SOLICITUD DE PAGO'!E:E,'AVANCE FINANCIERO 2016'!C69,'SOLICITUD DE PAGO'!U:U,"1. S.H. PAGADO")+SUMIFS('SOLICITUD DE PAGO'!N:N,'SOLICITUD DE PAGO'!E:E,'AVANCE FINANCIERO 2016'!C69,'SOLICITUD DE PAGO'!U:U,"2. S.H. PENDIENTE")+SUMIFS('SOLICITUD DE PAGO'!N:N,'SOLICITUD DE PAGO'!E:E,'AVANCE FINANCIERO 2016'!C69,'SOLICITUD DE PAGO'!U:U,"3. O.P. DGPE")+SUMIFS('SOLICITUD DE PAGO'!N:N,'SOLICITUD DE PAGO'!E:E,'AVANCE FINANCIERO 2016'!C69,'SOLICITUD DE PAGO'!U:U,"4. ESPERA FACT.")+SUMIFS('SOLICITUD DE PAGO'!N:N,'SOLICITUD DE PAGO'!E:E,'AVANCE FINANCIERO 2016'!C69,'SOLICITUD DE PAGO'!U:U,"5. SOL. PEDIDO"))/H69</f>
        <v>0.36</v>
      </c>
      <c r="G69" s="83">
        <f>LOOKUP(C69,OBRAS!D:D,OBRAS!K:K)</f>
        <v>3149792.52</v>
      </c>
      <c r="H69" s="112">
        <f t="shared" ref="H69:H91" si="8">IF(G69&lt;I69,G69,I69)</f>
        <v>3149792.52</v>
      </c>
      <c r="I69" s="83">
        <f>LOOKUP(C69,OBRAS!D:D,OBRAS!I:I)</f>
        <v>3240741.72</v>
      </c>
      <c r="J69" s="69">
        <f t="shared" si="6"/>
        <v>90949.2</v>
      </c>
      <c r="K69" s="75">
        <f>COUNTIF('SOLICITUD DE PAGO'!E:E,'AVANCE FINANCIERO 2016'!C69)-1</f>
        <v>2</v>
      </c>
      <c r="L69" s="83">
        <f t="shared" ref="L69:L91" si="9">H69*0.3</f>
        <v>944937.76</v>
      </c>
      <c r="M69" s="69">
        <f>(L69/1.16)-SUMIF('SOLICITUD DE PAGO'!E:E,'AVANCE FINANCIERO 2016'!C69,'SOLICITUD DE PAGO'!K:K)</f>
        <v>746356.81</v>
      </c>
      <c r="N69" s="70" t="s">
        <v>785</v>
      </c>
      <c r="O69" s="91">
        <f>SUMIF('SOLICITUD DE PAGO'!E:E,C69,'SOLICITUD DE PAGO'!N:N)</f>
        <v>1129653.44</v>
      </c>
      <c r="P69" s="69">
        <f t="shared" si="7"/>
        <v>2020139.08</v>
      </c>
    </row>
    <row r="70" spans="1:16" ht="38.25" x14ac:dyDescent="0.2">
      <c r="A70" s="65" t="s">
        <v>258</v>
      </c>
      <c r="B70" s="65" t="str">
        <f>LOOKUP(C70,OBRAS!D:D,OBRAS!C:C)</f>
        <v>REHABILITACION DE PAVIMENTOS EN 13 CALLES DE CD. OBREGON ORIENTE</v>
      </c>
      <c r="C70" s="63" t="s">
        <v>1480</v>
      </c>
      <c r="D70" s="66" t="str">
        <f>LOOKUP(C70,OBRAS!D:D,OBRAS!B:B)</f>
        <v>INMOBILIARIA Y CONSTRUCTORA HARBOR, S.A. DE C.V.</v>
      </c>
      <c r="E70" s="63" t="str">
        <f>LOOKUP(C70,OBRAS!D:D,OBRAS!E:E)</f>
        <v>C-00052/0221</v>
      </c>
      <c r="F70" s="68">
        <f>(SUMIFS('SOLICITUD DE PAGO'!N:N,'SOLICITUD DE PAGO'!E:E,'AVANCE FINANCIERO 2016'!C70,'SOLICITUD DE PAGO'!U:U,"1. S.H. PAGADO")+SUMIFS('SOLICITUD DE PAGO'!N:N,'SOLICITUD DE PAGO'!E:E,'AVANCE FINANCIERO 2016'!C70,'SOLICITUD DE PAGO'!U:U,"2. S.H. PENDIENTE")+SUMIFS('SOLICITUD DE PAGO'!N:N,'SOLICITUD DE PAGO'!E:E,'AVANCE FINANCIERO 2016'!C70,'SOLICITUD DE PAGO'!U:U,"3. O.P. DGPE")+SUMIFS('SOLICITUD DE PAGO'!N:N,'SOLICITUD DE PAGO'!E:E,'AVANCE FINANCIERO 2016'!C70,'SOLICITUD DE PAGO'!U:U,"4. ESPERA FACT.")+SUMIFS('SOLICITUD DE PAGO'!N:N,'SOLICITUD DE PAGO'!E:E,'AVANCE FINANCIERO 2016'!C70,'SOLICITUD DE PAGO'!U:U,"5. SOL. PEDIDO"))/H70</f>
        <v>0.6</v>
      </c>
      <c r="G70" s="83">
        <f>LOOKUP(C70,OBRAS!D:D,OBRAS!K:K)</f>
        <v>18299948.469999999</v>
      </c>
      <c r="H70" s="112">
        <f t="shared" si="8"/>
        <v>18299948.469999999</v>
      </c>
      <c r="I70" s="83">
        <f>LOOKUP(C70,OBRAS!D:D,OBRAS!I:I)</f>
        <v>19350804.34</v>
      </c>
      <c r="J70" s="69">
        <f t="shared" si="6"/>
        <v>1050855.8700000001</v>
      </c>
      <c r="K70" s="75">
        <f>COUNTIF('SOLICITUD DE PAGO'!E:E,'AVANCE FINANCIERO 2016'!C70)-1</f>
        <v>3</v>
      </c>
      <c r="L70" s="83">
        <f t="shared" si="9"/>
        <v>5489984.54</v>
      </c>
      <c r="M70" s="69">
        <f>(L70/1.16)-SUMIF('SOLICITUD DE PAGO'!E:E,'AVANCE FINANCIERO 2016'!C70,'SOLICITUD DE PAGO'!K:K)</f>
        <v>2695408.98</v>
      </c>
      <c r="N70" s="70" t="s">
        <v>785</v>
      </c>
      <c r="O70" s="91">
        <f>SUMIF('SOLICITUD DE PAGO'!E:E,C70,'SOLICITUD DE PAGO'!N:N)</f>
        <v>11004374.77</v>
      </c>
      <c r="P70" s="69">
        <f t="shared" si="7"/>
        <v>7295573.7000000002</v>
      </c>
    </row>
    <row r="71" spans="1:16" ht="38.25" x14ac:dyDescent="0.2">
      <c r="A71" s="65" t="s">
        <v>9</v>
      </c>
      <c r="B71" s="65" t="str">
        <f>LOOKUP(C71,OBRAS!D:D,OBRAS!C:C)</f>
        <v>CONSTRUCCION DEL CENTRO DE TRANSICION AL NUEVO SISTEMA DE JUSTICIA PENAL DE HERMOSILLO</v>
      </c>
      <c r="C71" s="63" t="s">
        <v>1476</v>
      </c>
      <c r="D71" s="66" t="str">
        <f>LOOKUP(C71,OBRAS!D:D,OBRAS!B:B)</f>
        <v>CONSTRUMIL, S.A. DE C.V.</v>
      </c>
      <c r="E71" s="63" t="str">
        <f>LOOKUP(C71,OBRAS!D:D,OBRAS!E:E)</f>
        <v>C-00058/0011</v>
      </c>
      <c r="F71" s="68">
        <f>(SUMIFS('SOLICITUD DE PAGO'!N:N,'SOLICITUD DE PAGO'!E:E,'AVANCE FINANCIERO 2016'!C71,'SOLICITUD DE PAGO'!U:U,"1. S.H. PAGADO")+SUMIFS('SOLICITUD DE PAGO'!N:N,'SOLICITUD DE PAGO'!E:E,'AVANCE FINANCIERO 2016'!C71,'SOLICITUD DE PAGO'!U:U,"2. S.H. PENDIENTE")+SUMIFS('SOLICITUD DE PAGO'!N:N,'SOLICITUD DE PAGO'!E:E,'AVANCE FINANCIERO 2016'!C71,'SOLICITUD DE PAGO'!U:U,"3. O.P. DGPE")+SUMIFS('SOLICITUD DE PAGO'!N:N,'SOLICITUD DE PAGO'!E:E,'AVANCE FINANCIERO 2016'!C71,'SOLICITUD DE PAGO'!U:U,"4. ESPERA FACT.")+SUMIFS('SOLICITUD DE PAGO'!N:N,'SOLICITUD DE PAGO'!E:E,'AVANCE FINANCIERO 2016'!C71,'SOLICITUD DE PAGO'!U:U,"5. SOL. PEDIDO"))/H71</f>
        <v>0.34</v>
      </c>
      <c r="G71" s="83">
        <f>LOOKUP(C71,OBRAS!D:D,OBRAS!K:K)</f>
        <v>32294129.84</v>
      </c>
      <c r="H71" s="112">
        <f t="shared" si="8"/>
        <v>32294129.84</v>
      </c>
      <c r="I71" s="83">
        <f>LOOKUP(C71,OBRAS!D:D,OBRAS!I:I)</f>
        <v>32354334.120000001</v>
      </c>
      <c r="J71" s="69">
        <f t="shared" si="6"/>
        <v>60204.28</v>
      </c>
      <c r="K71" s="75">
        <f>COUNTIF('SOLICITUD DE PAGO'!E:E,'AVANCE FINANCIERO 2016'!C71)-1</f>
        <v>1</v>
      </c>
      <c r="L71" s="83">
        <f t="shared" si="9"/>
        <v>9688238.9499999993</v>
      </c>
      <c r="M71" s="69">
        <f>(L71/1.16)-SUMIF('SOLICITUD DE PAGO'!E:E,'AVANCE FINANCIERO 2016'!C71,'SOLICITUD DE PAGO'!K:K)</f>
        <v>7901291.3200000003</v>
      </c>
      <c r="N71" s="70" t="s">
        <v>785</v>
      </c>
      <c r="O71" s="91">
        <f>SUMIF('SOLICITUD DE PAGO'!E:E,C71,'SOLICITUD DE PAGO'!N:N)</f>
        <v>10907968</v>
      </c>
      <c r="P71" s="69">
        <f t="shared" si="7"/>
        <v>21386161.84</v>
      </c>
    </row>
    <row r="72" spans="1:16" ht="51" x14ac:dyDescent="0.2">
      <c r="A72" s="65" t="s">
        <v>1223</v>
      </c>
      <c r="B72" s="65" t="str">
        <f>LOOKUP(C72,OBRAS!D:D,OBRAS!C:C)</f>
        <v>PAVIMENTACION CON CONCRETO HIDRAULICO DE 15 CMS DE ESPESOR EN CALLE INDEPENDENCIA EN LA LOCALIDAD Y MUNICIPIO DE SARIC, SONORA</v>
      </c>
      <c r="C72" s="63" t="s">
        <v>1222</v>
      </c>
      <c r="D72" s="66" t="str">
        <f>LOOKUP(C72,OBRAS!D:D,OBRAS!B:B)</f>
        <v>DESARROLLOS CORCON, S. DE R. L. DE C. V.</v>
      </c>
      <c r="E72" s="63" t="str">
        <f>LOOKUP(C72,OBRAS!D:D,OBRAS!E:E)</f>
        <v>C-00052/0237</v>
      </c>
      <c r="F72" s="68">
        <f>(SUMIFS('SOLICITUD DE PAGO'!N:N,'SOLICITUD DE PAGO'!E:E,'AVANCE FINANCIERO 2016'!C72,'SOLICITUD DE PAGO'!U:U,"1. S.H. PAGADO")+SUMIFS('SOLICITUD DE PAGO'!N:N,'SOLICITUD DE PAGO'!E:E,'AVANCE FINANCIERO 2016'!C72,'SOLICITUD DE PAGO'!U:U,"2. S.H. PENDIENTE")+SUMIFS('SOLICITUD DE PAGO'!N:N,'SOLICITUD DE PAGO'!E:E,'AVANCE FINANCIERO 2016'!C72,'SOLICITUD DE PAGO'!U:U,"3. O.P. DGPE")+SUMIFS('SOLICITUD DE PAGO'!N:N,'SOLICITUD DE PAGO'!E:E,'AVANCE FINANCIERO 2016'!C72,'SOLICITUD DE PAGO'!U:U,"4. ESPERA FACT.")+SUMIFS('SOLICITUD DE PAGO'!N:N,'SOLICITUD DE PAGO'!E:E,'AVANCE FINANCIERO 2016'!C72,'SOLICITUD DE PAGO'!U:U,"5. SOL. PEDIDO"))/H72</f>
        <v>0.39</v>
      </c>
      <c r="G72" s="83">
        <f>LOOKUP(C72,OBRAS!D:D,OBRAS!K:K)</f>
        <v>2299957.2999999998</v>
      </c>
      <c r="H72" s="112">
        <f t="shared" si="8"/>
        <v>2299957.2999999998</v>
      </c>
      <c r="I72" s="83">
        <f>LOOKUP(C72,OBRAS!D:D,OBRAS!I:I)</f>
        <v>2398755.87</v>
      </c>
      <c r="J72" s="69">
        <f t="shared" si="6"/>
        <v>98798.57</v>
      </c>
      <c r="K72" s="75">
        <f>COUNTIF('SOLICITUD DE PAGO'!E:E,'AVANCE FINANCIERO 2016'!C72)-1</f>
        <v>1</v>
      </c>
      <c r="L72" s="83">
        <f t="shared" si="9"/>
        <v>689987.19</v>
      </c>
      <c r="M72" s="69">
        <f>(L72/1.16)-SUMIF('SOLICITUD DE PAGO'!E:E,'AVANCE FINANCIERO 2016'!C72,'SOLICITUD DE PAGO'!K:K)</f>
        <v>520526.69</v>
      </c>
      <c r="N72" s="70" t="s">
        <v>785</v>
      </c>
      <c r="O72" s="91">
        <f>SUMIF('SOLICITUD DE PAGO'!E:E,C72,'SOLICITUD DE PAGO'!N:N)</f>
        <v>891065.06</v>
      </c>
      <c r="P72" s="69">
        <f t="shared" si="7"/>
        <v>1408892.24</v>
      </c>
    </row>
    <row r="73" spans="1:16" ht="51" x14ac:dyDescent="0.2">
      <c r="A73" s="65"/>
      <c r="B73" s="65" t="str">
        <f>LOOKUP(C73,OBRAS!D:D,OBRAS!C:C)</f>
        <v>PAVIMENTACION CON CARPETA ASFALTICA EN LAS CALLES AV. SAN LUIS, ALVARO OBREGON Y ABELARDO L. RODRIGUEZ</v>
      </c>
      <c r="C73" s="63" t="s">
        <v>1652</v>
      </c>
      <c r="D73" s="66" t="str">
        <f>LOOKUP(C73,OBRAS!D:D,OBRAS!B:B)</f>
        <v>BARREDA PROYECTO Y CONSTRUCCIONES, S.A. DE C.V.</v>
      </c>
      <c r="E73" s="63" t="str">
        <f>LOOKUP(C73,OBRAS!D:D,OBRAS!E:E)</f>
        <v>C-00052/0229</v>
      </c>
      <c r="F73" s="68">
        <f>(SUMIFS('SOLICITUD DE PAGO'!N:N,'SOLICITUD DE PAGO'!E:E,'AVANCE FINANCIERO 2016'!C73,'SOLICITUD DE PAGO'!U:U,"1. S.H. PAGADO")+SUMIFS('SOLICITUD DE PAGO'!N:N,'SOLICITUD DE PAGO'!E:E,'AVANCE FINANCIERO 2016'!C73,'SOLICITUD DE PAGO'!U:U,"2. S.H. PENDIENTE")+SUMIFS('SOLICITUD DE PAGO'!N:N,'SOLICITUD DE PAGO'!E:E,'AVANCE FINANCIERO 2016'!C73,'SOLICITUD DE PAGO'!U:U,"3. O.P. DGPE")+SUMIFS('SOLICITUD DE PAGO'!N:N,'SOLICITUD DE PAGO'!E:E,'AVANCE FINANCIERO 2016'!C73,'SOLICITUD DE PAGO'!U:U,"4. ESPERA FACT.")+SUMIFS('SOLICITUD DE PAGO'!N:N,'SOLICITUD DE PAGO'!E:E,'AVANCE FINANCIERO 2016'!C73,'SOLICITUD DE PAGO'!U:U,"5. SOL. PEDIDO"))/H73</f>
        <v>0.51</v>
      </c>
      <c r="G73" s="83">
        <f>LOOKUP(C73,OBRAS!D:D,OBRAS!K:K)</f>
        <v>9494347.9299999997</v>
      </c>
      <c r="H73" s="112">
        <f t="shared" si="8"/>
        <v>9494347.9299999997</v>
      </c>
      <c r="I73" s="83">
        <f>LOOKUP(C73,OBRAS!D:D,OBRAS!I:I)</f>
        <v>9619230.6699999999</v>
      </c>
      <c r="J73" s="69">
        <f t="shared" si="6"/>
        <v>124882.74</v>
      </c>
      <c r="K73" s="75">
        <f>COUNTIF('SOLICITUD DE PAGO'!E:E,'AVANCE FINANCIERO 2016'!C73)-1</f>
        <v>4</v>
      </c>
      <c r="L73" s="83">
        <f t="shared" si="9"/>
        <v>2848304.38</v>
      </c>
      <c r="M73" s="69">
        <f>(L73/1.16)-SUMIF('SOLICITUD DE PAGO'!E:E,'AVANCE FINANCIERO 2016'!C73,'SOLICITUD DE PAGO'!K:K)</f>
        <v>1705123.64</v>
      </c>
      <c r="N73" s="70" t="s">
        <v>785</v>
      </c>
      <c r="O73" s="91">
        <f>SUMIF('SOLICITUD DE PAGO'!E:E,C73,'SOLICITUD DE PAGO'!N:N)</f>
        <v>4879146.62</v>
      </c>
      <c r="P73" s="69">
        <f t="shared" si="7"/>
        <v>4615201.3099999996</v>
      </c>
    </row>
    <row r="74" spans="1:16" ht="38.25" x14ac:dyDescent="0.2">
      <c r="A74" s="65" t="s">
        <v>126</v>
      </c>
      <c r="B74" s="65" t="str">
        <f>LOOKUP(C74,OBRAS!D:D,OBRAS!C:C)</f>
        <v>PAVIMENTACION CON CONCRETO HIDRAULICO DE VARIAS CALLES EN LA LOCALIDAD DE ARIVECHI</v>
      </c>
      <c r="C74" s="63" t="s">
        <v>1457</v>
      </c>
      <c r="D74" s="66" t="str">
        <f>LOOKUP(C74,OBRAS!D:D,OBRAS!B:B)</f>
        <v>EDIVIA DESARROLLOS, S.A. DE C.V.</v>
      </c>
      <c r="E74" s="63" t="str">
        <f>LOOKUP(C74,OBRAS!D:D,OBRAS!E:E)</f>
        <v>C-00052/0218</v>
      </c>
      <c r="F74" s="68">
        <f>(SUMIFS('SOLICITUD DE PAGO'!N:N,'SOLICITUD DE PAGO'!E:E,'AVANCE FINANCIERO 2016'!C74,'SOLICITUD DE PAGO'!U:U,"1. S.H. PAGADO")+SUMIFS('SOLICITUD DE PAGO'!N:N,'SOLICITUD DE PAGO'!E:E,'AVANCE FINANCIERO 2016'!C74,'SOLICITUD DE PAGO'!U:U,"2. S.H. PENDIENTE")+SUMIFS('SOLICITUD DE PAGO'!N:N,'SOLICITUD DE PAGO'!E:E,'AVANCE FINANCIERO 2016'!C74,'SOLICITUD DE PAGO'!U:U,"3. O.P. DGPE")+SUMIFS('SOLICITUD DE PAGO'!N:N,'SOLICITUD DE PAGO'!E:E,'AVANCE FINANCIERO 2016'!C74,'SOLICITUD DE PAGO'!U:U,"4. ESPERA FACT.")+SUMIFS('SOLICITUD DE PAGO'!N:N,'SOLICITUD DE PAGO'!E:E,'AVANCE FINANCIERO 2016'!C74,'SOLICITUD DE PAGO'!U:U,"5. SOL. PEDIDO"))/H74</f>
        <v>0.65</v>
      </c>
      <c r="G74" s="83">
        <f>LOOKUP(C74,OBRAS!D:D,OBRAS!K:K)</f>
        <v>1621630.07</v>
      </c>
      <c r="H74" s="112">
        <f t="shared" si="8"/>
        <v>1621630.07</v>
      </c>
      <c r="I74" s="83">
        <f>LOOKUP(C74,OBRAS!D:D,OBRAS!I:I)</f>
        <v>1655701.15</v>
      </c>
      <c r="J74" s="69">
        <f t="shared" si="6"/>
        <v>34071.08</v>
      </c>
      <c r="K74" s="75">
        <f>COUNTIF('SOLICITUD DE PAGO'!E:E,'AVANCE FINANCIERO 2016'!C74)-1</f>
        <v>3</v>
      </c>
      <c r="L74" s="83">
        <f t="shared" si="9"/>
        <v>486489.02</v>
      </c>
      <c r="M74" s="69">
        <f>(L74/1.16)-SUMIF('SOLICITUD DE PAGO'!E:E,'AVANCE FINANCIERO 2016'!C74,'SOLICITUD DE PAGO'!K:K)</f>
        <v>208531.07</v>
      </c>
      <c r="N74" s="70" t="s">
        <v>785</v>
      </c>
      <c r="O74" s="91">
        <f>SUMIF('SOLICITUD DE PAGO'!E:E,C74,'SOLICITUD DE PAGO'!N:N)</f>
        <v>1057205.94</v>
      </c>
      <c r="P74" s="69">
        <f t="shared" si="7"/>
        <v>564424.13</v>
      </c>
    </row>
    <row r="75" spans="1:16" ht="51" x14ac:dyDescent="0.2">
      <c r="A75" s="65" t="s">
        <v>184</v>
      </c>
      <c r="B75" s="65" t="str">
        <f>LOOKUP(C75,OBRAS!D:D,OBRAS!C:C)</f>
        <v>PAVIMENTACION CON CONCRETO HIDRAULICO DE LAS CALLES NACOZARI, CAJEME Y LA AV. PLUTARCO ELIAS CALLES EN LA LOCALIDAD DE YÉCORA</v>
      </c>
      <c r="C75" s="63" t="s">
        <v>1467</v>
      </c>
      <c r="D75" s="66" t="str">
        <f>LOOKUP(C75,OBRAS!D:D,OBRAS!B:B)</f>
        <v>JASA INSTALACIONES Y ALCANTARILLADO, S.A. DE C.V.</v>
      </c>
      <c r="E75" s="63" t="str">
        <f>LOOKUP(C75,OBRAS!D:D,OBRAS!E:E)</f>
        <v>C-00052/0188</v>
      </c>
      <c r="F75" s="68">
        <f>(SUMIFS('SOLICITUD DE PAGO'!N:N,'SOLICITUD DE PAGO'!E:E,'AVANCE FINANCIERO 2016'!C75,'SOLICITUD DE PAGO'!U:U,"1. S.H. PAGADO")+SUMIFS('SOLICITUD DE PAGO'!N:N,'SOLICITUD DE PAGO'!E:E,'AVANCE FINANCIERO 2016'!C75,'SOLICITUD DE PAGO'!U:U,"2. S.H. PENDIENTE")+SUMIFS('SOLICITUD DE PAGO'!N:N,'SOLICITUD DE PAGO'!E:E,'AVANCE FINANCIERO 2016'!C75,'SOLICITUD DE PAGO'!U:U,"3. O.P. DGPE")+SUMIFS('SOLICITUD DE PAGO'!N:N,'SOLICITUD DE PAGO'!E:E,'AVANCE FINANCIERO 2016'!C75,'SOLICITUD DE PAGO'!U:U,"4. ESPERA FACT.")+SUMIFS('SOLICITUD DE PAGO'!N:N,'SOLICITUD DE PAGO'!E:E,'AVANCE FINANCIERO 2016'!C75,'SOLICITUD DE PAGO'!U:U,"5. SOL. PEDIDO"))/H75</f>
        <v>0.34</v>
      </c>
      <c r="G75" s="83">
        <f>LOOKUP(C75,OBRAS!D:D,OBRAS!K:K)</f>
        <v>3909669.34</v>
      </c>
      <c r="H75" s="112">
        <f t="shared" si="8"/>
        <v>3909669.34</v>
      </c>
      <c r="I75" s="83">
        <f>LOOKUP(C75,OBRAS!D:D,OBRAS!I:I)</f>
        <v>4073091.07</v>
      </c>
      <c r="J75" s="69">
        <f t="shared" si="6"/>
        <v>163421.73000000001</v>
      </c>
      <c r="K75" s="75">
        <f>COUNTIF('SOLICITUD DE PAGO'!E:E,'AVANCE FINANCIERO 2016'!C75)-1</f>
        <v>1</v>
      </c>
      <c r="L75" s="83">
        <f t="shared" si="9"/>
        <v>1172900.8</v>
      </c>
      <c r="M75" s="69">
        <f>(L75/1.16)-SUMIF('SOLICITUD DE PAGO'!E:E,'AVANCE FINANCIERO 2016'!C75,'SOLICITUD DE PAGO'!K:K)</f>
        <v>948687.27</v>
      </c>
      <c r="N75" s="70" t="s">
        <v>785</v>
      </c>
      <c r="O75" s="91">
        <f>SUMIF('SOLICITUD DE PAGO'!E:E,C75,'SOLICITUD DE PAGO'!N:N)</f>
        <v>1341889.1399999999</v>
      </c>
      <c r="P75" s="69">
        <f t="shared" si="7"/>
        <v>2567780.2000000002</v>
      </c>
    </row>
    <row r="76" spans="1:16" ht="38.25" x14ac:dyDescent="0.2">
      <c r="A76" s="65" t="s">
        <v>1466</v>
      </c>
      <c r="B76" s="65" t="str">
        <f>LOOKUP(C76,OBRAS!D:D,OBRAS!C:C)</f>
        <v>REHABILITACION DE PAVIMENTOS DE 4 CALLES EN LA LOCALIDAD DE IMURIS</v>
      </c>
      <c r="C76" s="63" t="s">
        <v>1483</v>
      </c>
      <c r="D76" s="66" t="str">
        <f>LOOKUP(C76,OBRAS!D:D,OBRAS!B:B)</f>
        <v>CW METAL S.A DE C.V.</v>
      </c>
      <c r="E76" s="63" t="str">
        <f>LOOKUP(C76,OBRAS!D:D,OBRAS!E:E)</f>
        <v>C-00052/0210</v>
      </c>
      <c r="F76" s="68">
        <f>(SUMIFS('SOLICITUD DE PAGO'!N:N,'SOLICITUD DE PAGO'!E:E,'AVANCE FINANCIERO 2016'!C76,'SOLICITUD DE PAGO'!U:U,"1. S.H. PAGADO")+SUMIFS('SOLICITUD DE PAGO'!N:N,'SOLICITUD DE PAGO'!E:E,'AVANCE FINANCIERO 2016'!C76,'SOLICITUD DE PAGO'!U:U,"2. S.H. PENDIENTE")+SUMIFS('SOLICITUD DE PAGO'!N:N,'SOLICITUD DE PAGO'!E:E,'AVANCE FINANCIERO 2016'!C76,'SOLICITUD DE PAGO'!U:U,"3. O.P. DGPE")+SUMIFS('SOLICITUD DE PAGO'!N:N,'SOLICITUD DE PAGO'!E:E,'AVANCE FINANCIERO 2016'!C76,'SOLICITUD DE PAGO'!U:U,"4. ESPERA FACT.")+SUMIFS('SOLICITUD DE PAGO'!N:N,'SOLICITUD DE PAGO'!E:E,'AVANCE FINANCIERO 2016'!C76,'SOLICITUD DE PAGO'!U:U,"5. SOL. PEDIDO"))/H76</f>
        <v>0.63</v>
      </c>
      <c r="G76" s="83">
        <f>LOOKUP(C76,OBRAS!D:D,OBRAS!K:K)</f>
        <v>2725991.13</v>
      </c>
      <c r="H76" s="112">
        <f t="shared" si="8"/>
        <v>2725991.13</v>
      </c>
      <c r="I76" s="83">
        <f>LOOKUP(C76,OBRAS!D:D,OBRAS!I:I)</f>
        <v>2746657.63</v>
      </c>
      <c r="J76" s="69">
        <f t="shared" si="6"/>
        <v>20666.5</v>
      </c>
      <c r="K76" s="75">
        <f>COUNTIF('SOLICITUD DE PAGO'!E:E,'AVANCE FINANCIERO 2016'!C76)-1</f>
        <v>1</v>
      </c>
      <c r="L76" s="83">
        <f t="shared" si="9"/>
        <v>817797.34</v>
      </c>
      <c r="M76" s="69">
        <f>(L76/1.16)-SUMIF('SOLICITUD DE PAGO'!E:E,'AVANCE FINANCIERO 2016'!C76,'SOLICITUD DE PAGO'!K:K)</f>
        <v>369983.02</v>
      </c>
      <c r="N76" s="70" t="s">
        <v>785</v>
      </c>
      <c r="O76" s="91">
        <f>SUMIF('SOLICITUD DE PAGO'!E:E,C76,'SOLICITUD DE PAGO'!N:N)</f>
        <v>1724570.43</v>
      </c>
      <c r="P76" s="69">
        <f t="shared" si="7"/>
        <v>1001420.7</v>
      </c>
    </row>
    <row r="77" spans="1:16" ht="38.25" x14ac:dyDescent="0.2">
      <c r="A77" s="65" t="s">
        <v>1617</v>
      </c>
      <c r="B77" s="65" t="str">
        <f>LOOKUP(C77,OBRAS!D:D,OBRAS!C:C)</f>
        <v>PAVIMENTACION CON CONCRETO HIDRAULICO EN LA CALLE LOS OLIVOS EN LA LOCALIDAD DE BAVIACORA</v>
      </c>
      <c r="C77" s="63" t="s">
        <v>1614</v>
      </c>
      <c r="D77" s="66" t="str">
        <f>LOOKUP(C77,OBRAS!D:D,OBRAS!B:B)</f>
        <v>VALPA SUPERVISIONES, S.A. DE C.V.</v>
      </c>
      <c r="E77" s="63" t="str">
        <f>LOOKUP(C77,OBRAS!D:D,OBRAS!E:E)</f>
        <v>C-00052/0183</v>
      </c>
      <c r="F77" s="68">
        <f>(SUMIFS('SOLICITUD DE PAGO'!N:N,'SOLICITUD DE PAGO'!E:E,'AVANCE FINANCIERO 2016'!C77,'SOLICITUD DE PAGO'!U:U,"1. S.H. PAGADO")+SUMIFS('SOLICITUD DE PAGO'!N:N,'SOLICITUD DE PAGO'!E:E,'AVANCE FINANCIERO 2016'!C77,'SOLICITUD DE PAGO'!U:U,"2. S.H. PENDIENTE")+SUMIFS('SOLICITUD DE PAGO'!N:N,'SOLICITUD DE PAGO'!E:E,'AVANCE FINANCIERO 2016'!C77,'SOLICITUD DE PAGO'!U:U,"3. O.P. DGPE")+SUMIFS('SOLICITUD DE PAGO'!N:N,'SOLICITUD DE PAGO'!E:E,'AVANCE FINANCIERO 2016'!C77,'SOLICITUD DE PAGO'!U:U,"4. ESPERA FACT.")+SUMIFS('SOLICITUD DE PAGO'!N:N,'SOLICITUD DE PAGO'!E:E,'AVANCE FINANCIERO 2016'!C77,'SOLICITUD DE PAGO'!U:U,"5. SOL. PEDIDO"))/H77</f>
        <v>0.5</v>
      </c>
      <c r="G77" s="83">
        <f>LOOKUP(C77,OBRAS!D:D,OBRAS!K:K)</f>
        <v>1797489.34</v>
      </c>
      <c r="H77" s="112">
        <f t="shared" si="8"/>
        <v>1786196.54</v>
      </c>
      <c r="I77" s="83">
        <f>LOOKUP(C77,OBRAS!D:D,OBRAS!I:I)</f>
        <v>1786196.54</v>
      </c>
      <c r="J77" s="69">
        <f t="shared" si="6"/>
        <v>-11292.8</v>
      </c>
      <c r="K77" s="75">
        <f>COUNTIF('SOLICITUD DE PAGO'!E:E,'AVANCE FINANCIERO 2016'!C77)-1</f>
        <v>1</v>
      </c>
      <c r="L77" s="83">
        <f t="shared" si="9"/>
        <v>535858.96</v>
      </c>
      <c r="M77" s="69">
        <f>(L77/1.16)-SUMIF('SOLICITUD DE PAGO'!E:E,'AVANCE FINANCIERO 2016'!C77,'SOLICITUD DE PAGO'!K:K)</f>
        <v>329611.92</v>
      </c>
      <c r="N77" s="70" t="s">
        <v>785</v>
      </c>
      <c r="O77" s="91">
        <f>SUMIF('SOLICITUD DE PAGO'!E:E,C77,'SOLICITUD DE PAGO'!N:N)</f>
        <v>894028.93</v>
      </c>
      <c r="P77" s="69">
        <f t="shared" si="7"/>
        <v>903460.41</v>
      </c>
    </row>
    <row r="78" spans="1:16" ht="38.25" x14ac:dyDescent="0.2">
      <c r="A78" s="65" t="s">
        <v>2532</v>
      </c>
      <c r="B78" s="65" t="str">
        <f>LOOKUP(C78,OBRAS!D:D,OBRAS!C:C)</f>
        <v>REHABILITACION DE PAVIMENTOS DE 9 CALLES EN LA LOCALIDAD DE TERRENATE</v>
      </c>
      <c r="C78" s="63" t="s">
        <v>1462</v>
      </c>
      <c r="D78" s="66" t="str">
        <f>LOOKUP(C78,OBRAS!D:D,OBRAS!B:B)</f>
        <v>CW METAL S.A DE C.V.</v>
      </c>
      <c r="E78" s="63" t="str">
        <f>LOOKUP(C78,OBRAS!D:D,OBRAS!E:E)</f>
        <v>C-00052/0208</v>
      </c>
      <c r="F78" s="68">
        <f>(SUMIFS('SOLICITUD DE PAGO'!N:N,'SOLICITUD DE PAGO'!E:E,'AVANCE FINANCIERO 2016'!C78,'SOLICITUD DE PAGO'!U:U,"1. S.H. PAGADO")+SUMIFS('SOLICITUD DE PAGO'!N:N,'SOLICITUD DE PAGO'!E:E,'AVANCE FINANCIERO 2016'!C78,'SOLICITUD DE PAGO'!U:U,"2. S.H. PENDIENTE")+SUMIFS('SOLICITUD DE PAGO'!N:N,'SOLICITUD DE PAGO'!E:E,'AVANCE FINANCIERO 2016'!C78,'SOLICITUD DE PAGO'!U:U,"3. O.P. DGPE")+SUMIFS('SOLICITUD DE PAGO'!N:N,'SOLICITUD DE PAGO'!E:E,'AVANCE FINANCIERO 2016'!C78,'SOLICITUD DE PAGO'!U:U,"4. ESPERA FACT.")+SUMIFS('SOLICITUD DE PAGO'!N:N,'SOLICITUD DE PAGO'!E:E,'AVANCE FINANCIERO 2016'!C78,'SOLICITUD DE PAGO'!U:U,"5. SOL. PEDIDO"))/H78</f>
        <v>0.75</v>
      </c>
      <c r="G78" s="83">
        <f>LOOKUP(C78,OBRAS!D:D,OBRAS!K:K)</f>
        <v>2899984.17</v>
      </c>
      <c r="H78" s="112">
        <f t="shared" si="8"/>
        <v>2899984.17</v>
      </c>
      <c r="I78" s="83">
        <f>LOOKUP(C78,OBRAS!D:D,OBRAS!I:I)</f>
        <v>2979498.22</v>
      </c>
      <c r="J78" s="69">
        <f t="shared" si="6"/>
        <v>79514.05</v>
      </c>
      <c r="K78" s="75">
        <f>COUNTIF('SOLICITUD DE PAGO'!E:E,'AVANCE FINANCIERO 2016'!C78)-1</f>
        <v>1</v>
      </c>
      <c r="L78" s="83">
        <f t="shared" si="9"/>
        <v>869995.25</v>
      </c>
      <c r="M78" s="69">
        <f>(L78/1.16)-SUMIF('SOLICITUD DE PAGO'!E:E,'AVANCE FINANCIERO 2016'!C78,'SOLICITUD DE PAGO'!K:K)</f>
        <v>265150.21999999997</v>
      </c>
      <c r="N78" s="70" t="s">
        <v>785</v>
      </c>
      <c r="O78" s="91">
        <f>SUMIF('SOLICITUD DE PAGO'!E:E,C78,'SOLICITUD DE PAGO'!N:N)</f>
        <v>2182310.92</v>
      </c>
      <c r="P78" s="69">
        <f t="shared" si="7"/>
        <v>717673.25</v>
      </c>
    </row>
    <row r="79" spans="1:16" ht="51" x14ac:dyDescent="0.2">
      <c r="A79" s="65" t="s">
        <v>1612</v>
      </c>
      <c r="B79" s="65" t="str">
        <f>LOOKUP(C79,OBRAS!D:D,OBRAS!C:C)</f>
        <v>PAVIMENTACION CON CONCRETO HIDRAULICO DE VARIAS CALLES Y AVENIDAS DE VARIAS COLONIAS EN NACOZARI DE GARCIA</v>
      </c>
      <c r="C79" s="63" t="s">
        <v>1608</v>
      </c>
      <c r="D79" s="66" t="str">
        <f>LOOKUP(C79,OBRAS!D:D,OBRAS!B:B)</f>
        <v>SIGNS MANUFACTURAS Y CONSTRUCCIONES, S.A. DE C.V.</v>
      </c>
      <c r="E79" s="63" t="str">
        <f>LOOKUP(C79,OBRAS!D:D,OBRAS!E:E)</f>
        <v>C-00052/0235</v>
      </c>
      <c r="F79" s="68">
        <f>(SUMIFS('SOLICITUD DE PAGO'!N:N,'SOLICITUD DE PAGO'!E:E,'AVANCE FINANCIERO 2016'!C79,'SOLICITUD DE PAGO'!U:U,"1. S.H. PAGADO")+SUMIFS('SOLICITUD DE PAGO'!N:N,'SOLICITUD DE PAGO'!E:E,'AVANCE FINANCIERO 2016'!C79,'SOLICITUD DE PAGO'!U:U,"2. S.H. PENDIENTE")+SUMIFS('SOLICITUD DE PAGO'!N:N,'SOLICITUD DE PAGO'!E:E,'AVANCE FINANCIERO 2016'!C79,'SOLICITUD DE PAGO'!U:U,"3. O.P. DGPE")+SUMIFS('SOLICITUD DE PAGO'!N:N,'SOLICITUD DE PAGO'!E:E,'AVANCE FINANCIERO 2016'!C79,'SOLICITUD DE PAGO'!U:U,"4. ESPERA FACT.")+SUMIFS('SOLICITUD DE PAGO'!N:N,'SOLICITUD DE PAGO'!E:E,'AVANCE FINANCIERO 2016'!C79,'SOLICITUD DE PAGO'!U:U,"5. SOL. PEDIDO"))/H79</f>
        <v>0.6</v>
      </c>
      <c r="G79" s="83">
        <f>LOOKUP(C79,OBRAS!D:D,OBRAS!K:K)</f>
        <v>8449393.5399999991</v>
      </c>
      <c r="H79" s="112">
        <f t="shared" si="8"/>
        <v>8449393.5399999991</v>
      </c>
      <c r="I79" s="83">
        <f>LOOKUP(C79,OBRAS!D:D,OBRAS!I:I)</f>
        <v>8449393.5399999991</v>
      </c>
      <c r="J79" s="69">
        <f t="shared" si="6"/>
        <v>0</v>
      </c>
      <c r="K79" s="75">
        <f>COUNTIF('SOLICITUD DE PAGO'!E:E,'AVANCE FINANCIERO 2016'!C79)-1</f>
        <v>3</v>
      </c>
      <c r="L79" s="83">
        <f t="shared" si="9"/>
        <v>2534818.06</v>
      </c>
      <c r="M79" s="69">
        <f>(L79/1.16)-SUMIF('SOLICITUD DE PAGO'!E:E,'AVANCE FINANCIERO 2016'!C79,'SOLICITUD DE PAGO'!K:K)</f>
        <v>1253425.6599999999</v>
      </c>
      <c r="N79" s="70" t="s">
        <v>785</v>
      </c>
      <c r="O79" s="91">
        <f>SUMIF('SOLICITUD DE PAGO'!E:E,C79,'SOLICITUD DE PAGO'!N:N)</f>
        <v>5056788.05</v>
      </c>
      <c r="P79" s="69">
        <f t="shared" si="7"/>
        <v>3392605.49</v>
      </c>
    </row>
    <row r="80" spans="1:16" ht="51" x14ac:dyDescent="0.2">
      <c r="A80" s="65" t="s">
        <v>2533</v>
      </c>
      <c r="B80" s="65" t="str">
        <f>LOOKUP(C80,OBRAS!D:D,OBRAS!C:C)</f>
        <v>PAVIMENTACION CON CONCRETO HIDRAULICO DE 15 CMS DE ESPESOR EN CALLE 3 EN LA LOCALIDAD DE NACORI CHICO</v>
      </c>
      <c r="C80" s="63" t="s">
        <v>1488</v>
      </c>
      <c r="D80" s="66" t="str">
        <f>LOOKUP(C80,OBRAS!D:D,OBRAS!B:B)</f>
        <v>ADOBE DESARROLLOS, S.A. DE C.V.</v>
      </c>
      <c r="E80" s="63" t="str">
        <f>LOOKUP(C80,OBRAS!D:D,OBRAS!E:E)</f>
        <v>C-00052/0186</v>
      </c>
      <c r="F80" s="68">
        <f>(SUMIFS('SOLICITUD DE PAGO'!N:N,'SOLICITUD DE PAGO'!E:E,'AVANCE FINANCIERO 2016'!C80,'SOLICITUD DE PAGO'!U:U,"1. S.H. PAGADO")+SUMIFS('SOLICITUD DE PAGO'!N:N,'SOLICITUD DE PAGO'!E:E,'AVANCE FINANCIERO 2016'!C80,'SOLICITUD DE PAGO'!U:U,"2. S.H. PENDIENTE")+SUMIFS('SOLICITUD DE PAGO'!N:N,'SOLICITUD DE PAGO'!E:E,'AVANCE FINANCIERO 2016'!C80,'SOLICITUD DE PAGO'!U:U,"3. O.P. DGPE")+SUMIFS('SOLICITUD DE PAGO'!N:N,'SOLICITUD DE PAGO'!E:E,'AVANCE FINANCIERO 2016'!C80,'SOLICITUD DE PAGO'!U:U,"4. ESPERA FACT.")+SUMIFS('SOLICITUD DE PAGO'!N:N,'SOLICITUD DE PAGO'!E:E,'AVANCE FINANCIERO 2016'!C80,'SOLICITUD DE PAGO'!U:U,"5. SOL. PEDIDO"))/H80</f>
        <v>1</v>
      </c>
      <c r="G80" s="83">
        <f>LOOKUP(C80,OBRAS!D:D,OBRAS!K:K)</f>
        <v>1916424.39</v>
      </c>
      <c r="H80" s="112">
        <f t="shared" si="8"/>
        <v>1916424.39</v>
      </c>
      <c r="I80" s="83">
        <f>LOOKUP(C80,OBRAS!D:D,OBRAS!I:I)</f>
        <v>1916424.39</v>
      </c>
      <c r="J80" s="69">
        <f t="shared" si="6"/>
        <v>0</v>
      </c>
      <c r="K80" s="75">
        <f>COUNTIF('SOLICITUD DE PAGO'!E:E,'AVANCE FINANCIERO 2016'!C80)-1</f>
        <v>3</v>
      </c>
      <c r="L80" s="83">
        <f t="shared" si="9"/>
        <v>574927.31999999995</v>
      </c>
      <c r="M80" s="69">
        <f>(L80/1.16)-SUMIF('SOLICITUD DE PAGO'!E:E,'AVANCE FINANCIERO 2016'!C80,'SOLICITUD DE PAGO'!K:K)</f>
        <v>0</v>
      </c>
      <c r="N80" s="70" t="s">
        <v>785</v>
      </c>
      <c r="O80" s="91">
        <f>SUMIF('SOLICITUD DE PAGO'!E:E,C80,'SOLICITUD DE PAGO'!N:N)</f>
        <v>1916424.39</v>
      </c>
      <c r="P80" s="69">
        <f t="shared" si="7"/>
        <v>0</v>
      </c>
    </row>
    <row r="81" spans="1:16" ht="51" x14ac:dyDescent="0.2">
      <c r="A81" s="65" t="s">
        <v>1451</v>
      </c>
      <c r="B81" s="65" t="str">
        <f>LOOKUP(C81,OBRAS!D:D,OBRAS!C:C)</f>
        <v>PAVIMENTACION CON CONCRETO HIDRAHULICO DE AVENIDA PROFA. JULIA GALAZ EN LA LOCALIDAD DE BACADEHUACHI</v>
      </c>
      <c r="C81" s="63" t="s">
        <v>1446</v>
      </c>
      <c r="D81" s="66" t="str">
        <f>LOOKUP(C81,OBRAS!D:D,OBRAS!B:B)</f>
        <v>ADOBE DESARROLLOS, S.A. DE C.V.</v>
      </c>
      <c r="E81" s="63" t="str">
        <f>LOOKUP(C81,OBRAS!D:D,OBRAS!E:E)</f>
        <v>C-00052/0233</v>
      </c>
      <c r="F81" s="68">
        <f>(SUMIFS('SOLICITUD DE PAGO'!N:N,'SOLICITUD DE PAGO'!E:E,'AVANCE FINANCIERO 2016'!C81,'SOLICITUD DE PAGO'!U:U,"1. S.H. PAGADO")+SUMIFS('SOLICITUD DE PAGO'!N:N,'SOLICITUD DE PAGO'!E:E,'AVANCE FINANCIERO 2016'!C81,'SOLICITUD DE PAGO'!U:U,"2. S.H. PENDIENTE")+SUMIFS('SOLICITUD DE PAGO'!N:N,'SOLICITUD DE PAGO'!E:E,'AVANCE FINANCIERO 2016'!C81,'SOLICITUD DE PAGO'!U:U,"3. O.P. DGPE")+SUMIFS('SOLICITUD DE PAGO'!N:N,'SOLICITUD DE PAGO'!E:E,'AVANCE FINANCIERO 2016'!C81,'SOLICITUD DE PAGO'!U:U,"4. ESPERA FACT.")+SUMIFS('SOLICITUD DE PAGO'!N:N,'SOLICITUD DE PAGO'!E:E,'AVANCE FINANCIERO 2016'!C81,'SOLICITUD DE PAGO'!U:U,"5. SOL. PEDIDO"))/H81</f>
        <v>0.42</v>
      </c>
      <c r="G81" s="83">
        <f>LOOKUP(C81,OBRAS!D:D,OBRAS!K:K)</f>
        <v>1590534.08</v>
      </c>
      <c r="H81" s="112">
        <f t="shared" si="8"/>
        <v>1590534.08</v>
      </c>
      <c r="I81" s="83">
        <f>LOOKUP(C81,OBRAS!D:D,OBRAS!I:I)</f>
        <v>1651536.82</v>
      </c>
      <c r="J81" s="69">
        <f t="shared" si="6"/>
        <v>61002.74</v>
      </c>
      <c r="K81" s="75">
        <f>COUNTIF('SOLICITUD DE PAGO'!E:E,'AVANCE FINANCIERO 2016'!C81)-1</f>
        <v>1</v>
      </c>
      <c r="L81" s="83">
        <f t="shared" si="9"/>
        <v>477160.22</v>
      </c>
      <c r="M81" s="69">
        <f>(L81/1.16)-SUMIF('SOLICITUD DE PAGO'!E:E,'AVANCE FINANCIERO 2016'!C81,'SOLICITUD DE PAGO'!K:K)</f>
        <v>337910.74</v>
      </c>
      <c r="N81" s="70" t="s">
        <v>785</v>
      </c>
      <c r="O81" s="91">
        <f>SUMIF('SOLICITUD DE PAGO'!E:E,C81,'SOLICITUD DE PAGO'!N:N)</f>
        <v>675922.35</v>
      </c>
      <c r="P81" s="69">
        <f t="shared" si="7"/>
        <v>914611.73</v>
      </c>
    </row>
    <row r="82" spans="1:16" ht="38.25" x14ac:dyDescent="0.2">
      <c r="A82" s="65" t="s">
        <v>1668</v>
      </c>
      <c r="B82" s="65" t="str">
        <f>LOOKUP(C82,OBRAS!D:D,OBRAS!C:C)</f>
        <v>RECARPETEO CON MICROCARPETA ASFALTICA EN 12 CALLES Y AVENIDAS Y LOCALIDADES DE MOCTEZUMA</v>
      </c>
      <c r="C82" s="63" t="s">
        <v>1663</v>
      </c>
      <c r="D82" s="66" t="str">
        <f>LOOKUP(C82,OBRAS!D:D,OBRAS!B:B)</f>
        <v>JUAN DIEGO AVILES MARTINEZ</v>
      </c>
      <c r="E82" s="63" t="str">
        <f>LOOKUP(C82,OBRAS!D:D,OBRAS!E:E)</f>
        <v>C-00052/0225</v>
      </c>
      <c r="F82" s="68">
        <f>(SUMIFS('SOLICITUD DE PAGO'!N:N,'SOLICITUD DE PAGO'!E:E,'AVANCE FINANCIERO 2016'!C82,'SOLICITUD DE PAGO'!U:U,"1. S.H. PAGADO")+SUMIFS('SOLICITUD DE PAGO'!N:N,'SOLICITUD DE PAGO'!E:E,'AVANCE FINANCIERO 2016'!C82,'SOLICITUD DE PAGO'!U:U,"2. S.H. PENDIENTE")+SUMIFS('SOLICITUD DE PAGO'!N:N,'SOLICITUD DE PAGO'!E:E,'AVANCE FINANCIERO 2016'!C82,'SOLICITUD DE PAGO'!U:U,"3. O.P. DGPE")+SUMIFS('SOLICITUD DE PAGO'!N:N,'SOLICITUD DE PAGO'!E:E,'AVANCE FINANCIERO 2016'!C82,'SOLICITUD DE PAGO'!U:U,"4. ESPERA FACT.")+SUMIFS('SOLICITUD DE PAGO'!N:N,'SOLICITUD DE PAGO'!E:E,'AVANCE FINANCIERO 2016'!C82,'SOLICITUD DE PAGO'!U:U,"5. SOL. PEDIDO"))/H82</f>
        <v>1</v>
      </c>
      <c r="G82" s="83">
        <f>LOOKUP(C82,OBRAS!D:D,OBRAS!K:K)</f>
        <v>2855324.57</v>
      </c>
      <c r="H82" s="112">
        <f t="shared" si="8"/>
        <v>2855324.57</v>
      </c>
      <c r="I82" s="83">
        <f>LOOKUP(C82,OBRAS!D:D,OBRAS!I:I)</f>
        <v>2862158.73</v>
      </c>
      <c r="J82" s="69">
        <f t="shared" si="6"/>
        <v>6834.16</v>
      </c>
      <c r="K82" s="75">
        <f>COUNTIF('SOLICITUD DE PAGO'!E:E,'AVANCE FINANCIERO 2016'!C82)-1</f>
        <v>4</v>
      </c>
      <c r="L82" s="83">
        <f t="shared" si="9"/>
        <v>856597.37</v>
      </c>
      <c r="M82" s="69">
        <f>(L82/1.16)-SUMIF('SOLICITUD DE PAGO'!E:E,'AVANCE FINANCIERO 2016'!C82,'SOLICITUD DE PAGO'!K:K)</f>
        <v>0</v>
      </c>
      <c r="N82" s="70" t="s">
        <v>785</v>
      </c>
      <c r="O82" s="91">
        <f>SUMIF('SOLICITUD DE PAGO'!E:E,C82,'SOLICITUD DE PAGO'!N:N)</f>
        <v>2855324.56</v>
      </c>
      <c r="P82" s="69">
        <f t="shared" si="7"/>
        <v>0.01</v>
      </c>
    </row>
    <row r="83" spans="1:16" ht="38.25" x14ac:dyDescent="0.2">
      <c r="A83" s="65" t="s">
        <v>1456</v>
      </c>
      <c r="B83" s="65" t="str">
        <f>LOOKUP(C83,OBRAS!D:D,OBRAS!C:C)</f>
        <v>PAVIMENTACION CON CONCRETO HIDRAULICO EN LA AVENIDA DE LA CASA EN LA LOCALIDAD DE BACERAC</v>
      </c>
      <c r="C83" s="63" t="s">
        <v>1453</v>
      </c>
      <c r="D83" s="66" t="str">
        <f>LOOKUP(C83,OBRAS!D:D,OBRAS!B:B)</f>
        <v>ADOBE DESARROLLOS, S.A. DE C.V.</v>
      </c>
      <c r="E83" s="63" t="str">
        <f>LOOKUP(C83,OBRAS!D:D,OBRAS!E:E)</f>
        <v>C-00052/0196</v>
      </c>
      <c r="F83" s="68">
        <f>(SUMIFS('SOLICITUD DE PAGO'!N:N,'SOLICITUD DE PAGO'!E:E,'AVANCE FINANCIERO 2016'!C83,'SOLICITUD DE PAGO'!U:U,"1. S.H. PAGADO")+SUMIFS('SOLICITUD DE PAGO'!N:N,'SOLICITUD DE PAGO'!E:E,'AVANCE FINANCIERO 2016'!C83,'SOLICITUD DE PAGO'!U:U,"2. S.H. PENDIENTE")+SUMIFS('SOLICITUD DE PAGO'!N:N,'SOLICITUD DE PAGO'!E:E,'AVANCE FINANCIERO 2016'!C83,'SOLICITUD DE PAGO'!U:U,"3. O.P. DGPE")+SUMIFS('SOLICITUD DE PAGO'!N:N,'SOLICITUD DE PAGO'!E:E,'AVANCE FINANCIERO 2016'!C83,'SOLICITUD DE PAGO'!U:U,"4. ESPERA FACT.")+SUMIFS('SOLICITUD DE PAGO'!N:N,'SOLICITUD DE PAGO'!E:E,'AVANCE FINANCIERO 2016'!C83,'SOLICITUD DE PAGO'!U:U,"5. SOL. PEDIDO"))/H83</f>
        <v>1</v>
      </c>
      <c r="G83" s="83">
        <f>LOOKUP(C83,OBRAS!D:D,OBRAS!K:K)</f>
        <v>1318284.3999999999</v>
      </c>
      <c r="H83" s="112">
        <f t="shared" si="8"/>
        <v>1318284.3999999999</v>
      </c>
      <c r="I83" s="83">
        <f>LOOKUP(C83,OBRAS!D:D,OBRAS!I:I)</f>
        <v>1415056.07</v>
      </c>
      <c r="J83" s="69">
        <f t="shared" si="6"/>
        <v>96771.67</v>
      </c>
      <c r="K83" s="75">
        <f>COUNTIF('SOLICITUD DE PAGO'!E:E,'AVANCE FINANCIERO 2016'!C83)-1</f>
        <v>3</v>
      </c>
      <c r="L83" s="83">
        <f t="shared" si="9"/>
        <v>395485.32</v>
      </c>
      <c r="M83" s="69">
        <f>(L83/1.16)-SUMIF('SOLICITUD DE PAGO'!E:E,'AVANCE FINANCIERO 2016'!C83,'SOLICITUD DE PAGO'!K:K)</f>
        <v>0</v>
      </c>
      <c r="N83" s="70" t="s">
        <v>785</v>
      </c>
      <c r="O83" s="91">
        <f>SUMIF('SOLICITUD DE PAGO'!E:E,C83,'SOLICITUD DE PAGO'!N:N)</f>
        <v>1318284.3999999999</v>
      </c>
      <c r="P83" s="69">
        <f t="shared" si="7"/>
        <v>0</v>
      </c>
    </row>
    <row r="84" spans="1:16" ht="48" customHeight="1" x14ac:dyDescent="0.2">
      <c r="A84" s="65"/>
      <c r="B84" s="65" t="str">
        <f>LOOKUP(C84,OBRAS!D:D,OBRAS!C:C)</f>
        <v>PAVIMENTACION CON CONCRETO HIDRAULICO DE LAS CALLES NORTE (EPIFANIO LEYVA SOTO) Y CUAUHTEMOC</v>
      </c>
      <c r="C84" s="63" t="s">
        <v>1602</v>
      </c>
      <c r="D84" s="66" t="str">
        <f>LOOKUP(C84,OBRAS!D:D,OBRAS!B:B)</f>
        <v>PROTEKO DESARROLLOS E INFRAESTRUCTURA S.A. DE C.V.</v>
      </c>
      <c r="E84" s="63" t="str">
        <f>LOOKUP(C84,OBRAS!D:D,OBRAS!E:E)</f>
        <v>C-00052/0213</v>
      </c>
      <c r="F84" s="68">
        <f>(SUMIFS('SOLICITUD DE PAGO'!N:N,'SOLICITUD DE PAGO'!E:E,'AVANCE FINANCIERO 2016'!C84,'SOLICITUD DE PAGO'!U:U,"1. S.H. PAGADO")+SUMIFS('SOLICITUD DE PAGO'!N:N,'SOLICITUD DE PAGO'!E:E,'AVANCE FINANCIERO 2016'!C84,'SOLICITUD DE PAGO'!U:U,"2. S.H. PENDIENTE")+SUMIFS('SOLICITUD DE PAGO'!N:N,'SOLICITUD DE PAGO'!E:E,'AVANCE FINANCIERO 2016'!C84,'SOLICITUD DE PAGO'!U:U,"3. O.P. DGPE")+SUMIFS('SOLICITUD DE PAGO'!N:N,'SOLICITUD DE PAGO'!E:E,'AVANCE FINANCIERO 2016'!C84,'SOLICITUD DE PAGO'!U:U,"4. ESPERA FACT.")+SUMIFS('SOLICITUD DE PAGO'!N:N,'SOLICITUD DE PAGO'!E:E,'AVANCE FINANCIERO 2016'!C84,'SOLICITUD DE PAGO'!U:U,"5. SOL. PEDIDO"))/H84</f>
        <v>0.44</v>
      </c>
      <c r="G84" s="83">
        <f>LOOKUP(C84,OBRAS!D:D,OBRAS!K:K)</f>
        <v>3392572.89</v>
      </c>
      <c r="H84" s="112">
        <f t="shared" si="8"/>
        <v>3392572.89</v>
      </c>
      <c r="I84" s="83">
        <f>LOOKUP(C84,OBRAS!D:D,OBRAS!I:I)</f>
        <v>3420418.72</v>
      </c>
      <c r="J84" s="69">
        <f t="shared" si="6"/>
        <v>27845.83</v>
      </c>
      <c r="K84" s="75">
        <f>COUNTIF('SOLICITUD DE PAGO'!E:E,'AVANCE FINANCIERO 2016'!C84)-1</f>
        <v>1</v>
      </c>
      <c r="L84" s="83">
        <f t="shared" si="9"/>
        <v>1017771.87</v>
      </c>
      <c r="M84" s="69">
        <f>(L84/1.16)-SUMIF('SOLICITUD DE PAGO'!E:E,'AVANCE FINANCIERO 2016'!C84,'SOLICITUD DE PAGO'!K:K)</f>
        <v>696760.76</v>
      </c>
      <c r="N84" s="70" t="s">
        <v>785</v>
      </c>
      <c r="O84" s="91">
        <f>SUMIF('SOLICITUD DE PAGO'!E:E,C84,'SOLICITUD DE PAGO'!N:N)</f>
        <v>1506673.75</v>
      </c>
      <c r="P84" s="69">
        <f t="shared" si="7"/>
        <v>1885899.14</v>
      </c>
    </row>
    <row r="85" spans="1:16" ht="51" x14ac:dyDescent="0.2">
      <c r="A85" s="65" t="s">
        <v>1723</v>
      </c>
      <c r="B85" s="65" t="str">
        <f>LOOKUP(C85,OBRAS!D:D,OBRAS!C:C)</f>
        <v>PAVIMENTACIÓN CON CONCRETO HIDRAULICO DE CALLE ADOLFO DE LA HUERTA EN LA LOCALIDAD DE QUEROBABI</v>
      </c>
      <c r="C85" s="63" t="s">
        <v>1719</v>
      </c>
      <c r="D85" s="66" t="str">
        <f>LOOKUP(C85,OBRAS!D:D,OBRAS!B:B)</f>
        <v>INGENIERIA INTEGRAL LA ISLETA, S.A. DE C.V.</v>
      </c>
      <c r="E85" s="63" t="str">
        <f>LOOKUP(C85,OBRAS!D:D,OBRAS!E:E)</f>
        <v>C-00052/0185</v>
      </c>
      <c r="F85" s="68">
        <f>(SUMIFS('SOLICITUD DE PAGO'!N:N,'SOLICITUD DE PAGO'!E:E,'AVANCE FINANCIERO 2016'!C85,'SOLICITUD DE PAGO'!U:U,"1. S.H. PAGADO")+SUMIFS('SOLICITUD DE PAGO'!N:N,'SOLICITUD DE PAGO'!E:E,'AVANCE FINANCIERO 2016'!C85,'SOLICITUD DE PAGO'!U:U,"2. S.H. PENDIENTE")+SUMIFS('SOLICITUD DE PAGO'!N:N,'SOLICITUD DE PAGO'!E:E,'AVANCE FINANCIERO 2016'!C85,'SOLICITUD DE PAGO'!U:U,"3. O.P. DGPE")+SUMIFS('SOLICITUD DE PAGO'!N:N,'SOLICITUD DE PAGO'!E:E,'AVANCE FINANCIERO 2016'!C85,'SOLICITUD DE PAGO'!U:U,"4. ESPERA FACT.")+SUMIFS('SOLICITUD DE PAGO'!N:N,'SOLICITUD DE PAGO'!E:E,'AVANCE FINANCIERO 2016'!C85,'SOLICITUD DE PAGO'!U:U,"5. SOL. PEDIDO"))/H85</f>
        <v>0.97</v>
      </c>
      <c r="G85" s="83">
        <f>LOOKUP(C85,OBRAS!D:D,OBRAS!K:K)</f>
        <v>2851069.39</v>
      </c>
      <c r="H85" s="112">
        <f t="shared" si="8"/>
        <v>2851069.39</v>
      </c>
      <c r="I85" s="83">
        <f>LOOKUP(C85,OBRAS!D:D,OBRAS!I:I)</f>
        <v>2853629.22</v>
      </c>
      <c r="J85" s="69">
        <f t="shared" si="6"/>
        <v>2559.83</v>
      </c>
      <c r="K85" s="75">
        <f>COUNTIF('SOLICITUD DE PAGO'!E:E,'AVANCE FINANCIERO 2016'!C85)-1</f>
        <v>4</v>
      </c>
      <c r="L85" s="83">
        <f t="shared" si="9"/>
        <v>855320.82</v>
      </c>
      <c r="M85" s="69">
        <f>(L85/1.16)-SUMIF('SOLICITUD DE PAGO'!E:E,'AVANCE FINANCIERO 2016'!C85,'SOLICITUD DE PAGO'!K:K)</f>
        <v>36761.699999999997</v>
      </c>
      <c r="N85" s="70" t="s">
        <v>785</v>
      </c>
      <c r="O85" s="91">
        <f>SUMIF('SOLICITUD DE PAGO'!E:E,C85,'SOLICITUD DE PAGO'!N:N)</f>
        <v>2751567.71</v>
      </c>
      <c r="P85" s="69">
        <f t="shared" si="7"/>
        <v>99501.68</v>
      </c>
    </row>
    <row r="86" spans="1:16" ht="51" x14ac:dyDescent="0.2">
      <c r="A86" s="65" t="s">
        <v>1009</v>
      </c>
      <c r="B86" s="65" t="str">
        <f>LOOKUP(C86,OBRAS!D:D,OBRAS!C:C)</f>
        <v>PAVIMENTACION CON CONCRETO HIDRAULICO DE 15CMS DE ESPESOR EN CALLE MORELIA EN LA LOCALIDAD DE CARBO</v>
      </c>
      <c r="C86" s="63" t="s">
        <v>1638</v>
      </c>
      <c r="D86" s="66" t="str">
        <f>LOOKUP(C86,OBRAS!D:D,OBRAS!B:B)</f>
        <v>RUVERSA, S.A. DE C.V.</v>
      </c>
      <c r="E86" s="63" t="str">
        <f>LOOKUP(C86,OBRAS!D:D,OBRAS!E:E)</f>
        <v>C-00052/0191</v>
      </c>
      <c r="F86" s="68">
        <f>(SUMIFS('SOLICITUD DE PAGO'!N:N,'SOLICITUD DE PAGO'!E:E,'AVANCE FINANCIERO 2016'!C86,'SOLICITUD DE PAGO'!U:U,"1. S.H. PAGADO")+SUMIFS('SOLICITUD DE PAGO'!N:N,'SOLICITUD DE PAGO'!E:E,'AVANCE FINANCIERO 2016'!C86,'SOLICITUD DE PAGO'!U:U,"2. S.H. PENDIENTE")+SUMIFS('SOLICITUD DE PAGO'!N:N,'SOLICITUD DE PAGO'!E:E,'AVANCE FINANCIERO 2016'!C86,'SOLICITUD DE PAGO'!U:U,"3. O.P. DGPE")+SUMIFS('SOLICITUD DE PAGO'!N:N,'SOLICITUD DE PAGO'!E:E,'AVANCE FINANCIERO 2016'!C86,'SOLICITUD DE PAGO'!U:U,"4. ESPERA FACT.")+SUMIFS('SOLICITUD DE PAGO'!N:N,'SOLICITUD DE PAGO'!E:E,'AVANCE FINANCIERO 2016'!C86,'SOLICITUD DE PAGO'!U:U,"5. SOL. PEDIDO"))/H86</f>
        <v>1</v>
      </c>
      <c r="G86" s="83">
        <f>LOOKUP(C86,OBRAS!D:D,OBRAS!K:K)</f>
        <v>2609103.9500000002</v>
      </c>
      <c r="H86" s="112">
        <f t="shared" si="8"/>
        <v>2609103.9500000002</v>
      </c>
      <c r="I86" s="83">
        <f>LOOKUP(C86,OBRAS!D:D,OBRAS!I:I)</f>
        <v>2615604.91</v>
      </c>
      <c r="J86" s="69">
        <f t="shared" si="6"/>
        <v>6500.96</v>
      </c>
      <c r="K86" s="75">
        <f>COUNTIF('SOLICITUD DE PAGO'!E:E,'AVANCE FINANCIERO 2016'!C86)-1</f>
        <v>3</v>
      </c>
      <c r="L86" s="83">
        <f t="shared" si="9"/>
        <v>782731.19</v>
      </c>
      <c r="M86" s="69">
        <f>(L86/1.16)-SUMIF('SOLICITUD DE PAGO'!E:E,'AVANCE FINANCIERO 2016'!C86,'SOLICITUD DE PAGO'!K:K)</f>
        <v>0.01</v>
      </c>
      <c r="N86" s="70" t="s">
        <v>785</v>
      </c>
      <c r="O86" s="91">
        <f>SUMIF('SOLICITUD DE PAGO'!E:E,C86,'SOLICITUD DE PAGO'!N:N)</f>
        <v>2608930.1800000002</v>
      </c>
      <c r="P86" s="69">
        <f t="shared" si="7"/>
        <v>173.77</v>
      </c>
    </row>
    <row r="87" spans="1:16" ht="38.25" x14ac:dyDescent="0.2">
      <c r="A87" s="65" t="s">
        <v>1439</v>
      </c>
      <c r="B87" s="65" t="str">
        <f>LOOKUP(C87,OBRAS!D:D,OBRAS!C:C)</f>
        <v>PAVIMENTACION CON CONCRETO HIDRAULICO DE CALLE BARTOLOME DE LAS CASAS EN LA LOCALIDAD DE RAYON</v>
      </c>
      <c r="C87" s="63" t="s">
        <v>1442</v>
      </c>
      <c r="D87" s="66" t="str">
        <f>LOOKUP(C87,OBRAS!D:D,OBRAS!B:B)</f>
        <v>CINCO H INGENIERIA Y TERRACERIAS, S.A. DE C.V.</v>
      </c>
      <c r="E87" s="63" t="str">
        <f>LOOKUP(C87,OBRAS!D:D,OBRAS!E:E)</f>
        <v>C-00052/0195</v>
      </c>
      <c r="F87" s="68">
        <f>(SUMIFS('SOLICITUD DE PAGO'!N:N,'SOLICITUD DE PAGO'!E:E,'AVANCE FINANCIERO 2016'!C87,'SOLICITUD DE PAGO'!U:U,"1. S.H. PAGADO")+SUMIFS('SOLICITUD DE PAGO'!N:N,'SOLICITUD DE PAGO'!E:E,'AVANCE FINANCIERO 2016'!C87,'SOLICITUD DE PAGO'!U:U,"2. S.H. PENDIENTE")+SUMIFS('SOLICITUD DE PAGO'!N:N,'SOLICITUD DE PAGO'!E:E,'AVANCE FINANCIERO 2016'!C87,'SOLICITUD DE PAGO'!U:U,"3. O.P. DGPE")+SUMIFS('SOLICITUD DE PAGO'!N:N,'SOLICITUD DE PAGO'!E:E,'AVANCE FINANCIERO 2016'!C87,'SOLICITUD DE PAGO'!U:U,"4. ESPERA FACT.")+SUMIFS('SOLICITUD DE PAGO'!N:N,'SOLICITUD DE PAGO'!E:E,'AVANCE FINANCIERO 2016'!C87,'SOLICITUD DE PAGO'!U:U,"5. SOL. PEDIDO"))/H87</f>
        <v>1</v>
      </c>
      <c r="G87" s="83">
        <f>LOOKUP(C87,OBRAS!D:D,OBRAS!K:K)</f>
        <v>1968982.56</v>
      </c>
      <c r="H87" s="112">
        <f t="shared" si="8"/>
        <v>1968982.56</v>
      </c>
      <c r="I87" s="83">
        <f>LOOKUP(C87,OBRAS!D:D,OBRAS!I:I)</f>
        <v>2016076.95</v>
      </c>
      <c r="J87" s="69">
        <f t="shared" si="6"/>
        <v>47094.39</v>
      </c>
      <c r="K87" s="75">
        <f>COUNTIF('SOLICITUD DE PAGO'!E:E,'AVANCE FINANCIERO 2016'!C87)-1</f>
        <v>4</v>
      </c>
      <c r="L87" s="83">
        <f t="shared" si="9"/>
        <v>590694.77</v>
      </c>
      <c r="M87" s="69">
        <f>(L87/1.16)-SUMIF('SOLICITUD DE PAGO'!E:E,'AVANCE FINANCIERO 2016'!C87,'SOLICITUD DE PAGO'!K:K)</f>
        <v>0</v>
      </c>
      <c r="N87" s="70" t="s">
        <v>785</v>
      </c>
      <c r="O87" s="91">
        <f>SUMIF('SOLICITUD DE PAGO'!E:E,C87,'SOLICITUD DE PAGO'!N:N)</f>
        <v>1968982.56</v>
      </c>
      <c r="P87" s="69">
        <f t="shared" si="7"/>
        <v>0</v>
      </c>
    </row>
    <row r="88" spans="1:16" ht="51" x14ac:dyDescent="0.2">
      <c r="A88" s="65" t="s">
        <v>2036</v>
      </c>
      <c r="B88" s="65" t="str">
        <f>LOOKUP(C88,OBRAS!D:D,OBRAS!C:C)</f>
        <v>PAVIMENTACION CON CARPETA ASFÁLTICA EN 3 CALLES, EN LA LOCALIDAD DE EMILIANO ZAPATA, MUNICIPIO DE SAN LUIS RIO COLORADO.</v>
      </c>
      <c r="C88" s="63" t="s">
        <v>1809</v>
      </c>
      <c r="D88" s="66" t="str">
        <f>LOOKUP(C88,OBRAS!D:D,OBRAS!B:B)</f>
        <v>CONSTRUCCIONES Y TERRACERIAS MOVAKAR, S.A. DE C.V.</v>
      </c>
      <c r="E88" s="63" t="str">
        <f>LOOKUP(C88,OBRAS!D:D,OBRAS!E:E)</f>
        <v>C-00052/0201</v>
      </c>
      <c r="F88" s="68">
        <f>(SUMIFS('SOLICITUD DE PAGO'!N:N,'SOLICITUD DE PAGO'!E:E,'AVANCE FINANCIERO 2016'!C88,'SOLICITUD DE PAGO'!U:U,"1. S.H. PAGADO")+SUMIFS('SOLICITUD DE PAGO'!N:N,'SOLICITUD DE PAGO'!E:E,'AVANCE FINANCIERO 2016'!C88,'SOLICITUD DE PAGO'!U:U,"2. S.H. PENDIENTE")+SUMIFS('SOLICITUD DE PAGO'!N:N,'SOLICITUD DE PAGO'!E:E,'AVANCE FINANCIERO 2016'!C88,'SOLICITUD DE PAGO'!U:U,"3. O.P. DGPE")+SUMIFS('SOLICITUD DE PAGO'!N:N,'SOLICITUD DE PAGO'!E:E,'AVANCE FINANCIERO 2016'!C88,'SOLICITUD DE PAGO'!U:U,"4. ESPERA FACT.")+SUMIFS('SOLICITUD DE PAGO'!N:N,'SOLICITUD DE PAGO'!E:E,'AVANCE FINANCIERO 2016'!C88,'SOLICITUD DE PAGO'!U:U,"5. SOL. PEDIDO"))/H88</f>
        <v>0.45</v>
      </c>
      <c r="G88" s="83">
        <f>LOOKUP(C88,OBRAS!D:D,OBRAS!K:K)</f>
        <v>3354071.51</v>
      </c>
      <c r="H88" s="112">
        <f t="shared" si="8"/>
        <v>3354071.51</v>
      </c>
      <c r="I88" s="83">
        <f>LOOKUP(C88,OBRAS!D:D,OBRAS!I:I)</f>
        <v>3376107.62</v>
      </c>
      <c r="J88" s="69">
        <f t="shared" si="6"/>
        <v>22036.11</v>
      </c>
      <c r="K88" s="75">
        <f>COUNTIF('SOLICITUD DE PAGO'!E:E,'AVANCE FINANCIERO 2016'!C88)-1</f>
        <v>2</v>
      </c>
      <c r="L88" s="83">
        <f t="shared" si="9"/>
        <v>1006221.45</v>
      </c>
      <c r="M88" s="69">
        <f>(L88/1.16)-SUMIF('SOLICITUD DE PAGO'!E:E,'AVANCE FINANCIERO 2016'!C88,'SOLICITUD DE PAGO'!K:K)</f>
        <v>686419.04</v>
      </c>
      <c r="N88" s="70" t="s">
        <v>785</v>
      </c>
      <c r="O88" s="91">
        <f>SUMIF('SOLICITUD DE PAGO'!E:E,C88,'SOLICITUD DE PAGO'!N:N)</f>
        <v>1496163.93</v>
      </c>
      <c r="P88" s="69">
        <f t="shared" si="7"/>
        <v>1857907.58</v>
      </c>
    </row>
    <row r="89" spans="1:16" ht="38.25" x14ac:dyDescent="0.2">
      <c r="A89" s="65"/>
      <c r="B89" s="65" t="str">
        <f>LOOKUP(C89,OBRAS!D:D,OBRAS!C:C)</f>
        <v>PAVIMENTACION CON CONCRETO HIDRAULICO DE 15CM DE ESPESOR DE LA CALLE 16 DE SEPTIEMBRE</v>
      </c>
      <c r="C89" s="63" t="s">
        <v>1620</v>
      </c>
      <c r="D89" s="66" t="str">
        <f>LOOKUP(C89,OBRAS!D:D,OBRAS!B:B)</f>
        <v>CONSTRUCTORA GARPE, S.A. DE C.V.</v>
      </c>
      <c r="E89" s="63" t="str">
        <f>LOOKUP(C89,OBRAS!D:D,OBRAS!E:E)</f>
        <v>C-00052/0207</v>
      </c>
      <c r="F89" s="68">
        <f>(SUMIFS('SOLICITUD DE PAGO'!N:N,'SOLICITUD DE PAGO'!E:E,'AVANCE FINANCIERO 2016'!C89,'SOLICITUD DE PAGO'!U:U,"1. S.H. PAGADO")+SUMIFS('SOLICITUD DE PAGO'!N:N,'SOLICITUD DE PAGO'!E:E,'AVANCE FINANCIERO 2016'!C89,'SOLICITUD DE PAGO'!U:U,"2. S.H. PENDIENTE")+SUMIFS('SOLICITUD DE PAGO'!N:N,'SOLICITUD DE PAGO'!E:E,'AVANCE FINANCIERO 2016'!C89,'SOLICITUD DE PAGO'!U:U,"3. O.P. DGPE")+SUMIFS('SOLICITUD DE PAGO'!N:N,'SOLICITUD DE PAGO'!E:E,'AVANCE FINANCIERO 2016'!C89,'SOLICITUD DE PAGO'!U:U,"4. ESPERA FACT.")+SUMIFS('SOLICITUD DE PAGO'!N:N,'SOLICITUD DE PAGO'!E:E,'AVANCE FINANCIERO 2016'!C89,'SOLICITUD DE PAGO'!U:U,"5. SOL. PEDIDO"))/H89</f>
        <v>0.96</v>
      </c>
      <c r="G89" s="83">
        <f>LOOKUP(C89,OBRAS!D:D,OBRAS!K:K)</f>
        <v>3690591.47</v>
      </c>
      <c r="H89" s="112">
        <f t="shared" si="8"/>
        <v>3690591.47</v>
      </c>
      <c r="I89" s="83">
        <f>LOOKUP(C89,OBRAS!D:D,OBRAS!I:I)</f>
        <v>3690591.47</v>
      </c>
      <c r="J89" s="69">
        <f t="shared" si="6"/>
        <v>0</v>
      </c>
      <c r="K89" s="75">
        <f>COUNTIF('SOLICITUD DE PAGO'!E:E,'AVANCE FINANCIERO 2016'!C89)-1</f>
        <v>3</v>
      </c>
      <c r="L89" s="83">
        <f t="shared" si="9"/>
        <v>1107177.44</v>
      </c>
      <c r="M89" s="69">
        <f>(L89/1.16)-SUMIF('SOLICITUD DE PAGO'!E:E,'AVANCE FINANCIERO 2016'!C89,'SOLICITUD DE PAGO'!K:K)</f>
        <v>54105.919999999998</v>
      </c>
      <c r="N89" s="70" t="s">
        <v>785</v>
      </c>
      <c r="O89" s="91">
        <f>SUMIF('SOLICITUD DE PAGO'!E:E,C89,'SOLICITUD DE PAGO'!N:N)</f>
        <v>3544144.79</v>
      </c>
      <c r="P89" s="69">
        <f t="shared" si="7"/>
        <v>146446.68</v>
      </c>
    </row>
    <row r="90" spans="1:16" ht="51" x14ac:dyDescent="0.2">
      <c r="A90" s="65" t="s">
        <v>1661</v>
      </c>
      <c r="B90" s="65" t="str">
        <f>LOOKUP(C90,OBRAS!D:D,OBRAS!C:C)</f>
        <v>PAVIMENTACION CON CONCRETO HIDRAULICO DE 15CMS DE ESPESOR EN CALLE PRINCIPAL EN LA LOCALIDAD DE QUIRIEGO</v>
      </c>
      <c r="C90" s="63" t="s">
        <v>1656</v>
      </c>
      <c r="D90" s="66" t="str">
        <f>LOOKUP(C90,OBRAS!D:D,OBRAS!B:B)</f>
        <v>DISEÑOS Y CONSTRUCCIONES LOAR S.A. DE C.V.</v>
      </c>
      <c r="E90" s="63" t="str">
        <f>LOOKUP(C90,OBRAS!D:D,OBRAS!E:E)</f>
        <v>C-00052/0184</v>
      </c>
      <c r="F90" s="68">
        <f>(SUMIFS('SOLICITUD DE PAGO'!N:N,'SOLICITUD DE PAGO'!E:E,'AVANCE FINANCIERO 2016'!C90,'SOLICITUD DE PAGO'!U:U,"1. S.H. PAGADO")+SUMIFS('SOLICITUD DE PAGO'!N:N,'SOLICITUD DE PAGO'!E:E,'AVANCE FINANCIERO 2016'!C90,'SOLICITUD DE PAGO'!U:U,"2. S.H. PENDIENTE")+SUMIFS('SOLICITUD DE PAGO'!N:N,'SOLICITUD DE PAGO'!E:E,'AVANCE FINANCIERO 2016'!C90,'SOLICITUD DE PAGO'!U:U,"3. O.P. DGPE")+SUMIFS('SOLICITUD DE PAGO'!N:N,'SOLICITUD DE PAGO'!E:E,'AVANCE FINANCIERO 2016'!C90,'SOLICITUD DE PAGO'!U:U,"4. ESPERA FACT.")+SUMIFS('SOLICITUD DE PAGO'!N:N,'SOLICITUD DE PAGO'!E:E,'AVANCE FINANCIERO 2016'!C90,'SOLICITUD DE PAGO'!U:U,"5. SOL. PEDIDO"))/H90</f>
        <v>0.56000000000000005</v>
      </c>
      <c r="G90" s="83">
        <f>LOOKUP(C90,OBRAS!D:D,OBRAS!K:K)</f>
        <v>1499699.33</v>
      </c>
      <c r="H90" s="112">
        <f t="shared" si="8"/>
        <v>1499699.33</v>
      </c>
      <c r="I90" s="83">
        <f>LOOKUP(C90,OBRAS!D:D,OBRAS!I:I)</f>
        <v>1548667.78</v>
      </c>
      <c r="J90" s="69">
        <f t="shared" si="6"/>
        <v>48968.45</v>
      </c>
      <c r="K90" s="75">
        <f>COUNTIF('SOLICITUD DE PAGO'!E:E,'AVANCE FINANCIERO 2016'!C90)-1</f>
        <v>3</v>
      </c>
      <c r="L90" s="83">
        <f t="shared" si="9"/>
        <v>449909.8</v>
      </c>
      <c r="M90" s="69">
        <f>(L90/1.16)-SUMIF('SOLICITUD DE PAGO'!E:E,'AVANCE FINANCIERO 2016'!C90,'SOLICITUD DE PAGO'!K:K)</f>
        <v>243932.55</v>
      </c>
      <c r="N90" s="70" t="s">
        <v>785</v>
      </c>
      <c r="O90" s="91">
        <f>SUMIF('SOLICITUD DE PAGO'!E:E,C90,'SOLICITUD DE PAGO'!N:N)</f>
        <v>839455.22</v>
      </c>
      <c r="P90" s="69">
        <f t="shared" si="7"/>
        <v>660244.11</v>
      </c>
    </row>
    <row r="91" spans="1:16" ht="38.25" x14ac:dyDescent="0.2">
      <c r="A91" s="65" t="s">
        <v>129</v>
      </c>
      <c r="B91" s="65" t="str">
        <f>LOOKUP(C91,OBRAS!D:D,OBRAS!C:C)</f>
        <v>PAVIMENTACION CON CONCRETO HIDRAULICO EN LA CALLE BENITO JUAREZ EN LA LOCALIDAD DE SAHUARIPA</v>
      </c>
      <c r="C91" s="63" t="s">
        <v>1670</v>
      </c>
      <c r="D91" s="66" t="str">
        <f>LOOKUP(C91,OBRAS!D:D,OBRAS!B:B)</f>
        <v>CONSTRUVISAC, S.A. DE C.V.</v>
      </c>
      <c r="E91" s="63" t="str">
        <f>LOOKUP(C91,OBRAS!D:D,OBRAS!E:E)</f>
        <v>C-00052/0190</v>
      </c>
      <c r="F91" s="68">
        <f>(SUMIFS('SOLICITUD DE PAGO'!N:N,'SOLICITUD DE PAGO'!E:E,'AVANCE FINANCIERO 2016'!C91,'SOLICITUD DE PAGO'!U:U,"1. S.H. PAGADO")+SUMIFS('SOLICITUD DE PAGO'!N:N,'SOLICITUD DE PAGO'!E:E,'AVANCE FINANCIERO 2016'!C91,'SOLICITUD DE PAGO'!U:U,"2. S.H. PENDIENTE")+SUMIFS('SOLICITUD DE PAGO'!N:N,'SOLICITUD DE PAGO'!E:E,'AVANCE FINANCIERO 2016'!C91,'SOLICITUD DE PAGO'!U:U,"3. O.P. DGPE")+SUMIFS('SOLICITUD DE PAGO'!N:N,'SOLICITUD DE PAGO'!E:E,'AVANCE FINANCIERO 2016'!C91,'SOLICITUD DE PAGO'!U:U,"4. ESPERA FACT.")+SUMIFS('SOLICITUD DE PAGO'!N:N,'SOLICITUD DE PAGO'!E:E,'AVANCE FINANCIERO 2016'!C91,'SOLICITUD DE PAGO'!U:U,"5. SOL. PEDIDO"))/H91</f>
        <v>0.39</v>
      </c>
      <c r="G91" s="83">
        <f>LOOKUP(C91,OBRAS!D:D,OBRAS!K:K)</f>
        <v>3795808.73</v>
      </c>
      <c r="H91" s="112">
        <f t="shared" si="8"/>
        <v>3795808.73</v>
      </c>
      <c r="I91" s="83">
        <f>LOOKUP(C91,OBRAS!D:D,OBRAS!I:I)</f>
        <v>3874420.02</v>
      </c>
      <c r="J91" s="69">
        <f t="shared" si="6"/>
        <v>78611.289999999994</v>
      </c>
      <c r="K91" s="75">
        <f>COUNTIF('SOLICITUD DE PAGO'!E:E,'AVANCE FINANCIERO 2016'!C91)-1</f>
        <v>1</v>
      </c>
      <c r="L91" s="83">
        <f t="shared" si="9"/>
        <v>1138742.6200000001</v>
      </c>
      <c r="M91" s="69">
        <f>(L91/1.16)-SUMIF('SOLICITUD DE PAGO'!E:E,'AVANCE FINANCIERO 2016'!C91,'SOLICITUD DE PAGO'!K:K)</f>
        <v>859966.53</v>
      </c>
      <c r="N91" s="70" t="s">
        <v>785</v>
      </c>
      <c r="O91" s="91">
        <f>SUMIF('SOLICITUD DE PAGO'!E:E,C91,'SOLICITUD DE PAGO'!N:N)</f>
        <v>1468165.99</v>
      </c>
      <c r="P91" s="69">
        <f t="shared" si="7"/>
        <v>2327642.7400000002</v>
      </c>
    </row>
  </sheetData>
  <autoFilter ref="A2:P91">
    <sortState ref="A3:P91">
      <sortCondition ref="C2:C91"/>
    </sortState>
  </autoFilter>
  <customSheetViews>
    <customSheetView guid="{71CFCE49-89A9-4529-8C6D-F507FB0FF9D7}" fitToPage="1" showAutoFilter="1">
      <pane ySplit="2" topLeftCell="A12" activePane="bottomLeft" state="frozen"/>
      <selection pane="bottomLeft" activeCell="D16" sqref="D16"/>
      <pageMargins left="0.7" right="0.7" top="0.75" bottom="0.75" header="0.3" footer="0.3"/>
      <pageSetup fitToHeight="0" orientation="landscape" r:id="rId1"/>
      <autoFilter ref="A2:O47">
        <sortState ref="A3:O45">
          <sortCondition ref="D2:D45"/>
        </sortState>
      </autoFilter>
    </customSheetView>
    <customSheetView guid="{7AFF87B6-B3E0-434A-A0B8-87EB09BABF96}" fitToPage="1" showAutoFilter="1">
      <pane ySplit="2" topLeftCell="A42" activePane="bottomLeft" state="frozen"/>
      <selection pane="bottomLeft" activeCell="A45" sqref="A45"/>
      <pageMargins left="0.7" right="0.7" top="0.75" bottom="0.75" header="0.3" footer="0.3"/>
      <pageSetup scale="36" fitToHeight="0" orientation="portrait" r:id="rId2"/>
      <autoFilter ref="A2:O45"/>
    </customSheetView>
  </customSheetViews>
  <mergeCells count="1">
    <mergeCell ref="A1:P1"/>
  </mergeCells>
  <pageMargins left="0.7" right="0.7" top="0.75" bottom="0.75" header="0.3" footer="0.3"/>
  <pageSetup fitToHeight="0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31"/>
  <sheetViews>
    <sheetView zoomScaleNormal="100" zoomScaleSheetLayoutView="100" workbookViewId="0">
      <pane ySplit="2" topLeftCell="A3" activePane="bottomLeft" state="frozen"/>
      <selection pane="bottomLeft" activeCell="D6" sqref="D6"/>
    </sheetView>
  </sheetViews>
  <sheetFormatPr baseColWidth="10" defaultColWidth="10.7109375" defaultRowHeight="12.75" x14ac:dyDescent="0.2"/>
  <cols>
    <col min="1" max="1" width="12" style="71" bestFit="1" customWidth="1"/>
    <col min="2" max="2" width="32.7109375" style="72" customWidth="1"/>
    <col min="3" max="3" width="16.28515625" style="71" bestFit="1" customWidth="1"/>
    <col min="4" max="4" width="25" style="73" customWidth="1"/>
    <col min="5" max="5" width="13.28515625" style="71" bestFit="1" customWidth="1"/>
    <col min="6" max="6" width="12.140625" style="74" customWidth="1"/>
    <col min="7" max="7" width="17.5703125" style="58" bestFit="1" customWidth="1"/>
    <col min="8" max="9" width="14.42578125" style="58" bestFit="1" customWidth="1"/>
    <col min="10" max="10" width="15.28515625" style="58" bestFit="1" customWidth="1"/>
    <col min="11" max="11" width="10.140625" style="71" customWidth="1"/>
    <col min="12" max="13" width="13.42578125" style="58" bestFit="1" customWidth="1"/>
    <col min="14" max="14" width="9.85546875" style="74" bestFit="1" customWidth="1"/>
    <col min="15" max="15" width="14.28515625" style="58" customWidth="1"/>
    <col min="16" max="16" width="14.85546875" style="58" customWidth="1"/>
    <col min="17" max="16384" width="10.7109375" style="58"/>
  </cols>
  <sheetData>
    <row r="1" spans="1:16" x14ac:dyDescent="0.2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8"/>
    </row>
    <row r="2" spans="1:16" s="62" customFormat="1" ht="25.5" x14ac:dyDescent="0.2">
      <c r="A2" s="59" t="s">
        <v>0</v>
      </c>
      <c r="B2" s="60" t="s">
        <v>2</v>
      </c>
      <c r="C2" s="59" t="s">
        <v>508</v>
      </c>
      <c r="D2" s="59" t="s">
        <v>1</v>
      </c>
      <c r="E2" s="59" t="s">
        <v>509</v>
      </c>
      <c r="F2" s="59" t="s">
        <v>842</v>
      </c>
      <c r="G2" s="61" t="s">
        <v>510</v>
      </c>
      <c r="H2" s="61" t="s">
        <v>511</v>
      </c>
      <c r="I2" s="61" t="s">
        <v>618</v>
      </c>
      <c r="J2" s="61" t="s">
        <v>847</v>
      </c>
      <c r="K2" s="61" t="s">
        <v>617</v>
      </c>
      <c r="L2" s="61" t="s">
        <v>23</v>
      </c>
      <c r="M2" s="61" t="s">
        <v>833</v>
      </c>
      <c r="N2" s="61" t="s">
        <v>512</v>
      </c>
      <c r="O2" s="61" t="s">
        <v>513</v>
      </c>
      <c r="P2" s="61" t="s">
        <v>514</v>
      </c>
    </row>
    <row r="3" spans="1:16" ht="39" x14ac:dyDescent="0.25">
      <c r="A3" s="30" t="s">
        <v>48</v>
      </c>
      <c r="B3" s="65" t="str">
        <f>LOOKUP(C3,OBRAS!D:D,OBRAS!C:C)</f>
        <v>OBRAS DE REHABILITACION DEL DELFINARIO SONORA (PRIMERA ETAPA)</v>
      </c>
      <c r="C3" s="47" t="s">
        <v>603</v>
      </c>
      <c r="D3" s="66" t="str">
        <f>LOOKUP(C3,OBRAS!D:D,OBRAS!B:B)</f>
        <v>CONSTRUCTORA MIRAMAR, S.A. DE C.V.</v>
      </c>
      <c r="E3" s="63" t="str">
        <f>LOOKUP(C3,OBRAS!D:D,OBRAS!E:E)</f>
        <v>C-00061/0013</v>
      </c>
      <c r="F3" s="68">
        <f>(SUMIFS('SOLICITUD DE PAGO'!N:N,'SOLICITUD DE PAGO'!E:E,'AVANCE FINANCIERO 2016 (2)'!C3,'SOLICITUD DE PAGO'!U:U,"1. S.H. PAGADO")+SUMIFS('SOLICITUD DE PAGO'!N:N,'SOLICITUD DE PAGO'!E:E,'AVANCE FINANCIERO 2016 (2)'!C3,'SOLICITUD DE PAGO'!U:U,"2. S.H. PENDIENTE")+SUMIFS('SOLICITUD DE PAGO'!N:N,'SOLICITUD DE PAGO'!E:E,'AVANCE FINANCIERO 2016 (2)'!C3,'SOLICITUD DE PAGO'!U:U,"3. O.P. DGPE")+SUMIFS('SOLICITUD DE PAGO'!N:N,'SOLICITUD DE PAGO'!E:E,'AVANCE FINANCIERO 2016 (2)'!C3,'SOLICITUD DE PAGO'!U:U,"4. ESPERA FACT.")+SUMIFS('SOLICITUD DE PAGO'!N:N,'SOLICITUD DE PAGO'!E:E,'AVANCE FINANCIERO 2016 (2)'!C3,'SOLICITUD DE PAGO'!U:U,"5. SOL. PEDIDO"))/H3</f>
        <v>0.92</v>
      </c>
      <c r="G3" s="83">
        <f>LOOKUP(C3,OBRAS!D:D,OBRAS!K:K)</f>
        <v>34216706.5</v>
      </c>
      <c r="H3" s="112">
        <f t="shared" ref="H3:H7" si="0">IF(G3&lt;I3,G3,I3)</f>
        <v>34166354</v>
      </c>
      <c r="I3" s="83">
        <f>LOOKUP(C3,OBRAS!D:D,OBRAS!I:I)</f>
        <v>34166354</v>
      </c>
      <c r="J3" s="69">
        <f t="shared" ref="J3:J7" si="1">I3-G3</f>
        <v>-50352.5</v>
      </c>
      <c r="K3" s="75">
        <f>COUNTIF('SOLICITUD DE PAGO'!E:E,'AVANCE FINANCIERO 2016 (2)'!C3)-1</f>
        <v>5</v>
      </c>
      <c r="L3" s="83">
        <f t="shared" ref="L3:L7" si="2">H3*0.3</f>
        <v>10249906.199999999</v>
      </c>
      <c r="M3" s="69">
        <f>(L3/1.16)-SUMIF('SOLICITUD DE PAGO'!E:E,'AVANCE FINANCIERO 2016 (2)'!C3,'SOLICITUD DE PAGO'!K:K)</f>
        <v>209678</v>
      </c>
      <c r="N3" s="70" t="s">
        <v>785</v>
      </c>
      <c r="O3" s="91">
        <f>SUMIF('SOLICITUD DE PAGO'!E:E,C3,'SOLICITUD DE PAGO'!N:N)</f>
        <v>33598376.380000003</v>
      </c>
      <c r="P3" s="69">
        <f t="shared" ref="P3:P7" si="3">G3-O3</f>
        <v>618330.12</v>
      </c>
    </row>
    <row r="4" spans="1:16" ht="76.5" x14ac:dyDescent="0.25">
      <c r="A4" s="30" t="s">
        <v>9</v>
      </c>
      <c r="B4" s="65" t="str">
        <f>LOOKUP(C4,OBRAS!D:D,OBRAS!C:C)</f>
        <v>REHABILITACION DE EDIFICIO PARA ALBERGAR JUZGADO DE ORALIDAD PENAL DEL DISTRITO JUDICIAL CON SEDE EN HERMOSILLO 2DA ETAPA (SEGUNDO NIVEL) EN LA LOCALIDAD Y MUNICIPIO DE HERMOSILLO, SONORA.</v>
      </c>
      <c r="C4" s="47" t="s">
        <v>707</v>
      </c>
      <c r="D4" s="66" t="str">
        <f>LOOKUP(C4,OBRAS!D:D,OBRAS!B:B)</f>
        <v>INMOBILIARIA TIERRAS DEL DESIERTO, S.A. DE C.V.</v>
      </c>
      <c r="E4" s="63" t="str">
        <f>LOOKUP(C4,OBRAS!D:D,OBRAS!E:E)</f>
        <v>C-00058/0010</v>
      </c>
      <c r="F4" s="68">
        <f>(SUMIFS('SOLICITUD DE PAGO'!N:N,'SOLICITUD DE PAGO'!E:E,'AVANCE FINANCIERO 2016 (2)'!C4,'SOLICITUD DE PAGO'!U:U,"1. S.H. PAGADO")+SUMIFS('SOLICITUD DE PAGO'!N:N,'SOLICITUD DE PAGO'!E:E,'AVANCE FINANCIERO 2016 (2)'!C4,'SOLICITUD DE PAGO'!U:U,"2. S.H. PENDIENTE")+SUMIFS('SOLICITUD DE PAGO'!N:N,'SOLICITUD DE PAGO'!E:E,'AVANCE FINANCIERO 2016 (2)'!C4,'SOLICITUD DE PAGO'!U:U,"3. O.P. DGPE")+SUMIFS('SOLICITUD DE PAGO'!N:N,'SOLICITUD DE PAGO'!E:E,'AVANCE FINANCIERO 2016 (2)'!C4,'SOLICITUD DE PAGO'!U:U,"4. ESPERA FACT.")+SUMIFS('SOLICITUD DE PAGO'!N:N,'SOLICITUD DE PAGO'!E:E,'AVANCE FINANCIERO 2016 (2)'!C4,'SOLICITUD DE PAGO'!U:U,"5. SOL. PEDIDO"))/H4</f>
        <v>0.67</v>
      </c>
      <c r="G4" s="83">
        <f>LOOKUP(C4,OBRAS!D:D,OBRAS!K:K)</f>
        <v>2145846.29</v>
      </c>
      <c r="H4" s="112">
        <f t="shared" si="0"/>
        <v>2145846.29</v>
      </c>
      <c r="I4" s="83">
        <f>LOOKUP(C4,OBRAS!D:D,OBRAS!I:I)</f>
        <v>2205000</v>
      </c>
      <c r="J4" s="69">
        <f t="shared" si="1"/>
        <v>59153.71</v>
      </c>
      <c r="K4" s="75">
        <f>COUNTIF('SOLICITUD DE PAGO'!E:E,'AVANCE FINANCIERO 2016 (2)'!C4)-1</f>
        <v>5</v>
      </c>
      <c r="L4" s="83">
        <f t="shared" si="2"/>
        <v>643753.89</v>
      </c>
      <c r="M4" s="69">
        <f>(L4/1.16)-SUMIF('SOLICITUD DE PAGO'!E:E,'AVANCE FINANCIERO 2016 (2)'!C4,'SOLICITUD DE PAGO'!K:K)</f>
        <v>-258789.47</v>
      </c>
      <c r="N4" s="70" t="s">
        <v>785</v>
      </c>
      <c r="O4" s="91">
        <f>SUMIF('SOLICITUD DE PAGO'!E:E,C4,'SOLICITUD DE PAGO'!N:N)</f>
        <v>2147119.75</v>
      </c>
      <c r="P4" s="69">
        <f t="shared" si="3"/>
        <v>-1273.46</v>
      </c>
    </row>
    <row r="5" spans="1:16" ht="39" x14ac:dyDescent="0.25">
      <c r="A5" s="30" t="s">
        <v>9</v>
      </c>
      <c r="B5" s="65" t="str">
        <f>LOOKUP(C5,OBRAS!D:D,OBRAS!C:C)</f>
        <v>MODERNIZACIÓN DE LA CALLE ROSALES, ETAPA 1 EN  HERMOSILLO, SONORA.</v>
      </c>
      <c r="C5" s="47" t="s">
        <v>858</v>
      </c>
      <c r="D5" s="66" t="str">
        <f>LOOKUP(C5,OBRAS!D:D,OBRAS!B:B)</f>
        <v>CONSTRUCTORA PARGEL, S. A. DE C. V.</v>
      </c>
      <c r="E5" s="63" t="str">
        <f>LOOKUP(C5,OBRAS!D:D,OBRAS!E:E)</f>
        <v>C-00052/0180</v>
      </c>
      <c r="F5" s="68">
        <f>(SUMIFS('SOLICITUD DE PAGO'!N:N,'SOLICITUD DE PAGO'!E:E,'AVANCE FINANCIERO 2016 (2)'!C5,'SOLICITUD DE PAGO'!U:U,"1. S.H. PAGADO")+SUMIFS('SOLICITUD DE PAGO'!N:N,'SOLICITUD DE PAGO'!E:E,'AVANCE FINANCIERO 2016 (2)'!C5,'SOLICITUD DE PAGO'!U:U,"2. S.H. PENDIENTE")+SUMIFS('SOLICITUD DE PAGO'!N:N,'SOLICITUD DE PAGO'!E:E,'AVANCE FINANCIERO 2016 (2)'!C5,'SOLICITUD DE PAGO'!U:U,"3. O.P. DGPE")+SUMIFS('SOLICITUD DE PAGO'!N:N,'SOLICITUD DE PAGO'!E:E,'AVANCE FINANCIERO 2016 (2)'!C5,'SOLICITUD DE PAGO'!U:U,"4. ESPERA FACT.")+SUMIFS('SOLICITUD DE PAGO'!N:N,'SOLICITUD DE PAGO'!E:E,'AVANCE FINANCIERO 2016 (2)'!C5,'SOLICITUD DE PAGO'!U:U,"5. SOL. PEDIDO"))/H5</f>
        <v>0.34</v>
      </c>
      <c r="G5" s="83">
        <f>LOOKUP(C5,OBRAS!D:D,OBRAS!K:K)</f>
        <v>29931744.359999999</v>
      </c>
      <c r="H5" s="112">
        <f t="shared" si="0"/>
        <v>29845342</v>
      </c>
      <c r="I5" s="83">
        <f>LOOKUP(C5,OBRAS!D:D,OBRAS!I:I)</f>
        <v>29845342</v>
      </c>
      <c r="J5" s="69">
        <f t="shared" si="1"/>
        <v>-86402.36</v>
      </c>
      <c r="K5" s="75">
        <f>COUNTIF('SOLICITUD DE PAGO'!E:E,'AVANCE FINANCIERO 2016 (2)'!C5)-1</f>
        <v>3</v>
      </c>
      <c r="L5" s="83">
        <f t="shared" si="2"/>
        <v>8953602.5999999996</v>
      </c>
      <c r="M5" s="69">
        <f>(L5/1.16)-SUMIF('SOLICITUD DE PAGO'!E:E,'AVANCE FINANCIERO 2016 (2)'!C5,'SOLICITUD DE PAGO'!K:K)</f>
        <v>6804531.3200000003</v>
      </c>
      <c r="N5" s="70" t="s">
        <v>785</v>
      </c>
      <c r="O5" s="91">
        <f>SUMIF('SOLICITUD DE PAGO'!E:E,C5,'SOLICITUD DE PAGO'!N:N)</f>
        <v>11427743.869999999</v>
      </c>
      <c r="P5" s="69">
        <f t="shared" si="3"/>
        <v>18504000.489999998</v>
      </c>
    </row>
    <row r="6" spans="1:16" ht="39" x14ac:dyDescent="0.25">
      <c r="A6" s="30" t="s">
        <v>803</v>
      </c>
      <c r="B6" s="65" t="str">
        <f>LOOKUP(C6,OBRAS!D:D,OBRAS!C:C)</f>
        <v>PAVIMENTACION CON CONCRETO HIDRAULICO DEL BLVD. LAZARO GUTIERREZ DE LARA</v>
      </c>
      <c r="C6" s="47" t="s">
        <v>804</v>
      </c>
      <c r="D6" s="66" t="str">
        <f>LOOKUP(C6,OBRAS!D:D,OBRAS!B:B)</f>
        <v>PREMEZCLADOS NOGALES, S.A. DE C.V.</v>
      </c>
      <c r="E6" s="63" t="str">
        <f>LOOKUP(C6,OBRAS!D:D,OBRAS!E:E)</f>
        <v>C-00052/0181</v>
      </c>
      <c r="F6" s="68">
        <f>(SUMIFS('SOLICITUD DE PAGO'!N:N,'SOLICITUD DE PAGO'!E:E,'AVANCE FINANCIERO 2016 (2)'!C6,'SOLICITUD DE PAGO'!U:U,"1. S.H. PAGADO")+SUMIFS('SOLICITUD DE PAGO'!N:N,'SOLICITUD DE PAGO'!E:E,'AVANCE FINANCIERO 2016 (2)'!C6,'SOLICITUD DE PAGO'!U:U,"2. S.H. PENDIENTE")+SUMIFS('SOLICITUD DE PAGO'!N:N,'SOLICITUD DE PAGO'!E:E,'AVANCE FINANCIERO 2016 (2)'!C6,'SOLICITUD DE PAGO'!U:U,"3. O.P. DGPE")+SUMIFS('SOLICITUD DE PAGO'!N:N,'SOLICITUD DE PAGO'!E:E,'AVANCE FINANCIERO 2016 (2)'!C6,'SOLICITUD DE PAGO'!U:U,"4. ESPERA FACT.")+SUMIFS('SOLICITUD DE PAGO'!N:N,'SOLICITUD DE PAGO'!E:E,'AVANCE FINANCIERO 2016 (2)'!C6,'SOLICITUD DE PAGO'!U:U,"5. SOL. PEDIDO"))/H6</f>
        <v>0.39</v>
      </c>
      <c r="G6" s="83">
        <f>LOOKUP(C6,OBRAS!D:D,OBRAS!K:K)</f>
        <v>32938936.050000001</v>
      </c>
      <c r="H6" s="112">
        <f t="shared" si="0"/>
        <v>32938936.050000001</v>
      </c>
      <c r="I6" s="83">
        <f>LOOKUP(C6,OBRAS!D:D,OBRAS!I:I)</f>
        <v>33217818.809999999</v>
      </c>
      <c r="J6" s="69">
        <f t="shared" si="1"/>
        <v>278882.76</v>
      </c>
      <c r="K6" s="75">
        <f>COUNTIF('SOLICITUD DE PAGO'!E:E,'AVANCE FINANCIERO 2016 (2)'!C6)-1</f>
        <v>3</v>
      </c>
      <c r="L6" s="83">
        <f t="shared" si="2"/>
        <v>9881680.8200000003</v>
      </c>
      <c r="M6" s="69">
        <f>(L6/1.16)-SUMIF('SOLICITUD DE PAGO'!E:E,'AVANCE FINANCIERO 2016 (2)'!C6,'SOLICITUD DE PAGO'!K:K)</f>
        <v>2254945.75</v>
      </c>
      <c r="N6" s="70" t="s">
        <v>785</v>
      </c>
      <c r="O6" s="91">
        <f>SUMIF('SOLICITUD DE PAGO'!E:E,C6,'SOLICITUD DE PAGO'!N:N)</f>
        <v>12855435.41</v>
      </c>
      <c r="P6" s="69">
        <f t="shared" si="3"/>
        <v>20083500.640000001</v>
      </c>
    </row>
    <row r="7" spans="1:16" ht="60" x14ac:dyDescent="0.25">
      <c r="A7" s="30" t="s">
        <v>817</v>
      </c>
      <c r="B7" s="65" t="str">
        <f>LOOKUP(C7,OBRAS!D:D,OBRAS!C:C)</f>
        <v>REUBICACION DE COLECTOR Y CARCAMO DE BOMBEO</v>
      </c>
      <c r="C7" s="47" t="s">
        <v>813</v>
      </c>
      <c r="D7" s="66" t="str">
        <f>LOOKUP(C7,OBRAS!D:D,OBRAS!B:B)</f>
        <v>CONSTRUCTORA KIOKI, S. A. DE C. V.</v>
      </c>
      <c r="E7" s="63" t="str">
        <f>LOOKUP(C7,OBRAS!D:D,OBRAS!E:E)</f>
        <v>C-00051/0005</v>
      </c>
      <c r="F7" s="68">
        <f>(SUMIFS('SOLICITUD DE PAGO'!N:N,'SOLICITUD DE PAGO'!E:E,'AVANCE FINANCIERO 2016 (2)'!C7,'SOLICITUD DE PAGO'!U:U,"1. S.H. PAGADO")+SUMIFS('SOLICITUD DE PAGO'!N:N,'SOLICITUD DE PAGO'!E:E,'AVANCE FINANCIERO 2016 (2)'!C7,'SOLICITUD DE PAGO'!U:U,"2. S.H. PENDIENTE")+SUMIFS('SOLICITUD DE PAGO'!N:N,'SOLICITUD DE PAGO'!E:E,'AVANCE FINANCIERO 2016 (2)'!C7,'SOLICITUD DE PAGO'!U:U,"3. O.P. DGPE")+SUMIFS('SOLICITUD DE PAGO'!N:N,'SOLICITUD DE PAGO'!E:E,'AVANCE FINANCIERO 2016 (2)'!C7,'SOLICITUD DE PAGO'!U:U,"4. ESPERA FACT.")+SUMIFS('SOLICITUD DE PAGO'!N:N,'SOLICITUD DE PAGO'!E:E,'AVANCE FINANCIERO 2016 (2)'!C7,'SOLICITUD DE PAGO'!U:U,"5. SOL. PEDIDO"))/H7</f>
        <v>0.45</v>
      </c>
      <c r="G7" s="83">
        <f>LOOKUP(C7,OBRAS!D:D,OBRAS!K:K)</f>
        <v>12899260.779999999</v>
      </c>
      <c r="H7" s="112">
        <f t="shared" si="0"/>
        <v>12899260.779999999</v>
      </c>
      <c r="I7" s="83">
        <f>LOOKUP(C7,OBRAS!D:D,OBRAS!I:I)</f>
        <v>13176148</v>
      </c>
      <c r="J7" s="69">
        <f t="shared" si="1"/>
        <v>276887.21999999997</v>
      </c>
      <c r="K7" s="75">
        <f>COUNTIF('SOLICITUD DE PAGO'!E:E,'AVANCE FINANCIERO 2016 (2)'!C7)-1</f>
        <v>1</v>
      </c>
      <c r="L7" s="83">
        <f t="shared" si="2"/>
        <v>3869778.23</v>
      </c>
      <c r="M7" s="69">
        <f>(L7/1.16)-SUMIF('SOLICITUD DE PAGO'!E:E,'AVANCE FINANCIERO 2016 (2)'!C7,'SOLICITUD DE PAGO'!K:K)</f>
        <v>2616815.2000000002</v>
      </c>
      <c r="N7" s="70" t="s">
        <v>785</v>
      </c>
      <c r="O7" s="91">
        <f>SUMIF('SOLICITUD DE PAGO'!E:E,C7,'SOLICITUD DE PAGO'!N:N)</f>
        <v>5816414.29</v>
      </c>
      <c r="P7" s="69">
        <f t="shared" si="3"/>
        <v>7082846.4900000002</v>
      </c>
    </row>
    <row r="8" spans="1:16" s="154" customFormat="1" ht="51" x14ac:dyDescent="0.25">
      <c r="A8" s="30" t="s">
        <v>48</v>
      </c>
      <c r="B8" s="65" t="str">
        <f>LOOKUP(C8,OBRAS!D:D,OBRAS!C:C)</f>
        <v>CONSERVACION Y RECONSTRUCCION DEL CAMINO DE ACCESO AL DELFINARIO, DESDE EL BLVD. MANLIO FABIO BELTRONES AL BLVD. ENCINAS JOHNSON</v>
      </c>
      <c r="C8" s="47" t="s">
        <v>814</v>
      </c>
      <c r="D8" s="66" t="str">
        <f>LOOKUP(C8,OBRAS!D:D,OBRAS!B:B)</f>
        <v>EDIFICADORA CABO HARO, S.A. DE C.V.</v>
      </c>
      <c r="E8" s="66" t="str">
        <f>LOOKUP(C8,OBRAS!D:D,OBRAS!E:E)</f>
        <v>C-00054/0076</v>
      </c>
      <c r="F8" s="148">
        <f>(SUMIFS('SOLICITUD DE PAGO'!N:N,'SOLICITUD DE PAGO'!E:E,'AVANCE FINANCIERO 2016 (2)'!C8,'SOLICITUD DE PAGO'!U:U,"1. S.H. PAGADO")+SUMIFS('SOLICITUD DE PAGO'!N:N,'SOLICITUD DE PAGO'!E:E,'AVANCE FINANCIERO 2016 (2)'!C8,'SOLICITUD DE PAGO'!U:U,"2. S.H. PENDIENTE")+SUMIFS('SOLICITUD DE PAGO'!N:N,'SOLICITUD DE PAGO'!E:E,'AVANCE FINANCIERO 2016 (2)'!C8,'SOLICITUD DE PAGO'!U:U,"3. O.P. DGPE")+SUMIFS('SOLICITUD DE PAGO'!N:N,'SOLICITUD DE PAGO'!E:E,'AVANCE FINANCIERO 2016 (2)'!C8,'SOLICITUD DE PAGO'!U:U,"4. ESPERA FACT.")+SUMIFS('SOLICITUD DE PAGO'!N:N,'SOLICITUD DE PAGO'!E:E,'AVANCE FINANCIERO 2016 (2)'!C8,'SOLICITUD DE PAGO'!U:U,"5. SOL. PEDIDO"))/H8</f>
        <v>0.79</v>
      </c>
      <c r="G8" s="149">
        <f>LOOKUP(C8,OBRAS!D:D,OBRAS!K:K)</f>
        <v>15121824.33</v>
      </c>
      <c r="H8" s="150">
        <f t="shared" ref="H8:H31" si="4">IF(G8&lt;I8,G8,I8)</f>
        <v>14705882</v>
      </c>
      <c r="I8" s="149">
        <f>LOOKUP(C8,OBRAS!D:D,OBRAS!I:I)</f>
        <v>14705882</v>
      </c>
      <c r="J8" s="151">
        <f t="shared" ref="J8:J31" si="5">I8-G8</f>
        <v>-415942.33</v>
      </c>
      <c r="K8" s="152">
        <f>COUNTIF('SOLICITUD DE PAGO'!E:E,'AVANCE FINANCIERO 2016 (2)'!C8)-1</f>
        <v>3</v>
      </c>
      <c r="L8" s="149">
        <f t="shared" ref="L8:L31" si="6">H8*0.3</f>
        <v>4411764.5999999996</v>
      </c>
      <c r="M8" s="151">
        <f>(L8/1.16)-SUMIF('SOLICITUD DE PAGO'!E:E,'AVANCE FINANCIERO 2016 (2)'!C8,'SOLICITUD DE PAGO'!K:K)</f>
        <v>1154285.5900000001</v>
      </c>
      <c r="N8" s="70" t="s">
        <v>785</v>
      </c>
      <c r="O8" s="153">
        <f>SUMIF('SOLICITUD DE PAGO'!E:E,C8,'SOLICITUD DE PAGO'!N:N)</f>
        <v>11581615.67</v>
      </c>
      <c r="P8" s="151">
        <f t="shared" ref="P8:P31" si="7">G8-O8</f>
        <v>3540208.66</v>
      </c>
    </row>
    <row r="9" spans="1:16" s="154" customFormat="1" ht="39" x14ac:dyDescent="0.25">
      <c r="A9" s="30" t="s">
        <v>967</v>
      </c>
      <c r="B9" s="65" t="str">
        <f>LOOKUP(C9,OBRAS!D:D,OBRAS!C:C)</f>
        <v>BOULEVARD DE ACCESO A LA LOCALIDAD Y MUNICIPIO DE BENJAMIN HILL, SONORA</v>
      </c>
      <c r="C9" s="47" t="s">
        <v>992</v>
      </c>
      <c r="D9" s="66" t="str">
        <f>LOOKUP(C9,OBRAS!D:D,OBRAS!B:B)</f>
        <v>MEZQUITE CONSTRUCCIONES,S.A.DE C.V.</v>
      </c>
      <c r="E9" s="66" t="str">
        <f>LOOKUP(C9,OBRAS!D:D,OBRAS!E:E)</f>
        <v>C-00052/0202</v>
      </c>
      <c r="F9" s="148">
        <f>(SUMIFS('SOLICITUD DE PAGO'!N:N,'SOLICITUD DE PAGO'!E:E,'AVANCE FINANCIERO 2016 (2)'!C9,'SOLICITUD DE PAGO'!U:U,"1. S.H. PAGADO")+SUMIFS('SOLICITUD DE PAGO'!N:N,'SOLICITUD DE PAGO'!E:E,'AVANCE FINANCIERO 2016 (2)'!C9,'SOLICITUD DE PAGO'!U:U,"2. S.H. PENDIENTE")+SUMIFS('SOLICITUD DE PAGO'!N:N,'SOLICITUD DE PAGO'!E:E,'AVANCE FINANCIERO 2016 (2)'!C9,'SOLICITUD DE PAGO'!U:U,"3. O.P. DGPE")+SUMIFS('SOLICITUD DE PAGO'!N:N,'SOLICITUD DE PAGO'!E:E,'AVANCE FINANCIERO 2016 (2)'!C9,'SOLICITUD DE PAGO'!U:U,"4. ESPERA FACT.")+SUMIFS('SOLICITUD DE PAGO'!N:N,'SOLICITUD DE PAGO'!E:E,'AVANCE FINANCIERO 2016 (2)'!C9,'SOLICITUD DE PAGO'!U:U,"5. SOL. PEDIDO"))/H9</f>
        <v>0.7</v>
      </c>
      <c r="G9" s="149">
        <f>LOOKUP(C9,OBRAS!D:D,OBRAS!K:K)</f>
        <v>7078846.0700000003</v>
      </c>
      <c r="H9" s="150">
        <f t="shared" si="4"/>
        <v>7078846.0700000003</v>
      </c>
      <c r="I9" s="149">
        <f>LOOKUP(C9,OBRAS!D:D,OBRAS!I:I)</f>
        <v>7078846.0700000003</v>
      </c>
      <c r="J9" s="151">
        <f t="shared" si="5"/>
        <v>0</v>
      </c>
      <c r="K9" s="152">
        <f>COUNTIF('SOLICITUD DE PAGO'!E:E,'AVANCE FINANCIERO 2016 (2)'!C9)-1</f>
        <v>2</v>
      </c>
      <c r="L9" s="149">
        <f t="shared" si="6"/>
        <v>2123653.8199999998</v>
      </c>
      <c r="M9" s="151">
        <f>(L9/1.16)-SUMIF('SOLICITUD DE PAGO'!E:E,'AVANCE FINANCIERO 2016 (2)'!C9,'SOLICITUD DE PAGO'!K:K)</f>
        <v>773034.56</v>
      </c>
      <c r="N9" s="70" t="s">
        <v>785</v>
      </c>
      <c r="O9" s="153">
        <f>SUMIF('SOLICITUD DE PAGO'!E:E,C9,'SOLICITUD DE PAGO'!N:N)</f>
        <v>4986499.17</v>
      </c>
      <c r="P9" s="151">
        <f t="shared" si="7"/>
        <v>2092346.9</v>
      </c>
    </row>
    <row r="10" spans="1:16" s="154" customFormat="1" ht="51" x14ac:dyDescent="0.25">
      <c r="A10" s="30" t="s">
        <v>109</v>
      </c>
      <c r="B10" s="65" t="str">
        <f>LOOKUP(C10,OBRAS!D:D,OBRAS!C:C)</f>
        <v>CONSTRUCCION DE CENTRO COMUNITARIO DE APRENDIZAJE EN LA LOCALIDAD DE GUAJARAY, MUNICIPIO DE ALAMOS</v>
      </c>
      <c r="C10" s="47" t="s">
        <v>1644</v>
      </c>
      <c r="D10" s="66" t="str">
        <f>LOOKUP(C10,OBRAS!D:D,OBRAS!B:B)</f>
        <v>ING. GAUDENCIO RAMOS MONTEON</v>
      </c>
      <c r="E10" s="66" t="str">
        <f>LOOKUP(C10,OBRAS!D:D,OBRAS!E:E)</f>
        <v>C-00061/0019</v>
      </c>
      <c r="F10" s="148">
        <f>(SUMIFS('SOLICITUD DE PAGO'!N:N,'SOLICITUD DE PAGO'!E:E,'AVANCE FINANCIERO 2016 (2)'!C10,'SOLICITUD DE PAGO'!U:U,"1. S.H. PAGADO")+SUMIFS('SOLICITUD DE PAGO'!N:N,'SOLICITUD DE PAGO'!E:E,'AVANCE FINANCIERO 2016 (2)'!C10,'SOLICITUD DE PAGO'!U:U,"2. S.H. PENDIENTE")+SUMIFS('SOLICITUD DE PAGO'!N:N,'SOLICITUD DE PAGO'!E:E,'AVANCE FINANCIERO 2016 (2)'!C10,'SOLICITUD DE PAGO'!U:U,"3. O.P. DGPE")+SUMIFS('SOLICITUD DE PAGO'!N:N,'SOLICITUD DE PAGO'!E:E,'AVANCE FINANCIERO 2016 (2)'!C10,'SOLICITUD DE PAGO'!U:U,"4. ESPERA FACT.")+SUMIFS('SOLICITUD DE PAGO'!N:N,'SOLICITUD DE PAGO'!E:E,'AVANCE FINANCIERO 2016 (2)'!C10,'SOLICITUD DE PAGO'!U:U,"5. SOL. PEDIDO"))/H10</f>
        <v>0.43</v>
      </c>
      <c r="G10" s="149">
        <f>LOOKUP(C10,OBRAS!D:D,OBRAS!K:K)</f>
        <v>2879975.4</v>
      </c>
      <c r="H10" s="150">
        <f t="shared" si="4"/>
        <v>2879975.4</v>
      </c>
      <c r="I10" s="149">
        <f>LOOKUP(C10,OBRAS!D:D,OBRAS!I:I)</f>
        <v>2929404.64</v>
      </c>
      <c r="J10" s="151">
        <f t="shared" si="5"/>
        <v>49429.24</v>
      </c>
      <c r="K10" s="152">
        <f>COUNTIF('SOLICITUD DE PAGO'!E:E,'AVANCE FINANCIERO 2016 (2)'!C10)-1</f>
        <v>2</v>
      </c>
      <c r="L10" s="149">
        <f t="shared" si="6"/>
        <v>863992.62</v>
      </c>
      <c r="M10" s="151">
        <f>(L10/1.16)-SUMIF('SOLICITUD DE PAGO'!E:E,'AVANCE FINANCIERO 2016 (2)'!C10,'SOLICITUD DE PAGO'!K:K)</f>
        <v>602979.34</v>
      </c>
      <c r="N10" s="70" t="s">
        <v>785</v>
      </c>
      <c r="O10" s="153">
        <f>SUMIF('SOLICITUD DE PAGO'!E:E,C10,'SOLICITUD DE PAGO'!N:N)</f>
        <v>1247911.32</v>
      </c>
      <c r="P10" s="151">
        <f t="shared" si="7"/>
        <v>1632064.08</v>
      </c>
    </row>
    <row r="11" spans="1:16" s="154" customFormat="1" ht="51" x14ac:dyDescent="0.25">
      <c r="A11" s="30" t="s">
        <v>109</v>
      </c>
      <c r="B11" s="65" t="str">
        <f>LOOKUP(C11,OBRAS!D:D,OBRAS!C:C)</f>
        <v>CONSTRUCCION DE CENTRO COMUNITARIO DE APRENDIZAJE EN LA LOCALIDAD DE MESA COLORADA, MUNICIPIO DE ALAMOS</v>
      </c>
      <c r="C11" s="47" t="s">
        <v>1647</v>
      </c>
      <c r="D11" s="66" t="str">
        <f>LOOKUP(C11,OBRAS!D:D,OBRAS!B:B)</f>
        <v>ING. GAUDENCIO RAMOS MONTEON</v>
      </c>
      <c r="E11" s="66" t="str">
        <f>LOOKUP(C11,OBRAS!D:D,OBRAS!E:E)</f>
        <v>C-00061/0020</v>
      </c>
      <c r="F11" s="148">
        <f>(SUMIFS('SOLICITUD DE PAGO'!N:N,'SOLICITUD DE PAGO'!E:E,'AVANCE FINANCIERO 2016 (2)'!C11,'SOLICITUD DE PAGO'!U:U,"1. S.H. PAGADO")+SUMIFS('SOLICITUD DE PAGO'!N:N,'SOLICITUD DE PAGO'!E:E,'AVANCE FINANCIERO 2016 (2)'!C11,'SOLICITUD DE PAGO'!U:U,"2. S.H. PENDIENTE")+SUMIFS('SOLICITUD DE PAGO'!N:N,'SOLICITUD DE PAGO'!E:E,'AVANCE FINANCIERO 2016 (2)'!C11,'SOLICITUD DE PAGO'!U:U,"3. O.P. DGPE")+SUMIFS('SOLICITUD DE PAGO'!N:N,'SOLICITUD DE PAGO'!E:E,'AVANCE FINANCIERO 2016 (2)'!C11,'SOLICITUD DE PAGO'!U:U,"4. ESPERA FACT.")+SUMIFS('SOLICITUD DE PAGO'!N:N,'SOLICITUD DE PAGO'!E:E,'AVANCE FINANCIERO 2016 (2)'!C11,'SOLICITUD DE PAGO'!U:U,"5. SOL. PEDIDO"))/H11</f>
        <v>0.43</v>
      </c>
      <c r="G11" s="149">
        <f>LOOKUP(C11,OBRAS!D:D,OBRAS!K:K)</f>
        <v>2879974.93</v>
      </c>
      <c r="H11" s="150">
        <f t="shared" si="4"/>
        <v>2879974.93</v>
      </c>
      <c r="I11" s="149">
        <f>LOOKUP(C11,OBRAS!D:D,OBRAS!I:I)</f>
        <v>2913396.64</v>
      </c>
      <c r="J11" s="151">
        <f t="shared" si="5"/>
        <v>33421.71</v>
      </c>
      <c r="K11" s="152">
        <f>COUNTIF('SOLICITUD DE PAGO'!E:E,'AVANCE FINANCIERO 2016 (2)'!C11)-1</f>
        <v>2</v>
      </c>
      <c r="L11" s="149">
        <f t="shared" si="6"/>
        <v>863992.48</v>
      </c>
      <c r="M11" s="151">
        <f>(L11/1.16)-SUMIF('SOLICITUD DE PAGO'!E:E,'AVANCE FINANCIERO 2016 (2)'!C11,'SOLICITUD DE PAGO'!K:K)</f>
        <v>602979.22</v>
      </c>
      <c r="N11" s="70" t="s">
        <v>785</v>
      </c>
      <c r="O11" s="153">
        <f>SUMIF('SOLICITUD DE PAGO'!E:E,C11,'SOLICITUD DE PAGO'!N:N)</f>
        <v>1247911.18</v>
      </c>
      <c r="P11" s="151">
        <f t="shared" si="7"/>
        <v>1632063.75</v>
      </c>
    </row>
    <row r="12" spans="1:16" s="154" customFormat="1" ht="51" x14ac:dyDescent="0.25">
      <c r="A12" s="30" t="s">
        <v>299</v>
      </c>
      <c r="B12" s="65" t="str">
        <f>LOOKUP(C12,OBRAS!D:D,OBRAS!C:C)</f>
        <v xml:space="preserve"> CONSTRUCCION Y REHABILITACION DE CENTRO COMUNITARIO DE APRENDIZAJE EN LA LOCALIDAD DE TIERRA BLANCA MUNICIPIO DE NAVOJOA, SONORA</v>
      </c>
      <c r="C12" s="47" t="s">
        <v>1650</v>
      </c>
      <c r="D12" s="66" t="str">
        <f>LOOKUP(C12,OBRAS!D:D,OBRAS!B:B)</f>
        <v>CERTUS GERENCIA DE PROYECTOS S. A. DE C. V.</v>
      </c>
      <c r="E12" s="66" t="str">
        <f>LOOKUP(C12,OBRAS!D:D,OBRAS!E:E)</f>
        <v>C-00061/0021</v>
      </c>
      <c r="F12" s="148">
        <f>(SUMIFS('SOLICITUD DE PAGO'!N:N,'SOLICITUD DE PAGO'!E:E,'AVANCE FINANCIERO 2016 (2)'!C12,'SOLICITUD DE PAGO'!U:U,"1. S.H. PAGADO")+SUMIFS('SOLICITUD DE PAGO'!N:N,'SOLICITUD DE PAGO'!E:E,'AVANCE FINANCIERO 2016 (2)'!C12,'SOLICITUD DE PAGO'!U:U,"2. S.H. PENDIENTE")+SUMIFS('SOLICITUD DE PAGO'!N:N,'SOLICITUD DE PAGO'!E:E,'AVANCE FINANCIERO 2016 (2)'!C12,'SOLICITUD DE PAGO'!U:U,"3. O.P. DGPE")+SUMIFS('SOLICITUD DE PAGO'!N:N,'SOLICITUD DE PAGO'!E:E,'AVANCE FINANCIERO 2016 (2)'!C12,'SOLICITUD DE PAGO'!U:U,"4. ESPERA FACT.")+SUMIFS('SOLICITUD DE PAGO'!N:N,'SOLICITUD DE PAGO'!E:E,'AVANCE FINANCIERO 2016 (2)'!C12,'SOLICITUD DE PAGO'!U:U,"5. SOL. PEDIDO"))/H12</f>
        <v>0.38</v>
      </c>
      <c r="G12" s="149">
        <f>LOOKUP(C12,OBRAS!D:D,OBRAS!K:K)</f>
        <v>2113583.09</v>
      </c>
      <c r="H12" s="150">
        <f t="shared" si="4"/>
        <v>2113583.09</v>
      </c>
      <c r="I12" s="149">
        <f>LOOKUP(C12,OBRAS!D:D,OBRAS!I:I)</f>
        <v>2173380.5499999998</v>
      </c>
      <c r="J12" s="151">
        <f t="shared" si="5"/>
        <v>59797.46</v>
      </c>
      <c r="K12" s="152">
        <f>COUNTIF('SOLICITUD DE PAGO'!E:E,'AVANCE FINANCIERO 2016 (2)'!C12)-1</f>
        <v>1</v>
      </c>
      <c r="L12" s="149">
        <f t="shared" si="6"/>
        <v>634074.93000000005</v>
      </c>
      <c r="M12" s="151">
        <f>(L12/1.16)-SUMIF('SOLICITUD DE PAGO'!E:E,'AVANCE FINANCIERO 2016 (2)'!C12,'SOLICITUD DE PAGO'!K:K)</f>
        <v>481713.67</v>
      </c>
      <c r="N12" s="70" t="s">
        <v>785</v>
      </c>
      <c r="O12" s="153">
        <f>SUMIF('SOLICITUD DE PAGO'!E:E,C12,'SOLICITUD DE PAGO'!N:N)</f>
        <v>809744.76</v>
      </c>
      <c r="P12" s="151">
        <f t="shared" si="7"/>
        <v>1303838.33</v>
      </c>
    </row>
    <row r="13" spans="1:16" s="154" customFormat="1" ht="51" x14ac:dyDescent="0.25">
      <c r="A13" s="30" t="s">
        <v>25</v>
      </c>
      <c r="B13" s="65" t="str">
        <f>LOOKUP(C13,OBRAS!D:D,OBRAS!C:C)</f>
        <v xml:space="preserve">CONSTRUCCION DE CENTRO COMUNITARIO DE APRENDIZAJE EN LA LOCALIDAD DE POZO DULCE MUNICIPIO DE HUATABAMPO </v>
      </c>
      <c r="C13" s="47" t="s">
        <v>1651</v>
      </c>
      <c r="D13" s="66" t="str">
        <f>LOOKUP(C13,OBRAS!D:D,OBRAS!B:B)</f>
        <v>CERTUS GERENCIA DE PROYECTOS S. A. DE C. V.</v>
      </c>
      <c r="E13" s="66" t="str">
        <f>LOOKUP(C13,OBRAS!D:D,OBRAS!E:E)</f>
        <v xml:space="preserve"> C-00061/0022</v>
      </c>
      <c r="F13" s="148">
        <f>(SUMIFS('SOLICITUD DE PAGO'!N:N,'SOLICITUD DE PAGO'!E:E,'AVANCE FINANCIERO 2016 (2)'!C13,'SOLICITUD DE PAGO'!U:U,"1. S.H. PAGADO")+SUMIFS('SOLICITUD DE PAGO'!N:N,'SOLICITUD DE PAGO'!E:E,'AVANCE FINANCIERO 2016 (2)'!C13,'SOLICITUD DE PAGO'!U:U,"2. S.H. PENDIENTE")+SUMIFS('SOLICITUD DE PAGO'!N:N,'SOLICITUD DE PAGO'!E:E,'AVANCE FINANCIERO 2016 (2)'!C13,'SOLICITUD DE PAGO'!U:U,"3. O.P. DGPE")+SUMIFS('SOLICITUD DE PAGO'!N:N,'SOLICITUD DE PAGO'!E:E,'AVANCE FINANCIERO 2016 (2)'!C13,'SOLICITUD DE PAGO'!U:U,"4. ESPERA FACT.")+SUMIFS('SOLICITUD DE PAGO'!N:N,'SOLICITUD DE PAGO'!E:E,'AVANCE FINANCIERO 2016 (2)'!C13,'SOLICITUD DE PAGO'!U:U,"5. SOL. PEDIDO"))/H13</f>
        <v>0.4</v>
      </c>
      <c r="G13" s="149">
        <f>LOOKUP(C13,OBRAS!D:D,OBRAS!K:K)</f>
        <v>2246395.02</v>
      </c>
      <c r="H13" s="150">
        <f t="shared" si="4"/>
        <v>2246395.02</v>
      </c>
      <c r="I13" s="149">
        <f>LOOKUP(C13,OBRAS!D:D,OBRAS!I:I)</f>
        <v>2271528.17</v>
      </c>
      <c r="J13" s="151">
        <f t="shared" si="5"/>
        <v>25133.15</v>
      </c>
      <c r="K13" s="152">
        <f>COUNTIF('SOLICITUD DE PAGO'!E:E,'AVANCE FINANCIERO 2016 (2)'!C13)-1</f>
        <v>1</v>
      </c>
      <c r="L13" s="149">
        <f t="shared" si="6"/>
        <v>673918.51</v>
      </c>
      <c r="M13" s="151">
        <f>(L13/1.16)-SUMIF('SOLICITUD DE PAGO'!E:E,'AVANCE FINANCIERO 2016 (2)'!C13,'SOLICITUD DE PAGO'!K:K)</f>
        <v>499160.79</v>
      </c>
      <c r="N13" s="70" t="s">
        <v>785</v>
      </c>
      <c r="O13" s="153">
        <f>SUMIF('SOLICITUD DE PAGO'!E:E,C13,'SOLICITUD DE PAGO'!N:N)</f>
        <v>895333.14</v>
      </c>
      <c r="P13" s="151">
        <f t="shared" si="7"/>
        <v>1351061.88</v>
      </c>
    </row>
    <row r="14" spans="1:16" s="154" customFormat="1" ht="51" x14ac:dyDescent="0.25">
      <c r="A14" s="30" t="s">
        <v>803</v>
      </c>
      <c r="B14" s="65" t="str">
        <f>LOOKUP(C14,OBRAS!D:D,OBRAS!C:C)</f>
        <v>SUPERVISION EXTERNA Y CONTROL DE CALIDAD DE LA OBRA: PAVIMENTACION CON CONCRETO HIDRAULICO DEL BOULEVARD LAZARO GUTIERREZ DE LARA</v>
      </c>
      <c r="C14" s="47" t="s">
        <v>1842</v>
      </c>
      <c r="D14" s="66" t="str">
        <f>LOOKUP(C14,OBRAS!D:D,OBRAS!B:B)</f>
        <v>ESCOBO S.A. DE C.V.</v>
      </c>
      <c r="E14" s="66" t="str">
        <f>LOOKUP(C14,OBRAS!D:D,OBRAS!E:E)</f>
        <v>C-00052/0181</v>
      </c>
      <c r="F14" s="148">
        <f>(SUMIFS('SOLICITUD DE PAGO'!N:N,'SOLICITUD DE PAGO'!E:E,'AVANCE FINANCIERO 2016 (2)'!C14,'SOLICITUD DE PAGO'!U:U,"1. S.H. PAGADO")+SUMIFS('SOLICITUD DE PAGO'!N:N,'SOLICITUD DE PAGO'!E:E,'AVANCE FINANCIERO 2016 (2)'!C14,'SOLICITUD DE PAGO'!U:U,"2. S.H. PENDIENTE")+SUMIFS('SOLICITUD DE PAGO'!N:N,'SOLICITUD DE PAGO'!E:E,'AVANCE FINANCIERO 2016 (2)'!C14,'SOLICITUD DE PAGO'!U:U,"3. O.P. DGPE")+SUMIFS('SOLICITUD DE PAGO'!N:N,'SOLICITUD DE PAGO'!E:E,'AVANCE FINANCIERO 2016 (2)'!C14,'SOLICITUD DE PAGO'!U:U,"4. ESPERA FACT.")+SUMIFS('SOLICITUD DE PAGO'!N:N,'SOLICITUD DE PAGO'!E:E,'AVANCE FINANCIERO 2016 (2)'!C14,'SOLICITUD DE PAGO'!U:U,"5. SOL. PEDIDO"))/H14</f>
        <v>0.3</v>
      </c>
      <c r="G14" s="149">
        <f>LOOKUP(C14,OBRAS!D:D,OBRAS!K:K)</f>
        <v>986157.02</v>
      </c>
      <c r="H14" s="150">
        <f t="shared" si="4"/>
        <v>986157.02</v>
      </c>
      <c r="I14" s="149">
        <f>LOOKUP(C14,OBRAS!D:D,OBRAS!I:I)</f>
        <v>986157.02</v>
      </c>
      <c r="J14" s="151">
        <f t="shared" si="5"/>
        <v>0</v>
      </c>
      <c r="K14" s="152">
        <f>COUNTIF('SOLICITUD DE PAGO'!E:E,'AVANCE FINANCIERO 2016 (2)'!C14)-1</f>
        <v>1</v>
      </c>
      <c r="L14" s="149">
        <f t="shared" si="6"/>
        <v>295847.11</v>
      </c>
      <c r="M14" s="151">
        <f>(L14/1.16)-SUMIF('SOLICITUD DE PAGO'!E:E,'AVANCE FINANCIERO 2016 (2)'!C14,'SOLICITUD DE PAGO'!K:K)</f>
        <v>195730.91</v>
      </c>
      <c r="N14" s="70" t="s">
        <v>785</v>
      </c>
      <c r="O14" s="153">
        <f>SUMIF('SOLICITUD DE PAGO'!E:E,C14,'SOLICITUD DE PAGO'!N:N)</f>
        <v>456378.71</v>
      </c>
      <c r="P14" s="151">
        <f t="shared" si="7"/>
        <v>529778.31000000006</v>
      </c>
    </row>
    <row r="15" spans="1:16" s="154" customFormat="1" ht="51" x14ac:dyDescent="0.25">
      <c r="A15" s="30" t="s">
        <v>9</v>
      </c>
      <c r="B15" s="65" t="str">
        <f>LOOKUP(C15,OBRAS!D:D,OBRAS!C:C)</f>
        <v>REHABILITACION DE ESTRUCTURA PARA MALLA SOMBRA EN CASA HOGAR JINESEKI, EN LA LOCALIDAD Y MUNICIPIO DE HERMOSILLO</v>
      </c>
      <c r="C15" s="47" t="s">
        <v>1936</v>
      </c>
      <c r="D15" s="66" t="str">
        <f>LOOKUP(C15,OBRAS!D:D,OBRAS!B:B)</f>
        <v>RAYDA CONSTRUCTORES, S.A. DE C.V.</v>
      </c>
      <c r="E15" s="66" t="str">
        <f>LOOKUP(C15,OBRAS!D:D,OBRAS!E:E)</f>
        <v>C-00061/0017</v>
      </c>
      <c r="F15" s="148">
        <f>(SUMIFS('SOLICITUD DE PAGO'!N:N,'SOLICITUD DE PAGO'!E:E,'AVANCE FINANCIERO 2016 (2)'!C15,'SOLICITUD DE PAGO'!U:U,"1. S.H. PAGADO")+SUMIFS('SOLICITUD DE PAGO'!N:N,'SOLICITUD DE PAGO'!E:E,'AVANCE FINANCIERO 2016 (2)'!C15,'SOLICITUD DE PAGO'!U:U,"2. S.H. PENDIENTE")+SUMIFS('SOLICITUD DE PAGO'!N:N,'SOLICITUD DE PAGO'!E:E,'AVANCE FINANCIERO 2016 (2)'!C15,'SOLICITUD DE PAGO'!U:U,"3. O.P. DGPE")+SUMIFS('SOLICITUD DE PAGO'!N:N,'SOLICITUD DE PAGO'!E:E,'AVANCE FINANCIERO 2016 (2)'!C15,'SOLICITUD DE PAGO'!U:U,"4. ESPERA FACT.")+SUMIFS('SOLICITUD DE PAGO'!N:N,'SOLICITUD DE PAGO'!E:E,'AVANCE FINANCIERO 2016 (2)'!C15,'SOLICITUD DE PAGO'!U:U,"5. SOL. PEDIDO"))/H15</f>
        <v>1</v>
      </c>
      <c r="G15" s="149">
        <f>LOOKUP(C15,OBRAS!D:D,OBRAS!K:K)</f>
        <v>161330.94</v>
      </c>
      <c r="H15" s="150">
        <f t="shared" si="4"/>
        <v>161330.94</v>
      </c>
      <c r="I15" s="149">
        <f>LOOKUP(C15,OBRAS!D:D,OBRAS!I:I)</f>
        <v>161330.94</v>
      </c>
      <c r="J15" s="151">
        <f t="shared" si="5"/>
        <v>0</v>
      </c>
      <c r="K15" s="152">
        <f>COUNTIF('SOLICITUD DE PAGO'!E:E,'AVANCE FINANCIERO 2016 (2)'!C15)-1</f>
        <v>0</v>
      </c>
      <c r="L15" s="149">
        <f t="shared" si="6"/>
        <v>48399.28</v>
      </c>
      <c r="M15" s="151">
        <f>(L15/1.16)-SUMIF('SOLICITUD DE PAGO'!E:E,'AVANCE FINANCIERO 2016 (2)'!C15,'SOLICITUD DE PAGO'!K:K)</f>
        <v>41723.519999999997</v>
      </c>
      <c r="N15" s="70" t="s">
        <v>785</v>
      </c>
      <c r="O15" s="153">
        <f>SUMIF('SOLICITUD DE PAGO'!E:E,C15,'SOLICITUD DE PAGO'!N:N)</f>
        <v>161330.94</v>
      </c>
      <c r="P15" s="151">
        <f t="shared" si="7"/>
        <v>0</v>
      </c>
    </row>
    <row r="16" spans="1:16" s="154" customFormat="1" ht="39" x14ac:dyDescent="0.25">
      <c r="A16" s="30" t="s">
        <v>9</v>
      </c>
      <c r="B16" s="65" t="str">
        <f>LOOKUP(C16,OBRAS!D:D,OBRAS!C:C)</f>
        <v>MODERNIZACIÓN DE LA CALLE ROSALES, ETAPA 1 EN  HERMOSILLO, SONORA.</v>
      </c>
      <c r="C16" s="47" t="s">
        <v>1776</v>
      </c>
      <c r="D16" s="66" t="str">
        <f>LOOKUP(C16,OBRAS!D:D,OBRAS!B:B)</f>
        <v>CONSULTORIA Y CONSTRUCCION DEL NOROESTE</v>
      </c>
      <c r="E16" s="66" t="str">
        <f>LOOKUP(C16,OBRAS!D:D,OBRAS!E:E)</f>
        <v>C-00052/0180</v>
      </c>
      <c r="F16" s="148">
        <f>(SUMIFS('SOLICITUD DE PAGO'!N:N,'SOLICITUD DE PAGO'!E:E,'AVANCE FINANCIERO 2016 (2)'!C16,'SOLICITUD DE PAGO'!U:U,"1. S.H. PAGADO")+SUMIFS('SOLICITUD DE PAGO'!N:N,'SOLICITUD DE PAGO'!E:E,'AVANCE FINANCIERO 2016 (2)'!C16,'SOLICITUD DE PAGO'!U:U,"2. S.H. PENDIENTE")+SUMIFS('SOLICITUD DE PAGO'!N:N,'SOLICITUD DE PAGO'!E:E,'AVANCE FINANCIERO 2016 (2)'!C16,'SOLICITUD DE PAGO'!U:U,"3. O.P. DGPE")+SUMIFS('SOLICITUD DE PAGO'!N:N,'SOLICITUD DE PAGO'!E:E,'AVANCE FINANCIERO 2016 (2)'!C16,'SOLICITUD DE PAGO'!U:U,"4. ESPERA FACT.")+SUMIFS('SOLICITUD DE PAGO'!N:N,'SOLICITUD DE PAGO'!E:E,'AVANCE FINANCIERO 2016 (2)'!C16,'SOLICITUD DE PAGO'!U:U,"5. SOL. PEDIDO"))/H16</f>
        <v>0.1</v>
      </c>
      <c r="G16" s="149">
        <f>LOOKUP(C16,OBRAS!D:D,OBRAS!K:K)</f>
        <v>826057.46</v>
      </c>
      <c r="H16" s="150">
        <f t="shared" si="4"/>
        <v>826057.46</v>
      </c>
      <c r="I16" s="149">
        <f>LOOKUP(C16,OBRAS!D:D,OBRAS!I:I)</f>
        <v>1891984.85</v>
      </c>
      <c r="J16" s="151">
        <f t="shared" si="5"/>
        <v>1065927.3899999999</v>
      </c>
      <c r="K16" s="152">
        <f>COUNTIF('SOLICITUD DE PAGO'!E:E,'AVANCE FINANCIERO 2016 (2)'!C16)-1</f>
        <v>0</v>
      </c>
      <c r="L16" s="149">
        <f t="shared" si="6"/>
        <v>247817.24</v>
      </c>
      <c r="M16" s="151">
        <f>(L16/1.16)-SUMIF('SOLICITUD DE PAGO'!E:E,'AVANCE FINANCIERO 2016 (2)'!C16,'SOLICITUD DE PAGO'!K:K)</f>
        <v>213635.55</v>
      </c>
      <c r="N16" s="70" t="s">
        <v>785</v>
      </c>
      <c r="O16" s="153">
        <f>SUMIF('SOLICITUD DE PAGO'!E:E,C16,'SOLICITUD DE PAGO'!N:N)</f>
        <v>82605.75</v>
      </c>
      <c r="P16" s="151">
        <f t="shared" si="7"/>
        <v>743451.71</v>
      </c>
    </row>
    <row r="17" spans="1:16" s="154" customFormat="1" ht="51" x14ac:dyDescent="0.25">
      <c r="A17" s="30" t="s">
        <v>48</v>
      </c>
      <c r="B17" s="65" t="str">
        <f>LOOKUP(C17,OBRAS!D:D,OBRAS!C:C)</f>
        <v>REHABILITACION DEL DELFINARIO SONORA(SEGUNDA ETAPA) EN LA LOCALIDAD DE SAN CARLOS, MUNICIPIO DE GUAYMAS</v>
      </c>
      <c r="C17" s="47" t="s">
        <v>1746</v>
      </c>
      <c r="D17" s="66" t="str">
        <f>LOOKUP(C17,OBRAS!D:D,OBRAS!B:B)</f>
        <v>CONSTRUCTORA MIRAMAR, S.A. DE C.V.</v>
      </c>
      <c r="E17" s="66" t="str">
        <f>LOOKUP(C17,OBRAS!D:D,OBRAS!E:E)</f>
        <v>C-00061/0018</v>
      </c>
      <c r="F17" s="148">
        <f>(SUMIFS('SOLICITUD DE PAGO'!N:N,'SOLICITUD DE PAGO'!E:E,'AVANCE FINANCIERO 2016 (2)'!C17,'SOLICITUD DE PAGO'!U:U,"1. S.H. PAGADO")+SUMIFS('SOLICITUD DE PAGO'!N:N,'SOLICITUD DE PAGO'!E:E,'AVANCE FINANCIERO 2016 (2)'!C17,'SOLICITUD DE PAGO'!U:U,"2. S.H. PENDIENTE")+SUMIFS('SOLICITUD DE PAGO'!N:N,'SOLICITUD DE PAGO'!E:E,'AVANCE FINANCIERO 2016 (2)'!C17,'SOLICITUD DE PAGO'!U:U,"3. O.P. DGPE")+SUMIFS('SOLICITUD DE PAGO'!N:N,'SOLICITUD DE PAGO'!E:E,'AVANCE FINANCIERO 2016 (2)'!C17,'SOLICITUD DE PAGO'!U:U,"4. ESPERA FACT.")+SUMIFS('SOLICITUD DE PAGO'!N:N,'SOLICITUD DE PAGO'!E:E,'AVANCE FINANCIERO 2016 (2)'!C17,'SOLICITUD DE PAGO'!U:U,"5. SOL. PEDIDO"))/H17</f>
        <v>0.93</v>
      </c>
      <c r="G17" s="149">
        <f>LOOKUP(C17,OBRAS!D:D,OBRAS!K:K)</f>
        <v>8591026.3200000003</v>
      </c>
      <c r="H17" s="150">
        <f t="shared" si="4"/>
        <v>8241610.6799999997</v>
      </c>
      <c r="I17" s="149">
        <f>LOOKUP(C17,OBRAS!D:D,OBRAS!I:I)</f>
        <v>8241610.6799999997</v>
      </c>
      <c r="J17" s="151">
        <f t="shared" si="5"/>
        <v>-349415.64</v>
      </c>
      <c r="K17" s="152">
        <f>COUNTIF('SOLICITUD DE PAGO'!E:E,'AVANCE FINANCIERO 2016 (2)'!C17)-1</f>
        <v>1</v>
      </c>
      <c r="L17" s="149">
        <f t="shared" si="6"/>
        <v>2472483.2000000002</v>
      </c>
      <c r="M17" s="151">
        <f>(L17/1.16)-SUMIF('SOLICITUD DE PAGO'!E:E,'AVANCE FINANCIERO 2016 (2)'!C17,'SOLICITUD DE PAGO'!K:K)</f>
        <v>0</v>
      </c>
      <c r="N17" s="70" t="s">
        <v>785</v>
      </c>
      <c r="O17" s="153">
        <f>SUMIF('SOLICITUD DE PAGO'!E:E,C17,'SOLICITUD DE PAGO'!N:N)</f>
        <v>7661207.6600000001</v>
      </c>
      <c r="P17" s="151">
        <f t="shared" si="7"/>
        <v>929818.66</v>
      </c>
    </row>
    <row r="18" spans="1:16" s="154" customFormat="1" ht="51" x14ac:dyDescent="0.25">
      <c r="A18" s="30" t="s">
        <v>32</v>
      </c>
      <c r="B18" s="65" t="str">
        <f>LOOKUP(C18,OBRAS!D:D,OBRAS!C:C)</f>
        <v>REHABILITACION PAVIMENTO CON CARPETA ASFALTICA EN CALLE MIGUEL HIDALGO EN LA LOCALIDAD Y MUNICIPIO DE ETCHOJOA</v>
      </c>
      <c r="C18" s="47" t="s">
        <v>2021</v>
      </c>
      <c r="D18" s="66" t="str">
        <f>LOOKUP(C18,OBRAS!D:D,OBRAS!B:B)</f>
        <v>GRUPO MESIS, S.A. DE C.V.</v>
      </c>
      <c r="E18" s="66" t="str">
        <f>LOOKUP(C18,OBRAS!D:D,OBRAS!E:E)</f>
        <v>C-00052/0242</v>
      </c>
      <c r="F18" s="148">
        <f>(SUMIFS('SOLICITUD DE PAGO'!N:N,'SOLICITUD DE PAGO'!E:E,'AVANCE FINANCIERO 2016 (2)'!C18,'SOLICITUD DE PAGO'!U:U,"1. S.H. PAGADO")+SUMIFS('SOLICITUD DE PAGO'!N:N,'SOLICITUD DE PAGO'!E:E,'AVANCE FINANCIERO 2016 (2)'!C18,'SOLICITUD DE PAGO'!U:U,"2. S.H. PENDIENTE")+SUMIFS('SOLICITUD DE PAGO'!N:N,'SOLICITUD DE PAGO'!E:E,'AVANCE FINANCIERO 2016 (2)'!C18,'SOLICITUD DE PAGO'!U:U,"3. O.P. DGPE")+SUMIFS('SOLICITUD DE PAGO'!N:N,'SOLICITUD DE PAGO'!E:E,'AVANCE FINANCIERO 2016 (2)'!C18,'SOLICITUD DE PAGO'!U:U,"4. ESPERA FACT.")+SUMIFS('SOLICITUD DE PAGO'!N:N,'SOLICITUD DE PAGO'!E:E,'AVANCE FINANCIERO 2016 (2)'!C18,'SOLICITUD DE PAGO'!U:U,"5. SOL. PEDIDO"))/H18</f>
        <v>1.21</v>
      </c>
      <c r="G18" s="149">
        <f>LOOKUP(C18,OBRAS!D:D,OBRAS!K:K)</f>
        <v>6532283.4100000001</v>
      </c>
      <c r="H18" s="150">
        <f t="shared" si="4"/>
        <v>2962632</v>
      </c>
      <c r="I18" s="149">
        <f>LOOKUP(C18,OBRAS!D:D,OBRAS!I:I)</f>
        <v>2962632</v>
      </c>
      <c r="J18" s="151">
        <f t="shared" si="5"/>
        <v>-3569651.41</v>
      </c>
      <c r="K18" s="152">
        <f>COUNTIF('SOLICITUD DE PAGO'!E:E,'AVANCE FINANCIERO 2016 (2)'!C18)-1</f>
        <v>1</v>
      </c>
      <c r="L18" s="149">
        <f t="shared" si="6"/>
        <v>888789.6</v>
      </c>
      <c r="M18" s="151">
        <f>(L18/1.16)-SUMIF('SOLICITUD DE PAGO'!E:E,'AVANCE FINANCIERO 2016 (2)'!C18,'SOLICITUD DE PAGO'!K:K)</f>
        <v>766197.93</v>
      </c>
      <c r="N18" s="70" t="s">
        <v>785</v>
      </c>
      <c r="O18" s="153">
        <f>SUMIF('SOLICITUD DE PAGO'!E:E,C18,'SOLICITUD DE PAGO'!N:N)</f>
        <v>3579171.68</v>
      </c>
      <c r="P18" s="151">
        <f t="shared" si="7"/>
        <v>2953111.73</v>
      </c>
    </row>
    <row r="19" spans="1:16" s="154" customFormat="1" ht="51" x14ac:dyDescent="0.25">
      <c r="A19" s="30" t="s">
        <v>235</v>
      </c>
      <c r="B19" s="65" t="str">
        <f>LOOKUP(C19,OBRAS!D:D,OBRAS!C:C)</f>
        <v>TERMINACION DE LA REMODELACION DEL AREA DE ATENCION TEMPRANA DEL CENTRO INTEGRAL DE JUSTICIA EN EL DISTRITO DE NOGALES</v>
      </c>
      <c r="C19" s="47" t="s">
        <v>2030</v>
      </c>
      <c r="D19" s="66" t="str">
        <f>LOOKUP(C19,OBRAS!D:D,OBRAS!B:B)</f>
        <v>EDIFICACIONES Y PROYECTOS MOCELIK, S.A. DE C.V.</v>
      </c>
      <c r="E19" s="66" t="str">
        <f>LOOKUP(C19,OBRAS!D:D,OBRAS!E:E)</f>
        <v>C-00058/0019</v>
      </c>
      <c r="F19" s="148">
        <f>(SUMIFS('SOLICITUD DE PAGO'!N:N,'SOLICITUD DE PAGO'!E:E,'AVANCE FINANCIERO 2016 (2)'!C19,'SOLICITUD DE PAGO'!U:U,"1. S.H. PAGADO")+SUMIFS('SOLICITUD DE PAGO'!N:N,'SOLICITUD DE PAGO'!E:E,'AVANCE FINANCIERO 2016 (2)'!C19,'SOLICITUD DE PAGO'!U:U,"2. S.H. PENDIENTE")+SUMIFS('SOLICITUD DE PAGO'!N:N,'SOLICITUD DE PAGO'!E:E,'AVANCE FINANCIERO 2016 (2)'!C19,'SOLICITUD DE PAGO'!U:U,"3. O.P. DGPE")+SUMIFS('SOLICITUD DE PAGO'!N:N,'SOLICITUD DE PAGO'!E:E,'AVANCE FINANCIERO 2016 (2)'!C19,'SOLICITUD DE PAGO'!U:U,"4. ESPERA FACT.")+SUMIFS('SOLICITUD DE PAGO'!N:N,'SOLICITUD DE PAGO'!E:E,'AVANCE FINANCIERO 2016 (2)'!C19,'SOLICITUD DE PAGO'!U:U,"5. SOL. PEDIDO"))/H19</f>
        <v>1</v>
      </c>
      <c r="G19" s="149">
        <f>LOOKUP(C19,OBRAS!D:D,OBRAS!K:K)</f>
        <v>818779.01</v>
      </c>
      <c r="H19" s="150">
        <f t="shared" si="4"/>
        <v>818779.01</v>
      </c>
      <c r="I19" s="149">
        <f>LOOKUP(C19,OBRAS!D:D,OBRAS!I:I)</f>
        <v>818779.02</v>
      </c>
      <c r="J19" s="151">
        <f t="shared" si="5"/>
        <v>0.01</v>
      </c>
      <c r="K19" s="152">
        <f>COUNTIF('SOLICITUD DE PAGO'!E:E,'AVANCE FINANCIERO 2016 (2)'!C19)-1</f>
        <v>0</v>
      </c>
      <c r="L19" s="149">
        <f t="shared" si="6"/>
        <v>245633.7</v>
      </c>
      <c r="M19" s="151">
        <f>(L19/1.16)-SUMIF('SOLICITUD DE PAGO'!E:E,'AVANCE FINANCIERO 2016 (2)'!C19,'SOLICITUD DE PAGO'!K:K)</f>
        <v>211753.19</v>
      </c>
      <c r="N19" s="70" t="s">
        <v>785</v>
      </c>
      <c r="O19" s="153">
        <f>SUMIF('SOLICITUD DE PAGO'!E:E,C19,'SOLICITUD DE PAGO'!N:N)</f>
        <v>818779.01</v>
      </c>
      <c r="P19" s="151">
        <f t="shared" si="7"/>
        <v>0</v>
      </c>
    </row>
    <row r="20" spans="1:16" s="154" customFormat="1" ht="51" x14ac:dyDescent="0.25">
      <c r="A20" s="30" t="s">
        <v>148</v>
      </c>
      <c r="B20" s="65" t="str">
        <f>LOOKUP(C20,OBRAS!D:D,OBRAS!C:C)</f>
        <v>TERMINACION DE LA CONSTRUCCION DE EDIFICIO PARA ALBERGAR JUZGADO DE ORALIDAD PENAL CON SEDE EN AGUA PRIETA</v>
      </c>
      <c r="C20" s="47" t="s">
        <v>2028</v>
      </c>
      <c r="D20" s="66" t="str">
        <f>LOOKUP(C20,OBRAS!D:D,OBRAS!B:B)</f>
        <v>INMOBILIARIA TIERRAS DEL DESIERTO, S. A. DE C. V.</v>
      </c>
      <c r="E20" s="66" t="str">
        <f>LOOKUP(C20,OBRAS!D:D,OBRAS!E:E)</f>
        <v>C-00058/0016</v>
      </c>
      <c r="F20" s="148">
        <f>(SUMIFS('SOLICITUD DE PAGO'!N:N,'SOLICITUD DE PAGO'!E:E,'AVANCE FINANCIERO 2016 (2)'!C20,'SOLICITUD DE PAGO'!U:U,"1. S.H. PAGADO")+SUMIFS('SOLICITUD DE PAGO'!N:N,'SOLICITUD DE PAGO'!E:E,'AVANCE FINANCIERO 2016 (2)'!C20,'SOLICITUD DE PAGO'!U:U,"2. S.H. PENDIENTE")+SUMIFS('SOLICITUD DE PAGO'!N:N,'SOLICITUD DE PAGO'!E:E,'AVANCE FINANCIERO 2016 (2)'!C20,'SOLICITUD DE PAGO'!U:U,"3. O.P. DGPE")+SUMIFS('SOLICITUD DE PAGO'!N:N,'SOLICITUD DE PAGO'!E:E,'AVANCE FINANCIERO 2016 (2)'!C20,'SOLICITUD DE PAGO'!U:U,"4. ESPERA FACT.")+SUMIFS('SOLICITUD DE PAGO'!N:N,'SOLICITUD DE PAGO'!E:E,'AVANCE FINANCIERO 2016 (2)'!C20,'SOLICITUD DE PAGO'!U:U,"5. SOL. PEDIDO"))/H20</f>
        <v>1</v>
      </c>
      <c r="G20" s="149">
        <f>LOOKUP(C20,OBRAS!D:D,OBRAS!K:K)</f>
        <v>593752.25</v>
      </c>
      <c r="H20" s="150">
        <f t="shared" si="4"/>
        <v>593752.25</v>
      </c>
      <c r="I20" s="149">
        <f>LOOKUP(C20,OBRAS!D:D,OBRAS!I:I)</f>
        <v>602245.43999999994</v>
      </c>
      <c r="J20" s="151">
        <f t="shared" si="5"/>
        <v>8493.19</v>
      </c>
      <c r="K20" s="152">
        <f>COUNTIF('SOLICITUD DE PAGO'!E:E,'AVANCE FINANCIERO 2016 (2)'!C20)-1</f>
        <v>2</v>
      </c>
      <c r="L20" s="149">
        <f t="shared" si="6"/>
        <v>178125.68</v>
      </c>
      <c r="M20" s="151">
        <f>(L20/1.16)-SUMIF('SOLICITUD DE PAGO'!E:E,'AVANCE FINANCIERO 2016 (2)'!C20,'SOLICITUD DE PAGO'!K:K)</f>
        <v>153556.62</v>
      </c>
      <c r="N20" s="70" t="s">
        <v>785</v>
      </c>
      <c r="O20" s="153">
        <f>SUMIF('SOLICITUD DE PAGO'!E:E,C20,'SOLICITUD DE PAGO'!N:N)</f>
        <v>593752.24</v>
      </c>
      <c r="P20" s="151">
        <f t="shared" si="7"/>
        <v>0.01</v>
      </c>
    </row>
    <row r="21" spans="1:16" s="154" customFormat="1" ht="51" x14ac:dyDescent="0.25">
      <c r="A21" s="30" t="s">
        <v>9</v>
      </c>
      <c r="B21" s="65" t="str">
        <f>LOOKUP(C21,OBRAS!D:D,OBRAS!C:C)</f>
        <v>OBRA COMPLEMENTARIA PARA LA REMODELACION DE CENTRO INTEGRAL DE JUSTICIA EN EL DISTRITO DE HERMOSILLO.</v>
      </c>
      <c r="C21" s="47" t="s">
        <v>2051</v>
      </c>
      <c r="D21" s="66" t="str">
        <f>LOOKUP(C21,OBRAS!D:D,OBRAS!B:B)</f>
        <v>PALO FIERRO CONSTRUCCIONES, S.A. DE C.V.</v>
      </c>
      <c r="E21" s="66" t="str">
        <f>LOOKUP(C21,OBRAS!D:D,OBRAS!E:E)</f>
        <v>C-00058/0031</v>
      </c>
      <c r="F21" s="148">
        <f>(SUMIFS('SOLICITUD DE PAGO'!N:N,'SOLICITUD DE PAGO'!E:E,'AVANCE FINANCIERO 2016 (2)'!C21,'SOLICITUD DE PAGO'!U:U,"1. S.H. PAGADO")+SUMIFS('SOLICITUD DE PAGO'!N:N,'SOLICITUD DE PAGO'!E:E,'AVANCE FINANCIERO 2016 (2)'!C21,'SOLICITUD DE PAGO'!U:U,"2. S.H. PENDIENTE")+SUMIFS('SOLICITUD DE PAGO'!N:N,'SOLICITUD DE PAGO'!E:E,'AVANCE FINANCIERO 2016 (2)'!C21,'SOLICITUD DE PAGO'!U:U,"3. O.P. DGPE")+SUMIFS('SOLICITUD DE PAGO'!N:N,'SOLICITUD DE PAGO'!E:E,'AVANCE FINANCIERO 2016 (2)'!C21,'SOLICITUD DE PAGO'!U:U,"4. ESPERA FACT.")+SUMIFS('SOLICITUD DE PAGO'!N:N,'SOLICITUD DE PAGO'!E:E,'AVANCE FINANCIERO 2016 (2)'!C21,'SOLICITUD DE PAGO'!U:U,"5. SOL. PEDIDO"))/H21</f>
        <v>1</v>
      </c>
      <c r="G21" s="149">
        <f>LOOKUP(C21,OBRAS!D:D,OBRAS!K:K)</f>
        <v>847189.76</v>
      </c>
      <c r="H21" s="150">
        <f t="shared" si="4"/>
        <v>847189.76</v>
      </c>
      <c r="I21" s="149">
        <f>LOOKUP(C21,OBRAS!D:D,OBRAS!I:I)</f>
        <v>847303.66</v>
      </c>
      <c r="J21" s="151">
        <f t="shared" si="5"/>
        <v>113.9</v>
      </c>
      <c r="K21" s="152">
        <f>COUNTIF('SOLICITUD DE PAGO'!E:E,'AVANCE FINANCIERO 2016 (2)'!C21)-1</f>
        <v>0</v>
      </c>
      <c r="L21" s="149">
        <f t="shared" si="6"/>
        <v>254156.93</v>
      </c>
      <c r="M21" s="151">
        <f>(L21/1.16)-SUMIF('SOLICITUD DE PAGO'!E:E,'AVANCE FINANCIERO 2016 (2)'!C21,'SOLICITUD DE PAGO'!K:K)</f>
        <v>219100.79999999999</v>
      </c>
      <c r="N21" s="70" t="s">
        <v>785</v>
      </c>
      <c r="O21" s="153">
        <f>SUMIF('SOLICITUD DE PAGO'!E:E,C21,'SOLICITUD DE PAGO'!N:N)</f>
        <v>847189.76</v>
      </c>
      <c r="P21" s="151">
        <f t="shared" si="7"/>
        <v>0</v>
      </c>
    </row>
    <row r="22" spans="1:16" s="154" customFormat="1" ht="76.5" x14ac:dyDescent="0.25">
      <c r="A22" s="30" t="s">
        <v>148</v>
      </c>
      <c r="B22" s="65" t="str">
        <f>LOOKUP(C22,OBRAS!D:D,OBRAS!C:C)</f>
        <v>OBRA COMPLEMENTARIA DE CONSTRUCCION DE EDIFICIO PARA ALBERGAR JUZGADO DE ORALIDAD PENAL CON SEDE EN AGUA PRIETA, EN LA LOCALIDAD Y MUNICIPIO DE AGUA PRIETA, SONORA.</v>
      </c>
      <c r="C22" s="47" t="s">
        <v>2026</v>
      </c>
      <c r="D22" s="66" t="str">
        <f>LOOKUP(C22,OBRAS!D:D,OBRAS!B:B)</f>
        <v>INMOBILIARIA TIERRAS DEL DESIERTO, S. A. DE C. V.</v>
      </c>
      <c r="E22" s="66" t="str">
        <f>LOOKUP(C22,OBRAS!D:D,OBRAS!E:E)</f>
        <v>C-00058/0027</v>
      </c>
      <c r="F22" s="148">
        <f>(SUMIFS('SOLICITUD DE PAGO'!N:N,'SOLICITUD DE PAGO'!E:E,'AVANCE FINANCIERO 2016 (2)'!C22,'SOLICITUD DE PAGO'!U:U,"1. S.H. PAGADO")+SUMIFS('SOLICITUD DE PAGO'!N:N,'SOLICITUD DE PAGO'!E:E,'AVANCE FINANCIERO 2016 (2)'!C22,'SOLICITUD DE PAGO'!U:U,"2. S.H. PENDIENTE")+SUMIFS('SOLICITUD DE PAGO'!N:N,'SOLICITUD DE PAGO'!E:E,'AVANCE FINANCIERO 2016 (2)'!C22,'SOLICITUD DE PAGO'!U:U,"3. O.P. DGPE")+SUMIFS('SOLICITUD DE PAGO'!N:N,'SOLICITUD DE PAGO'!E:E,'AVANCE FINANCIERO 2016 (2)'!C22,'SOLICITUD DE PAGO'!U:U,"4. ESPERA FACT.")+SUMIFS('SOLICITUD DE PAGO'!N:N,'SOLICITUD DE PAGO'!E:E,'AVANCE FINANCIERO 2016 (2)'!C22,'SOLICITUD DE PAGO'!U:U,"5. SOL. PEDIDO"))/H22</f>
        <v>1</v>
      </c>
      <c r="G22" s="149">
        <f>LOOKUP(C22,OBRAS!D:D,OBRAS!K:K)</f>
        <v>135261.79999999999</v>
      </c>
      <c r="H22" s="150">
        <f t="shared" si="4"/>
        <v>135261.79999999999</v>
      </c>
      <c r="I22" s="149">
        <f>LOOKUP(C22,OBRAS!D:D,OBRAS!I:I)</f>
        <v>135299.88</v>
      </c>
      <c r="J22" s="151">
        <f t="shared" si="5"/>
        <v>38.08</v>
      </c>
      <c r="K22" s="152">
        <f>COUNTIF('SOLICITUD DE PAGO'!E:E,'AVANCE FINANCIERO 2016 (2)'!C22)-1</f>
        <v>0</v>
      </c>
      <c r="L22" s="149">
        <f t="shared" si="6"/>
        <v>40578.54</v>
      </c>
      <c r="M22" s="151">
        <f>(L22/1.16)-SUMIF('SOLICITUD DE PAGO'!E:E,'AVANCE FINANCIERO 2016 (2)'!C22,'SOLICITUD DE PAGO'!K:K)</f>
        <v>34981.5</v>
      </c>
      <c r="N22" s="70" t="s">
        <v>785</v>
      </c>
      <c r="O22" s="153">
        <f>SUMIF('SOLICITUD DE PAGO'!E:E,C22,'SOLICITUD DE PAGO'!N:N)</f>
        <v>135261.79999999999</v>
      </c>
      <c r="P22" s="151">
        <f t="shared" si="7"/>
        <v>0</v>
      </c>
    </row>
    <row r="23" spans="1:16" s="154" customFormat="1" ht="39" x14ac:dyDescent="0.25">
      <c r="A23" s="30" t="s">
        <v>803</v>
      </c>
      <c r="B23" s="65" t="str">
        <f>LOOKUP(C23,OBRAS!D:D,OBRAS!C:C)</f>
        <v>REHABILITACION Y EQUIPAMIENTO DE LA UNIDAD DEPORTIVA AURELIO RODRIGUEZ</v>
      </c>
      <c r="C23" s="47" t="s">
        <v>2057</v>
      </c>
      <c r="D23" s="66" t="str">
        <f>LOOKUP(C23,OBRAS!D:D,OBRAS!B:B)</f>
        <v>KONSTRIKSYON, S.A. DE C.V.</v>
      </c>
      <c r="E23" s="66" t="str">
        <f>LOOKUP(C23,OBRAS!D:D,OBRAS!E:E)</f>
        <v>C-00064/0042</v>
      </c>
      <c r="F23" s="148">
        <f>(SUMIFS('SOLICITUD DE PAGO'!N:N,'SOLICITUD DE PAGO'!E:E,'AVANCE FINANCIERO 2016 (2)'!C23,'SOLICITUD DE PAGO'!U:U,"1. S.H. PAGADO")+SUMIFS('SOLICITUD DE PAGO'!N:N,'SOLICITUD DE PAGO'!E:E,'AVANCE FINANCIERO 2016 (2)'!C23,'SOLICITUD DE PAGO'!U:U,"2. S.H. PENDIENTE")+SUMIFS('SOLICITUD DE PAGO'!N:N,'SOLICITUD DE PAGO'!E:E,'AVANCE FINANCIERO 2016 (2)'!C23,'SOLICITUD DE PAGO'!U:U,"3. O.P. DGPE")+SUMIFS('SOLICITUD DE PAGO'!N:N,'SOLICITUD DE PAGO'!E:E,'AVANCE FINANCIERO 2016 (2)'!C23,'SOLICITUD DE PAGO'!U:U,"4. ESPERA FACT.")+SUMIFS('SOLICITUD DE PAGO'!N:N,'SOLICITUD DE PAGO'!E:E,'AVANCE FINANCIERO 2016 (2)'!C23,'SOLICITUD DE PAGO'!U:U,"5. SOL. PEDIDO"))/H23</f>
        <v>1</v>
      </c>
      <c r="G23" s="149">
        <f>LOOKUP(C23,OBRAS!D:D,OBRAS!K:K)</f>
        <v>1408614.85</v>
      </c>
      <c r="H23" s="150">
        <f t="shared" si="4"/>
        <v>1408614.85</v>
      </c>
      <c r="I23" s="149">
        <f>LOOKUP(C23,OBRAS!D:D,OBRAS!I:I)</f>
        <v>1423956.34</v>
      </c>
      <c r="J23" s="151">
        <f t="shared" si="5"/>
        <v>15341.49</v>
      </c>
      <c r="K23" s="152">
        <f>COUNTIF('SOLICITUD DE PAGO'!E:E,'AVANCE FINANCIERO 2016 (2)'!C23)-1</f>
        <v>0</v>
      </c>
      <c r="L23" s="149">
        <f t="shared" si="6"/>
        <v>422584.46</v>
      </c>
      <c r="M23" s="151">
        <f>(L23/1.16)-SUMIF('SOLICITUD DE PAGO'!E:E,'AVANCE FINANCIERO 2016 (2)'!C23,'SOLICITUD DE PAGO'!K:K)</f>
        <v>364296.95</v>
      </c>
      <c r="N23" s="70" t="s">
        <v>785</v>
      </c>
      <c r="O23" s="153">
        <f>SUMIF('SOLICITUD DE PAGO'!E:E,C23,'SOLICITUD DE PAGO'!N:N)</f>
        <v>1408614.85</v>
      </c>
      <c r="P23" s="151">
        <f t="shared" si="7"/>
        <v>0</v>
      </c>
    </row>
    <row r="24" spans="1:16" s="154" customFormat="1" ht="51" x14ac:dyDescent="0.25">
      <c r="A24" s="30" t="s">
        <v>299</v>
      </c>
      <c r="B24" s="65" t="str">
        <f>LOOKUP(C24,OBRAS!D:D,OBRAS!C:C)</f>
        <v>TERMINACION DE LA AMPLIACION DE EDIFICIO PARA ALBERGAR JUZGADO DE ORALIDAD PENAL CON SEDE EN LA LOCALIDAD Y MUNICIPIO DE SONORA.</v>
      </c>
      <c r="C24" s="47" t="s">
        <v>2065</v>
      </c>
      <c r="D24" s="66" t="str">
        <f>LOOKUP(C24,OBRAS!D:D,OBRAS!B:B)</f>
        <v>GRUPO GUIMEL, S.A. DE C.V.</v>
      </c>
      <c r="E24" s="66" t="str">
        <f>LOOKUP(C24,OBRAS!D:D,OBRAS!E:E)</f>
        <v>C-00058/0023</v>
      </c>
      <c r="F24" s="148">
        <f>(SUMIFS('SOLICITUD DE PAGO'!N:N,'SOLICITUD DE PAGO'!E:E,'AVANCE FINANCIERO 2016 (2)'!C24,'SOLICITUD DE PAGO'!U:U,"1. S.H. PAGADO")+SUMIFS('SOLICITUD DE PAGO'!N:N,'SOLICITUD DE PAGO'!E:E,'AVANCE FINANCIERO 2016 (2)'!C24,'SOLICITUD DE PAGO'!U:U,"2. S.H. PENDIENTE")+SUMIFS('SOLICITUD DE PAGO'!N:N,'SOLICITUD DE PAGO'!E:E,'AVANCE FINANCIERO 2016 (2)'!C24,'SOLICITUD DE PAGO'!U:U,"3. O.P. DGPE")+SUMIFS('SOLICITUD DE PAGO'!N:N,'SOLICITUD DE PAGO'!E:E,'AVANCE FINANCIERO 2016 (2)'!C24,'SOLICITUD DE PAGO'!U:U,"4. ESPERA FACT.")+SUMIFS('SOLICITUD DE PAGO'!N:N,'SOLICITUD DE PAGO'!E:E,'AVANCE FINANCIERO 2016 (2)'!C24,'SOLICITUD DE PAGO'!U:U,"5. SOL. PEDIDO"))/H24</f>
        <v>1</v>
      </c>
      <c r="G24" s="149">
        <f>LOOKUP(C24,OBRAS!D:D,OBRAS!K:K)</f>
        <v>2108203.2200000002</v>
      </c>
      <c r="H24" s="150">
        <f t="shared" si="4"/>
        <v>2108203.2200000002</v>
      </c>
      <c r="I24" s="149">
        <f>LOOKUP(C24,OBRAS!D:D,OBRAS!I:I)</f>
        <v>2112142.7000000002</v>
      </c>
      <c r="J24" s="151">
        <f t="shared" si="5"/>
        <v>3939.48</v>
      </c>
      <c r="K24" s="152">
        <f>COUNTIF('SOLICITUD DE PAGO'!E:E,'AVANCE FINANCIERO 2016 (2)'!C24)-1</f>
        <v>0</v>
      </c>
      <c r="L24" s="149">
        <f t="shared" si="6"/>
        <v>632460.97</v>
      </c>
      <c r="M24" s="151">
        <f>(L24/1.16)-SUMIF('SOLICITUD DE PAGO'!E:E,'AVANCE FINANCIERO 2016 (2)'!C24,'SOLICITUD DE PAGO'!K:K)</f>
        <v>545224.97</v>
      </c>
      <c r="N24" s="70" t="s">
        <v>785</v>
      </c>
      <c r="O24" s="153">
        <f>SUMIF('SOLICITUD DE PAGO'!E:E,C24,'SOLICITUD DE PAGO'!N:N)</f>
        <v>2108203.2200000002</v>
      </c>
      <c r="P24" s="151">
        <f t="shared" si="7"/>
        <v>0</v>
      </c>
    </row>
    <row r="25" spans="1:16" s="154" customFormat="1" ht="63.75" x14ac:dyDescent="0.25">
      <c r="A25" s="30" t="s">
        <v>88</v>
      </c>
      <c r="B25" s="65" t="str">
        <f>LOOKUP(C25,OBRAS!D:D,OBRAS!C:C)</f>
        <v>TERMINACION DE LA AMPLIACION DE EDIFICIO PARA ALBERGAR JUZGADO DE ORALIDAD PENAL CON SEDE EN LA LOCALIDAD Y MUNICIPIO DE CABORCA, SONORA.</v>
      </c>
      <c r="C25" s="47" t="s">
        <v>2075</v>
      </c>
      <c r="D25" s="66" t="str">
        <f>LOOKUP(C25,OBRAS!D:D,OBRAS!B:B)</f>
        <v>ZERO EDIFICACIONES,S.A. DE C.V.</v>
      </c>
      <c r="E25" s="66" t="str">
        <f>LOOKUP(C25,OBRAS!D:D,OBRAS!E:E)</f>
        <v>C-00058/0025</v>
      </c>
      <c r="F25" s="148">
        <f>(SUMIFS('SOLICITUD DE PAGO'!N:N,'SOLICITUD DE PAGO'!E:E,'AVANCE FINANCIERO 2016 (2)'!C25,'SOLICITUD DE PAGO'!U:U,"1. S.H. PAGADO")+SUMIFS('SOLICITUD DE PAGO'!N:N,'SOLICITUD DE PAGO'!E:E,'AVANCE FINANCIERO 2016 (2)'!C25,'SOLICITUD DE PAGO'!U:U,"2. S.H. PENDIENTE")+SUMIFS('SOLICITUD DE PAGO'!N:N,'SOLICITUD DE PAGO'!E:E,'AVANCE FINANCIERO 2016 (2)'!C25,'SOLICITUD DE PAGO'!U:U,"3. O.P. DGPE")+SUMIFS('SOLICITUD DE PAGO'!N:N,'SOLICITUD DE PAGO'!E:E,'AVANCE FINANCIERO 2016 (2)'!C25,'SOLICITUD DE PAGO'!U:U,"4. ESPERA FACT.")+SUMIFS('SOLICITUD DE PAGO'!N:N,'SOLICITUD DE PAGO'!E:E,'AVANCE FINANCIERO 2016 (2)'!C25,'SOLICITUD DE PAGO'!U:U,"5. SOL. PEDIDO"))/H25</f>
        <v>1</v>
      </c>
      <c r="G25" s="149">
        <f>LOOKUP(C25,OBRAS!D:D,OBRAS!K:K)</f>
        <v>2068451.35</v>
      </c>
      <c r="H25" s="150">
        <f t="shared" si="4"/>
        <v>2068451.35</v>
      </c>
      <c r="I25" s="149">
        <f>LOOKUP(C25,OBRAS!D:D,OBRAS!I:I)</f>
        <v>2079216.7</v>
      </c>
      <c r="J25" s="151">
        <f t="shared" si="5"/>
        <v>10765.35</v>
      </c>
      <c r="K25" s="152">
        <f>COUNTIF('SOLICITUD DE PAGO'!E:E,'AVANCE FINANCIERO 2016 (2)'!C25)-1</f>
        <v>0</v>
      </c>
      <c r="L25" s="149">
        <f t="shared" si="6"/>
        <v>620535.41</v>
      </c>
      <c r="M25" s="151">
        <f>(L25/1.16)-SUMIF('SOLICITUD DE PAGO'!E:E,'AVANCE FINANCIERO 2016 (2)'!C25,'SOLICITUD DE PAGO'!K:K)</f>
        <v>534944.31999999995</v>
      </c>
      <c r="N25" s="70" t="s">
        <v>785</v>
      </c>
      <c r="O25" s="153">
        <f>SUMIF('SOLICITUD DE PAGO'!E:E,C25,'SOLICITUD DE PAGO'!N:N)</f>
        <v>2068451.36</v>
      </c>
      <c r="P25" s="151">
        <f t="shared" si="7"/>
        <v>-0.01</v>
      </c>
    </row>
    <row r="26" spans="1:16" s="154" customFormat="1" ht="63.75" x14ac:dyDescent="0.25">
      <c r="A26" s="30" t="s">
        <v>88</v>
      </c>
      <c r="B26" s="65" t="str">
        <f>LOOKUP(C26,OBRAS!D:D,OBRAS!C:C)</f>
        <v>OBRA COMPLEMENTARIA PARA LA CONSTRUCCION DE CENTRO DE ATENCION TEMPRANA EN EL DISTRITO DE ALTAR, CON SEDE EN LA LOCALIDAD Y MUNICIPIO DE CABORCA, SONORA</v>
      </c>
      <c r="C26" s="47" t="s">
        <v>2076</v>
      </c>
      <c r="D26" s="66" t="str">
        <f>LOOKUP(C26,OBRAS!D:D,OBRAS!B:B)</f>
        <v>ZERO EDIFICACIONES,S.A. DE C.V.</v>
      </c>
      <c r="E26" s="66" t="str">
        <f>LOOKUP(C26,OBRAS!D:D,OBRAS!E:E)</f>
        <v>C-00058/0032</v>
      </c>
      <c r="F26" s="148">
        <f>(SUMIFS('SOLICITUD DE PAGO'!N:N,'SOLICITUD DE PAGO'!E:E,'AVANCE FINANCIERO 2016 (2)'!C26,'SOLICITUD DE PAGO'!U:U,"1. S.H. PAGADO")+SUMIFS('SOLICITUD DE PAGO'!N:N,'SOLICITUD DE PAGO'!E:E,'AVANCE FINANCIERO 2016 (2)'!C26,'SOLICITUD DE PAGO'!U:U,"2. S.H. PENDIENTE")+SUMIFS('SOLICITUD DE PAGO'!N:N,'SOLICITUD DE PAGO'!E:E,'AVANCE FINANCIERO 2016 (2)'!C26,'SOLICITUD DE PAGO'!U:U,"3. O.P. DGPE")+SUMIFS('SOLICITUD DE PAGO'!N:N,'SOLICITUD DE PAGO'!E:E,'AVANCE FINANCIERO 2016 (2)'!C26,'SOLICITUD DE PAGO'!U:U,"4. ESPERA FACT.")+SUMIFS('SOLICITUD DE PAGO'!N:N,'SOLICITUD DE PAGO'!E:E,'AVANCE FINANCIERO 2016 (2)'!C26,'SOLICITUD DE PAGO'!U:U,"5. SOL. PEDIDO"))/H26</f>
        <v>1</v>
      </c>
      <c r="G26" s="149">
        <f>LOOKUP(C26,OBRAS!D:D,OBRAS!K:K)</f>
        <v>2104279.17</v>
      </c>
      <c r="H26" s="150">
        <f t="shared" si="4"/>
        <v>2104279.17</v>
      </c>
      <c r="I26" s="149">
        <f>LOOKUP(C26,OBRAS!D:D,OBRAS!I:I)</f>
        <v>2118160</v>
      </c>
      <c r="J26" s="151">
        <f t="shared" si="5"/>
        <v>13880.83</v>
      </c>
      <c r="K26" s="152">
        <f>COUNTIF('SOLICITUD DE PAGO'!E:E,'AVANCE FINANCIERO 2016 (2)'!C26)-1</f>
        <v>1</v>
      </c>
      <c r="L26" s="149">
        <f t="shared" si="6"/>
        <v>631283.75</v>
      </c>
      <c r="M26" s="151">
        <f>(L26/1.16)-SUMIF('SOLICITUD DE PAGO'!E:E,'AVANCE FINANCIERO 2016 (2)'!C26,'SOLICITUD DE PAGO'!K:K)</f>
        <v>544210.13</v>
      </c>
      <c r="N26" s="70" t="s">
        <v>785</v>
      </c>
      <c r="O26" s="153">
        <f>SUMIF('SOLICITUD DE PAGO'!E:E,C26,'SOLICITUD DE PAGO'!N:N)</f>
        <v>2113205.65</v>
      </c>
      <c r="P26" s="151">
        <f t="shared" si="7"/>
        <v>-8926.48</v>
      </c>
    </row>
    <row r="27" spans="1:16" s="154" customFormat="1" ht="76.5" x14ac:dyDescent="0.25">
      <c r="A27" s="30" t="s">
        <v>2036</v>
      </c>
      <c r="B27" s="65" t="str">
        <f>LOOKUP(C27,OBRAS!D:D,OBRAS!C:C)</f>
        <v>OBRA COMPLEMENTARIA PARA LA CONSTRUCCION Y REMODELACION DEL CENTRO DE ATENCION TEMPRANA EN EL DISTRITO DE SAN LUIS RIO COLORADO EN LA LOCALIDAD Y MUNICIPIO DE SAN LUIS RIO COLORADO, SONORA.</v>
      </c>
      <c r="C27" s="47" t="s">
        <v>2077</v>
      </c>
      <c r="D27" s="66" t="str">
        <f>LOOKUP(C27,OBRAS!D:D,OBRAS!B:B)</f>
        <v>URBANIZADORA OASIS, S.A. DE C.V.</v>
      </c>
      <c r="E27" s="66" t="str">
        <f>LOOKUP(C27,OBRAS!D:D,OBRAS!E:E)</f>
        <v>C-00058/0029</v>
      </c>
      <c r="F27" s="148">
        <f>(SUMIFS('SOLICITUD DE PAGO'!N:N,'SOLICITUD DE PAGO'!E:E,'AVANCE FINANCIERO 2016 (2)'!C27,'SOLICITUD DE PAGO'!U:U,"1. S.H. PAGADO")+SUMIFS('SOLICITUD DE PAGO'!N:N,'SOLICITUD DE PAGO'!E:E,'AVANCE FINANCIERO 2016 (2)'!C27,'SOLICITUD DE PAGO'!U:U,"2. S.H. PENDIENTE")+SUMIFS('SOLICITUD DE PAGO'!N:N,'SOLICITUD DE PAGO'!E:E,'AVANCE FINANCIERO 2016 (2)'!C27,'SOLICITUD DE PAGO'!U:U,"3. O.P. DGPE")+SUMIFS('SOLICITUD DE PAGO'!N:N,'SOLICITUD DE PAGO'!E:E,'AVANCE FINANCIERO 2016 (2)'!C27,'SOLICITUD DE PAGO'!U:U,"4. ESPERA FACT.")+SUMIFS('SOLICITUD DE PAGO'!N:N,'SOLICITUD DE PAGO'!E:E,'AVANCE FINANCIERO 2016 (2)'!C27,'SOLICITUD DE PAGO'!U:U,"5. SOL. PEDIDO"))/H27</f>
        <v>1</v>
      </c>
      <c r="G27" s="149">
        <f>LOOKUP(C27,OBRAS!D:D,OBRAS!K:K)</f>
        <v>2072248.64</v>
      </c>
      <c r="H27" s="150">
        <f t="shared" si="4"/>
        <v>2072248.64</v>
      </c>
      <c r="I27" s="149">
        <f>LOOKUP(C27,OBRAS!D:D,OBRAS!I:I)</f>
        <v>2073942.9</v>
      </c>
      <c r="J27" s="151">
        <f t="shared" si="5"/>
        <v>1694.26</v>
      </c>
      <c r="K27" s="152">
        <f>COUNTIF('SOLICITUD DE PAGO'!E:E,'AVANCE FINANCIERO 2016 (2)'!C27)-1</f>
        <v>0</v>
      </c>
      <c r="L27" s="149">
        <f t="shared" si="6"/>
        <v>621674.59</v>
      </c>
      <c r="M27" s="151">
        <f>(L27/1.16)-SUMIF('SOLICITUD DE PAGO'!E:E,'AVANCE FINANCIERO 2016 (2)'!C27,'SOLICITUD DE PAGO'!K:K)</f>
        <v>535926.37</v>
      </c>
      <c r="N27" s="70" t="s">
        <v>785</v>
      </c>
      <c r="O27" s="153">
        <f>SUMIF('SOLICITUD DE PAGO'!E:E,C27,'SOLICITUD DE PAGO'!N:N)</f>
        <v>2072248.64</v>
      </c>
      <c r="P27" s="151">
        <f t="shared" si="7"/>
        <v>0</v>
      </c>
    </row>
    <row r="28" spans="1:16" s="154" customFormat="1" ht="39" x14ac:dyDescent="0.25">
      <c r="A28" s="30" t="s">
        <v>235</v>
      </c>
      <c r="B28" s="65" t="str">
        <f>LOOKUP(C28,OBRAS!D:D,OBRAS!C:C)</f>
        <v>CONSTRUCCION DE EDIFICIO PARA ALBERGAR EL JUZGADO DE ORALIDAD PENAL DE NOGALES</v>
      </c>
      <c r="C28" s="47" t="s">
        <v>2000</v>
      </c>
      <c r="D28" s="66" t="str">
        <f>LOOKUP(C28,OBRAS!D:D,OBRAS!B:B)</f>
        <v>REVAL DESARROLLOS Y MATERIALES, S.A. DE C.V.</v>
      </c>
      <c r="E28" s="66" t="str">
        <f>LOOKUP(C28,OBRAS!D:D,OBRAS!E:E)</f>
        <v>C-00058/0021</v>
      </c>
      <c r="F28" s="148">
        <f>(SUMIFS('SOLICITUD DE PAGO'!N:N,'SOLICITUD DE PAGO'!E:E,'AVANCE FINANCIERO 2016 (2)'!C28,'SOLICITUD DE PAGO'!U:U,"1. S.H. PAGADO")+SUMIFS('SOLICITUD DE PAGO'!N:N,'SOLICITUD DE PAGO'!E:E,'AVANCE FINANCIERO 2016 (2)'!C28,'SOLICITUD DE PAGO'!U:U,"2. S.H. PENDIENTE")+SUMIFS('SOLICITUD DE PAGO'!N:N,'SOLICITUD DE PAGO'!E:E,'AVANCE FINANCIERO 2016 (2)'!C28,'SOLICITUD DE PAGO'!U:U,"3. O.P. DGPE")+SUMIFS('SOLICITUD DE PAGO'!N:N,'SOLICITUD DE PAGO'!E:E,'AVANCE FINANCIERO 2016 (2)'!C28,'SOLICITUD DE PAGO'!U:U,"4. ESPERA FACT.")+SUMIFS('SOLICITUD DE PAGO'!N:N,'SOLICITUD DE PAGO'!E:E,'AVANCE FINANCIERO 2016 (2)'!C28,'SOLICITUD DE PAGO'!U:U,"5. SOL. PEDIDO"))/H28</f>
        <v>2.63</v>
      </c>
      <c r="G28" s="149">
        <f>LOOKUP(C28,OBRAS!D:D,OBRAS!K:K)</f>
        <v>2446622.4</v>
      </c>
      <c r="H28" s="150">
        <f t="shared" si="4"/>
        <v>2446622.4</v>
      </c>
      <c r="I28" s="149">
        <f>LOOKUP(C28,OBRAS!D:D,OBRAS!I:I)</f>
        <v>8262460.6399999997</v>
      </c>
      <c r="J28" s="151">
        <f t="shared" si="5"/>
        <v>5815838.2400000002</v>
      </c>
      <c r="K28" s="152">
        <f>COUNTIF('SOLICITUD DE PAGO'!E:E,'AVANCE FINANCIERO 2016 (2)'!C28)-1</f>
        <v>3</v>
      </c>
      <c r="L28" s="149">
        <f t="shared" si="6"/>
        <v>733986.72</v>
      </c>
      <c r="M28" s="151">
        <f>(L28/1.16)-SUMIF('SOLICITUD DE PAGO'!E:E,'AVANCE FINANCIERO 2016 (2)'!C28,'SOLICITUD DE PAGO'!K:K)</f>
        <v>632747.17000000004</v>
      </c>
      <c r="N28" s="70" t="s">
        <v>785</v>
      </c>
      <c r="O28" s="153">
        <f>SUMIF('SOLICITUD DE PAGO'!E:E,C28,'SOLICITUD DE PAGO'!N:N)</f>
        <v>6440466.2300000004</v>
      </c>
      <c r="P28" s="151">
        <f t="shared" si="7"/>
        <v>-3993843.83</v>
      </c>
    </row>
    <row r="29" spans="1:16" s="154" customFormat="1" ht="39" x14ac:dyDescent="0.25">
      <c r="A29" s="30" t="s">
        <v>299</v>
      </c>
      <c r="B29" s="65" t="str">
        <f>LOOKUP(C29,OBRAS!D:D,OBRAS!C:C)</f>
        <v>CONSTRUCCION DE DENTRO DE ATENCION TEMPRANA EN EL DISTRITO DE NAVOJOA</v>
      </c>
      <c r="C29" s="47" t="s">
        <v>2015</v>
      </c>
      <c r="D29" s="66" t="str">
        <f>LOOKUP(C29,OBRAS!D:D,OBRAS!B:B)</f>
        <v>GRUPO MESIS, S.A. DE C.V.</v>
      </c>
      <c r="E29" s="66" t="str">
        <f>LOOKUP(C29,OBRAS!D:D,OBRAS!E:E)</f>
        <v>C-00058/0019</v>
      </c>
      <c r="F29" s="148">
        <f>(SUMIFS('SOLICITUD DE PAGO'!N:N,'SOLICITUD DE PAGO'!E:E,'AVANCE FINANCIERO 2016 (2)'!C29,'SOLICITUD DE PAGO'!U:U,"1. S.H. PAGADO")+SUMIFS('SOLICITUD DE PAGO'!N:N,'SOLICITUD DE PAGO'!E:E,'AVANCE FINANCIERO 2016 (2)'!C29,'SOLICITUD DE PAGO'!U:U,"2. S.H. PENDIENTE")+SUMIFS('SOLICITUD DE PAGO'!N:N,'SOLICITUD DE PAGO'!E:E,'AVANCE FINANCIERO 2016 (2)'!C29,'SOLICITUD DE PAGO'!U:U,"3. O.P. DGPE")+SUMIFS('SOLICITUD DE PAGO'!N:N,'SOLICITUD DE PAGO'!E:E,'AVANCE FINANCIERO 2016 (2)'!C29,'SOLICITUD DE PAGO'!U:U,"4. ESPERA FACT.")+SUMIFS('SOLICITUD DE PAGO'!N:N,'SOLICITUD DE PAGO'!E:E,'AVANCE FINANCIERO 2016 (2)'!C29,'SOLICITUD DE PAGO'!U:U,"5. SOL. PEDIDO"))/H29</f>
        <v>1</v>
      </c>
      <c r="G29" s="149">
        <f>LOOKUP(C29,OBRAS!D:D,OBRAS!K:K)</f>
        <v>665309.1</v>
      </c>
      <c r="H29" s="150">
        <f t="shared" si="4"/>
        <v>665309.1</v>
      </c>
      <c r="I29" s="149">
        <f>LOOKUP(C29,OBRAS!D:D,OBRAS!I:I)</f>
        <v>2543644.6</v>
      </c>
      <c r="J29" s="151">
        <f t="shared" si="5"/>
        <v>1878335.5</v>
      </c>
      <c r="K29" s="152">
        <f>COUNTIF('SOLICITUD DE PAGO'!E:E,'AVANCE FINANCIERO 2016 (2)'!C29)-1</f>
        <v>0</v>
      </c>
      <c r="L29" s="149">
        <f t="shared" si="6"/>
        <v>199592.73</v>
      </c>
      <c r="M29" s="151">
        <f>(L29/1.16)-SUMIF('SOLICITUD DE PAGO'!E:E,'AVANCE FINANCIERO 2016 (2)'!C29,'SOLICITUD DE PAGO'!K:K)</f>
        <v>172062.7</v>
      </c>
      <c r="N29" s="70" t="s">
        <v>785</v>
      </c>
      <c r="O29" s="153">
        <f>SUMIF('SOLICITUD DE PAGO'!E:E,C29,'SOLICITUD DE PAGO'!N:N)</f>
        <v>665309.1</v>
      </c>
      <c r="P29" s="151">
        <f t="shared" si="7"/>
        <v>0</v>
      </c>
    </row>
    <row r="30" spans="1:16" s="154" customFormat="1" ht="39" x14ac:dyDescent="0.25">
      <c r="A30" s="30" t="s">
        <v>73</v>
      </c>
      <c r="B30" s="65" t="str">
        <f>LOOKUP(C30,OBRAS!D:D,OBRAS!C:C)</f>
        <v>CONSTRUCCION Y REMODELACION DEL CENTRO DE ATENCION TEMPRANA EN EL DISTRITO DE SAN LUIS RIO COLORADO</v>
      </c>
      <c r="C30" s="47" t="s">
        <v>2006</v>
      </c>
      <c r="D30" s="66" t="str">
        <f>LOOKUP(C30,OBRAS!D:D,OBRAS!B:B)</f>
        <v>URBANIZADORA OASIS, S.A. DE C.V.</v>
      </c>
      <c r="E30" s="66" t="str">
        <f>LOOKUP(C30,OBRAS!D:D,OBRAS!E:E)</f>
        <v>C-00058/0018</v>
      </c>
      <c r="F30" s="148">
        <f>(SUMIFS('SOLICITUD DE PAGO'!N:N,'SOLICITUD DE PAGO'!E:E,'AVANCE FINANCIERO 2016 (2)'!C30,'SOLICITUD DE PAGO'!U:U,"1. S.H. PAGADO")+SUMIFS('SOLICITUD DE PAGO'!N:N,'SOLICITUD DE PAGO'!E:E,'AVANCE FINANCIERO 2016 (2)'!C30,'SOLICITUD DE PAGO'!U:U,"2. S.H. PENDIENTE")+SUMIFS('SOLICITUD DE PAGO'!N:N,'SOLICITUD DE PAGO'!E:E,'AVANCE FINANCIERO 2016 (2)'!C30,'SOLICITUD DE PAGO'!U:U,"3. O.P. DGPE")+SUMIFS('SOLICITUD DE PAGO'!N:N,'SOLICITUD DE PAGO'!E:E,'AVANCE FINANCIERO 2016 (2)'!C30,'SOLICITUD DE PAGO'!U:U,"4. ESPERA FACT.")+SUMIFS('SOLICITUD DE PAGO'!N:N,'SOLICITUD DE PAGO'!E:E,'AVANCE FINANCIERO 2016 (2)'!C30,'SOLICITUD DE PAGO'!U:U,"5. SOL. PEDIDO"))/H30</f>
        <v>0.33</v>
      </c>
      <c r="G30" s="149">
        <f>LOOKUP(C30,OBRAS!D:D,OBRAS!K:K)</f>
        <v>7294593.2300000004</v>
      </c>
      <c r="H30" s="150">
        <f t="shared" si="4"/>
        <v>3086684.45</v>
      </c>
      <c r="I30" s="149">
        <f>LOOKUP(C30,OBRAS!D:D,OBRAS!I:I)</f>
        <v>3086684.45</v>
      </c>
      <c r="J30" s="151">
        <f t="shared" si="5"/>
        <v>-4207908.78</v>
      </c>
      <c r="K30" s="152">
        <f>COUNTIF('SOLICITUD DE PAGO'!E:E,'AVANCE FINANCIERO 2016 (2)'!C30)-1</f>
        <v>0</v>
      </c>
      <c r="L30" s="149">
        <f t="shared" si="6"/>
        <v>926005.34</v>
      </c>
      <c r="M30" s="151">
        <f>(L30/1.16)-SUMIF('SOLICITUD DE PAGO'!E:E,'AVANCE FINANCIERO 2016 (2)'!C30,'SOLICITUD DE PAGO'!K:K)</f>
        <v>798280.47</v>
      </c>
      <c r="N30" s="70" t="s">
        <v>785</v>
      </c>
      <c r="O30" s="153">
        <f>SUMIF('SOLICITUD DE PAGO'!E:E,C30,'SOLICITUD DE PAGO'!N:N)</f>
        <v>1012741.54</v>
      </c>
      <c r="P30" s="151">
        <f t="shared" si="7"/>
        <v>6281851.6900000004</v>
      </c>
    </row>
    <row r="31" spans="1:16" s="154" customFormat="1" ht="39" x14ac:dyDescent="0.25">
      <c r="A31" s="30" t="s">
        <v>88</v>
      </c>
      <c r="B31" s="65" t="str">
        <f>LOOKUP(C31,OBRAS!D:D,OBRAS!C:C)</f>
        <v>CONSTRUCCION DEL CENTRO DE ATENCION TEMPRANA EN EL DISTRITO DE ALTAR CON SEDE EN CABORCA</v>
      </c>
      <c r="C31" s="47" t="s">
        <v>2010</v>
      </c>
      <c r="D31" s="66" t="str">
        <f>LOOKUP(C31,OBRAS!D:D,OBRAS!B:B)</f>
        <v>ZERO EDIFICACIONES,S.A. DE C.V.</v>
      </c>
      <c r="E31" s="66" t="str">
        <f>LOOKUP(C31,OBRAS!D:D,OBRAS!E:E)</f>
        <v>C-00058/0022</v>
      </c>
      <c r="F31" s="148">
        <f>(SUMIFS('SOLICITUD DE PAGO'!N:N,'SOLICITUD DE PAGO'!E:E,'AVANCE FINANCIERO 2016 (2)'!C31,'SOLICITUD DE PAGO'!U:U,"1. S.H. PAGADO")+SUMIFS('SOLICITUD DE PAGO'!N:N,'SOLICITUD DE PAGO'!E:E,'AVANCE FINANCIERO 2016 (2)'!C31,'SOLICITUD DE PAGO'!U:U,"2. S.H. PENDIENTE")+SUMIFS('SOLICITUD DE PAGO'!N:N,'SOLICITUD DE PAGO'!E:E,'AVANCE FINANCIERO 2016 (2)'!C31,'SOLICITUD DE PAGO'!U:U,"3. O.P. DGPE")+SUMIFS('SOLICITUD DE PAGO'!N:N,'SOLICITUD DE PAGO'!E:E,'AVANCE FINANCIERO 2016 (2)'!C31,'SOLICITUD DE PAGO'!U:U,"4. ESPERA FACT.")+SUMIFS('SOLICITUD DE PAGO'!N:N,'SOLICITUD DE PAGO'!E:E,'AVANCE FINANCIERO 2016 (2)'!C31,'SOLICITUD DE PAGO'!U:U,"5. SOL. PEDIDO"))/H31</f>
        <v>0.22</v>
      </c>
      <c r="G31" s="149">
        <f>LOOKUP(C31,OBRAS!D:D,OBRAS!K:K)</f>
        <v>4959000</v>
      </c>
      <c r="H31" s="150">
        <f t="shared" si="4"/>
        <v>2793346.87</v>
      </c>
      <c r="I31" s="149">
        <f>LOOKUP(C31,OBRAS!D:D,OBRAS!I:I)</f>
        <v>2793346.87</v>
      </c>
      <c r="J31" s="151">
        <f t="shared" si="5"/>
        <v>-2165653.13</v>
      </c>
      <c r="K31" s="152">
        <f>COUNTIF('SOLICITUD DE PAGO'!E:E,'AVANCE FINANCIERO 2016 (2)'!C31)-1</f>
        <v>0</v>
      </c>
      <c r="L31" s="149">
        <f t="shared" si="6"/>
        <v>838004.06</v>
      </c>
      <c r="M31" s="151">
        <f>(L31/1.16)-SUMIF('SOLICITUD DE PAGO'!E:E,'AVANCE FINANCIERO 2016 (2)'!C31,'SOLICITUD DE PAGO'!K:K)</f>
        <v>722417.29</v>
      </c>
      <c r="N31" s="70" t="s">
        <v>785</v>
      </c>
      <c r="O31" s="153">
        <f>SUMIF('SOLICITUD DE PAGO'!E:E,C31,'SOLICITUD DE PAGO'!N:N)</f>
        <v>617964.34</v>
      </c>
      <c r="P31" s="151">
        <f t="shared" si="7"/>
        <v>4341035.66</v>
      </c>
    </row>
  </sheetData>
  <autoFilter ref="A2:P7"/>
  <mergeCells count="1">
    <mergeCell ref="A1:P1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40"/>
  <sheetViews>
    <sheetView tabSelected="1" view="pageBreakPreview" zoomScaleNormal="100" zoomScaleSheetLayoutView="100" workbookViewId="0">
      <selection activeCell="G99" sqref="G99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2.5703125" bestFit="1" customWidth="1"/>
    <col min="4" max="4" width="16.85546875" bestFit="1" customWidth="1"/>
    <col min="5" max="6" width="11" bestFit="1" customWidth="1"/>
    <col min="7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7" ht="30" x14ac:dyDescent="0.25">
      <c r="A3" s="94" t="s">
        <v>3</v>
      </c>
      <c r="B3" s="94" t="s">
        <v>890</v>
      </c>
      <c r="C3" s="94" t="s">
        <v>911</v>
      </c>
      <c r="D3" s="94" t="s">
        <v>46</v>
      </c>
      <c r="E3" s="94" t="s">
        <v>47</v>
      </c>
      <c r="F3" s="110" t="s">
        <v>892</v>
      </c>
      <c r="G3" s="102" t="s">
        <v>43</v>
      </c>
    </row>
    <row r="4" spans="1:7" x14ac:dyDescent="0.25">
      <c r="A4" s="104" t="s">
        <v>520</v>
      </c>
      <c r="G4" s="96"/>
    </row>
    <row r="5" spans="1:7" ht="30" x14ac:dyDescent="0.25">
      <c r="A5" s="107" t="s">
        <v>723</v>
      </c>
      <c r="B5" s="107"/>
      <c r="C5" s="107"/>
      <c r="D5" s="107"/>
      <c r="E5" s="107"/>
      <c r="F5" s="107"/>
      <c r="G5" s="96"/>
    </row>
    <row r="6" spans="1:7" x14ac:dyDescent="0.25">
      <c r="A6" s="115" t="s">
        <v>521</v>
      </c>
      <c r="B6" s="104" t="s">
        <v>1326</v>
      </c>
      <c r="C6" s="120">
        <v>1</v>
      </c>
      <c r="D6" s="120"/>
      <c r="E6" s="120"/>
      <c r="F6" s="120"/>
      <c r="G6" s="96"/>
    </row>
    <row r="7" spans="1:7" x14ac:dyDescent="0.25">
      <c r="A7" s="2"/>
      <c r="B7" s="104"/>
      <c r="C7" s="114" t="s">
        <v>23</v>
      </c>
      <c r="D7" s="104" t="s">
        <v>863</v>
      </c>
      <c r="E7" s="105">
        <v>42447</v>
      </c>
      <c r="F7" s="106"/>
      <c r="G7" s="96">
        <v>12704756.26</v>
      </c>
    </row>
    <row r="8" spans="1:7" x14ac:dyDescent="0.25">
      <c r="A8" s="2"/>
      <c r="B8" s="104"/>
      <c r="C8" s="114" t="s">
        <v>103</v>
      </c>
      <c r="D8" s="104" t="s">
        <v>863</v>
      </c>
      <c r="E8" s="105">
        <v>42593</v>
      </c>
      <c r="F8" s="106" t="s">
        <v>1327</v>
      </c>
      <c r="G8" s="96">
        <v>6423687.3600000003</v>
      </c>
    </row>
    <row r="9" spans="1:7" x14ac:dyDescent="0.25">
      <c r="A9" s="2"/>
      <c r="B9" s="104"/>
      <c r="C9" s="114" t="s">
        <v>221</v>
      </c>
      <c r="D9" s="104" t="s">
        <v>863</v>
      </c>
      <c r="E9" s="105">
        <v>42632</v>
      </c>
      <c r="F9" s="106" t="s">
        <v>1328</v>
      </c>
      <c r="G9" s="96">
        <v>10895678.42</v>
      </c>
    </row>
    <row r="10" spans="1:7" x14ac:dyDescent="0.25">
      <c r="A10" s="2"/>
      <c r="B10" s="104"/>
      <c r="C10" s="114" t="s">
        <v>55</v>
      </c>
      <c r="D10" s="104" t="s">
        <v>863</v>
      </c>
      <c r="E10" s="105">
        <v>42643</v>
      </c>
      <c r="F10" s="106" t="s">
        <v>1329</v>
      </c>
      <c r="G10" s="96">
        <v>6522085.6699999999</v>
      </c>
    </row>
    <row r="11" spans="1:7" x14ac:dyDescent="0.25">
      <c r="A11" s="2"/>
      <c r="B11" s="104"/>
      <c r="C11" s="114" t="s">
        <v>215</v>
      </c>
      <c r="D11" s="104" t="s">
        <v>863</v>
      </c>
      <c r="E11" s="105">
        <v>42671</v>
      </c>
      <c r="F11" s="106" t="s">
        <v>1330</v>
      </c>
      <c r="G11" s="96">
        <v>5624091.0300000003</v>
      </c>
    </row>
    <row r="12" spans="1:7" x14ac:dyDescent="0.25">
      <c r="A12" s="104" t="s">
        <v>1331</v>
      </c>
      <c r="G12" s="96">
        <v>42170298.740000002</v>
      </c>
    </row>
    <row r="13" spans="1:7" x14ac:dyDescent="0.25">
      <c r="A13" s="104"/>
      <c r="G13" s="96"/>
    </row>
    <row r="14" spans="1:7" x14ac:dyDescent="0.25">
      <c r="A14" s="104" t="s">
        <v>279</v>
      </c>
      <c r="G14" s="96"/>
    </row>
    <row r="15" spans="1:7" ht="45" x14ac:dyDescent="0.25">
      <c r="A15" s="107" t="s">
        <v>281</v>
      </c>
      <c r="B15" s="107"/>
      <c r="C15" s="107"/>
      <c r="D15" s="107"/>
      <c r="E15" s="107"/>
      <c r="F15" s="107"/>
      <c r="G15" s="96"/>
    </row>
    <row r="16" spans="1:7" ht="30" x14ac:dyDescent="0.25">
      <c r="A16" s="115" t="s">
        <v>280</v>
      </c>
      <c r="B16" s="104" t="s">
        <v>1332</v>
      </c>
      <c r="C16" s="120">
        <v>1</v>
      </c>
      <c r="D16" s="120"/>
      <c r="E16" s="120"/>
      <c r="F16" s="120"/>
      <c r="G16" s="96"/>
    </row>
    <row r="17" spans="1:7" x14ac:dyDescent="0.25">
      <c r="A17" s="2"/>
      <c r="B17" s="104"/>
      <c r="C17" s="114" t="s">
        <v>23</v>
      </c>
      <c r="D17" s="104" t="s">
        <v>863</v>
      </c>
      <c r="E17" s="105">
        <v>42446</v>
      </c>
      <c r="F17" s="106"/>
      <c r="G17" s="96">
        <v>6894008.0899999999</v>
      </c>
    </row>
    <row r="18" spans="1:7" x14ac:dyDescent="0.25">
      <c r="A18" s="2"/>
      <c r="B18" s="104"/>
      <c r="C18" s="114" t="s">
        <v>103</v>
      </c>
      <c r="D18" s="104" t="s">
        <v>863</v>
      </c>
      <c r="E18" s="105">
        <v>42529</v>
      </c>
      <c r="F18" s="106" t="s">
        <v>1333</v>
      </c>
      <c r="G18" s="96">
        <v>2855242.21</v>
      </c>
    </row>
    <row r="19" spans="1:7" x14ac:dyDescent="0.25">
      <c r="A19" s="2"/>
      <c r="B19" s="104"/>
      <c r="C19" s="114" t="s">
        <v>221</v>
      </c>
      <c r="D19" s="104" t="s">
        <v>863</v>
      </c>
      <c r="E19" s="105">
        <v>42535</v>
      </c>
      <c r="F19" s="106" t="s">
        <v>1334</v>
      </c>
      <c r="G19" s="96">
        <v>1951341.53</v>
      </c>
    </row>
    <row r="20" spans="1:7" x14ac:dyDescent="0.25">
      <c r="A20" s="2"/>
      <c r="B20" s="104"/>
      <c r="C20" s="114" t="s">
        <v>55</v>
      </c>
      <c r="D20" s="104" t="s">
        <v>863</v>
      </c>
      <c r="E20" s="105">
        <v>42532</v>
      </c>
      <c r="F20" s="106" t="s">
        <v>1335</v>
      </c>
      <c r="G20" s="96">
        <v>1144647.57</v>
      </c>
    </row>
    <row r="21" spans="1:7" x14ac:dyDescent="0.25">
      <c r="A21" s="2"/>
      <c r="B21" s="104"/>
      <c r="C21" s="114" t="s">
        <v>215</v>
      </c>
      <c r="D21" s="104" t="s">
        <v>863</v>
      </c>
      <c r="E21" s="105">
        <v>42532</v>
      </c>
      <c r="F21" s="106" t="s">
        <v>1336</v>
      </c>
      <c r="G21" s="96">
        <v>2832919.71</v>
      </c>
    </row>
    <row r="22" spans="1:7" x14ac:dyDescent="0.25">
      <c r="A22" s="2"/>
      <c r="B22" s="104"/>
      <c r="C22" s="114" t="s">
        <v>15</v>
      </c>
      <c r="D22" s="104" t="s">
        <v>863</v>
      </c>
      <c r="E22" s="105">
        <v>42643</v>
      </c>
      <c r="F22" s="106" t="s">
        <v>1020</v>
      </c>
      <c r="G22" s="96">
        <v>2663093.9500000002</v>
      </c>
    </row>
    <row r="23" spans="1:7" x14ac:dyDescent="0.25">
      <c r="A23" s="2"/>
      <c r="B23" s="104"/>
      <c r="C23" s="114" t="s">
        <v>214</v>
      </c>
      <c r="D23" s="104" t="s">
        <v>863</v>
      </c>
      <c r="E23" s="105">
        <v>42632</v>
      </c>
      <c r="F23" s="106" t="s">
        <v>1337</v>
      </c>
      <c r="G23" s="96">
        <v>4147269.59</v>
      </c>
    </row>
    <row r="24" spans="1:7" x14ac:dyDescent="0.25">
      <c r="A24" s="2"/>
      <c r="B24" s="104"/>
      <c r="C24" s="114" t="s">
        <v>218</v>
      </c>
      <c r="D24" s="104" t="s">
        <v>863</v>
      </c>
      <c r="E24" s="105">
        <v>42671</v>
      </c>
      <c r="F24" s="106" t="s">
        <v>1338</v>
      </c>
      <c r="G24" s="96">
        <v>394433.43</v>
      </c>
    </row>
    <row r="25" spans="1:7" x14ac:dyDescent="0.25">
      <c r="A25" s="104" t="s">
        <v>1339</v>
      </c>
      <c r="G25" s="96">
        <v>22882956.079999998</v>
      </c>
    </row>
    <row r="26" spans="1:7" x14ac:dyDescent="0.25">
      <c r="A26" s="104"/>
      <c r="G26" s="96"/>
    </row>
    <row r="27" spans="1:7" x14ac:dyDescent="0.25">
      <c r="A27" s="104" t="s">
        <v>394</v>
      </c>
      <c r="G27" s="96"/>
    </row>
    <row r="28" spans="1:7" ht="45" x14ac:dyDescent="0.25">
      <c r="A28" s="107" t="s">
        <v>395</v>
      </c>
      <c r="B28" s="107"/>
      <c r="C28" s="107"/>
      <c r="D28" s="107"/>
      <c r="E28" s="107"/>
      <c r="F28" s="107"/>
      <c r="G28" s="96"/>
    </row>
    <row r="29" spans="1:7" x14ac:dyDescent="0.25">
      <c r="A29" s="115" t="s">
        <v>396</v>
      </c>
      <c r="B29" s="104" t="s">
        <v>1021</v>
      </c>
      <c r="C29" s="120">
        <v>1</v>
      </c>
      <c r="D29" s="120"/>
      <c r="E29" s="120"/>
      <c r="F29" s="120"/>
      <c r="G29" s="96"/>
    </row>
    <row r="30" spans="1:7" x14ac:dyDescent="0.25">
      <c r="A30" s="2"/>
      <c r="B30" s="104"/>
      <c r="C30" s="114" t="s">
        <v>23</v>
      </c>
      <c r="D30" s="104" t="s">
        <v>863</v>
      </c>
      <c r="E30" s="105">
        <v>42445</v>
      </c>
      <c r="F30" s="106"/>
      <c r="G30" s="96">
        <v>7939620</v>
      </c>
    </row>
    <row r="31" spans="1:7" x14ac:dyDescent="0.25">
      <c r="A31" s="2"/>
      <c r="B31" s="104"/>
      <c r="C31" s="114" t="s">
        <v>103</v>
      </c>
      <c r="D31" s="104" t="s">
        <v>863</v>
      </c>
      <c r="E31" s="105">
        <v>42544</v>
      </c>
      <c r="F31" s="106" t="s">
        <v>1340</v>
      </c>
      <c r="G31" s="96">
        <v>2420395.0299999998</v>
      </c>
    </row>
    <row r="32" spans="1:7" x14ac:dyDescent="0.25">
      <c r="A32" s="2"/>
      <c r="B32" s="104"/>
      <c r="C32" s="114" t="s">
        <v>221</v>
      </c>
      <c r="D32" s="104" t="s">
        <v>863</v>
      </c>
      <c r="E32" s="105">
        <v>42593</v>
      </c>
      <c r="F32" s="106" t="s">
        <v>1341</v>
      </c>
      <c r="G32" s="96">
        <v>3637186.88</v>
      </c>
    </row>
    <row r="33" spans="1:7" x14ac:dyDescent="0.25">
      <c r="A33" s="2"/>
      <c r="B33" s="104"/>
      <c r="C33" s="114" t="s">
        <v>55</v>
      </c>
      <c r="D33" s="104" t="s">
        <v>863</v>
      </c>
      <c r="E33" s="105">
        <v>42593</v>
      </c>
      <c r="F33" s="106" t="s">
        <v>1342</v>
      </c>
      <c r="G33" s="96">
        <v>3400327.53</v>
      </c>
    </row>
    <row r="34" spans="1:7" x14ac:dyDescent="0.25">
      <c r="A34" s="2"/>
      <c r="B34" s="104"/>
      <c r="C34" s="114" t="s">
        <v>215</v>
      </c>
      <c r="D34" s="104" t="s">
        <v>863</v>
      </c>
      <c r="E34" s="105">
        <v>42643</v>
      </c>
      <c r="F34" s="106" t="s">
        <v>1343</v>
      </c>
      <c r="G34" s="96">
        <v>1404230.14</v>
      </c>
    </row>
    <row r="35" spans="1:7" x14ac:dyDescent="0.25">
      <c r="A35" s="2"/>
      <c r="B35" s="104"/>
      <c r="C35" s="114" t="s">
        <v>15</v>
      </c>
      <c r="D35" s="104" t="s">
        <v>863</v>
      </c>
      <c r="E35" s="105">
        <v>42656</v>
      </c>
      <c r="F35" s="106" t="s">
        <v>1344</v>
      </c>
      <c r="G35" s="96">
        <v>2663813.81</v>
      </c>
    </row>
    <row r="36" spans="1:7" x14ac:dyDescent="0.25">
      <c r="A36" s="2"/>
      <c r="B36" s="104"/>
      <c r="C36" s="114" t="s">
        <v>214</v>
      </c>
      <c r="D36" s="104" t="s">
        <v>863</v>
      </c>
      <c r="E36" s="105">
        <v>42663</v>
      </c>
      <c r="F36" s="106" t="s">
        <v>1345</v>
      </c>
      <c r="G36" s="96">
        <v>2216003.48</v>
      </c>
    </row>
    <row r="37" spans="1:7" x14ac:dyDescent="0.25">
      <c r="A37" s="2"/>
      <c r="B37" s="104"/>
      <c r="C37" s="114" t="s">
        <v>218</v>
      </c>
      <c r="D37" s="104" t="s">
        <v>863</v>
      </c>
      <c r="E37" s="105">
        <v>42685</v>
      </c>
      <c r="F37" s="106" t="s">
        <v>1022</v>
      </c>
      <c r="G37" s="96">
        <v>1421731.42</v>
      </c>
    </row>
    <row r="38" spans="1:7" x14ac:dyDescent="0.25">
      <c r="A38" s="2"/>
      <c r="B38" s="104"/>
      <c r="C38" s="114" t="s">
        <v>220</v>
      </c>
      <c r="D38" s="104" t="s">
        <v>863</v>
      </c>
      <c r="E38" s="105">
        <v>42712</v>
      </c>
      <c r="F38" s="106" t="s">
        <v>1023</v>
      </c>
      <c r="G38" s="96">
        <v>1022717.89</v>
      </c>
    </row>
    <row r="39" spans="1:7" x14ac:dyDescent="0.25">
      <c r="A39" s="2"/>
      <c r="B39" s="104"/>
      <c r="C39" s="114" t="s">
        <v>748</v>
      </c>
      <c r="D39" s="104" t="s">
        <v>869</v>
      </c>
      <c r="E39" s="105">
        <v>42739</v>
      </c>
      <c r="F39" s="106" t="s">
        <v>1534</v>
      </c>
      <c r="G39" s="96">
        <v>227580.34</v>
      </c>
    </row>
    <row r="40" spans="1:7" x14ac:dyDescent="0.25">
      <c r="A40" s="104" t="s">
        <v>1024</v>
      </c>
      <c r="G40" s="96">
        <v>26353606.52</v>
      </c>
    </row>
    <row r="41" spans="1:7" x14ac:dyDescent="0.25">
      <c r="A41" s="104"/>
      <c r="G41" s="96"/>
    </row>
    <row r="42" spans="1:7" x14ac:dyDescent="0.25">
      <c r="A42" s="104" t="s">
        <v>80</v>
      </c>
      <c r="G42" s="96"/>
    </row>
    <row r="43" spans="1:7" ht="45" x14ac:dyDescent="0.25">
      <c r="A43" s="107" t="s">
        <v>79</v>
      </c>
      <c r="B43" s="107"/>
      <c r="C43" s="107"/>
      <c r="D43" s="107"/>
      <c r="E43" s="107"/>
      <c r="F43" s="107"/>
      <c r="G43" s="96"/>
    </row>
    <row r="44" spans="1:7" x14ac:dyDescent="0.25">
      <c r="A44" s="115" t="s">
        <v>78</v>
      </c>
      <c r="B44" s="104" t="s">
        <v>1346</v>
      </c>
      <c r="C44" s="120">
        <v>1</v>
      </c>
      <c r="D44" s="120"/>
      <c r="E44" s="120"/>
      <c r="F44" s="120"/>
      <c r="G44" s="96"/>
    </row>
    <row r="45" spans="1:7" x14ac:dyDescent="0.25">
      <c r="A45" s="2"/>
      <c r="B45" s="104"/>
      <c r="C45" s="114" t="s">
        <v>23</v>
      </c>
      <c r="D45" s="104" t="s">
        <v>863</v>
      </c>
      <c r="E45" s="105">
        <v>42433</v>
      </c>
      <c r="F45" s="106"/>
      <c r="G45" s="96">
        <v>5185100.22</v>
      </c>
    </row>
    <row r="46" spans="1:7" x14ac:dyDescent="0.25">
      <c r="A46" s="2"/>
      <c r="B46" s="104"/>
      <c r="C46" s="114" t="s">
        <v>103</v>
      </c>
      <c r="D46" s="104" t="s">
        <v>863</v>
      </c>
      <c r="E46" s="105">
        <v>42643</v>
      </c>
      <c r="F46" s="106" t="s">
        <v>1347</v>
      </c>
      <c r="G46" s="96">
        <v>196744.13</v>
      </c>
    </row>
    <row r="47" spans="1:7" x14ac:dyDescent="0.25">
      <c r="A47" s="2"/>
      <c r="B47" s="104"/>
      <c r="C47" s="114" t="s">
        <v>221</v>
      </c>
      <c r="D47" s="104" t="s">
        <v>863</v>
      </c>
      <c r="E47" s="105">
        <v>42643</v>
      </c>
      <c r="F47" s="106" t="s">
        <v>1348</v>
      </c>
      <c r="G47" s="96">
        <v>948850.91</v>
      </c>
    </row>
    <row r="48" spans="1:7" x14ac:dyDescent="0.25">
      <c r="A48" s="2"/>
      <c r="B48" s="104"/>
      <c r="C48" s="114" t="s">
        <v>55</v>
      </c>
      <c r="D48" s="104" t="s">
        <v>863</v>
      </c>
      <c r="E48" s="105">
        <v>42643</v>
      </c>
      <c r="F48" s="106" t="s">
        <v>1349</v>
      </c>
      <c r="G48" s="96">
        <v>3783251.02</v>
      </c>
    </row>
    <row r="49" spans="1:7" x14ac:dyDescent="0.25">
      <c r="A49" s="2"/>
      <c r="B49" s="104"/>
      <c r="C49" s="114" t="s">
        <v>215</v>
      </c>
      <c r="D49" s="104" t="s">
        <v>863</v>
      </c>
      <c r="E49" s="105">
        <v>42643</v>
      </c>
      <c r="F49" s="106" t="s">
        <v>1350</v>
      </c>
      <c r="G49" s="96">
        <v>5405903.0800000001</v>
      </c>
    </row>
    <row r="50" spans="1:7" x14ac:dyDescent="0.25">
      <c r="A50" s="2"/>
      <c r="B50" s="104"/>
      <c r="C50" s="114" t="s">
        <v>15</v>
      </c>
      <c r="D50" s="104" t="s">
        <v>863</v>
      </c>
      <c r="E50" s="105">
        <v>42762</v>
      </c>
      <c r="F50" s="106" t="s">
        <v>1351</v>
      </c>
      <c r="G50" s="96">
        <v>1690809.43</v>
      </c>
    </row>
    <row r="51" spans="1:7" x14ac:dyDescent="0.25">
      <c r="A51" s="104" t="s">
        <v>1352</v>
      </c>
      <c r="G51" s="96">
        <v>17210658.789999999</v>
      </c>
    </row>
    <row r="52" spans="1:7" x14ac:dyDescent="0.25">
      <c r="A52" s="104"/>
      <c r="G52" s="96"/>
    </row>
    <row r="53" spans="1:7" x14ac:dyDescent="0.25">
      <c r="A53" s="104" t="s">
        <v>503</v>
      </c>
      <c r="G53" s="96"/>
    </row>
    <row r="54" spans="1:7" x14ac:dyDescent="0.25">
      <c r="A54" s="107" t="s">
        <v>504</v>
      </c>
      <c r="B54" s="107"/>
      <c r="C54" s="107"/>
      <c r="D54" s="107"/>
      <c r="E54" s="107"/>
      <c r="F54" s="107"/>
      <c r="G54" s="96"/>
    </row>
    <row r="55" spans="1:7" x14ac:dyDescent="0.25">
      <c r="A55" s="115" t="s">
        <v>505</v>
      </c>
      <c r="B55" s="104" t="s">
        <v>1427</v>
      </c>
      <c r="C55" s="120">
        <v>1</v>
      </c>
      <c r="D55" s="120"/>
      <c r="E55" s="120"/>
      <c r="F55" s="120"/>
      <c r="G55" s="96"/>
    </row>
    <row r="56" spans="1:7" x14ac:dyDescent="0.25">
      <c r="A56" s="2"/>
      <c r="B56" s="104"/>
      <c r="C56" s="114" t="s">
        <v>23</v>
      </c>
      <c r="D56" s="104" t="s">
        <v>863</v>
      </c>
      <c r="E56" s="105">
        <v>42447</v>
      </c>
      <c r="F56" s="106"/>
      <c r="G56" s="96">
        <v>1859975.46</v>
      </c>
    </row>
    <row r="57" spans="1:7" x14ac:dyDescent="0.25">
      <c r="A57" s="2"/>
      <c r="B57" s="104"/>
      <c r="C57" s="114" t="s">
        <v>103</v>
      </c>
      <c r="D57" s="104" t="s">
        <v>863</v>
      </c>
      <c r="E57" s="105">
        <v>42593</v>
      </c>
      <c r="F57" s="106" t="s">
        <v>1428</v>
      </c>
      <c r="G57" s="96">
        <v>445251.39</v>
      </c>
    </row>
    <row r="58" spans="1:7" x14ac:dyDescent="0.25">
      <c r="A58" s="2"/>
      <c r="B58" s="104"/>
      <c r="C58" s="114" t="s">
        <v>221</v>
      </c>
      <c r="D58" s="104" t="s">
        <v>863</v>
      </c>
      <c r="E58" s="105">
        <v>42593</v>
      </c>
      <c r="F58" s="106" t="s">
        <v>1429</v>
      </c>
      <c r="G58" s="96">
        <v>1826925.6</v>
      </c>
    </row>
    <row r="59" spans="1:7" x14ac:dyDescent="0.25">
      <c r="A59" s="2"/>
      <c r="B59" s="104"/>
      <c r="C59" s="114" t="s">
        <v>55</v>
      </c>
      <c r="D59" s="104" t="s">
        <v>863</v>
      </c>
      <c r="E59" s="105">
        <v>42593</v>
      </c>
      <c r="F59" s="106" t="s">
        <v>1430</v>
      </c>
      <c r="G59" s="96">
        <v>1129023.51</v>
      </c>
    </row>
    <row r="60" spans="1:7" x14ac:dyDescent="0.25">
      <c r="A60" s="2"/>
      <c r="B60" s="104"/>
      <c r="C60" s="114" t="s">
        <v>215</v>
      </c>
      <c r="D60" s="104" t="s">
        <v>863</v>
      </c>
      <c r="E60" s="105">
        <v>42671</v>
      </c>
      <c r="F60" s="106" t="s">
        <v>1431</v>
      </c>
      <c r="G60" s="96">
        <v>912552.89</v>
      </c>
    </row>
    <row r="61" spans="1:7" x14ac:dyDescent="0.25">
      <c r="A61" s="2"/>
      <c r="B61" s="104"/>
      <c r="C61" s="114" t="s">
        <v>15</v>
      </c>
      <c r="D61" s="104" t="s">
        <v>863</v>
      </c>
      <c r="E61" s="105">
        <v>42762</v>
      </c>
      <c r="F61" s="106" t="s">
        <v>1432</v>
      </c>
      <c r="G61" s="96">
        <v>554977.92000000004</v>
      </c>
    </row>
    <row r="62" spans="1:7" x14ac:dyDescent="0.25">
      <c r="A62" s="104" t="s">
        <v>1353</v>
      </c>
      <c r="G62" s="96">
        <v>6728706.7699999996</v>
      </c>
    </row>
    <row r="63" spans="1:7" x14ac:dyDescent="0.25">
      <c r="A63" s="104"/>
      <c r="G63" s="96"/>
    </row>
    <row r="64" spans="1:7" x14ac:dyDescent="0.25">
      <c r="A64" s="104" t="s">
        <v>524</v>
      </c>
      <c r="G64" s="96"/>
    </row>
    <row r="65" spans="1:7" ht="45" x14ac:dyDescent="0.25">
      <c r="A65" s="107" t="s">
        <v>726</v>
      </c>
      <c r="B65" s="107"/>
      <c r="C65" s="107"/>
      <c r="D65" s="107"/>
      <c r="E65" s="107"/>
      <c r="F65" s="107"/>
      <c r="G65" s="96"/>
    </row>
    <row r="66" spans="1:7" x14ac:dyDescent="0.25">
      <c r="A66" s="115" t="s">
        <v>325</v>
      </c>
      <c r="B66" s="104" t="s">
        <v>1354</v>
      </c>
      <c r="C66" s="120">
        <v>0.98</v>
      </c>
      <c r="D66" s="120"/>
      <c r="E66" s="120"/>
      <c r="F66" s="120"/>
      <c r="G66" s="96"/>
    </row>
    <row r="67" spans="1:7" x14ac:dyDescent="0.25">
      <c r="A67" s="2"/>
      <c r="B67" s="104"/>
      <c r="C67" s="114" t="s">
        <v>23</v>
      </c>
      <c r="D67" s="104" t="s">
        <v>863</v>
      </c>
      <c r="E67" s="105">
        <v>42467</v>
      </c>
      <c r="F67" s="106"/>
      <c r="G67" s="96">
        <v>6886504.4000000004</v>
      </c>
    </row>
    <row r="68" spans="1:7" x14ac:dyDescent="0.25">
      <c r="A68" s="2"/>
      <c r="B68" s="104"/>
      <c r="C68" s="114" t="s">
        <v>103</v>
      </c>
      <c r="D68" s="104" t="s">
        <v>863</v>
      </c>
      <c r="E68" s="105">
        <v>42643</v>
      </c>
      <c r="F68" s="106" t="s">
        <v>1355</v>
      </c>
      <c r="G68" s="96">
        <v>654681.32999999996</v>
      </c>
    </row>
    <row r="69" spans="1:7" x14ac:dyDescent="0.25">
      <c r="A69" s="2"/>
      <c r="B69" s="104"/>
      <c r="C69" s="114" t="s">
        <v>221</v>
      </c>
      <c r="D69" s="104" t="s">
        <v>863</v>
      </c>
      <c r="E69" s="105">
        <v>42643</v>
      </c>
      <c r="F69" s="106" t="s">
        <v>1356</v>
      </c>
      <c r="G69" s="96">
        <v>4298441.7300000004</v>
      </c>
    </row>
    <row r="70" spans="1:7" x14ac:dyDescent="0.25">
      <c r="A70" s="2"/>
      <c r="B70" s="104"/>
      <c r="C70" s="114" t="s">
        <v>55</v>
      </c>
      <c r="D70" s="104" t="s">
        <v>863</v>
      </c>
      <c r="E70" s="105">
        <v>42653</v>
      </c>
      <c r="F70" s="106" t="s">
        <v>1357</v>
      </c>
      <c r="G70" s="96">
        <v>2996534.33</v>
      </c>
    </row>
    <row r="71" spans="1:7" x14ac:dyDescent="0.25">
      <c r="A71" s="2"/>
      <c r="B71" s="104"/>
      <c r="C71" s="114" t="s">
        <v>215</v>
      </c>
      <c r="D71" s="104" t="s">
        <v>863</v>
      </c>
      <c r="E71" s="105">
        <v>42712</v>
      </c>
      <c r="F71" s="106" t="s">
        <v>1677</v>
      </c>
      <c r="G71" s="96">
        <v>2993070.39</v>
      </c>
    </row>
    <row r="72" spans="1:7" x14ac:dyDescent="0.25">
      <c r="A72" s="2"/>
      <c r="B72" s="104"/>
      <c r="C72" s="114" t="s">
        <v>15</v>
      </c>
      <c r="D72" s="104" t="s">
        <v>863</v>
      </c>
      <c r="E72" s="105">
        <v>42762</v>
      </c>
      <c r="F72" s="106" t="s">
        <v>1951</v>
      </c>
      <c r="G72" s="96">
        <v>4729357.1500000004</v>
      </c>
    </row>
    <row r="73" spans="1:7" x14ac:dyDescent="0.25">
      <c r="A73" s="104" t="s">
        <v>1358</v>
      </c>
      <c r="G73" s="96">
        <v>22558589.329999998</v>
      </c>
    </row>
    <row r="74" spans="1:7" x14ac:dyDescent="0.25">
      <c r="A74" s="104"/>
      <c r="G74" s="96"/>
    </row>
    <row r="75" spans="1:7" x14ac:dyDescent="0.25">
      <c r="A75" s="104" t="s">
        <v>532</v>
      </c>
      <c r="G75" s="96"/>
    </row>
    <row r="76" spans="1:7" x14ac:dyDescent="0.25">
      <c r="A76" s="107" t="s">
        <v>718</v>
      </c>
      <c r="B76" s="107"/>
      <c r="C76" s="107"/>
      <c r="D76" s="107"/>
      <c r="E76" s="107"/>
      <c r="F76" s="107"/>
      <c r="G76" s="96"/>
    </row>
    <row r="77" spans="1:7" ht="30" x14ac:dyDescent="0.25">
      <c r="A77" s="115" t="s">
        <v>717</v>
      </c>
      <c r="B77" s="104" t="s">
        <v>1025</v>
      </c>
      <c r="C77" s="120">
        <v>0.99</v>
      </c>
      <c r="D77" s="120"/>
      <c r="E77" s="120"/>
      <c r="F77" s="120"/>
      <c r="G77" s="96"/>
    </row>
    <row r="78" spans="1:7" x14ac:dyDescent="0.25">
      <c r="A78" s="2"/>
      <c r="B78" s="104"/>
      <c r="C78" s="114" t="s">
        <v>23</v>
      </c>
      <c r="D78" s="104" t="s">
        <v>863</v>
      </c>
      <c r="E78" s="105">
        <v>42472</v>
      </c>
      <c r="F78" s="106"/>
      <c r="G78" s="96">
        <v>25000002.300000001</v>
      </c>
    </row>
    <row r="79" spans="1:7" x14ac:dyDescent="0.25">
      <c r="A79" s="2"/>
      <c r="B79" s="104"/>
      <c r="C79" s="114" t="s">
        <v>103</v>
      </c>
      <c r="D79" s="104" t="s">
        <v>863</v>
      </c>
      <c r="E79" s="105">
        <v>42632</v>
      </c>
      <c r="F79" s="106" t="s">
        <v>1359</v>
      </c>
      <c r="G79" s="96">
        <v>780685.28</v>
      </c>
    </row>
    <row r="80" spans="1:7" x14ac:dyDescent="0.25">
      <c r="A80" s="2"/>
      <c r="B80" s="104"/>
      <c r="C80" s="114" t="s">
        <v>221</v>
      </c>
      <c r="D80" s="104" t="s">
        <v>863</v>
      </c>
      <c r="E80" s="105">
        <v>42632</v>
      </c>
      <c r="F80" s="106" t="s">
        <v>1360</v>
      </c>
      <c r="G80" s="96">
        <v>3127637.28</v>
      </c>
    </row>
    <row r="81" spans="1:7" x14ac:dyDescent="0.25">
      <c r="A81" s="2"/>
      <c r="B81" s="104"/>
      <c r="C81" s="114" t="s">
        <v>55</v>
      </c>
      <c r="D81" s="104" t="s">
        <v>863</v>
      </c>
      <c r="E81" s="105">
        <v>42643</v>
      </c>
      <c r="F81" s="106" t="s">
        <v>1361</v>
      </c>
      <c r="G81" s="96">
        <v>5095009.83</v>
      </c>
    </row>
    <row r="82" spans="1:7" x14ac:dyDescent="0.25">
      <c r="A82" s="2"/>
      <c r="B82" s="104"/>
      <c r="C82" s="114" t="s">
        <v>215</v>
      </c>
      <c r="D82" s="104" t="s">
        <v>863</v>
      </c>
      <c r="E82" s="105">
        <v>42653</v>
      </c>
      <c r="F82" s="106" t="s">
        <v>1318</v>
      </c>
      <c r="G82" s="96">
        <v>9979542.4499999993</v>
      </c>
    </row>
    <row r="83" spans="1:7" x14ac:dyDescent="0.25">
      <c r="A83" s="2"/>
      <c r="B83" s="104"/>
      <c r="C83" s="114" t="s">
        <v>15</v>
      </c>
      <c r="D83" s="104" t="s">
        <v>863</v>
      </c>
      <c r="E83" s="105">
        <v>42671</v>
      </c>
      <c r="F83" s="106" t="s">
        <v>1067</v>
      </c>
      <c r="G83" s="96">
        <v>4315130.88</v>
      </c>
    </row>
    <row r="84" spans="1:7" x14ac:dyDescent="0.25">
      <c r="A84" s="2"/>
      <c r="B84" s="104"/>
      <c r="C84" s="114" t="s">
        <v>214</v>
      </c>
      <c r="D84" s="104" t="s">
        <v>863</v>
      </c>
      <c r="E84" s="105">
        <v>42685</v>
      </c>
      <c r="F84" s="106" t="s">
        <v>1026</v>
      </c>
      <c r="G84" s="96">
        <v>2240535.35</v>
      </c>
    </row>
    <row r="85" spans="1:7" x14ac:dyDescent="0.25">
      <c r="A85" s="2"/>
      <c r="B85" s="104"/>
      <c r="C85" s="114" t="s">
        <v>218</v>
      </c>
      <c r="D85" s="104" t="s">
        <v>863</v>
      </c>
      <c r="E85" s="105">
        <v>42717</v>
      </c>
      <c r="F85" s="106" t="s">
        <v>1027</v>
      </c>
      <c r="G85" s="96">
        <v>1716260.37</v>
      </c>
    </row>
    <row r="86" spans="1:7" x14ac:dyDescent="0.25">
      <c r="A86" s="2"/>
      <c r="B86" s="104"/>
      <c r="C86" s="114" t="s">
        <v>220</v>
      </c>
      <c r="D86" s="104" t="s">
        <v>863</v>
      </c>
      <c r="E86" s="105">
        <v>42685</v>
      </c>
      <c r="F86" s="106" t="s">
        <v>1028</v>
      </c>
      <c r="G86" s="96">
        <v>12374682.130000001</v>
      </c>
    </row>
    <row r="87" spans="1:7" x14ac:dyDescent="0.25">
      <c r="A87" s="2"/>
      <c r="B87" s="104"/>
      <c r="C87" s="114" t="s">
        <v>748</v>
      </c>
      <c r="D87" s="104" t="s">
        <v>863</v>
      </c>
      <c r="E87" s="105">
        <v>42717</v>
      </c>
      <c r="F87" s="106" t="s">
        <v>1678</v>
      </c>
      <c r="G87" s="96">
        <v>6858712.1500000004</v>
      </c>
    </row>
    <row r="88" spans="1:7" x14ac:dyDescent="0.25">
      <c r="A88" s="2"/>
      <c r="B88" s="104"/>
      <c r="C88" s="114" t="s">
        <v>249</v>
      </c>
      <c r="D88" s="104" t="s">
        <v>863</v>
      </c>
      <c r="E88" s="105">
        <v>42717</v>
      </c>
      <c r="F88" s="106" t="s">
        <v>1679</v>
      </c>
      <c r="G88" s="96">
        <v>5443102.7699999996</v>
      </c>
    </row>
    <row r="89" spans="1:7" x14ac:dyDescent="0.25">
      <c r="A89" s="2"/>
      <c r="B89" s="104"/>
      <c r="C89" s="114" t="s">
        <v>264</v>
      </c>
      <c r="D89" s="104" t="s">
        <v>863</v>
      </c>
      <c r="E89" s="105">
        <v>42734</v>
      </c>
      <c r="F89" s="106" t="s">
        <v>2091</v>
      </c>
      <c r="G89" s="96">
        <v>5517248.8600000003</v>
      </c>
    </row>
    <row r="90" spans="1:7" x14ac:dyDescent="0.25">
      <c r="A90" s="104" t="s">
        <v>1029</v>
      </c>
      <c r="G90" s="96">
        <v>82448549.650000006</v>
      </c>
    </row>
    <row r="91" spans="1:7" x14ac:dyDescent="0.25">
      <c r="A91" s="104"/>
      <c r="G91" s="96"/>
    </row>
    <row r="92" spans="1:7" x14ac:dyDescent="0.25">
      <c r="A92" s="104" t="s">
        <v>528</v>
      </c>
      <c r="G92" s="96"/>
    </row>
    <row r="93" spans="1:7" ht="30" x14ac:dyDescent="0.25">
      <c r="A93" s="107" t="s">
        <v>786</v>
      </c>
      <c r="B93" s="107"/>
      <c r="C93" s="107"/>
      <c r="D93" s="107"/>
      <c r="E93" s="107"/>
      <c r="F93" s="107"/>
      <c r="G93" s="96"/>
    </row>
    <row r="94" spans="1:7" x14ac:dyDescent="0.25">
      <c r="A94" s="115" t="s">
        <v>529</v>
      </c>
      <c r="B94" s="104" t="s">
        <v>1030</v>
      </c>
      <c r="C94" s="120">
        <v>0.84</v>
      </c>
      <c r="D94" s="120"/>
      <c r="E94" s="120"/>
      <c r="F94" s="120"/>
      <c r="G94" s="96"/>
    </row>
    <row r="95" spans="1:7" x14ac:dyDescent="0.25">
      <c r="A95" s="2"/>
      <c r="B95" s="104"/>
      <c r="C95" s="114" t="s">
        <v>23</v>
      </c>
      <c r="D95" s="104" t="s">
        <v>863</v>
      </c>
      <c r="E95" s="105">
        <v>42468</v>
      </c>
      <c r="F95" s="106"/>
      <c r="G95" s="96">
        <v>8562832.4199999999</v>
      </c>
    </row>
    <row r="96" spans="1:7" x14ac:dyDescent="0.25">
      <c r="A96" s="2"/>
      <c r="B96" s="104"/>
      <c r="C96" s="114" t="s">
        <v>103</v>
      </c>
      <c r="D96" s="104" t="s">
        <v>863</v>
      </c>
      <c r="E96" s="105">
        <v>42643</v>
      </c>
      <c r="F96" s="106" t="s">
        <v>1493</v>
      </c>
      <c r="G96" s="96">
        <v>972423.83</v>
      </c>
    </row>
    <row r="97" spans="1:7" x14ac:dyDescent="0.25">
      <c r="A97" s="2"/>
      <c r="B97" s="104"/>
      <c r="C97" s="114" t="s">
        <v>221</v>
      </c>
      <c r="D97" s="104" t="s">
        <v>863</v>
      </c>
      <c r="E97" s="105">
        <v>42653</v>
      </c>
      <c r="F97" s="106" t="s">
        <v>1494</v>
      </c>
      <c r="G97" s="96">
        <v>149630.21</v>
      </c>
    </row>
    <row r="98" spans="1:7" x14ac:dyDescent="0.25">
      <c r="A98" s="2"/>
      <c r="B98" s="104"/>
      <c r="C98" s="114" t="s">
        <v>55</v>
      </c>
      <c r="D98" s="104" t="s">
        <v>863</v>
      </c>
      <c r="E98" s="105">
        <v>42663</v>
      </c>
      <c r="F98" s="106" t="s">
        <v>1495</v>
      </c>
      <c r="G98" s="96">
        <v>147427.47</v>
      </c>
    </row>
    <row r="99" spans="1:7" x14ac:dyDescent="0.25">
      <c r="A99" s="2"/>
      <c r="B99" s="104"/>
      <c r="C99" s="114" t="s">
        <v>215</v>
      </c>
      <c r="D99" s="104" t="s">
        <v>863</v>
      </c>
      <c r="E99" s="105">
        <v>42671</v>
      </c>
      <c r="F99" s="106" t="s">
        <v>1496</v>
      </c>
      <c r="G99" s="96">
        <v>6158122.3300000001</v>
      </c>
    </row>
    <row r="100" spans="1:7" x14ac:dyDescent="0.25">
      <c r="A100" s="2"/>
      <c r="B100" s="104"/>
      <c r="C100" s="114" t="s">
        <v>15</v>
      </c>
      <c r="D100" s="104" t="s">
        <v>863</v>
      </c>
      <c r="E100" s="105">
        <v>42685</v>
      </c>
      <c r="F100" s="106" t="s">
        <v>1031</v>
      </c>
      <c r="G100" s="96">
        <v>6536993.6500000004</v>
      </c>
    </row>
    <row r="101" spans="1:7" x14ac:dyDescent="0.25">
      <c r="A101" s="2"/>
      <c r="B101" s="104"/>
      <c r="C101" s="114" t="s">
        <v>214</v>
      </c>
      <c r="D101" s="104" t="s">
        <v>863</v>
      </c>
      <c r="E101" s="105">
        <v>42780</v>
      </c>
      <c r="F101" s="106" t="s">
        <v>1882</v>
      </c>
      <c r="G101" s="96">
        <v>1387737.5</v>
      </c>
    </row>
    <row r="102" spans="1:7" x14ac:dyDescent="0.25">
      <c r="A102" s="104" t="s">
        <v>1032</v>
      </c>
      <c r="G102" s="96">
        <v>23915167.41</v>
      </c>
    </row>
    <row r="103" spans="1:7" x14ac:dyDescent="0.25">
      <c r="A103" s="104"/>
      <c r="G103" s="96"/>
    </row>
    <row r="104" spans="1:7" x14ac:dyDescent="0.25">
      <c r="A104" s="104" t="s">
        <v>539</v>
      </c>
      <c r="G104" s="96"/>
    </row>
    <row r="105" spans="1:7" ht="30" x14ac:dyDescent="0.25">
      <c r="A105" s="107" t="s">
        <v>538</v>
      </c>
      <c r="B105" s="107"/>
      <c r="C105" s="107"/>
      <c r="D105" s="107"/>
      <c r="E105" s="107"/>
      <c r="F105" s="107"/>
      <c r="G105" s="96"/>
    </row>
    <row r="106" spans="1:7" x14ac:dyDescent="0.25">
      <c r="A106" s="115" t="s">
        <v>169</v>
      </c>
      <c r="B106" s="104" t="s">
        <v>1362</v>
      </c>
      <c r="C106" s="120">
        <v>1</v>
      </c>
      <c r="D106" s="120"/>
      <c r="E106" s="120"/>
      <c r="F106" s="120"/>
      <c r="G106" s="96"/>
    </row>
    <row r="107" spans="1:7" x14ac:dyDescent="0.25">
      <c r="A107" s="2"/>
      <c r="B107" s="104"/>
      <c r="C107" s="114" t="s">
        <v>23</v>
      </c>
      <c r="D107" s="104" t="s">
        <v>863</v>
      </c>
      <c r="E107" s="105">
        <v>42487</v>
      </c>
      <c r="F107" s="106"/>
      <c r="G107" s="96">
        <v>11394402.83</v>
      </c>
    </row>
    <row r="108" spans="1:7" x14ac:dyDescent="0.25">
      <c r="A108" s="2"/>
      <c r="B108" s="104"/>
      <c r="C108" s="114" t="s">
        <v>103</v>
      </c>
      <c r="D108" s="104" t="s">
        <v>863</v>
      </c>
      <c r="E108" s="105">
        <v>42643</v>
      </c>
      <c r="F108" s="106" t="s">
        <v>1363</v>
      </c>
      <c r="G108" s="96">
        <v>6381922.21</v>
      </c>
    </row>
    <row r="109" spans="1:7" x14ac:dyDescent="0.25">
      <c r="A109" s="2"/>
      <c r="B109" s="104"/>
      <c r="C109" s="114" t="s">
        <v>221</v>
      </c>
      <c r="D109" s="104" t="s">
        <v>863</v>
      </c>
      <c r="E109" s="105">
        <v>42653</v>
      </c>
      <c r="F109" s="106" t="s">
        <v>1364</v>
      </c>
      <c r="G109" s="96">
        <v>7060533.3099999996</v>
      </c>
    </row>
    <row r="110" spans="1:7" x14ac:dyDescent="0.25">
      <c r="A110" s="2"/>
      <c r="B110" s="104"/>
      <c r="C110" s="114" t="s">
        <v>55</v>
      </c>
      <c r="D110" s="104" t="s">
        <v>863</v>
      </c>
      <c r="E110" s="105">
        <v>42663</v>
      </c>
      <c r="F110" s="106" t="s">
        <v>1365</v>
      </c>
      <c r="G110" s="96">
        <v>8470240.5299999993</v>
      </c>
    </row>
    <row r="111" spans="1:7" x14ac:dyDescent="0.25">
      <c r="A111" s="2"/>
      <c r="B111" s="104"/>
      <c r="C111" s="114" t="s">
        <v>215</v>
      </c>
      <c r="D111" s="104" t="s">
        <v>863</v>
      </c>
      <c r="E111" s="105">
        <v>42663</v>
      </c>
      <c r="F111" s="106" t="s">
        <v>1366</v>
      </c>
      <c r="G111" s="96">
        <v>3321876.27</v>
      </c>
    </row>
    <row r="112" spans="1:7" x14ac:dyDescent="0.25">
      <c r="A112" s="2"/>
      <c r="B112" s="104"/>
      <c r="C112" s="114" t="s">
        <v>15</v>
      </c>
      <c r="D112" s="104" t="s">
        <v>863</v>
      </c>
      <c r="E112" s="105">
        <v>42762</v>
      </c>
      <c r="F112" s="106" t="s">
        <v>1027</v>
      </c>
      <c r="G112" s="96">
        <v>1117980.72</v>
      </c>
    </row>
    <row r="113" spans="1:7" x14ac:dyDescent="0.25">
      <c r="A113" s="2"/>
      <c r="B113" s="104"/>
      <c r="C113" s="114" t="s">
        <v>214</v>
      </c>
      <c r="D113" s="104" t="s">
        <v>863</v>
      </c>
      <c r="E113" s="105">
        <v>42762</v>
      </c>
      <c r="F113" s="106" t="s">
        <v>1952</v>
      </c>
      <c r="G113" s="96">
        <v>63065.23</v>
      </c>
    </row>
    <row r="114" spans="1:7" x14ac:dyDescent="0.25">
      <c r="A114" s="104" t="s">
        <v>1367</v>
      </c>
      <c r="G114" s="96">
        <v>37810021.100000001</v>
      </c>
    </row>
    <row r="115" spans="1:7" x14ac:dyDescent="0.25">
      <c r="A115" s="104"/>
      <c r="G115" s="96"/>
    </row>
    <row r="116" spans="1:7" x14ac:dyDescent="0.25">
      <c r="A116" s="104" t="s">
        <v>546</v>
      </c>
      <c r="G116" s="96"/>
    </row>
    <row r="117" spans="1:7" x14ac:dyDescent="0.25">
      <c r="A117" s="107" t="s">
        <v>765</v>
      </c>
      <c r="B117" s="107"/>
      <c r="C117" s="107"/>
      <c r="D117" s="107"/>
      <c r="E117" s="107"/>
      <c r="F117" s="107"/>
      <c r="G117" s="96"/>
    </row>
    <row r="118" spans="1:7" x14ac:dyDescent="0.25">
      <c r="A118" s="115" t="s">
        <v>459</v>
      </c>
      <c r="B118" s="104" t="s">
        <v>1033</v>
      </c>
      <c r="C118" s="120">
        <v>1</v>
      </c>
      <c r="D118" s="120"/>
      <c r="E118" s="120"/>
      <c r="F118" s="120"/>
      <c r="G118" s="96"/>
    </row>
    <row r="119" spans="1:7" x14ac:dyDescent="0.25">
      <c r="A119" s="2"/>
      <c r="B119" s="104"/>
      <c r="C119" s="114" t="s">
        <v>23</v>
      </c>
      <c r="D119" s="104" t="s">
        <v>863</v>
      </c>
      <c r="E119" s="105">
        <v>42510</v>
      </c>
      <c r="F119" s="106"/>
      <c r="G119" s="96">
        <v>7410332.4699999997</v>
      </c>
    </row>
    <row r="120" spans="1:7" x14ac:dyDescent="0.25">
      <c r="A120" s="2"/>
      <c r="B120" s="104"/>
      <c r="C120" s="114" t="s">
        <v>103</v>
      </c>
      <c r="D120" s="104" t="s">
        <v>863</v>
      </c>
      <c r="E120" s="105">
        <v>42653</v>
      </c>
      <c r="F120" s="106" t="s">
        <v>1368</v>
      </c>
      <c r="G120" s="96">
        <v>2141246.85</v>
      </c>
    </row>
    <row r="121" spans="1:7" x14ac:dyDescent="0.25">
      <c r="A121" s="2"/>
      <c r="B121" s="104"/>
      <c r="C121" s="114" t="s">
        <v>221</v>
      </c>
      <c r="D121" s="104" t="s">
        <v>863</v>
      </c>
      <c r="E121" s="105">
        <v>42653</v>
      </c>
      <c r="F121" s="106" t="s">
        <v>1369</v>
      </c>
      <c r="G121" s="96">
        <v>630272.77</v>
      </c>
    </row>
    <row r="122" spans="1:7" x14ac:dyDescent="0.25">
      <c r="A122" s="2"/>
      <c r="B122" s="104"/>
      <c r="C122" s="114" t="s">
        <v>55</v>
      </c>
      <c r="D122" s="104" t="s">
        <v>863</v>
      </c>
      <c r="E122" s="105">
        <v>42685</v>
      </c>
      <c r="F122" s="106" t="s">
        <v>1034</v>
      </c>
      <c r="G122" s="96">
        <v>2860333.78</v>
      </c>
    </row>
    <row r="123" spans="1:7" x14ac:dyDescent="0.25">
      <c r="A123" s="2"/>
      <c r="B123" s="104"/>
      <c r="C123" s="114" t="s">
        <v>215</v>
      </c>
      <c r="D123" s="104" t="s">
        <v>863</v>
      </c>
      <c r="E123" s="105">
        <v>42712</v>
      </c>
      <c r="F123" s="106" t="s">
        <v>1825</v>
      </c>
      <c r="G123" s="96">
        <v>5767097.4199999999</v>
      </c>
    </row>
    <row r="124" spans="1:7" x14ac:dyDescent="0.25">
      <c r="A124" s="2"/>
      <c r="B124" s="104"/>
      <c r="C124" s="114" t="s">
        <v>15</v>
      </c>
      <c r="D124" s="104" t="s">
        <v>863</v>
      </c>
      <c r="E124" s="105">
        <v>42755</v>
      </c>
      <c r="F124" s="106" t="s">
        <v>1884</v>
      </c>
      <c r="G124" s="96">
        <v>3550799.23</v>
      </c>
    </row>
    <row r="125" spans="1:7" x14ac:dyDescent="0.25">
      <c r="A125" s="2"/>
      <c r="B125" s="104"/>
      <c r="C125" s="114" t="s">
        <v>214</v>
      </c>
      <c r="D125" s="104" t="s">
        <v>866</v>
      </c>
      <c r="E125" s="105">
        <v>42811</v>
      </c>
      <c r="F125" s="106" t="s">
        <v>2440</v>
      </c>
      <c r="G125" s="96">
        <v>2173484.8199999998</v>
      </c>
    </row>
    <row r="126" spans="1:7" x14ac:dyDescent="0.25">
      <c r="A126" s="104" t="s">
        <v>1035</v>
      </c>
      <c r="G126" s="96">
        <v>24533567.34</v>
      </c>
    </row>
    <row r="127" spans="1:7" x14ac:dyDescent="0.25">
      <c r="A127" s="104"/>
      <c r="G127" s="96"/>
    </row>
    <row r="128" spans="1:7" x14ac:dyDescent="0.25">
      <c r="A128" s="104" t="s">
        <v>536</v>
      </c>
      <c r="G128" s="96"/>
    </row>
    <row r="129" spans="1:7" ht="30" x14ac:dyDescent="0.25">
      <c r="A129" s="107" t="s">
        <v>855</v>
      </c>
      <c r="B129" s="107"/>
      <c r="C129" s="107"/>
      <c r="D129" s="107"/>
      <c r="E129" s="107"/>
      <c r="F129" s="107"/>
      <c r="G129" s="96"/>
    </row>
    <row r="130" spans="1:7" x14ac:dyDescent="0.25">
      <c r="A130" s="115" t="s">
        <v>856</v>
      </c>
      <c r="B130" s="104" t="s">
        <v>1497</v>
      </c>
      <c r="C130" s="120">
        <v>0.83</v>
      </c>
      <c r="D130" s="120"/>
      <c r="E130" s="120"/>
      <c r="F130" s="120"/>
      <c r="G130" s="96"/>
    </row>
    <row r="131" spans="1:7" x14ac:dyDescent="0.25">
      <c r="A131" s="2"/>
      <c r="B131" s="104"/>
      <c r="C131" s="114" t="s">
        <v>23</v>
      </c>
      <c r="D131" s="104" t="s">
        <v>863</v>
      </c>
      <c r="E131" s="105">
        <v>42510</v>
      </c>
      <c r="F131" s="106"/>
      <c r="G131" s="96">
        <v>46453899.409999996</v>
      </c>
    </row>
    <row r="132" spans="1:7" x14ac:dyDescent="0.25">
      <c r="A132" s="2"/>
      <c r="B132" s="104"/>
      <c r="C132" s="114" t="s">
        <v>103</v>
      </c>
      <c r="D132" s="104" t="s">
        <v>863</v>
      </c>
      <c r="E132" s="105">
        <v>42671</v>
      </c>
      <c r="F132" s="106" t="s">
        <v>1498</v>
      </c>
      <c r="G132" s="96">
        <v>4070104.34</v>
      </c>
    </row>
    <row r="133" spans="1:7" x14ac:dyDescent="0.25">
      <c r="A133" s="2"/>
      <c r="B133" s="104"/>
      <c r="C133" s="114" t="s">
        <v>221</v>
      </c>
      <c r="D133" s="104" t="s">
        <v>863</v>
      </c>
      <c r="E133" s="105">
        <v>42671</v>
      </c>
      <c r="F133" s="106" t="s">
        <v>1499</v>
      </c>
      <c r="G133" s="96">
        <v>16389947.99</v>
      </c>
    </row>
    <row r="134" spans="1:7" x14ac:dyDescent="0.25">
      <c r="A134" s="2"/>
      <c r="B134" s="104"/>
      <c r="C134" s="114" t="s">
        <v>55</v>
      </c>
      <c r="D134" s="104" t="s">
        <v>863</v>
      </c>
      <c r="E134" s="105">
        <v>42671</v>
      </c>
      <c r="F134" s="106" t="s">
        <v>1500</v>
      </c>
      <c r="G134" s="96">
        <v>7769006.5199999996</v>
      </c>
    </row>
    <row r="135" spans="1:7" x14ac:dyDescent="0.25">
      <c r="A135" s="2"/>
      <c r="B135" s="104"/>
      <c r="C135" s="114" t="s">
        <v>215</v>
      </c>
      <c r="D135" s="104" t="s">
        <v>863</v>
      </c>
      <c r="E135" s="105">
        <v>42671</v>
      </c>
      <c r="F135" s="106" t="s">
        <v>1501</v>
      </c>
      <c r="G135" s="96">
        <v>31947388.699999999</v>
      </c>
    </row>
    <row r="136" spans="1:7" x14ac:dyDescent="0.25">
      <c r="A136" s="2"/>
      <c r="B136" s="104"/>
      <c r="C136" s="114" t="s">
        <v>15</v>
      </c>
      <c r="D136" s="104" t="s">
        <v>863</v>
      </c>
      <c r="E136" s="105">
        <v>42718</v>
      </c>
      <c r="F136" s="106" t="s">
        <v>1883</v>
      </c>
      <c r="G136" s="96">
        <v>23412455.530000001</v>
      </c>
    </row>
    <row r="137" spans="1:7" x14ac:dyDescent="0.25">
      <c r="A137" s="2"/>
      <c r="B137" s="104"/>
      <c r="C137" s="114" t="s">
        <v>214</v>
      </c>
      <c r="D137" s="104" t="s">
        <v>864</v>
      </c>
      <c r="E137" s="105">
        <v>42810</v>
      </c>
      <c r="F137" s="106" t="s">
        <v>2083</v>
      </c>
      <c r="G137" s="96">
        <v>6294783.6200000001</v>
      </c>
    </row>
    <row r="138" spans="1:7" x14ac:dyDescent="0.25">
      <c r="A138" s="104" t="s">
        <v>1502</v>
      </c>
      <c r="G138" s="96">
        <v>136337586.11000001</v>
      </c>
    </row>
    <row r="139" spans="1:7" x14ac:dyDescent="0.25">
      <c r="A139" s="104"/>
      <c r="G139" s="96"/>
    </row>
    <row r="140" spans="1:7" x14ac:dyDescent="0.25">
      <c r="A140" s="104" t="s">
        <v>343</v>
      </c>
      <c r="G140" s="96"/>
    </row>
    <row r="141" spans="1:7" ht="45" x14ac:dyDescent="0.25">
      <c r="A141" s="107" t="s">
        <v>341</v>
      </c>
      <c r="B141" s="107"/>
      <c r="C141" s="107"/>
      <c r="D141" s="107"/>
      <c r="E141" s="107"/>
      <c r="F141" s="107"/>
      <c r="G141" s="96"/>
    </row>
    <row r="142" spans="1:7" ht="30" x14ac:dyDescent="0.25">
      <c r="A142" s="115" t="s">
        <v>342</v>
      </c>
      <c r="B142" s="104" t="s">
        <v>2559</v>
      </c>
      <c r="C142" s="120">
        <v>1</v>
      </c>
      <c r="D142" s="120"/>
      <c r="E142" s="120"/>
      <c r="F142" s="120"/>
      <c r="G142" s="96"/>
    </row>
    <row r="143" spans="1:7" x14ac:dyDescent="0.25">
      <c r="A143" s="2"/>
      <c r="B143" s="104"/>
      <c r="C143" s="114" t="s">
        <v>23</v>
      </c>
      <c r="D143" s="104" t="s">
        <v>863</v>
      </c>
      <c r="E143" s="105">
        <v>42510</v>
      </c>
      <c r="F143" s="106"/>
      <c r="G143" s="96">
        <v>16167273.810000001</v>
      </c>
    </row>
    <row r="144" spans="1:7" x14ac:dyDescent="0.25">
      <c r="A144" s="2"/>
      <c r="B144" s="104"/>
      <c r="C144" s="114" t="s">
        <v>103</v>
      </c>
      <c r="D144" s="104" t="s">
        <v>863</v>
      </c>
      <c r="E144" s="105">
        <v>42643</v>
      </c>
      <c r="F144" s="106" t="s">
        <v>2560</v>
      </c>
      <c r="G144" s="96">
        <v>458929.74</v>
      </c>
    </row>
    <row r="145" spans="1:7" x14ac:dyDescent="0.25">
      <c r="A145" s="2"/>
      <c r="B145" s="104"/>
      <c r="C145" s="114" t="s">
        <v>221</v>
      </c>
      <c r="D145" s="104" t="s">
        <v>863</v>
      </c>
      <c r="E145" s="105">
        <v>42643</v>
      </c>
      <c r="F145" s="106" t="s">
        <v>2561</v>
      </c>
      <c r="G145" s="96">
        <v>992221.52</v>
      </c>
    </row>
    <row r="146" spans="1:7" x14ac:dyDescent="0.25">
      <c r="A146" s="2"/>
      <c r="B146" s="104"/>
      <c r="C146" s="114" t="s">
        <v>55</v>
      </c>
      <c r="D146" s="104" t="s">
        <v>863</v>
      </c>
      <c r="E146" s="105">
        <v>42632</v>
      </c>
      <c r="F146" s="106" t="s">
        <v>2562</v>
      </c>
      <c r="G146" s="96">
        <v>14192758.91</v>
      </c>
    </row>
    <row r="147" spans="1:7" x14ac:dyDescent="0.25">
      <c r="A147" s="2"/>
      <c r="B147" s="104"/>
      <c r="C147" s="114" t="s">
        <v>215</v>
      </c>
      <c r="D147" s="104" t="s">
        <v>863</v>
      </c>
      <c r="E147" s="105">
        <v>42643</v>
      </c>
      <c r="F147" s="106" t="s">
        <v>2563</v>
      </c>
      <c r="G147" s="96">
        <v>11050643.09</v>
      </c>
    </row>
    <row r="148" spans="1:7" x14ac:dyDescent="0.25">
      <c r="A148" s="2"/>
      <c r="B148" s="104"/>
      <c r="C148" s="114" t="s">
        <v>15</v>
      </c>
      <c r="D148" s="104" t="s">
        <v>863</v>
      </c>
      <c r="E148" s="105">
        <v>42685</v>
      </c>
      <c r="F148" s="106" t="s">
        <v>2564</v>
      </c>
      <c r="G148" s="96">
        <v>7485141.54</v>
      </c>
    </row>
    <row r="149" spans="1:7" x14ac:dyDescent="0.25">
      <c r="A149" s="2"/>
      <c r="B149" s="104"/>
      <c r="C149" s="114" t="s">
        <v>214</v>
      </c>
      <c r="D149" s="104" t="s">
        <v>866</v>
      </c>
      <c r="E149" s="105">
        <v>42797</v>
      </c>
      <c r="F149" s="106" t="s">
        <v>2565</v>
      </c>
      <c r="G149" s="96">
        <v>3316301.42</v>
      </c>
    </row>
    <row r="150" spans="1:7" x14ac:dyDescent="0.25">
      <c r="A150" s="2"/>
      <c r="B150" s="104"/>
      <c r="C150" s="114" t="s">
        <v>218</v>
      </c>
      <c r="D150" s="104" t="s">
        <v>863</v>
      </c>
      <c r="E150" s="105">
        <v>42810</v>
      </c>
      <c r="F150" s="106" t="s">
        <v>2567</v>
      </c>
      <c r="G150" s="96">
        <v>2597069.37</v>
      </c>
    </row>
    <row r="151" spans="1:7" x14ac:dyDescent="0.25">
      <c r="A151" s="2"/>
      <c r="B151" s="104"/>
      <c r="C151" s="114" t="s">
        <v>220</v>
      </c>
      <c r="D151" s="104" t="s">
        <v>863</v>
      </c>
      <c r="E151" s="105">
        <v>42810</v>
      </c>
      <c r="F151" s="106" t="s">
        <v>2566</v>
      </c>
      <c r="G151" s="96">
        <v>4026555.41</v>
      </c>
    </row>
    <row r="152" spans="1:7" x14ac:dyDescent="0.25">
      <c r="A152" s="104" t="s">
        <v>1036</v>
      </c>
      <c r="G152" s="96">
        <v>60286894.810000002</v>
      </c>
    </row>
    <row r="153" spans="1:7" x14ac:dyDescent="0.25">
      <c r="A153" s="104"/>
      <c r="G153" s="96"/>
    </row>
    <row r="154" spans="1:7" x14ac:dyDescent="0.25">
      <c r="A154" s="104" t="s">
        <v>597</v>
      </c>
      <c r="G154" s="96"/>
    </row>
    <row r="155" spans="1:7" ht="45" x14ac:dyDescent="0.25">
      <c r="A155" s="107" t="s">
        <v>596</v>
      </c>
      <c r="B155" s="107"/>
      <c r="C155" s="107"/>
      <c r="D155" s="107"/>
      <c r="E155" s="107"/>
      <c r="F155" s="107"/>
      <c r="G155" s="96"/>
    </row>
    <row r="156" spans="1:7" x14ac:dyDescent="0.25">
      <c r="A156" s="115" t="s">
        <v>259</v>
      </c>
      <c r="B156" s="104" t="s">
        <v>1037</v>
      </c>
      <c r="C156" s="120">
        <v>0.98</v>
      </c>
      <c r="D156" s="120"/>
      <c r="E156" s="120"/>
      <c r="F156" s="120"/>
      <c r="G156" s="96"/>
    </row>
    <row r="157" spans="1:7" x14ac:dyDescent="0.25">
      <c r="A157" s="2"/>
      <c r="B157" s="104"/>
      <c r="C157" s="114" t="s">
        <v>23</v>
      </c>
      <c r="D157" s="104" t="s">
        <v>863</v>
      </c>
      <c r="E157" s="105">
        <v>42502</v>
      </c>
      <c r="F157" s="106"/>
      <c r="G157" s="96">
        <v>23967807.09</v>
      </c>
    </row>
    <row r="158" spans="1:7" x14ac:dyDescent="0.25">
      <c r="A158" s="2"/>
      <c r="B158" s="104"/>
      <c r="C158" s="114" t="s">
        <v>103</v>
      </c>
      <c r="D158" s="104" t="s">
        <v>863</v>
      </c>
      <c r="E158" s="105">
        <v>42632</v>
      </c>
      <c r="F158" s="106" t="s">
        <v>1348</v>
      </c>
      <c r="G158" s="96">
        <v>4386972.05</v>
      </c>
    </row>
    <row r="159" spans="1:7" x14ac:dyDescent="0.25">
      <c r="A159" s="2"/>
      <c r="B159" s="104"/>
      <c r="C159" s="114" t="s">
        <v>221</v>
      </c>
      <c r="D159" s="104" t="s">
        <v>863</v>
      </c>
      <c r="E159" s="105">
        <v>42643</v>
      </c>
      <c r="F159" s="106" t="s">
        <v>1370</v>
      </c>
      <c r="G159" s="96">
        <v>1593206</v>
      </c>
    </row>
    <row r="160" spans="1:7" x14ac:dyDescent="0.25">
      <c r="A160" s="2"/>
      <c r="B160" s="104"/>
      <c r="C160" s="114" t="s">
        <v>55</v>
      </c>
      <c r="D160" s="104" t="s">
        <v>863</v>
      </c>
      <c r="E160" s="105">
        <v>42643</v>
      </c>
      <c r="F160" s="106" t="s">
        <v>1371</v>
      </c>
      <c r="G160" s="96">
        <v>6856205.96</v>
      </c>
    </row>
    <row r="161" spans="1:7" x14ac:dyDescent="0.25">
      <c r="A161" s="2"/>
      <c r="B161" s="104"/>
      <c r="C161" s="114" t="s">
        <v>215</v>
      </c>
      <c r="D161" s="104" t="s">
        <v>863</v>
      </c>
      <c r="E161" s="105">
        <v>42653</v>
      </c>
      <c r="F161" s="106" t="s">
        <v>1335</v>
      </c>
      <c r="G161" s="96">
        <v>2569034.7400000002</v>
      </c>
    </row>
    <row r="162" spans="1:7" x14ac:dyDescent="0.25">
      <c r="A162" s="2"/>
      <c r="B162" s="104"/>
      <c r="C162" s="114" t="s">
        <v>15</v>
      </c>
      <c r="D162" s="104" t="s">
        <v>863</v>
      </c>
      <c r="E162" s="105">
        <v>42685</v>
      </c>
      <c r="F162" s="106" t="s">
        <v>1038</v>
      </c>
      <c r="G162" s="96">
        <v>5126808.22</v>
      </c>
    </row>
    <row r="163" spans="1:7" x14ac:dyDescent="0.25">
      <c r="A163" s="2"/>
      <c r="B163" s="104"/>
      <c r="C163" s="114" t="s">
        <v>214</v>
      </c>
      <c r="D163" s="104" t="s">
        <v>863</v>
      </c>
      <c r="E163" s="105">
        <v>42723</v>
      </c>
      <c r="F163" s="106" t="s">
        <v>1559</v>
      </c>
      <c r="G163" s="96">
        <v>6906926.4199999999</v>
      </c>
    </row>
    <row r="164" spans="1:7" x14ac:dyDescent="0.25">
      <c r="A164" s="2"/>
      <c r="B164" s="104"/>
      <c r="C164" s="114" t="s">
        <v>218</v>
      </c>
      <c r="D164" s="104" t="s">
        <v>863</v>
      </c>
      <c r="E164" s="105">
        <v>42758</v>
      </c>
      <c r="F164" s="106" t="s">
        <v>1826</v>
      </c>
      <c r="G164" s="96">
        <v>4217678.46</v>
      </c>
    </row>
    <row r="165" spans="1:7" x14ac:dyDescent="0.25">
      <c r="A165" s="2"/>
      <c r="B165" s="104"/>
      <c r="C165" s="114" t="s">
        <v>220</v>
      </c>
      <c r="D165" s="104" t="s">
        <v>863</v>
      </c>
      <c r="E165" s="105">
        <v>42760</v>
      </c>
      <c r="F165" s="106" t="s">
        <v>1885</v>
      </c>
      <c r="G165" s="96">
        <v>2478782.04</v>
      </c>
    </row>
    <row r="166" spans="1:7" x14ac:dyDescent="0.25">
      <c r="A166" s="2"/>
      <c r="B166" s="104"/>
      <c r="C166" s="114" t="s">
        <v>748</v>
      </c>
      <c r="D166" s="104" t="s">
        <v>863</v>
      </c>
      <c r="E166" s="105">
        <v>42803</v>
      </c>
      <c r="F166" s="106" t="s">
        <v>2441</v>
      </c>
      <c r="G166" s="96">
        <v>6554584.2699999996</v>
      </c>
    </row>
    <row r="167" spans="1:7" x14ac:dyDescent="0.25">
      <c r="A167" s="2"/>
      <c r="B167" s="104"/>
      <c r="C167" s="114" t="s">
        <v>249</v>
      </c>
      <c r="D167" s="104" t="s">
        <v>863</v>
      </c>
      <c r="E167" s="105">
        <v>42803</v>
      </c>
      <c r="F167" s="106" t="s">
        <v>2442</v>
      </c>
      <c r="G167" s="96">
        <v>9314330.2100000009</v>
      </c>
    </row>
    <row r="168" spans="1:7" x14ac:dyDescent="0.25">
      <c r="A168" s="2"/>
      <c r="B168" s="104"/>
      <c r="C168" s="114" t="s">
        <v>264</v>
      </c>
      <c r="D168" s="104" t="s">
        <v>774</v>
      </c>
      <c r="E168" s="105">
        <v>42811</v>
      </c>
      <c r="F168" s="106" t="s">
        <v>1539</v>
      </c>
      <c r="G168" s="96">
        <v>4235243.3</v>
      </c>
    </row>
    <row r="169" spans="1:7" x14ac:dyDescent="0.25">
      <c r="A169" s="104" t="s">
        <v>1039</v>
      </c>
      <c r="G169" s="96">
        <v>78207578.760000005</v>
      </c>
    </row>
    <row r="170" spans="1:7" x14ac:dyDescent="0.25">
      <c r="A170" s="104"/>
      <c r="G170" s="96"/>
    </row>
    <row r="171" spans="1:7" x14ac:dyDescent="0.25">
      <c r="A171" s="104" t="s">
        <v>542</v>
      </c>
      <c r="G171" s="96"/>
    </row>
    <row r="172" spans="1:7" ht="30" x14ac:dyDescent="0.25">
      <c r="A172" s="107" t="s">
        <v>768</v>
      </c>
      <c r="B172" s="107"/>
      <c r="C172" s="107"/>
      <c r="D172" s="107"/>
      <c r="E172" s="107"/>
      <c r="F172" s="107"/>
      <c r="G172" s="96"/>
    </row>
    <row r="173" spans="1:7" x14ac:dyDescent="0.25">
      <c r="A173" s="115" t="s">
        <v>391</v>
      </c>
      <c r="B173" s="104" t="s">
        <v>1372</v>
      </c>
      <c r="C173" s="120">
        <v>0.8</v>
      </c>
      <c r="D173" s="120"/>
      <c r="E173" s="120"/>
      <c r="F173" s="120"/>
      <c r="G173" s="96"/>
    </row>
    <row r="174" spans="1:7" x14ac:dyDescent="0.25">
      <c r="A174" s="2"/>
      <c r="B174" s="104"/>
      <c r="C174" s="114" t="s">
        <v>23</v>
      </c>
      <c r="D174" s="104" t="s">
        <v>863</v>
      </c>
      <c r="E174" s="105">
        <v>42487</v>
      </c>
      <c r="F174" s="106"/>
      <c r="G174" s="96">
        <v>19101743.73</v>
      </c>
    </row>
    <row r="175" spans="1:7" x14ac:dyDescent="0.25">
      <c r="A175" s="2"/>
      <c r="B175" s="104"/>
      <c r="C175" s="114" t="s">
        <v>103</v>
      </c>
      <c r="D175" s="104" t="s">
        <v>863</v>
      </c>
      <c r="E175" s="105">
        <v>42653</v>
      </c>
      <c r="F175" s="106" t="s">
        <v>1373</v>
      </c>
      <c r="G175" s="96">
        <v>25211.64</v>
      </c>
    </row>
    <row r="176" spans="1:7" x14ac:dyDescent="0.25">
      <c r="A176" s="2"/>
      <c r="B176" s="104"/>
      <c r="C176" s="114" t="s">
        <v>221</v>
      </c>
      <c r="D176" s="104" t="s">
        <v>863</v>
      </c>
      <c r="E176" s="105">
        <v>42653</v>
      </c>
      <c r="F176" s="106" t="s">
        <v>1374</v>
      </c>
      <c r="G176" s="96">
        <v>1801465.65</v>
      </c>
    </row>
    <row r="177" spans="1:7" x14ac:dyDescent="0.25">
      <c r="A177" s="2"/>
      <c r="B177" s="104"/>
      <c r="C177" s="114" t="s">
        <v>55</v>
      </c>
      <c r="D177" s="104" t="s">
        <v>863</v>
      </c>
      <c r="E177" s="105">
        <v>42671</v>
      </c>
      <c r="F177" s="106" t="s">
        <v>1375</v>
      </c>
      <c r="G177" s="96">
        <v>1599611.51</v>
      </c>
    </row>
    <row r="178" spans="1:7" x14ac:dyDescent="0.25">
      <c r="A178" s="2"/>
      <c r="B178" s="104"/>
      <c r="C178" s="114" t="s">
        <v>215</v>
      </c>
      <c r="D178" s="104" t="s">
        <v>863</v>
      </c>
      <c r="E178" s="105">
        <v>42734</v>
      </c>
      <c r="F178" s="106" t="s">
        <v>1844</v>
      </c>
      <c r="G178" s="96">
        <v>3540405.68</v>
      </c>
    </row>
    <row r="179" spans="1:7" x14ac:dyDescent="0.25">
      <c r="A179" s="2"/>
      <c r="B179" s="104"/>
      <c r="C179" s="114" t="s">
        <v>15</v>
      </c>
      <c r="D179" s="104" t="s">
        <v>863</v>
      </c>
      <c r="E179" s="105">
        <v>42734</v>
      </c>
      <c r="F179" s="106" t="s">
        <v>1845</v>
      </c>
      <c r="G179" s="96">
        <v>3465456</v>
      </c>
    </row>
    <row r="180" spans="1:7" x14ac:dyDescent="0.25">
      <c r="A180" s="2"/>
      <c r="B180" s="104"/>
      <c r="C180" s="114" t="s">
        <v>214</v>
      </c>
      <c r="D180" s="104" t="s">
        <v>863</v>
      </c>
      <c r="E180" s="105">
        <v>42734</v>
      </c>
      <c r="F180" s="106" t="s">
        <v>1846</v>
      </c>
      <c r="G180" s="96">
        <v>6956930.2699999996</v>
      </c>
    </row>
    <row r="181" spans="1:7" x14ac:dyDescent="0.25">
      <c r="A181" s="2"/>
      <c r="B181" s="104"/>
      <c r="C181" s="114" t="s">
        <v>218</v>
      </c>
      <c r="D181" s="104" t="s">
        <v>863</v>
      </c>
      <c r="E181" s="105">
        <v>42762</v>
      </c>
      <c r="F181" s="106" t="s">
        <v>1953</v>
      </c>
      <c r="G181" s="96">
        <v>10581231.1</v>
      </c>
    </row>
    <row r="182" spans="1:7" x14ac:dyDescent="0.25">
      <c r="A182" s="2"/>
      <c r="B182" s="104"/>
      <c r="C182" s="114" t="s">
        <v>220</v>
      </c>
      <c r="D182" s="104" t="s">
        <v>866</v>
      </c>
      <c r="E182" s="105">
        <v>42801</v>
      </c>
      <c r="F182" s="106" t="s">
        <v>2386</v>
      </c>
      <c r="G182" s="96">
        <v>7461832.46</v>
      </c>
    </row>
    <row r="183" spans="1:7" x14ac:dyDescent="0.25">
      <c r="A183" s="104" t="s">
        <v>1376</v>
      </c>
      <c r="G183" s="96">
        <v>54533888.039999999</v>
      </c>
    </row>
    <row r="184" spans="1:7" x14ac:dyDescent="0.25">
      <c r="A184" s="104"/>
      <c r="G184" s="96"/>
    </row>
    <row r="185" spans="1:7" x14ac:dyDescent="0.25">
      <c r="A185" s="104" t="s">
        <v>554</v>
      </c>
      <c r="G185" s="96"/>
    </row>
    <row r="186" spans="1:7" ht="60" x14ac:dyDescent="0.25">
      <c r="A186" s="107" t="s">
        <v>853</v>
      </c>
      <c r="B186" s="107"/>
      <c r="C186" s="107"/>
      <c r="D186" s="107"/>
      <c r="E186" s="107"/>
      <c r="F186" s="107"/>
      <c r="G186" s="96"/>
    </row>
    <row r="187" spans="1:7" x14ac:dyDescent="0.25">
      <c r="A187" s="115" t="s">
        <v>854</v>
      </c>
      <c r="B187" s="104" t="s">
        <v>1040</v>
      </c>
      <c r="C187" s="120">
        <v>0.93</v>
      </c>
      <c r="D187" s="120"/>
      <c r="E187" s="120"/>
      <c r="F187" s="120"/>
      <c r="G187" s="96"/>
    </row>
    <row r="188" spans="1:7" x14ac:dyDescent="0.25">
      <c r="A188" s="2"/>
      <c r="B188" s="104"/>
      <c r="C188" s="114" t="s">
        <v>23</v>
      </c>
      <c r="D188" s="104" t="s">
        <v>863</v>
      </c>
      <c r="E188" s="105">
        <v>42502</v>
      </c>
      <c r="F188" s="106"/>
      <c r="G188" s="96">
        <v>33872852.469999999</v>
      </c>
    </row>
    <row r="189" spans="1:7" x14ac:dyDescent="0.25">
      <c r="A189" s="2"/>
      <c r="B189" s="104"/>
      <c r="C189" s="114" t="s">
        <v>103</v>
      </c>
      <c r="D189" s="104" t="s">
        <v>863</v>
      </c>
      <c r="E189" s="105">
        <v>42685</v>
      </c>
      <c r="F189" s="106" t="s">
        <v>1041</v>
      </c>
      <c r="G189" s="96">
        <v>9068283.2300000004</v>
      </c>
    </row>
    <row r="190" spans="1:7" x14ac:dyDescent="0.25">
      <c r="A190" s="2"/>
      <c r="B190" s="104"/>
      <c r="C190" s="114" t="s">
        <v>221</v>
      </c>
      <c r="D190" s="104" t="s">
        <v>863</v>
      </c>
      <c r="E190" s="105">
        <v>42720</v>
      </c>
      <c r="F190" s="106" t="s">
        <v>1042</v>
      </c>
      <c r="G190" s="96">
        <v>9644216.4399999995</v>
      </c>
    </row>
    <row r="191" spans="1:7" x14ac:dyDescent="0.25">
      <c r="A191" s="2"/>
      <c r="B191" s="104"/>
      <c r="C191" s="114" t="s">
        <v>55</v>
      </c>
      <c r="D191" s="104" t="s">
        <v>863</v>
      </c>
      <c r="E191" s="105">
        <v>42755</v>
      </c>
      <c r="F191" s="106" t="s">
        <v>1827</v>
      </c>
      <c r="G191" s="96">
        <v>6295758.9699999997</v>
      </c>
    </row>
    <row r="192" spans="1:7" x14ac:dyDescent="0.25">
      <c r="A192" s="2"/>
      <c r="B192" s="104"/>
      <c r="C192" s="114" t="s">
        <v>215</v>
      </c>
      <c r="D192" s="104" t="s">
        <v>863</v>
      </c>
      <c r="E192" s="105">
        <v>42755</v>
      </c>
      <c r="F192" s="106" t="s">
        <v>1847</v>
      </c>
      <c r="G192" s="96">
        <v>8939336.3699999992</v>
      </c>
    </row>
    <row r="193" spans="1:7" x14ac:dyDescent="0.25">
      <c r="A193" s="2"/>
      <c r="B193" s="104"/>
      <c r="C193" s="114" t="s">
        <v>15</v>
      </c>
      <c r="D193" s="104" t="s">
        <v>863</v>
      </c>
      <c r="E193" s="105">
        <v>42729</v>
      </c>
      <c r="F193" s="106" t="s">
        <v>1334</v>
      </c>
      <c r="G193" s="96">
        <v>9581010.0899999999</v>
      </c>
    </row>
    <row r="194" spans="1:7" x14ac:dyDescent="0.25">
      <c r="A194" s="2"/>
      <c r="B194" s="104"/>
      <c r="C194" s="114" t="s">
        <v>214</v>
      </c>
      <c r="D194" s="104" t="s">
        <v>863</v>
      </c>
      <c r="E194" s="105">
        <v>42762</v>
      </c>
      <c r="F194" s="106" t="s">
        <v>1954</v>
      </c>
      <c r="G194" s="96">
        <v>16893869.350000001</v>
      </c>
    </row>
    <row r="195" spans="1:7" x14ac:dyDescent="0.25">
      <c r="A195" s="2"/>
      <c r="B195" s="104"/>
      <c r="C195" s="114" t="s">
        <v>218</v>
      </c>
      <c r="D195" s="104" t="s">
        <v>863</v>
      </c>
      <c r="E195" s="105">
        <v>42803</v>
      </c>
      <c r="F195" s="106" t="s">
        <v>2092</v>
      </c>
      <c r="G195" s="96">
        <v>5644173.4299999997</v>
      </c>
    </row>
    <row r="196" spans="1:7" x14ac:dyDescent="0.25">
      <c r="A196" s="2"/>
      <c r="B196" s="104"/>
      <c r="C196" s="114" t="s">
        <v>220</v>
      </c>
      <c r="D196" s="104" t="s">
        <v>865</v>
      </c>
      <c r="E196" s="105">
        <v>42810</v>
      </c>
      <c r="F196" s="106" t="s">
        <v>2485</v>
      </c>
      <c r="G196" s="96">
        <v>7084067.04</v>
      </c>
    </row>
    <row r="197" spans="1:7" x14ac:dyDescent="0.25">
      <c r="A197" s="104" t="s">
        <v>1043</v>
      </c>
      <c r="G197" s="96">
        <v>107023567.39</v>
      </c>
    </row>
    <row r="198" spans="1:7" x14ac:dyDescent="0.25">
      <c r="A198" s="104"/>
      <c r="G198" s="96"/>
    </row>
    <row r="199" spans="1:7" x14ac:dyDescent="0.25">
      <c r="A199" s="104" t="s">
        <v>586</v>
      </c>
      <c r="G199" s="96"/>
    </row>
    <row r="200" spans="1:7" ht="30" x14ac:dyDescent="0.25">
      <c r="A200" s="107" t="s">
        <v>585</v>
      </c>
      <c r="B200" s="107"/>
      <c r="C200" s="107"/>
      <c r="D200" s="107"/>
      <c r="E200" s="107"/>
      <c r="F200" s="107"/>
      <c r="G200" s="96"/>
    </row>
    <row r="201" spans="1:7" x14ac:dyDescent="0.25">
      <c r="A201" s="115" t="s">
        <v>587</v>
      </c>
      <c r="B201" s="104" t="s">
        <v>1377</v>
      </c>
      <c r="C201" s="120">
        <v>0.74</v>
      </c>
      <c r="D201" s="120"/>
      <c r="E201" s="120"/>
      <c r="F201" s="120"/>
      <c r="G201" s="96"/>
    </row>
    <row r="202" spans="1:7" x14ac:dyDescent="0.25">
      <c r="A202" s="2"/>
      <c r="B202" s="104"/>
      <c r="C202" s="114" t="s">
        <v>23</v>
      </c>
      <c r="D202" s="104" t="s">
        <v>863</v>
      </c>
      <c r="E202" s="105">
        <v>42510</v>
      </c>
      <c r="F202" s="106"/>
      <c r="G202" s="96">
        <v>23670656.440000001</v>
      </c>
    </row>
    <row r="203" spans="1:7" x14ac:dyDescent="0.25">
      <c r="A203" s="2"/>
      <c r="B203" s="104"/>
      <c r="C203" s="114" t="s">
        <v>103</v>
      </c>
      <c r="D203" s="104" t="s">
        <v>863</v>
      </c>
      <c r="E203" s="105">
        <v>42593</v>
      </c>
      <c r="F203" s="106" t="s">
        <v>1379</v>
      </c>
      <c r="G203" s="96">
        <v>5813653.0899999999</v>
      </c>
    </row>
    <row r="204" spans="1:7" x14ac:dyDescent="0.25">
      <c r="A204" s="2"/>
      <c r="B204" s="104"/>
      <c r="C204" s="114" t="s">
        <v>221</v>
      </c>
      <c r="D204" s="104" t="s">
        <v>863</v>
      </c>
      <c r="E204" s="105">
        <v>42593</v>
      </c>
      <c r="F204" s="106" t="s">
        <v>1380</v>
      </c>
      <c r="G204" s="96">
        <v>7532256.5899999999</v>
      </c>
    </row>
    <row r="205" spans="1:7" x14ac:dyDescent="0.25">
      <c r="A205" s="2"/>
      <c r="B205" s="104"/>
      <c r="C205" s="114" t="s">
        <v>55</v>
      </c>
      <c r="D205" s="104" t="s">
        <v>863</v>
      </c>
      <c r="E205" s="105">
        <v>42632</v>
      </c>
      <c r="F205" s="106" t="s">
        <v>1381</v>
      </c>
      <c r="G205" s="96">
        <v>9351266.3499999996</v>
      </c>
    </row>
    <row r="206" spans="1:7" x14ac:dyDescent="0.25">
      <c r="A206" s="2"/>
      <c r="B206" s="104"/>
      <c r="C206" s="114" t="s">
        <v>215</v>
      </c>
      <c r="D206" s="104" t="s">
        <v>863</v>
      </c>
      <c r="E206" s="105">
        <v>42632</v>
      </c>
      <c r="F206" s="106" t="s">
        <v>1382</v>
      </c>
      <c r="G206" s="96">
        <v>2797468.43</v>
      </c>
    </row>
    <row r="207" spans="1:7" x14ac:dyDescent="0.25">
      <c r="A207" s="2"/>
      <c r="B207" s="104"/>
      <c r="C207" s="114" t="s">
        <v>15</v>
      </c>
      <c r="D207" s="104" t="s">
        <v>863</v>
      </c>
      <c r="E207" s="105">
        <v>42671</v>
      </c>
      <c r="F207" s="106" t="s">
        <v>1383</v>
      </c>
      <c r="G207" s="96">
        <v>9105258.5600000005</v>
      </c>
    </row>
    <row r="208" spans="1:7" x14ac:dyDescent="0.25">
      <c r="A208" s="104" t="s">
        <v>1384</v>
      </c>
      <c r="G208" s="96">
        <v>58270559.460000001</v>
      </c>
    </row>
    <row r="209" spans="1:7" x14ac:dyDescent="0.25">
      <c r="A209" s="104"/>
      <c r="G209" s="96"/>
    </row>
    <row r="210" spans="1:7" x14ac:dyDescent="0.25">
      <c r="A210" s="104" t="s">
        <v>590</v>
      </c>
      <c r="G210" s="96"/>
    </row>
    <row r="211" spans="1:7" ht="60" x14ac:dyDescent="0.25">
      <c r="A211" s="107" t="s">
        <v>589</v>
      </c>
      <c r="B211" s="107"/>
      <c r="C211" s="107"/>
      <c r="D211" s="107"/>
      <c r="E211" s="107"/>
      <c r="F211" s="107"/>
      <c r="G211" s="96"/>
    </row>
    <row r="212" spans="1:7" x14ac:dyDescent="0.25">
      <c r="A212" s="115" t="s">
        <v>351</v>
      </c>
      <c r="B212" s="104" t="s">
        <v>1044</v>
      </c>
      <c r="C212" s="120">
        <v>0.9</v>
      </c>
      <c r="D212" s="120"/>
      <c r="E212" s="120"/>
      <c r="F212" s="120"/>
      <c r="G212" s="96"/>
    </row>
    <row r="213" spans="1:7" x14ac:dyDescent="0.25">
      <c r="A213" s="2"/>
      <c r="B213" s="104"/>
      <c r="C213" s="114" t="s">
        <v>23</v>
      </c>
      <c r="D213" s="104" t="s">
        <v>863</v>
      </c>
      <c r="E213" s="105">
        <v>42510</v>
      </c>
      <c r="F213" s="106"/>
      <c r="G213" s="96">
        <v>10142948.15</v>
      </c>
    </row>
    <row r="214" spans="1:7" x14ac:dyDescent="0.25">
      <c r="A214" s="2"/>
      <c r="B214" s="104"/>
      <c r="C214" s="114" t="s">
        <v>103</v>
      </c>
      <c r="D214" s="104" t="s">
        <v>863</v>
      </c>
      <c r="E214" s="105">
        <v>42643</v>
      </c>
      <c r="F214" s="106" t="s">
        <v>1385</v>
      </c>
      <c r="G214" s="96">
        <v>3489094.88</v>
      </c>
    </row>
    <row r="215" spans="1:7" x14ac:dyDescent="0.25">
      <c r="A215" s="2"/>
      <c r="B215" s="104"/>
      <c r="C215" s="114" t="s">
        <v>221</v>
      </c>
      <c r="D215" s="104" t="s">
        <v>863</v>
      </c>
      <c r="E215" s="105">
        <v>42720</v>
      </c>
      <c r="F215" s="106" t="s">
        <v>1045</v>
      </c>
      <c r="G215" s="96">
        <v>6990408.2000000002</v>
      </c>
    </row>
    <row r="216" spans="1:7" x14ac:dyDescent="0.25">
      <c r="A216" s="2"/>
      <c r="B216" s="104"/>
      <c r="C216" s="114" t="s">
        <v>55</v>
      </c>
      <c r="D216" s="104" t="s">
        <v>863</v>
      </c>
      <c r="E216" s="105">
        <v>42769</v>
      </c>
      <c r="F216" s="106" t="s">
        <v>1955</v>
      </c>
      <c r="G216" s="96">
        <v>6776234.3099999996</v>
      </c>
    </row>
    <row r="217" spans="1:7" x14ac:dyDescent="0.25">
      <c r="A217" s="2"/>
      <c r="B217" s="104"/>
      <c r="C217" s="114" t="s">
        <v>215</v>
      </c>
      <c r="D217" s="104" t="s">
        <v>863</v>
      </c>
      <c r="E217" s="105">
        <v>42762</v>
      </c>
      <c r="F217" s="106" t="s">
        <v>1541</v>
      </c>
      <c r="G217" s="96">
        <v>3882047.27</v>
      </c>
    </row>
    <row r="218" spans="1:7" x14ac:dyDescent="0.25">
      <c r="A218" s="104" t="s">
        <v>1046</v>
      </c>
      <c r="G218" s="96">
        <v>31280732.809999999</v>
      </c>
    </row>
    <row r="219" spans="1:7" x14ac:dyDescent="0.25">
      <c r="A219" s="104"/>
      <c r="G219" s="96"/>
    </row>
    <row r="220" spans="1:7" x14ac:dyDescent="0.25">
      <c r="A220" s="104" t="s">
        <v>566</v>
      </c>
      <c r="G220" s="96"/>
    </row>
    <row r="221" spans="1:7" ht="60" x14ac:dyDescent="0.25">
      <c r="A221" s="107" t="s">
        <v>720</v>
      </c>
      <c r="B221" s="107"/>
      <c r="C221" s="107"/>
      <c r="D221" s="107"/>
      <c r="E221" s="107"/>
      <c r="F221" s="107"/>
      <c r="G221" s="96"/>
    </row>
    <row r="222" spans="1:7" x14ac:dyDescent="0.25">
      <c r="A222" s="115" t="s">
        <v>721</v>
      </c>
      <c r="B222" s="104" t="s">
        <v>1386</v>
      </c>
      <c r="C222" s="120">
        <v>0.97</v>
      </c>
      <c r="D222" s="120"/>
      <c r="E222" s="120"/>
      <c r="F222" s="120"/>
      <c r="G222" s="96"/>
    </row>
    <row r="223" spans="1:7" x14ac:dyDescent="0.25">
      <c r="A223" s="2"/>
      <c r="B223" s="104"/>
      <c r="C223" s="114" t="s">
        <v>23</v>
      </c>
      <c r="D223" s="104" t="s">
        <v>863</v>
      </c>
      <c r="E223" s="105">
        <v>42515</v>
      </c>
      <c r="F223" s="106"/>
      <c r="G223" s="96">
        <v>6404819.3600000003</v>
      </c>
    </row>
    <row r="224" spans="1:7" x14ac:dyDescent="0.25">
      <c r="A224" s="2"/>
      <c r="B224" s="104"/>
      <c r="C224" s="114" t="s">
        <v>103</v>
      </c>
      <c r="D224" s="104" t="s">
        <v>863</v>
      </c>
      <c r="E224" s="105">
        <v>42632</v>
      </c>
      <c r="F224" s="106" t="s">
        <v>1387</v>
      </c>
      <c r="G224" s="96">
        <v>2215058.19</v>
      </c>
    </row>
    <row r="225" spans="1:7" x14ac:dyDescent="0.25">
      <c r="A225" s="2"/>
      <c r="B225" s="104"/>
      <c r="C225" s="114" t="s">
        <v>221</v>
      </c>
      <c r="D225" s="104" t="s">
        <v>863</v>
      </c>
      <c r="E225" s="105">
        <v>42635</v>
      </c>
      <c r="F225" s="106" t="s">
        <v>1388</v>
      </c>
      <c r="G225" s="96">
        <v>2112624.52</v>
      </c>
    </row>
    <row r="226" spans="1:7" x14ac:dyDescent="0.25">
      <c r="A226" s="2"/>
      <c r="B226" s="104"/>
      <c r="C226" s="114" t="s">
        <v>55</v>
      </c>
      <c r="D226" s="104" t="s">
        <v>863</v>
      </c>
      <c r="E226" s="105">
        <v>42643</v>
      </c>
      <c r="F226" s="106" t="s">
        <v>1389</v>
      </c>
      <c r="G226" s="96">
        <v>1768875.23</v>
      </c>
    </row>
    <row r="227" spans="1:7" x14ac:dyDescent="0.25">
      <c r="A227" s="2"/>
      <c r="B227" s="104"/>
      <c r="C227" s="114" t="s">
        <v>215</v>
      </c>
      <c r="D227" s="104" t="s">
        <v>863</v>
      </c>
      <c r="E227" s="105">
        <v>42712</v>
      </c>
      <c r="F227" s="106" t="s">
        <v>1390</v>
      </c>
      <c r="G227" s="96">
        <v>7261201.5700000003</v>
      </c>
    </row>
    <row r="228" spans="1:7" x14ac:dyDescent="0.25">
      <c r="A228" s="2"/>
      <c r="B228" s="104"/>
      <c r="C228" s="114" t="s">
        <v>15</v>
      </c>
      <c r="D228" s="104" t="s">
        <v>863</v>
      </c>
      <c r="E228" s="105">
        <v>42780</v>
      </c>
      <c r="F228" s="106" t="s">
        <v>1181</v>
      </c>
      <c r="G228" s="96">
        <v>791810.66</v>
      </c>
    </row>
    <row r="229" spans="1:7" x14ac:dyDescent="0.25">
      <c r="A229" s="104" t="s">
        <v>1391</v>
      </c>
      <c r="G229" s="96">
        <v>20554389.530000001</v>
      </c>
    </row>
    <row r="230" spans="1:7" x14ac:dyDescent="0.25">
      <c r="A230" s="104"/>
      <c r="G230" s="96"/>
    </row>
    <row r="231" spans="1:7" x14ac:dyDescent="0.25">
      <c r="A231" s="104" t="s">
        <v>574</v>
      </c>
      <c r="G231" s="96"/>
    </row>
    <row r="232" spans="1:7" ht="75" x14ac:dyDescent="0.25">
      <c r="A232" s="107" t="s">
        <v>727</v>
      </c>
      <c r="B232" s="107"/>
      <c r="C232" s="107"/>
      <c r="D232" s="107"/>
      <c r="E232" s="107"/>
      <c r="F232" s="107"/>
      <c r="G232" s="96"/>
    </row>
    <row r="233" spans="1:7" x14ac:dyDescent="0.25">
      <c r="A233" s="115" t="s">
        <v>575</v>
      </c>
      <c r="B233" s="104" t="s">
        <v>1392</v>
      </c>
      <c r="C233" s="120">
        <v>1</v>
      </c>
      <c r="D233" s="120"/>
      <c r="E233" s="120"/>
      <c r="F233" s="120"/>
      <c r="G233" s="96"/>
    </row>
    <row r="234" spans="1:7" x14ac:dyDescent="0.25">
      <c r="A234" s="2"/>
      <c r="B234" s="104"/>
      <c r="C234" s="114" t="s">
        <v>23</v>
      </c>
      <c r="D234" s="104" t="s">
        <v>863</v>
      </c>
      <c r="E234" s="105">
        <v>42510</v>
      </c>
      <c r="F234" s="106"/>
      <c r="G234" s="96">
        <v>3539994.42</v>
      </c>
    </row>
    <row r="235" spans="1:7" x14ac:dyDescent="0.25">
      <c r="A235" s="2"/>
      <c r="B235" s="104"/>
      <c r="C235" s="114" t="s">
        <v>103</v>
      </c>
      <c r="D235" s="104" t="s">
        <v>863</v>
      </c>
      <c r="E235" s="105">
        <v>42632</v>
      </c>
      <c r="F235" s="106" t="s">
        <v>1393</v>
      </c>
      <c r="G235" s="96">
        <v>380728.64</v>
      </c>
    </row>
    <row r="236" spans="1:7" x14ac:dyDescent="0.25">
      <c r="A236" s="2"/>
      <c r="B236" s="104"/>
      <c r="C236" s="114" t="s">
        <v>221</v>
      </c>
      <c r="D236" s="104" t="s">
        <v>863</v>
      </c>
      <c r="E236" s="105">
        <v>42635</v>
      </c>
      <c r="F236" s="106" t="s">
        <v>1394</v>
      </c>
      <c r="G236" s="96">
        <v>3244804.98</v>
      </c>
    </row>
    <row r="237" spans="1:7" x14ac:dyDescent="0.25">
      <c r="A237" s="2"/>
      <c r="B237" s="104"/>
      <c r="C237" s="114" t="s">
        <v>55</v>
      </c>
      <c r="D237" s="104" t="s">
        <v>863</v>
      </c>
      <c r="E237" s="105">
        <v>42725</v>
      </c>
      <c r="F237" s="106" t="s">
        <v>1560</v>
      </c>
      <c r="G237" s="96">
        <v>2508235.9</v>
      </c>
    </row>
    <row r="238" spans="1:7" x14ac:dyDescent="0.25">
      <c r="A238" s="2"/>
      <c r="B238" s="104"/>
      <c r="C238" s="114" t="s">
        <v>215</v>
      </c>
      <c r="D238" s="104" t="s">
        <v>863</v>
      </c>
      <c r="E238" s="105">
        <v>42762</v>
      </c>
      <c r="F238" s="106" t="s">
        <v>1888</v>
      </c>
      <c r="G238" s="96">
        <v>1688283.72</v>
      </c>
    </row>
    <row r="239" spans="1:7" x14ac:dyDescent="0.25">
      <c r="A239" s="2"/>
      <c r="B239" s="104"/>
      <c r="C239" s="114" t="s">
        <v>15</v>
      </c>
      <c r="D239" s="104" t="s">
        <v>866</v>
      </c>
      <c r="E239" s="105">
        <v>42811</v>
      </c>
      <c r="F239" s="106" t="s">
        <v>1889</v>
      </c>
      <c r="G239" s="96">
        <v>349958.92</v>
      </c>
    </row>
    <row r="240" spans="1:7" x14ac:dyDescent="0.25">
      <c r="A240" s="104" t="s">
        <v>1395</v>
      </c>
      <c r="G240" s="96">
        <v>11712006.58</v>
      </c>
    </row>
    <row r="241" spans="1:7" x14ac:dyDescent="0.25">
      <c r="A241" s="104"/>
      <c r="G241" s="96"/>
    </row>
    <row r="242" spans="1:7" x14ac:dyDescent="0.25">
      <c r="A242" s="104" t="s">
        <v>550</v>
      </c>
      <c r="G242" s="96"/>
    </row>
    <row r="243" spans="1:7" ht="60" x14ac:dyDescent="0.25">
      <c r="A243" s="107" t="s">
        <v>744</v>
      </c>
      <c r="B243" s="107"/>
      <c r="C243" s="107"/>
      <c r="D243" s="107"/>
      <c r="E243" s="107"/>
      <c r="F243" s="107"/>
      <c r="G243" s="96"/>
    </row>
    <row r="244" spans="1:7" x14ac:dyDescent="0.25">
      <c r="A244" s="115" t="s">
        <v>745</v>
      </c>
      <c r="B244" s="104" t="s">
        <v>1396</v>
      </c>
      <c r="C244" s="120">
        <v>0.6</v>
      </c>
      <c r="D244" s="120"/>
      <c r="E244" s="120"/>
      <c r="F244" s="120"/>
      <c r="G244" s="96"/>
    </row>
    <row r="245" spans="1:7" x14ac:dyDescent="0.25">
      <c r="A245" s="2"/>
      <c r="B245" s="104"/>
      <c r="C245" s="114" t="s">
        <v>23</v>
      </c>
      <c r="D245" s="104" t="s">
        <v>863</v>
      </c>
      <c r="E245" s="105">
        <v>42510</v>
      </c>
      <c r="F245" s="106"/>
      <c r="G245" s="96">
        <v>4469662.76</v>
      </c>
    </row>
    <row r="246" spans="1:7" x14ac:dyDescent="0.25">
      <c r="A246" s="2"/>
      <c r="B246" s="104"/>
      <c r="C246" s="114" t="s">
        <v>103</v>
      </c>
      <c r="D246" s="104" t="s">
        <v>863</v>
      </c>
      <c r="E246" s="105">
        <v>42643</v>
      </c>
      <c r="F246" s="106" t="s">
        <v>1397</v>
      </c>
      <c r="G246" s="96">
        <v>443352.51</v>
      </c>
    </row>
    <row r="247" spans="1:7" x14ac:dyDescent="0.25">
      <c r="A247" s="2"/>
      <c r="B247" s="104"/>
      <c r="C247" s="114" t="s">
        <v>221</v>
      </c>
      <c r="D247" s="104" t="s">
        <v>863</v>
      </c>
      <c r="E247" s="105">
        <v>42671</v>
      </c>
      <c r="F247" s="106" t="s">
        <v>1180</v>
      </c>
      <c r="G247" s="96">
        <v>1265681.76</v>
      </c>
    </row>
    <row r="248" spans="1:7" x14ac:dyDescent="0.25">
      <c r="A248" s="2"/>
      <c r="B248" s="104"/>
      <c r="C248" s="114" t="s">
        <v>55</v>
      </c>
      <c r="D248" s="104" t="s">
        <v>863</v>
      </c>
      <c r="E248" s="105">
        <v>42762</v>
      </c>
      <c r="F248" s="106" t="s">
        <v>1890</v>
      </c>
      <c r="G248" s="96">
        <v>761398.31</v>
      </c>
    </row>
    <row r="249" spans="1:7" x14ac:dyDescent="0.25">
      <c r="A249" s="2"/>
      <c r="B249" s="104"/>
      <c r="C249" s="114" t="s">
        <v>215</v>
      </c>
      <c r="D249" s="104" t="s">
        <v>863</v>
      </c>
      <c r="E249" s="105">
        <v>42762</v>
      </c>
      <c r="F249" s="106" t="s">
        <v>1956</v>
      </c>
      <c r="G249" s="96">
        <v>2195392.94</v>
      </c>
    </row>
    <row r="250" spans="1:7" x14ac:dyDescent="0.25">
      <c r="A250" s="2"/>
      <c r="B250" s="104"/>
      <c r="C250" s="114" t="s">
        <v>15</v>
      </c>
      <c r="D250" s="104" t="s">
        <v>863</v>
      </c>
      <c r="E250" s="105">
        <v>42780</v>
      </c>
      <c r="F250" s="106" t="s">
        <v>1499</v>
      </c>
      <c r="G250" s="96">
        <v>1576649.18</v>
      </c>
    </row>
    <row r="251" spans="1:7" x14ac:dyDescent="0.25">
      <c r="A251" s="104" t="s">
        <v>1398</v>
      </c>
      <c r="G251" s="96">
        <v>10712137.460000001</v>
      </c>
    </row>
    <row r="252" spans="1:7" x14ac:dyDescent="0.25">
      <c r="A252" s="104"/>
      <c r="G252" s="96"/>
    </row>
    <row r="253" spans="1:7" x14ac:dyDescent="0.25">
      <c r="A253" s="104" t="s">
        <v>562</v>
      </c>
      <c r="G253" s="96"/>
    </row>
    <row r="254" spans="1:7" ht="30" x14ac:dyDescent="0.25">
      <c r="A254" s="107" t="s">
        <v>737</v>
      </c>
      <c r="B254" s="107"/>
      <c r="C254" s="107"/>
      <c r="D254" s="107"/>
      <c r="E254" s="107"/>
      <c r="F254" s="107"/>
      <c r="G254" s="96"/>
    </row>
    <row r="255" spans="1:7" x14ac:dyDescent="0.25">
      <c r="A255" s="115" t="s">
        <v>738</v>
      </c>
      <c r="B255" s="104" t="s">
        <v>1047</v>
      </c>
      <c r="C255" s="120">
        <v>0.94</v>
      </c>
      <c r="D255" s="120"/>
      <c r="E255" s="120"/>
      <c r="F255" s="120"/>
      <c r="G255" s="96"/>
    </row>
    <row r="256" spans="1:7" x14ac:dyDescent="0.25">
      <c r="A256" s="2"/>
      <c r="B256" s="104"/>
      <c r="C256" s="114" t="s">
        <v>23</v>
      </c>
      <c r="D256" s="104" t="s">
        <v>863</v>
      </c>
      <c r="E256" s="105">
        <v>42510</v>
      </c>
      <c r="F256" s="106"/>
      <c r="G256" s="96">
        <v>12114020.26</v>
      </c>
    </row>
    <row r="257" spans="1:7" x14ac:dyDescent="0.25">
      <c r="A257" s="2"/>
      <c r="B257" s="104"/>
      <c r="C257" s="114" t="s">
        <v>103</v>
      </c>
      <c r="D257" s="104" t="s">
        <v>863</v>
      </c>
      <c r="E257" s="105">
        <v>42632</v>
      </c>
      <c r="F257" s="106" t="s">
        <v>1399</v>
      </c>
      <c r="G257" s="96">
        <v>143756.32999999999</v>
      </c>
    </row>
    <row r="258" spans="1:7" x14ac:dyDescent="0.25">
      <c r="A258" s="2"/>
      <c r="B258" s="104"/>
      <c r="C258" s="114" t="s">
        <v>221</v>
      </c>
      <c r="D258" s="104" t="s">
        <v>863</v>
      </c>
      <c r="E258" s="105">
        <v>42633</v>
      </c>
      <c r="F258" s="106" t="s">
        <v>1400</v>
      </c>
      <c r="G258" s="96">
        <v>7186239.6699999999</v>
      </c>
    </row>
    <row r="259" spans="1:7" x14ac:dyDescent="0.25">
      <c r="A259" s="2"/>
      <c r="B259" s="104"/>
      <c r="C259" s="114" t="s">
        <v>55</v>
      </c>
      <c r="D259" s="104" t="s">
        <v>863</v>
      </c>
      <c r="E259" s="105">
        <v>42643</v>
      </c>
      <c r="F259" s="106" t="s">
        <v>1401</v>
      </c>
      <c r="G259" s="96">
        <v>9320622.75</v>
      </c>
    </row>
    <row r="260" spans="1:7" x14ac:dyDescent="0.25">
      <c r="A260" s="2"/>
      <c r="B260" s="104"/>
      <c r="C260" s="114" t="s">
        <v>215</v>
      </c>
      <c r="D260" s="104" t="s">
        <v>863</v>
      </c>
      <c r="E260" s="105">
        <v>42712</v>
      </c>
      <c r="F260" s="106" t="s">
        <v>1049</v>
      </c>
      <c r="G260" s="96">
        <v>1094236.28</v>
      </c>
    </row>
    <row r="261" spans="1:7" x14ac:dyDescent="0.25">
      <c r="A261" s="2"/>
      <c r="B261" s="104"/>
      <c r="C261" s="114" t="s">
        <v>15</v>
      </c>
      <c r="D261" s="104" t="s">
        <v>863</v>
      </c>
      <c r="E261" s="105">
        <v>42712</v>
      </c>
      <c r="F261" s="106" t="s">
        <v>1048</v>
      </c>
      <c r="G261" s="96">
        <v>6582193</v>
      </c>
    </row>
    <row r="262" spans="1:7" x14ac:dyDescent="0.25">
      <c r="A262" s="2"/>
      <c r="B262" s="104"/>
      <c r="C262" s="114" t="s">
        <v>214</v>
      </c>
      <c r="D262" s="104" t="s">
        <v>863</v>
      </c>
      <c r="E262" s="105">
        <v>42762</v>
      </c>
      <c r="F262" s="106" t="s">
        <v>1958</v>
      </c>
      <c r="G262" s="96">
        <v>1455517.84</v>
      </c>
    </row>
    <row r="263" spans="1:7" x14ac:dyDescent="0.25">
      <c r="A263" s="104" t="s">
        <v>1050</v>
      </c>
      <c r="G263" s="96">
        <v>37896586.130000003</v>
      </c>
    </row>
    <row r="264" spans="1:7" x14ac:dyDescent="0.25">
      <c r="A264" s="104"/>
      <c r="G264" s="96"/>
    </row>
    <row r="265" spans="1:7" x14ac:dyDescent="0.25">
      <c r="A265" s="104" t="s">
        <v>600</v>
      </c>
      <c r="G265" s="96"/>
    </row>
    <row r="266" spans="1:7" ht="30" x14ac:dyDescent="0.25">
      <c r="A266" s="107" t="s">
        <v>599</v>
      </c>
      <c r="B266" s="107"/>
      <c r="C266" s="107"/>
      <c r="D266" s="107"/>
      <c r="E266" s="107"/>
      <c r="F266" s="107"/>
      <c r="G266" s="96"/>
    </row>
    <row r="267" spans="1:7" x14ac:dyDescent="0.25">
      <c r="A267" s="115" t="s">
        <v>229</v>
      </c>
      <c r="B267" s="104" t="s">
        <v>1051</v>
      </c>
      <c r="C267" s="120">
        <v>1</v>
      </c>
      <c r="D267" s="120"/>
      <c r="E267" s="120"/>
      <c r="F267" s="120"/>
      <c r="G267" s="96"/>
    </row>
    <row r="268" spans="1:7" x14ac:dyDescent="0.25">
      <c r="A268" s="2"/>
      <c r="B268" s="104"/>
      <c r="C268" s="114" t="s">
        <v>23</v>
      </c>
      <c r="D268" s="104" t="s">
        <v>863</v>
      </c>
      <c r="E268" s="105">
        <v>42510</v>
      </c>
      <c r="F268" s="106"/>
      <c r="G268" s="96">
        <v>7708291.1500000004</v>
      </c>
    </row>
    <row r="269" spans="1:7" x14ac:dyDescent="0.25">
      <c r="A269" s="2"/>
      <c r="B269" s="104"/>
      <c r="C269" s="114" t="s">
        <v>103</v>
      </c>
      <c r="D269" s="104" t="s">
        <v>863</v>
      </c>
      <c r="E269" s="105">
        <v>42663</v>
      </c>
      <c r="F269" s="106" t="s">
        <v>1402</v>
      </c>
      <c r="G269" s="96">
        <v>3261222.24</v>
      </c>
    </row>
    <row r="270" spans="1:7" x14ac:dyDescent="0.25">
      <c r="A270" s="2"/>
      <c r="B270" s="104"/>
      <c r="C270" s="114" t="s">
        <v>221</v>
      </c>
      <c r="D270" s="104" t="s">
        <v>863</v>
      </c>
      <c r="E270" s="105">
        <v>42690</v>
      </c>
      <c r="F270" s="106" t="s">
        <v>1561</v>
      </c>
      <c r="G270" s="96">
        <v>9064173.7799999993</v>
      </c>
    </row>
    <row r="271" spans="1:7" x14ac:dyDescent="0.25">
      <c r="A271" s="2"/>
      <c r="B271" s="104"/>
      <c r="C271" s="114" t="s">
        <v>55</v>
      </c>
      <c r="D271" s="104" t="s">
        <v>863</v>
      </c>
      <c r="E271" s="105">
        <v>42762</v>
      </c>
      <c r="F271" s="106" t="s">
        <v>1848</v>
      </c>
      <c r="G271" s="96">
        <v>3426927.36</v>
      </c>
    </row>
    <row r="272" spans="1:7" x14ac:dyDescent="0.25">
      <c r="A272" s="2"/>
      <c r="B272" s="104"/>
      <c r="C272" s="114" t="s">
        <v>215</v>
      </c>
      <c r="D272" s="104" t="s">
        <v>863</v>
      </c>
      <c r="E272" s="105">
        <v>42762</v>
      </c>
      <c r="F272" s="106" t="s">
        <v>2095</v>
      </c>
      <c r="G272" s="96">
        <v>1136329.07</v>
      </c>
    </row>
    <row r="273" spans="1:7" x14ac:dyDescent="0.25">
      <c r="A273" s="2"/>
      <c r="B273" s="104"/>
      <c r="C273" s="114" t="s">
        <v>15</v>
      </c>
      <c r="D273" s="104" t="s">
        <v>863</v>
      </c>
      <c r="E273" s="105">
        <v>42780</v>
      </c>
      <c r="F273" s="106" t="s">
        <v>2096</v>
      </c>
      <c r="G273" s="96">
        <v>988824.02</v>
      </c>
    </row>
    <row r="274" spans="1:7" x14ac:dyDescent="0.25">
      <c r="A274" s="104" t="s">
        <v>1052</v>
      </c>
      <c r="G274" s="96">
        <v>25585767.620000001</v>
      </c>
    </row>
    <row r="275" spans="1:7" x14ac:dyDescent="0.25">
      <c r="A275" s="104"/>
      <c r="G275" s="96"/>
    </row>
    <row r="276" spans="1:7" x14ac:dyDescent="0.25">
      <c r="A276" s="104" t="s">
        <v>570</v>
      </c>
      <c r="G276" s="96"/>
    </row>
    <row r="277" spans="1:7" ht="30" x14ac:dyDescent="0.25">
      <c r="A277" s="107" t="s">
        <v>798</v>
      </c>
      <c r="B277" s="107"/>
      <c r="C277" s="107"/>
      <c r="D277" s="107"/>
      <c r="E277" s="107"/>
      <c r="F277" s="107"/>
      <c r="G277" s="96"/>
    </row>
    <row r="278" spans="1:7" x14ac:dyDescent="0.25">
      <c r="A278" s="115" t="s">
        <v>571</v>
      </c>
      <c r="B278" s="104" t="s">
        <v>2184</v>
      </c>
      <c r="C278" s="120">
        <v>0.99</v>
      </c>
      <c r="D278" s="120"/>
      <c r="E278" s="120"/>
      <c r="F278" s="120"/>
      <c r="G278" s="96"/>
    </row>
    <row r="279" spans="1:7" x14ac:dyDescent="0.25">
      <c r="A279" s="2"/>
      <c r="B279" s="104"/>
      <c r="C279" s="114" t="s">
        <v>23</v>
      </c>
      <c r="D279" s="104" t="s">
        <v>863</v>
      </c>
      <c r="E279" s="105">
        <v>42510</v>
      </c>
      <c r="F279" s="106"/>
      <c r="G279" s="96">
        <v>6856974.6900000004</v>
      </c>
    </row>
    <row r="280" spans="1:7" x14ac:dyDescent="0.25">
      <c r="A280" s="2"/>
      <c r="B280" s="104"/>
      <c r="C280" s="114" t="s">
        <v>103</v>
      </c>
      <c r="D280" s="104" t="s">
        <v>863</v>
      </c>
      <c r="E280" s="105">
        <v>42685</v>
      </c>
      <c r="F280" s="106" t="s">
        <v>2185</v>
      </c>
      <c r="G280" s="96">
        <v>5799112.3099999996</v>
      </c>
    </row>
    <row r="281" spans="1:7" x14ac:dyDescent="0.25">
      <c r="A281" s="2"/>
      <c r="B281" s="104"/>
      <c r="C281" s="114" t="s">
        <v>221</v>
      </c>
      <c r="D281" s="104" t="s">
        <v>863</v>
      </c>
      <c r="E281" s="105">
        <v>42685</v>
      </c>
      <c r="F281" s="106" t="s">
        <v>1802</v>
      </c>
      <c r="G281" s="96">
        <v>4418076.21</v>
      </c>
    </row>
    <row r="282" spans="1:7" x14ac:dyDescent="0.25">
      <c r="A282" s="2"/>
      <c r="B282" s="104"/>
      <c r="C282" s="114" t="s">
        <v>55</v>
      </c>
      <c r="D282" s="104" t="s">
        <v>863</v>
      </c>
      <c r="E282" s="105">
        <v>42755</v>
      </c>
      <c r="F282" s="106" t="s">
        <v>1942</v>
      </c>
      <c r="G282" s="96">
        <v>3420299.45</v>
      </c>
    </row>
    <row r="283" spans="1:7" x14ac:dyDescent="0.25">
      <c r="A283" s="2"/>
      <c r="B283" s="104"/>
      <c r="C283" s="114" t="s">
        <v>215</v>
      </c>
      <c r="D283" s="104" t="s">
        <v>863</v>
      </c>
      <c r="E283" s="105">
        <v>42755</v>
      </c>
      <c r="F283" s="106" t="s">
        <v>2186</v>
      </c>
      <c r="G283" s="96">
        <v>2265570.27</v>
      </c>
    </row>
    <row r="284" spans="1:7" x14ac:dyDescent="0.25">
      <c r="A284" s="2"/>
      <c r="B284" s="104"/>
      <c r="C284" s="114" t="s">
        <v>15</v>
      </c>
      <c r="D284" s="104" t="s">
        <v>863</v>
      </c>
      <c r="E284" s="105">
        <v>42755</v>
      </c>
      <c r="F284" s="106" t="s">
        <v>2187</v>
      </c>
      <c r="G284" s="96">
        <v>962240.6</v>
      </c>
    </row>
    <row r="285" spans="1:7" x14ac:dyDescent="0.25">
      <c r="A285" s="104" t="s">
        <v>1053</v>
      </c>
      <c r="G285" s="96">
        <v>23722273.530000001</v>
      </c>
    </row>
    <row r="286" spans="1:7" x14ac:dyDescent="0.25">
      <c r="A286" s="104"/>
      <c r="G286" s="96"/>
    </row>
    <row r="287" spans="1:7" x14ac:dyDescent="0.25">
      <c r="A287" s="104" t="s">
        <v>558</v>
      </c>
      <c r="G287" s="96"/>
    </row>
    <row r="288" spans="1:7" ht="30" x14ac:dyDescent="0.25">
      <c r="A288" s="107" t="s">
        <v>771</v>
      </c>
      <c r="B288" s="107"/>
      <c r="C288" s="107"/>
      <c r="D288" s="107"/>
      <c r="E288" s="107"/>
      <c r="F288" s="107"/>
      <c r="G288" s="96"/>
    </row>
    <row r="289" spans="1:7" x14ac:dyDescent="0.25">
      <c r="A289" s="115" t="s">
        <v>505</v>
      </c>
      <c r="B289" s="104" t="s">
        <v>1054</v>
      </c>
      <c r="C289" s="120">
        <v>1</v>
      </c>
      <c r="D289" s="120"/>
      <c r="E289" s="120"/>
      <c r="F289" s="120"/>
      <c r="G289" s="96"/>
    </row>
    <row r="290" spans="1:7" x14ac:dyDescent="0.25">
      <c r="A290" s="2"/>
      <c r="B290" s="104"/>
      <c r="C290" s="114" t="s">
        <v>23</v>
      </c>
      <c r="D290" s="104" t="s">
        <v>863</v>
      </c>
      <c r="E290" s="105">
        <v>42510</v>
      </c>
      <c r="F290" s="106"/>
      <c r="G290" s="96">
        <v>6086100.54</v>
      </c>
    </row>
    <row r="291" spans="1:7" x14ac:dyDescent="0.25">
      <c r="A291" s="2"/>
      <c r="B291" s="104"/>
      <c r="C291" s="114" t="s">
        <v>103</v>
      </c>
      <c r="D291" s="104" t="s">
        <v>863</v>
      </c>
      <c r="E291" s="105">
        <v>42643</v>
      </c>
      <c r="F291" s="106" t="s">
        <v>1403</v>
      </c>
      <c r="G291" s="96">
        <v>3094363.13</v>
      </c>
    </row>
    <row r="292" spans="1:7" x14ac:dyDescent="0.25">
      <c r="A292" s="2"/>
      <c r="B292" s="104"/>
      <c r="C292" s="114" t="s">
        <v>221</v>
      </c>
      <c r="D292" s="104" t="s">
        <v>863</v>
      </c>
      <c r="E292" s="105">
        <v>42653</v>
      </c>
      <c r="F292" s="106" t="s">
        <v>1404</v>
      </c>
      <c r="G292" s="96">
        <v>5161206.1399999997</v>
      </c>
    </row>
    <row r="293" spans="1:7" x14ac:dyDescent="0.25">
      <c r="A293" s="2"/>
      <c r="B293" s="104"/>
      <c r="C293" s="114" t="s">
        <v>55</v>
      </c>
      <c r="D293" s="104" t="s">
        <v>863</v>
      </c>
      <c r="E293" s="105">
        <v>42663</v>
      </c>
      <c r="F293" s="106" t="s">
        <v>1405</v>
      </c>
      <c r="G293" s="96">
        <v>5365779.03</v>
      </c>
    </row>
    <row r="294" spans="1:7" x14ac:dyDescent="0.25">
      <c r="A294" s="2"/>
      <c r="B294" s="104"/>
      <c r="C294" s="114" t="s">
        <v>215</v>
      </c>
      <c r="D294" s="104" t="s">
        <v>863</v>
      </c>
      <c r="E294" s="105">
        <v>42685</v>
      </c>
      <c r="F294" s="106" t="s">
        <v>1055</v>
      </c>
      <c r="G294" s="96">
        <v>493857.84</v>
      </c>
    </row>
    <row r="295" spans="1:7" x14ac:dyDescent="0.25">
      <c r="A295" s="104" t="s">
        <v>1056</v>
      </c>
      <c r="G295" s="96">
        <v>20201306.68</v>
      </c>
    </row>
    <row r="296" spans="1:7" x14ac:dyDescent="0.25">
      <c r="A296" s="104"/>
      <c r="G296" s="96"/>
    </row>
    <row r="297" spans="1:7" x14ac:dyDescent="0.25">
      <c r="A297" s="104" t="s">
        <v>582</v>
      </c>
      <c r="G297" s="96"/>
    </row>
    <row r="298" spans="1:7" ht="60" x14ac:dyDescent="0.25">
      <c r="A298" s="107" t="s">
        <v>581</v>
      </c>
      <c r="B298" s="107"/>
      <c r="C298" s="107"/>
      <c r="D298" s="107"/>
      <c r="E298" s="107"/>
      <c r="F298" s="107"/>
      <c r="G298" s="96"/>
    </row>
    <row r="299" spans="1:7" x14ac:dyDescent="0.25">
      <c r="A299" s="115" t="s">
        <v>583</v>
      </c>
      <c r="B299" s="104" t="s">
        <v>1057</v>
      </c>
      <c r="C299" s="120">
        <v>0.92</v>
      </c>
      <c r="D299" s="120"/>
      <c r="E299" s="120"/>
      <c r="F299" s="120"/>
      <c r="G299" s="96"/>
    </row>
    <row r="300" spans="1:7" x14ac:dyDescent="0.25">
      <c r="A300" s="2"/>
      <c r="B300" s="104"/>
      <c r="C300" s="114" t="s">
        <v>23</v>
      </c>
      <c r="D300" s="104" t="s">
        <v>863</v>
      </c>
      <c r="E300" s="105">
        <v>42510</v>
      </c>
      <c r="F300" s="106"/>
      <c r="G300" s="96">
        <v>9466647.5800000001</v>
      </c>
    </row>
    <row r="301" spans="1:7" x14ac:dyDescent="0.25">
      <c r="A301" s="2"/>
      <c r="B301" s="104"/>
      <c r="C301" s="114" t="s">
        <v>103</v>
      </c>
      <c r="D301" s="104" t="s">
        <v>863</v>
      </c>
      <c r="E301" s="105">
        <v>42632</v>
      </c>
      <c r="F301" s="106" t="s">
        <v>1503</v>
      </c>
      <c r="G301" s="96">
        <v>1871472.77</v>
      </c>
    </row>
    <row r="302" spans="1:7" x14ac:dyDescent="0.25">
      <c r="A302" s="2"/>
      <c r="B302" s="104"/>
      <c r="C302" s="114" t="s">
        <v>221</v>
      </c>
      <c r="D302" s="104" t="s">
        <v>863</v>
      </c>
      <c r="E302" s="105">
        <v>42643</v>
      </c>
      <c r="F302" s="106" t="s">
        <v>1504</v>
      </c>
      <c r="G302" s="96">
        <v>1458192.05</v>
      </c>
    </row>
    <row r="303" spans="1:7" x14ac:dyDescent="0.25">
      <c r="A303" s="2"/>
      <c r="B303" s="104"/>
      <c r="C303" s="114" t="s">
        <v>55</v>
      </c>
      <c r="D303" s="104" t="s">
        <v>863</v>
      </c>
      <c r="E303" s="105">
        <v>42663</v>
      </c>
      <c r="F303" s="106" t="s">
        <v>1505</v>
      </c>
      <c r="G303" s="96">
        <v>4949831.72</v>
      </c>
    </row>
    <row r="304" spans="1:7" x14ac:dyDescent="0.25">
      <c r="A304" s="2"/>
      <c r="B304" s="104"/>
      <c r="C304" s="114" t="s">
        <v>215</v>
      </c>
      <c r="D304" s="104" t="s">
        <v>863</v>
      </c>
      <c r="E304" s="105">
        <v>42712</v>
      </c>
      <c r="F304" s="106" t="s">
        <v>1718</v>
      </c>
      <c r="G304" s="96">
        <v>2517820.2400000002</v>
      </c>
    </row>
    <row r="305" spans="1:7" x14ac:dyDescent="0.25">
      <c r="A305" s="2"/>
      <c r="B305" s="104"/>
      <c r="C305" s="114" t="s">
        <v>15</v>
      </c>
      <c r="D305" s="104" t="s">
        <v>863</v>
      </c>
      <c r="E305" s="105">
        <v>42712</v>
      </c>
      <c r="F305" s="106" t="s">
        <v>1058</v>
      </c>
      <c r="G305" s="96">
        <v>2212464.2599999998</v>
      </c>
    </row>
    <row r="306" spans="1:7" x14ac:dyDescent="0.25">
      <c r="A306" s="2"/>
      <c r="B306" s="104"/>
      <c r="C306" s="114" t="s">
        <v>214</v>
      </c>
      <c r="D306" s="104" t="s">
        <v>863</v>
      </c>
      <c r="E306" s="105">
        <v>42712</v>
      </c>
      <c r="F306" s="106" t="s">
        <v>1018</v>
      </c>
      <c r="G306" s="96">
        <v>2214243.89</v>
      </c>
    </row>
    <row r="307" spans="1:7" x14ac:dyDescent="0.25">
      <c r="A307" s="2"/>
      <c r="B307" s="104"/>
      <c r="C307" s="114" t="s">
        <v>218</v>
      </c>
      <c r="D307" s="104" t="s">
        <v>863</v>
      </c>
      <c r="E307" s="105">
        <v>42768</v>
      </c>
      <c r="F307" s="106" t="s">
        <v>1960</v>
      </c>
      <c r="G307" s="96">
        <v>1814491.45</v>
      </c>
    </row>
    <row r="308" spans="1:7" x14ac:dyDescent="0.25">
      <c r="A308" s="2"/>
      <c r="B308" s="104"/>
      <c r="C308" s="114" t="s">
        <v>220</v>
      </c>
      <c r="D308" s="104" t="s">
        <v>863</v>
      </c>
      <c r="E308" s="105">
        <v>42768</v>
      </c>
      <c r="F308" s="106" t="s">
        <v>1961</v>
      </c>
      <c r="G308" s="96">
        <v>2384487.2400000002</v>
      </c>
    </row>
    <row r="309" spans="1:7" x14ac:dyDescent="0.25">
      <c r="A309" s="104" t="s">
        <v>1059</v>
      </c>
      <c r="G309" s="96">
        <v>28889651.199999999</v>
      </c>
    </row>
    <row r="310" spans="1:7" x14ac:dyDescent="0.25">
      <c r="A310" s="104"/>
      <c r="G310" s="96"/>
    </row>
    <row r="311" spans="1:7" x14ac:dyDescent="0.25">
      <c r="A311" s="104" t="s">
        <v>578</v>
      </c>
      <c r="G311" s="96"/>
    </row>
    <row r="312" spans="1:7" ht="45" x14ac:dyDescent="0.25">
      <c r="A312" s="107" t="s">
        <v>852</v>
      </c>
      <c r="B312" s="107"/>
      <c r="C312" s="107"/>
      <c r="D312" s="107"/>
      <c r="E312" s="107"/>
      <c r="F312" s="107"/>
      <c r="G312" s="96"/>
    </row>
    <row r="313" spans="1:7" x14ac:dyDescent="0.25">
      <c r="A313" s="115" t="s">
        <v>579</v>
      </c>
      <c r="B313" s="104" t="s">
        <v>1506</v>
      </c>
      <c r="C313" s="120">
        <v>0.33</v>
      </c>
      <c r="D313" s="120"/>
      <c r="E313" s="120"/>
      <c r="F313" s="120"/>
      <c r="G313" s="96"/>
    </row>
    <row r="314" spans="1:7" x14ac:dyDescent="0.25">
      <c r="A314" s="2"/>
      <c r="B314" s="104"/>
      <c r="C314" s="114" t="s">
        <v>23</v>
      </c>
      <c r="D314" s="104" t="s">
        <v>863</v>
      </c>
      <c r="E314" s="105">
        <v>42510</v>
      </c>
      <c r="F314" s="106"/>
      <c r="G314" s="96">
        <v>18380188.5</v>
      </c>
    </row>
    <row r="315" spans="1:7" x14ac:dyDescent="0.25">
      <c r="A315" s="2"/>
      <c r="B315" s="104"/>
      <c r="C315" s="114" t="s">
        <v>103</v>
      </c>
      <c r="D315" s="104" t="s">
        <v>863</v>
      </c>
      <c r="E315" s="105">
        <v>42663</v>
      </c>
      <c r="F315" s="106" t="s">
        <v>1507</v>
      </c>
      <c r="G315" s="96">
        <v>171394.65</v>
      </c>
    </row>
    <row r="316" spans="1:7" x14ac:dyDescent="0.25">
      <c r="A316" s="2"/>
      <c r="B316" s="104"/>
      <c r="C316" s="114" t="s">
        <v>221</v>
      </c>
      <c r="D316" s="104" t="s">
        <v>863</v>
      </c>
      <c r="E316" s="105">
        <v>42663</v>
      </c>
      <c r="F316" s="106" t="s">
        <v>1508</v>
      </c>
      <c r="G316" s="96">
        <v>278233.59999999998</v>
      </c>
    </row>
    <row r="317" spans="1:7" x14ac:dyDescent="0.25">
      <c r="A317" s="2"/>
      <c r="B317" s="104"/>
      <c r="C317" s="114" t="s">
        <v>55</v>
      </c>
      <c r="D317" s="104" t="s">
        <v>863</v>
      </c>
      <c r="E317" s="105">
        <v>42724</v>
      </c>
      <c r="F317" s="106" t="s">
        <v>1828</v>
      </c>
      <c r="G317" s="96">
        <v>697377.11</v>
      </c>
    </row>
    <row r="318" spans="1:7" x14ac:dyDescent="0.25">
      <c r="A318" s="2"/>
      <c r="B318" s="104"/>
      <c r="C318" s="114" t="s">
        <v>215</v>
      </c>
      <c r="D318" s="104" t="s">
        <v>863</v>
      </c>
      <c r="E318" s="105">
        <v>42724</v>
      </c>
      <c r="F318" s="106" t="s">
        <v>1536</v>
      </c>
      <c r="G318" s="96">
        <v>1288149.74</v>
      </c>
    </row>
    <row r="319" spans="1:7" x14ac:dyDescent="0.25">
      <c r="A319" s="2"/>
      <c r="B319" s="104"/>
      <c r="C319" s="114" t="s">
        <v>15</v>
      </c>
      <c r="D319" s="104" t="s">
        <v>863</v>
      </c>
      <c r="E319" s="105">
        <v>42724</v>
      </c>
      <c r="F319" s="106" t="s">
        <v>1829</v>
      </c>
      <c r="G319" s="96">
        <v>2698413.18</v>
      </c>
    </row>
    <row r="320" spans="1:7" x14ac:dyDescent="0.25">
      <c r="A320" s="2"/>
      <c r="B320" s="104"/>
      <c r="C320" s="114" t="s">
        <v>214</v>
      </c>
      <c r="D320" s="104" t="s">
        <v>863</v>
      </c>
      <c r="E320" s="105">
        <v>42724</v>
      </c>
      <c r="F320" s="106" t="s">
        <v>1830</v>
      </c>
      <c r="G320" s="96">
        <v>3319183.28</v>
      </c>
    </row>
    <row r="321" spans="1:7" x14ac:dyDescent="0.25">
      <c r="A321" s="2"/>
      <c r="B321" s="104"/>
      <c r="C321" s="114" t="s">
        <v>218</v>
      </c>
      <c r="D321" s="104" t="s">
        <v>863</v>
      </c>
      <c r="E321" s="105">
        <v>42810</v>
      </c>
      <c r="F321" s="106" t="s">
        <v>2376</v>
      </c>
      <c r="G321" s="96">
        <v>2602503.91</v>
      </c>
    </row>
    <row r="322" spans="1:7" x14ac:dyDescent="0.25">
      <c r="A322" s="2"/>
      <c r="B322" s="104"/>
      <c r="C322" s="114" t="s">
        <v>220</v>
      </c>
      <c r="D322" s="104" t="s">
        <v>864</v>
      </c>
      <c r="E322" s="105">
        <v>42811</v>
      </c>
      <c r="F322" s="106" t="s">
        <v>1540</v>
      </c>
      <c r="G322" s="96">
        <v>3132432.54</v>
      </c>
    </row>
    <row r="323" spans="1:7" x14ac:dyDescent="0.25">
      <c r="A323" s="104" t="s">
        <v>1509</v>
      </c>
      <c r="G323" s="96">
        <v>32567876.510000002</v>
      </c>
    </row>
    <row r="324" spans="1:7" x14ac:dyDescent="0.25">
      <c r="A324" s="104"/>
      <c r="G324" s="96"/>
    </row>
    <row r="325" spans="1:7" x14ac:dyDescent="0.25">
      <c r="A325" s="104" t="s">
        <v>364</v>
      </c>
      <c r="G325" s="96"/>
    </row>
    <row r="326" spans="1:7" ht="60" x14ac:dyDescent="0.25">
      <c r="A326" s="107" t="s">
        <v>363</v>
      </c>
      <c r="B326" s="107"/>
      <c r="C326" s="107"/>
      <c r="D326" s="107"/>
      <c r="E326" s="107"/>
      <c r="F326" s="107"/>
      <c r="G326" s="96"/>
    </row>
    <row r="327" spans="1:7" ht="30" x14ac:dyDescent="0.25">
      <c r="A327" s="115" t="s">
        <v>66</v>
      </c>
      <c r="B327" s="104" t="s">
        <v>1406</v>
      </c>
      <c r="C327" s="120">
        <v>0.99</v>
      </c>
      <c r="D327" s="120"/>
      <c r="E327" s="120"/>
      <c r="F327" s="120"/>
      <c r="G327" s="96"/>
    </row>
    <row r="328" spans="1:7" x14ac:dyDescent="0.25">
      <c r="A328" s="2"/>
      <c r="B328" s="104"/>
      <c r="C328" s="114" t="s">
        <v>23</v>
      </c>
      <c r="D328" s="104" t="s">
        <v>863</v>
      </c>
      <c r="E328" s="105">
        <v>42531</v>
      </c>
      <c r="F328" s="106"/>
      <c r="G328" s="96">
        <v>7168679.5199999996</v>
      </c>
    </row>
    <row r="329" spans="1:7" x14ac:dyDescent="0.25">
      <c r="A329" s="2"/>
      <c r="B329" s="104"/>
      <c r="C329" s="114" t="s">
        <v>103</v>
      </c>
      <c r="D329" s="104" t="s">
        <v>863</v>
      </c>
      <c r="E329" s="105">
        <v>42653</v>
      </c>
      <c r="F329" s="106" t="s">
        <v>1407</v>
      </c>
      <c r="G329" s="96">
        <v>1953115.47</v>
      </c>
    </row>
    <row r="330" spans="1:7" x14ac:dyDescent="0.25">
      <c r="A330" s="2"/>
      <c r="B330" s="104"/>
      <c r="C330" s="114" t="s">
        <v>221</v>
      </c>
      <c r="D330" s="104" t="s">
        <v>863</v>
      </c>
      <c r="E330" s="105">
        <v>42647</v>
      </c>
      <c r="F330" s="106" t="s">
        <v>1408</v>
      </c>
      <c r="G330" s="96">
        <v>4539748.0599999996</v>
      </c>
    </row>
    <row r="331" spans="1:7" x14ac:dyDescent="0.25">
      <c r="A331" s="2"/>
      <c r="B331" s="104"/>
      <c r="C331" s="114" t="s">
        <v>55</v>
      </c>
      <c r="D331" s="104" t="s">
        <v>863</v>
      </c>
      <c r="E331" s="105">
        <v>42762</v>
      </c>
      <c r="F331" s="106" t="s">
        <v>1891</v>
      </c>
      <c r="G331" s="96">
        <v>394540.77</v>
      </c>
    </row>
    <row r="332" spans="1:7" x14ac:dyDescent="0.25">
      <c r="A332" s="2"/>
      <c r="B332" s="104"/>
      <c r="C332" s="114" t="s">
        <v>215</v>
      </c>
      <c r="D332" s="104" t="s">
        <v>863</v>
      </c>
      <c r="E332" s="105">
        <v>42780</v>
      </c>
      <c r="F332" s="106" t="s">
        <v>1962</v>
      </c>
      <c r="G332" s="96">
        <v>2282137.89</v>
      </c>
    </row>
    <row r="333" spans="1:7" x14ac:dyDescent="0.25">
      <c r="A333" s="2"/>
      <c r="B333" s="104"/>
      <c r="C333" s="114" t="s">
        <v>15</v>
      </c>
      <c r="D333" s="104" t="s">
        <v>863</v>
      </c>
      <c r="E333" s="105">
        <v>42762</v>
      </c>
      <c r="F333" s="106" t="s">
        <v>2097</v>
      </c>
      <c r="G333" s="96">
        <v>1618023.64</v>
      </c>
    </row>
    <row r="334" spans="1:7" x14ac:dyDescent="0.25">
      <c r="A334" s="2"/>
      <c r="B334" s="104"/>
      <c r="C334" s="114" t="s">
        <v>214</v>
      </c>
      <c r="D334" s="104" t="s">
        <v>865</v>
      </c>
      <c r="E334" s="105">
        <v>42810</v>
      </c>
      <c r="F334" s="106" t="s">
        <v>2418</v>
      </c>
      <c r="G334" s="96">
        <v>3462750.73</v>
      </c>
    </row>
    <row r="335" spans="1:7" x14ac:dyDescent="0.25">
      <c r="A335" s="2"/>
      <c r="B335" s="104"/>
      <c r="C335" s="114" t="s">
        <v>218</v>
      </c>
      <c r="D335" s="104" t="s">
        <v>2476</v>
      </c>
      <c r="E335" s="105">
        <v>42803</v>
      </c>
      <c r="F335" s="106" t="s">
        <v>2419</v>
      </c>
      <c r="G335" s="96">
        <v>2133716.7799999998</v>
      </c>
    </row>
    <row r="336" spans="1:7" x14ac:dyDescent="0.25">
      <c r="A336" s="104" t="s">
        <v>1409</v>
      </c>
      <c r="G336" s="96">
        <v>23552712.859999999</v>
      </c>
    </row>
    <row r="337" spans="1:7" x14ac:dyDescent="0.25">
      <c r="A337" s="104"/>
      <c r="G337" s="96"/>
    </row>
    <row r="338" spans="1:7" x14ac:dyDescent="0.25">
      <c r="A338" s="104" t="s">
        <v>607</v>
      </c>
      <c r="G338" s="96"/>
    </row>
    <row r="339" spans="1:7" ht="30" x14ac:dyDescent="0.25">
      <c r="A339" s="107" t="s">
        <v>606</v>
      </c>
      <c r="B339" s="107"/>
      <c r="C339" s="107"/>
      <c r="D339" s="107"/>
      <c r="E339" s="107"/>
      <c r="F339" s="107"/>
      <c r="G339" s="96"/>
    </row>
    <row r="340" spans="1:7" x14ac:dyDescent="0.25">
      <c r="A340" s="115" t="s">
        <v>608</v>
      </c>
      <c r="B340" s="104" t="s">
        <v>1060</v>
      </c>
      <c r="C340" s="120">
        <v>0.28999999999999998</v>
      </c>
      <c r="D340" s="120"/>
      <c r="E340" s="120"/>
      <c r="F340" s="120"/>
      <c r="G340" s="96"/>
    </row>
    <row r="341" spans="1:7" x14ac:dyDescent="0.25">
      <c r="A341" s="2"/>
      <c r="B341" s="104"/>
      <c r="C341" s="114" t="s">
        <v>23</v>
      </c>
      <c r="D341" s="104" t="s">
        <v>863</v>
      </c>
      <c r="E341" s="105">
        <v>42515</v>
      </c>
      <c r="F341" s="106"/>
      <c r="G341" s="96">
        <v>8334696.0700000003</v>
      </c>
    </row>
    <row r="342" spans="1:7" x14ac:dyDescent="0.25">
      <c r="A342" s="2"/>
      <c r="B342" s="104"/>
      <c r="C342" s="114" t="s">
        <v>103</v>
      </c>
      <c r="D342" s="104" t="s">
        <v>863</v>
      </c>
      <c r="E342" s="105">
        <v>42653</v>
      </c>
      <c r="F342" s="106" t="s">
        <v>1410</v>
      </c>
      <c r="G342" s="96">
        <v>765447.13</v>
      </c>
    </row>
    <row r="343" spans="1:7" x14ac:dyDescent="0.25">
      <c r="A343" s="2"/>
      <c r="B343" s="104"/>
      <c r="C343" s="114" t="s">
        <v>221</v>
      </c>
      <c r="D343" s="104" t="s">
        <v>863</v>
      </c>
      <c r="E343" s="105">
        <v>42725</v>
      </c>
      <c r="F343" s="106" t="s">
        <v>1061</v>
      </c>
      <c r="G343" s="96">
        <v>135099.15</v>
      </c>
    </row>
    <row r="344" spans="1:7" x14ac:dyDescent="0.25">
      <c r="A344" s="2"/>
      <c r="B344" s="104"/>
      <c r="C344" s="114" t="s">
        <v>55</v>
      </c>
      <c r="D344" s="104" t="s">
        <v>863</v>
      </c>
      <c r="E344" s="105">
        <v>42732</v>
      </c>
      <c r="F344" s="106" t="s">
        <v>1789</v>
      </c>
      <c r="G344" s="96">
        <v>2465276.7200000002</v>
      </c>
    </row>
    <row r="345" spans="1:7" x14ac:dyDescent="0.25">
      <c r="A345" s="2"/>
      <c r="B345" s="104"/>
      <c r="C345" s="114" t="s">
        <v>215</v>
      </c>
      <c r="D345" s="104" t="s">
        <v>2476</v>
      </c>
      <c r="E345" s="105">
        <v>42797</v>
      </c>
      <c r="F345" s="106" t="s">
        <v>2099</v>
      </c>
      <c r="G345" s="96">
        <v>2283183.09</v>
      </c>
    </row>
    <row r="346" spans="1:7" x14ac:dyDescent="0.25">
      <c r="A346" s="104" t="s">
        <v>1062</v>
      </c>
      <c r="G346" s="96">
        <v>13983702.16</v>
      </c>
    </row>
    <row r="347" spans="1:7" x14ac:dyDescent="0.25">
      <c r="A347" s="104"/>
      <c r="G347" s="96"/>
    </row>
    <row r="348" spans="1:7" x14ac:dyDescent="0.25">
      <c r="A348" s="104" t="s">
        <v>593</v>
      </c>
      <c r="G348" s="96"/>
    </row>
    <row r="349" spans="1:7" ht="30" x14ac:dyDescent="0.25">
      <c r="A349" s="107" t="s">
        <v>592</v>
      </c>
      <c r="B349" s="107"/>
      <c r="C349" s="107"/>
      <c r="D349" s="107"/>
      <c r="E349" s="107"/>
      <c r="F349" s="107"/>
      <c r="G349" s="96"/>
    </row>
    <row r="350" spans="1:7" x14ac:dyDescent="0.25">
      <c r="A350" s="115" t="s">
        <v>594</v>
      </c>
      <c r="B350" s="104" t="s">
        <v>1510</v>
      </c>
      <c r="C350" s="120">
        <v>0.61</v>
      </c>
      <c r="D350" s="120"/>
      <c r="E350" s="120"/>
      <c r="F350" s="120"/>
      <c r="G350" s="96"/>
    </row>
    <row r="351" spans="1:7" x14ac:dyDescent="0.25">
      <c r="A351" s="2"/>
      <c r="B351" s="104"/>
      <c r="C351" s="114" t="s">
        <v>23</v>
      </c>
      <c r="D351" s="104" t="s">
        <v>863</v>
      </c>
      <c r="E351" s="105">
        <v>42515</v>
      </c>
      <c r="F351" s="106"/>
      <c r="G351" s="96">
        <v>4767232.88</v>
      </c>
    </row>
    <row r="352" spans="1:7" x14ac:dyDescent="0.25">
      <c r="A352" s="2"/>
      <c r="B352" s="104"/>
      <c r="C352" s="114" t="s">
        <v>103</v>
      </c>
      <c r="D352" s="104" t="s">
        <v>863</v>
      </c>
      <c r="E352" s="105">
        <v>42632</v>
      </c>
      <c r="F352" s="106" t="s">
        <v>1511</v>
      </c>
      <c r="G352" s="96">
        <v>5163.12</v>
      </c>
    </row>
    <row r="353" spans="1:7" x14ac:dyDescent="0.25">
      <c r="A353" s="2"/>
      <c r="B353" s="104"/>
      <c r="C353" s="114" t="s">
        <v>221</v>
      </c>
      <c r="D353" s="104" t="s">
        <v>863</v>
      </c>
      <c r="E353" s="105">
        <v>42632</v>
      </c>
      <c r="F353" s="106" t="s">
        <v>1063</v>
      </c>
      <c r="G353" s="96">
        <v>308424.71000000002</v>
      </c>
    </row>
    <row r="354" spans="1:7" x14ac:dyDescent="0.25">
      <c r="A354" s="2"/>
      <c r="B354" s="104"/>
      <c r="C354" s="114" t="s">
        <v>55</v>
      </c>
      <c r="D354" s="104" t="s">
        <v>863</v>
      </c>
      <c r="E354" s="105">
        <v>42632</v>
      </c>
      <c r="F354" s="106" t="s">
        <v>1512</v>
      </c>
      <c r="G354" s="96">
        <v>891176.06</v>
      </c>
    </row>
    <row r="355" spans="1:7" x14ac:dyDescent="0.25">
      <c r="A355" s="2"/>
      <c r="B355" s="104"/>
      <c r="C355" s="114" t="s">
        <v>215</v>
      </c>
      <c r="D355" s="104" t="s">
        <v>863</v>
      </c>
      <c r="E355" s="105">
        <v>42671</v>
      </c>
      <c r="F355" s="106" t="s">
        <v>1513</v>
      </c>
      <c r="G355" s="96">
        <v>2825706.66</v>
      </c>
    </row>
    <row r="356" spans="1:7" x14ac:dyDescent="0.25">
      <c r="A356" s="2"/>
      <c r="B356" s="104"/>
      <c r="C356" s="114" t="s">
        <v>15</v>
      </c>
      <c r="D356" s="104" t="s">
        <v>866</v>
      </c>
      <c r="E356" s="105">
        <v>42811</v>
      </c>
      <c r="F356" s="106" t="s">
        <v>2444</v>
      </c>
      <c r="G356" s="96">
        <v>1395379.89</v>
      </c>
    </row>
    <row r="357" spans="1:7" x14ac:dyDescent="0.25">
      <c r="A357" s="104" t="s">
        <v>1514</v>
      </c>
      <c r="G357" s="96">
        <v>10193083.32</v>
      </c>
    </row>
    <row r="358" spans="1:7" x14ac:dyDescent="0.25">
      <c r="A358" s="104"/>
      <c r="G358" s="96"/>
    </row>
    <row r="359" spans="1:7" x14ac:dyDescent="0.25">
      <c r="A359" s="104" t="s">
        <v>603</v>
      </c>
      <c r="G359" s="96"/>
    </row>
    <row r="360" spans="1:7" ht="30" x14ac:dyDescent="0.25">
      <c r="A360" s="107" t="s">
        <v>602</v>
      </c>
      <c r="B360" s="107"/>
      <c r="C360" s="107"/>
      <c r="D360" s="107"/>
      <c r="E360" s="107"/>
      <c r="F360" s="107"/>
      <c r="G360" s="96"/>
    </row>
    <row r="361" spans="1:7" x14ac:dyDescent="0.25">
      <c r="A361" s="115" t="s">
        <v>604</v>
      </c>
      <c r="B361" s="104" t="s">
        <v>1515</v>
      </c>
      <c r="C361" s="120">
        <v>0.97</v>
      </c>
      <c r="D361" s="120"/>
      <c r="E361" s="120"/>
      <c r="F361" s="120"/>
      <c r="G361" s="96"/>
    </row>
    <row r="362" spans="1:7" x14ac:dyDescent="0.25">
      <c r="A362" s="2"/>
      <c r="B362" s="104"/>
      <c r="C362" s="114" t="s">
        <v>23</v>
      </c>
      <c r="D362" s="104" t="s">
        <v>863</v>
      </c>
      <c r="E362" s="105">
        <v>42529</v>
      </c>
      <c r="F362" s="106"/>
      <c r="G362" s="96">
        <v>10249906.189999999</v>
      </c>
    </row>
    <row r="363" spans="1:7" x14ac:dyDescent="0.25">
      <c r="A363" s="2"/>
      <c r="B363" s="104"/>
      <c r="C363" s="114" t="s">
        <v>103</v>
      </c>
      <c r="D363" s="104" t="s">
        <v>863</v>
      </c>
      <c r="E363" s="105">
        <v>42640</v>
      </c>
      <c r="F363" s="106" t="s">
        <v>1516</v>
      </c>
      <c r="G363" s="96">
        <v>1121436.8999999999</v>
      </c>
    </row>
    <row r="364" spans="1:7" x14ac:dyDescent="0.25">
      <c r="A364" s="2"/>
      <c r="B364" s="104"/>
      <c r="C364" s="114" t="s">
        <v>221</v>
      </c>
      <c r="D364" s="104" t="s">
        <v>863</v>
      </c>
      <c r="E364" s="105">
        <v>42648</v>
      </c>
      <c r="F364" s="106" t="s">
        <v>1517</v>
      </c>
      <c r="G364" s="96">
        <v>8486333.8499999996</v>
      </c>
    </row>
    <row r="365" spans="1:7" x14ac:dyDescent="0.25">
      <c r="A365" s="2"/>
      <c r="B365" s="104"/>
      <c r="C365" s="114" t="s">
        <v>55</v>
      </c>
      <c r="D365" s="104" t="s">
        <v>863</v>
      </c>
      <c r="E365" s="105">
        <v>42710</v>
      </c>
      <c r="F365" s="106" t="s">
        <v>1831</v>
      </c>
      <c r="G365" s="96">
        <v>6507478.79</v>
      </c>
    </row>
    <row r="366" spans="1:7" x14ac:dyDescent="0.25">
      <c r="A366" s="2"/>
      <c r="B366" s="104"/>
      <c r="C366" s="114" t="s">
        <v>215</v>
      </c>
      <c r="D366" s="104" t="s">
        <v>863</v>
      </c>
      <c r="E366" s="105">
        <v>42732</v>
      </c>
      <c r="F366" s="106" t="s">
        <v>1942</v>
      </c>
      <c r="G366" s="96">
        <v>4871760.54</v>
      </c>
    </row>
    <row r="367" spans="1:7" x14ac:dyDescent="0.25">
      <c r="A367" s="2"/>
      <c r="B367" s="104"/>
      <c r="C367" s="114" t="s">
        <v>15</v>
      </c>
      <c r="D367" s="104" t="s">
        <v>869</v>
      </c>
      <c r="E367" s="105">
        <v>42748</v>
      </c>
      <c r="F367" s="106" t="s">
        <v>1159</v>
      </c>
      <c r="G367" s="96">
        <v>2220563.33</v>
      </c>
    </row>
    <row r="368" spans="1:7" x14ac:dyDescent="0.25">
      <c r="A368" s="104" t="s">
        <v>1518</v>
      </c>
      <c r="G368" s="96">
        <v>33457479.600000001</v>
      </c>
    </row>
    <row r="369" spans="1:7" x14ac:dyDescent="0.25">
      <c r="A369" s="104"/>
      <c r="G369" s="96"/>
    </row>
    <row r="370" spans="1:7" x14ac:dyDescent="0.25">
      <c r="A370" s="104" t="s">
        <v>370</v>
      </c>
      <c r="G370" s="96"/>
    </row>
    <row r="371" spans="1:7" ht="60" x14ac:dyDescent="0.25">
      <c r="A371" s="107" t="s">
        <v>369</v>
      </c>
      <c r="B371" s="107"/>
      <c r="C371" s="107"/>
      <c r="D371" s="107"/>
      <c r="E371" s="107"/>
      <c r="F371" s="107"/>
      <c r="G371" s="96"/>
    </row>
    <row r="372" spans="1:7" x14ac:dyDescent="0.25">
      <c r="A372" s="115" t="s">
        <v>368</v>
      </c>
      <c r="B372" s="104" t="s">
        <v>1411</v>
      </c>
      <c r="C372" s="120">
        <v>0.98</v>
      </c>
      <c r="D372" s="120"/>
      <c r="E372" s="120"/>
      <c r="F372" s="120"/>
      <c r="G372" s="96"/>
    </row>
    <row r="373" spans="1:7" x14ac:dyDescent="0.25">
      <c r="A373" s="2"/>
      <c r="B373" s="104"/>
      <c r="C373" s="114" t="s">
        <v>23</v>
      </c>
      <c r="D373" s="104" t="s">
        <v>863</v>
      </c>
      <c r="E373" s="105">
        <v>42535</v>
      </c>
      <c r="F373" s="106"/>
      <c r="G373" s="96">
        <v>22938933.960000001</v>
      </c>
    </row>
    <row r="374" spans="1:7" x14ac:dyDescent="0.25">
      <c r="A374" s="2"/>
      <c r="B374" s="104"/>
      <c r="C374" s="114" t="s">
        <v>103</v>
      </c>
      <c r="D374" s="104" t="s">
        <v>863</v>
      </c>
      <c r="E374" s="105">
        <v>42632</v>
      </c>
      <c r="F374" s="106" t="s">
        <v>1412</v>
      </c>
      <c r="G374" s="96">
        <v>1435601.33</v>
      </c>
    </row>
    <row r="375" spans="1:7" x14ac:dyDescent="0.25">
      <c r="A375" s="2"/>
      <c r="B375" s="104"/>
      <c r="C375" s="114" t="s">
        <v>221</v>
      </c>
      <c r="D375" s="104" t="s">
        <v>863</v>
      </c>
      <c r="E375" s="105">
        <v>42653</v>
      </c>
      <c r="F375" s="106" t="s">
        <v>1413</v>
      </c>
      <c r="G375" s="96">
        <v>1631025.14</v>
      </c>
    </row>
    <row r="376" spans="1:7" x14ac:dyDescent="0.25">
      <c r="A376" s="2"/>
      <c r="B376" s="104"/>
      <c r="C376" s="114" t="s">
        <v>55</v>
      </c>
      <c r="D376" s="104" t="s">
        <v>863</v>
      </c>
      <c r="E376" s="105">
        <v>42653</v>
      </c>
      <c r="F376" s="106" t="s">
        <v>1414</v>
      </c>
      <c r="G376" s="96">
        <v>3173310.38</v>
      </c>
    </row>
    <row r="377" spans="1:7" x14ac:dyDescent="0.25">
      <c r="A377" s="2"/>
      <c r="B377" s="104"/>
      <c r="C377" s="114" t="s">
        <v>215</v>
      </c>
      <c r="D377" s="104" t="s">
        <v>863</v>
      </c>
      <c r="E377" s="105">
        <v>42671</v>
      </c>
      <c r="F377" s="106" t="s">
        <v>1415</v>
      </c>
      <c r="G377" s="96">
        <v>5908367.3300000001</v>
      </c>
    </row>
    <row r="378" spans="1:7" x14ac:dyDescent="0.25">
      <c r="A378" s="2"/>
      <c r="B378" s="104"/>
      <c r="C378" s="114" t="s">
        <v>15</v>
      </c>
      <c r="D378" s="104" t="s">
        <v>863</v>
      </c>
      <c r="E378" s="105">
        <v>42698</v>
      </c>
      <c r="F378" s="106" t="s">
        <v>1750</v>
      </c>
      <c r="G378" s="96">
        <v>10026740.07</v>
      </c>
    </row>
    <row r="379" spans="1:7" x14ac:dyDescent="0.25">
      <c r="A379" s="2"/>
      <c r="B379" s="104"/>
      <c r="C379" s="114" t="s">
        <v>214</v>
      </c>
      <c r="D379" s="104" t="s">
        <v>863</v>
      </c>
      <c r="E379" s="105">
        <v>42699</v>
      </c>
      <c r="F379" s="106" t="s">
        <v>1067</v>
      </c>
      <c r="G379" s="96">
        <v>3957049.71</v>
      </c>
    </row>
    <row r="380" spans="1:7" x14ac:dyDescent="0.25">
      <c r="A380" s="2"/>
      <c r="B380" s="104"/>
      <c r="C380" s="114" t="s">
        <v>218</v>
      </c>
      <c r="D380" s="104" t="s">
        <v>863</v>
      </c>
      <c r="E380" s="105">
        <v>42755</v>
      </c>
      <c r="F380" s="106" t="s">
        <v>1963</v>
      </c>
      <c r="G380" s="96">
        <v>10895687.4</v>
      </c>
    </row>
    <row r="381" spans="1:7" x14ac:dyDescent="0.25">
      <c r="A381" s="2"/>
      <c r="B381" s="104"/>
      <c r="C381" s="114" t="s">
        <v>220</v>
      </c>
      <c r="D381" s="104" t="s">
        <v>863</v>
      </c>
      <c r="E381" s="105">
        <v>42810</v>
      </c>
      <c r="F381" s="106" t="s">
        <v>2445</v>
      </c>
      <c r="G381" s="96">
        <v>8708374.25</v>
      </c>
    </row>
    <row r="382" spans="1:7" x14ac:dyDescent="0.25">
      <c r="A382" s="2"/>
      <c r="B382" s="104"/>
      <c r="C382" s="114" t="s">
        <v>748</v>
      </c>
      <c r="D382" s="104" t="s">
        <v>865</v>
      </c>
      <c r="E382" s="105">
        <v>42810</v>
      </c>
      <c r="F382" s="106" t="s">
        <v>2487</v>
      </c>
      <c r="G382" s="96">
        <v>6573300.6699999999</v>
      </c>
    </row>
    <row r="383" spans="1:7" x14ac:dyDescent="0.25">
      <c r="A383" s="104" t="s">
        <v>1416</v>
      </c>
      <c r="G383" s="96">
        <v>75248390.239999995</v>
      </c>
    </row>
    <row r="384" spans="1:7" x14ac:dyDescent="0.25">
      <c r="A384" s="104"/>
      <c r="G384" s="96"/>
    </row>
    <row r="385" spans="1:7" x14ac:dyDescent="0.25">
      <c r="A385" s="104" t="s">
        <v>381</v>
      </c>
      <c r="G385" s="96"/>
    </row>
    <row r="386" spans="1:7" ht="60" x14ac:dyDescent="0.25">
      <c r="A386" s="107" t="s">
        <v>380</v>
      </c>
      <c r="B386" s="107"/>
      <c r="C386" s="107"/>
      <c r="D386" s="107"/>
      <c r="E386" s="107"/>
      <c r="F386" s="107"/>
      <c r="G386" s="96"/>
    </row>
    <row r="387" spans="1:7" ht="30" x14ac:dyDescent="0.25">
      <c r="A387" s="115" t="s">
        <v>378</v>
      </c>
      <c r="B387" s="104" t="s">
        <v>1417</v>
      </c>
      <c r="C387" s="120">
        <v>0.63</v>
      </c>
      <c r="D387" s="120"/>
      <c r="E387" s="120"/>
      <c r="F387" s="120"/>
      <c r="G387" s="96"/>
    </row>
    <row r="388" spans="1:7" x14ac:dyDescent="0.25">
      <c r="A388" s="2"/>
      <c r="B388" s="104"/>
      <c r="C388" s="114" t="s">
        <v>23</v>
      </c>
      <c r="D388" s="104" t="s">
        <v>863</v>
      </c>
      <c r="E388" s="105">
        <v>42531</v>
      </c>
      <c r="F388" s="106"/>
      <c r="G388" s="96">
        <v>23781053.690000001</v>
      </c>
    </row>
    <row r="389" spans="1:7" x14ac:dyDescent="0.25">
      <c r="A389" s="2"/>
      <c r="B389" s="104"/>
      <c r="C389" s="114" t="s">
        <v>103</v>
      </c>
      <c r="D389" s="104" t="s">
        <v>863</v>
      </c>
      <c r="E389" s="105">
        <v>42643</v>
      </c>
      <c r="F389" s="106" t="s">
        <v>1418</v>
      </c>
      <c r="G389" s="96">
        <v>777786.94</v>
      </c>
    </row>
    <row r="390" spans="1:7" x14ac:dyDescent="0.25">
      <c r="A390" s="2"/>
      <c r="B390" s="104"/>
      <c r="C390" s="114" t="s">
        <v>221</v>
      </c>
      <c r="D390" s="104" t="s">
        <v>863</v>
      </c>
      <c r="E390" s="105">
        <v>42663</v>
      </c>
      <c r="F390" s="106" t="s">
        <v>1419</v>
      </c>
      <c r="G390" s="96">
        <v>1627098.51</v>
      </c>
    </row>
    <row r="391" spans="1:7" x14ac:dyDescent="0.25">
      <c r="A391" s="2"/>
      <c r="B391" s="104"/>
      <c r="C391" s="114" t="s">
        <v>55</v>
      </c>
      <c r="D391" s="104" t="s">
        <v>863</v>
      </c>
      <c r="E391" s="105">
        <v>42671</v>
      </c>
      <c r="F391" s="106" t="s">
        <v>1420</v>
      </c>
      <c r="G391" s="96">
        <v>7464280.0999999996</v>
      </c>
    </row>
    <row r="392" spans="1:7" x14ac:dyDescent="0.25">
      <c r="A392" s="2"/>
      <c r="B392" s="104"/>
      <c r="C392" s="114" t="s">
        <v>215</v>
      </c>
      <c r="D392" s="104" t="s">
        <v>863</v>
      </c>
      <c r="E392" s="105">
        <v>42671</v>
      </c>
      <c r="F392" s="106" t="s">
        <v>1421</v>
      </c>
      <c r="G392" s="96">
        <v>3476594.38</v>
      </c>
    </row>
    <row r="393" spans="1:7" x14ac:dyDescent="0.25">
      <c r="A393" s="2"/>
      <c r="B393" s="104"/>
      <c r="C393" s="114" t="s">
        <v>15</v>
      </c>
      <c r="D393" s="104" t="s">
        <v>863</v>
      </c>
      <c r="E393" s="105">
        <v>42698</v>
      </c>
      <c r="F393" s="106" t="s">
        <v>1751</v>
      </c>
      <c r="G393" s="96">
        <v>10235669.949999999</v>
      </c>
    </row>
    <row r="394" spans="1:7" x14ac:dyDescent="0.25">
      <c r="A394" s="2"/>
      <c r="B394" s="104"/>
      <c r="C394" s="114" t="s">
        <v>214</v>
      </c>
      <c r="D394" s="104" t="s">
        <v>863</v>
      </c>
      <c r="E394" s="105">
        <v>42698</v>
      </c>
      <c r="F394" s="106" t="s">
        <v>1545</v>
      </c>
      <c r="G394" s="96">
        <v>3991677.52</v>
      </c>
    </row>
    <row r="395" spans="1:7" x14ac:dyDescent="0.25">
      <c r="A395" s="2"/>
      <c r="B395" s="104"/>
      <c r="C395" s="114" t="s">
        <v>218</v>
      </c>
      <c r="D395" s="104" t="s">
        <v>863</v>
      </c>
      <c r="E395" s="105">
        <v>42755</v>
      </c>
      <c r="F395" s="106" t="s">
        <v>1965</v>
      </c>
      <c r="G395" s="96">
        <v>7341727.5899999999</v>
      </c>
    </row>
    <row r="396" spans="1:7" x14ac:dyDescent="0.25">
      <c r="A396" s="104" t="s">
        <v>1422</v>
      </c>
      <c r="G396" s="96">
        <v>58695888.68</v>
      </c>
    </row>
    <row r="397" spans="1:7" x14ac:dyDescent="0.25">
      <c r="A397" s="104"/>
      <c r="G397" s="96"/>
    </row>
    <row r="398" spans="1:7" x14ac:dyDescent="0.25">
      <c r="A398" s="104" t="s">
        <v>349</v>
      </c>
      <c r="G398" s="96"/>
    </row>
    <row r="399" spans="1:7" ht="45" x14ac:dyDescent="0.25">
      <c r="A399" s="107" t="s">
        <v>350</v>
      </c>
      <c r="B399" s="107"/>
      <c r="C399" s="107"/>
      <c r="D399" s="107"/>
      <c r="E399" s="107"/>
      <c r="F399" s="107"/>
      <c r="G399" s="96"/>
    </row>
    <row r="400" spans="1:7" x14ac:dyDescent="0.25">
      <c r="A400" s="115" t="s">
        <v>351</v>
      </c>
      <c r="B400" s="104" t="s">
        <v>1064</v>
      </c>
      <c r="C400" s="120">
        <v>1</v>
      </c>
      <c r="D400" s="120"/>
      <c r="E400" s="120"/>
      <c r="F400" s="120"/>
      <c r="G400" s="96"/>
    </row>
    <row r="401" spans="1:7" x14ac:dyDescent="0.25">
      <c r="A401" s="2"/>
      <c r="B401" s="104"/>
      <c r="C401" s="114" t="s">
        <v>23</v>
      </c>
      <c r="D401" s="104" t="s">
        <v>863</v>
      </c>
      <c r="E401" s="105">
        <v>42529</v>
      </c>
      <c r="F401" s="106"/>
      <c r="G401" s="96">
        <v>6208325.5</v>
      </c>
    </row>
    <row r="402" spans="1:7" x14ac:dyDescent="0.25">
      <c r="A402" s="2"/>
      <c r="B402" s="104"/>
      <c r="C402" s="114" t="s">
        <v>103</v>
      </c>
      <c r="D402" s="104" t="s">
        <v>863</v>
      </c>
      <c r="E402" s="105">
        <v>42712</v>
      </c>
      <c r="F402" s="106" t="s">
        <v>1065</v>
      </c>
      <c r="G402" s="96">
        <v>1967521.97</v>
      </c>
    </row>
    <row r="403" spans="1:7" x14ac:dyDescent="0.25">
      <c r="A403" s="2"/>
      <c r="B403" s="104"/>
      <c r="C403" s="114" t="s">
        <v>221</v>
      </c>
      <c r="D403" s="104" t="s">
        <v>863</v>
      </c>
      <c r="E403" s="105">
        <v>42762</v>
      </c>
      <c r="F403" s="106" t="s">
        <v>1562</v>
      </c>
      <c r="G403" s="96">
        <v>2111565.7799999998</v>
      </c>
    </row>
    <row r="404" spans="1:7" x14ac:dyDescent="0.25">
      <c r="A404" s="2"/>
      <c r="B404" s="104"/>
      <c r="C404" s="114" t="s">
        <v>55</v>
      </c>
      <c r="D404" s="104" t="s">
        <v>863</v>
      </c>
      <c r="E404" s="105">
        <v>42769</v>
      </c>
      <c r="F404" s="106" t="s">
        <v>1852</v>
      </c>
      <c r="G404" s="96">
        <v>1059524.3999999999</v>
      </c>
    </row>
    <row r="405" spans="1:7" x14ac:dyDescent="0.25">
      <c r="A405" s="2"/>
      <c r="B405" s="104"/>
      <c r="C405" s="114" t="s">
        <v>215</v>
      </c>
      <c r="D405" s="104" t="s">
        <v>863</v>
      </c>
      <c r="E405" s="105">
        <v>42769</v>
      </c>
      <c r="F405" s="106" t="s">
        <v>2191</v>
      </c>
      <c r="G405" s="96">
        <v>2922402.39</v>
      </c>
    </row>
    <row r="406" spans="1:7" x14ac:dyDescent="0.25">
      <c r="A406" s="2"/>
      <c r="B406" s="104"/>
      <c r="C406" s="114" t="s">
        <v>15</v>
      </c>
      <c r="D406" s="104" t="s">
        <v>863</v>
      </c>
      <c r="E406" s="105">
        <v>42762</v>
      </c>
      <c r="F406" s="106" t="s">
        <v>1978</v>
      </c>
      <c r="G406" s="96">
        <v>2737271.6</v>
      </c>
    </row>
    <row r="407" spans="1:7" x14ac:dyDescent="0.25">
      <c r="A407" s="2"/>
      <c r="B407" s="104"/>
      <c r="C407" s="114" t="s">
        <v>214</v>
      </c>
      <c r="D407" s="104" t="s">
        <v>866</v>
      </c>
      <c r="E407" s="105">
        <v>42811</v>
      </c>
      <c r="F407" s="106" t="s">
        <v>2420</v>
      </c>
      <c r="G407" s="96">
        <v>2542781.12</v>
      </c>
    </row>
    <row r="408" spans="1:7" x14ac:dyDescent="0.25">
      <c r="A408" s="2"/>
      <c r="B408" s="104"/>
      <c r="C408" s="114" t="s">
        <v>218</v>
      </c>
      <c r="D408" s="104" t="s">
        <v>868</v>
      </c>
      <c r="E408" s="105">
        <v>42811</v>
      </c>
      <c r="F408" s="106" t="s">
        <v>2535</v>
      </c>
      <c r="G408" s="96">
        <v>1057609.51</v>
      </c>
    </row>
    <row r="409" spans="1:7" x14ac:dyDescent="0.25">
      <c r="A409" s="104" t="s">
        <v>1066</v>
      </c>
      <c r="G409" s="96">
        <v>20607002.27</v>
      </c>
    </row>
    <row r="410" spans="1:7" x14ac:dyDescent="0.25">
      <c r="A410" s="104"/>
      <c r="G410" s="96"/>
    </row>
    <row r="411" spans="1:7" x14ac:dyDescent="0.25">
      <c r="A411" s="104" t="s">
        <v>300</v>
      </c>
      <c r="G411" s="96"/>
    </row>
    <row r="412" spans="1:7" ht="30" x14ac:dyDescent="0.25">
      <c r="A412" s="107" t="s">
        <v>338</v>
      </c>
      <c r="B412" s="107"/>
      <c r="C412" s="107"/>
      <c r="D412" s="107"/>
      <c r="E412" s="107"/>
      <c r="F412" s="107"/>
      <c r="G412" s="96"/>
    </row>
    <row r="413" spans="1:7" x14ac:dyDescent="0.25">
      <c r="A413" s="115" t="s">
        <v>339</v>
      </c>
      <c r="B413" s="104" t="s">
        <v>2568</v>
      </c>
      <c r="C413" s="120">
        <v>1</v>
      </c>
      <c r="D413" s="120"/>
      <c r="E413" s="120"/>
      <c r="F413" s="120"/>
      <c r="G413" s="96"/>
    </row>
    <row r="414" spans="1:7" x14ac:dyDescent="0.25">
      <c r="A414" s="2"/>
      <c r="B414" s="104"/>
      <c r="C414" s="114" t="s">
        <v>23</v>
      </c>
      <c r="D414" s="104" t="s">
        <v>863</v>
      </c>
      <c r="E414" s="105">
        <v>42515</v>
      </c>
      <c r="F414" s="106"/>
      <c r="G414" s="96">
        <v>5249341.4000000004</v>
      </c>
    </row>
    <row r="415" spans="1:7" x14ac:dyDescent="0.25">
      <c r="A415" s="2"/>
      <c r="B415" s="104"/>
      <c r="C415" s="114" t="s">
        <v>103</v>
      </c>
      <c r="D415" s="104" t="s">
        <v>863</v>
      </c>
      <c r="E415" s="105">
        <v>42643</v>
      </c>
      <c r="F415" s="106" t="s">
        <v>2569</v>
      </c>
      <c r="G415" s="96">
        <v>325769.21000000002</v>
      </c>
    </row>
    <row r="416" spans="1:7" x14ac:dyDescent="0.25">
      <c r="A416" s="2"/>
      <c r="B416" s="104"/>
      <c r="C416" s="114" t="s">
        <v>221</v>
      </c>
      <c r="D416" s="104" t="s">
        <v>863</v>
      </c>
      <c r="E416" s="105">
        <v>42703</v>
      </c>
      <c r="F416" s="106" t="s">
        <v>2311</v>
      </c>
      <c r="G416" s="96">
        <v>906248.69</v>
      </c>
    </row>
    <row r="417" spans="1:7" x14ac:dyDescent="0.25">
      <c r="A417" s="2"/>
      <c r="B417" s="104"/>
      <c r="C417" s="114" t="s">
        <v>55</v>
      </c>
      <c r="D417" s="104" t="s">
        <v>863</v>
      </c>
      <c r="E417" s="105">
        <v>42703</v>
      </c>
      <c r="F417" s="106" t="s">
        <v>2570</v>
      </c>
      <c r="G417" s="96">
        <v>3198216.29</v>
      </c>
    </row>
    <row r="418" spans="1:7" x14ac:dyDescent="0.25">
      <c r="A418" s="2"/>
      <c r="B418" s="104"/>
      <c r="C418" s="114" t="s">
        <v>215</v>
      </c>
      <c r="D418" s="104" t="s">
        <v>863</v>
      </c>
      <c r="E418" s="105">
        <v>42703</v>
      </c>
      <c r="F418" s="106" t="s">
        <v>2571</v>
      </c>
      <c r="G418" s="96">
        <v>3560495.41</v>
      </c>
    </row>
    <row r="419" spans="1:7" x14ac:dyDescent="0.25">
      <c r="A419" s="2"/>
      <c r="B419" s="104"/>
      <c r="C419" s="114" t="s">
        <v>15</v>
      </c>
      <c r="D419" s="104" t="s">
        <v>863</v>
      </c>
      <c r="E419" s="105">
        <v>42762</v>
      </c>
      <c r="F419" s="106" t="s">
        <v>2572</v>
      </c>
      <c r="G419" s="96">
        <v>4145679.32</v>
      </c>
    </row>
    <row r="420" spans="1:7" x14ac:dyDescent="0.25">
      <c r="A420" s="2"/>
      <c r="B420" s="104"/>
      <c r="C420" s="114" t="s">
        <v>214</v>
      </c>
      <c r="D420" s="104" t="s">
        <v>866</v>
      </c>
      <c r="E420" s="105">
        <v>42801</v>
      </c>
      <c r="F420" s="106" t="s">
        <v>2573</v>
      </c>
      <c r="G420" s="96">
        <v>38141.22</v>
      </c>
    </row>
    <row r="421" spans="1:7" x14ac:dyDescent="0.25">
      <c r="A421" s="2"/>
      <c r="B421" s="104"/>
      <c r="C421" s="114" t="s">
        <v>218</v>
      </c>
      <c r="D421" s="104" t="s">
        <v>866</v>
      </c>
      <c r="E421" s="105">
        <v>42810</v>
      </c>
      <c r="F421" s="106" t="s">
        <v>2574</v>
      </c>
      <c r="G421" s="96">
        <v>788591.47</v>
      </c>
    </row>
    <row r="422" spans="1:7" x14ac:dyDescent="0.25">
      <c r="A422" s="104" t="s">
        <v>1068</v>
      </c>
      <c r="G422" s="96">
        <v>18212483.010000002</v>
      </c>
    </row>
    <row r="423" spans="1:7" x14ac:dyDescent="0.25">
      <c r="A423" s="104"/>
      <c r="G423" s="96"/>
    </row>
    <row r="424" spans="1:7" x14ac:dyDescent="0.25">
      <c r="A424" s="104" t="s">
        <v>386</v>
      </c>
      <c r="G424" s="96"/>
    </row>
    <row r="425" spans="1:7" ht="45" x14ac:dyDescent="0.25">
      <c r="A425" s="107" t="s">
        <v>385</v>
      </c>
      <c r="B425" s="107"/>
      <c r="C425" s="107"/>
      <c r="D425" s="107"/>
      <c r="E425" s="107"/>
      <c r="F425" s="107"/>
      <c r="G425" s="96"/>
    </row>
    <row r="426" spans="1:7" ht="30" x14ac:dyDescent="0.25">
      <c r="A426" s="115" t="s">
        <v>384</v>
      </c>
      <c r="B426" s="104" t="s">
        <v>1069</v>
      </c>
      <c r="C426" s="120">
        <v>0.5</v>
      </c>
      <c r="D426" s="120"/>
      <c r="E426" s="120"/>
      <c r="F426" s="120"/>
      <c r="G426" s="96"/>
    </row>
    <row r="427" spans="1:7" x14ac:dyDescent="0.25">
      <c r="A427" s="2"/>
      <c r="B427" s="104"/>
      <c r="C427" s="114" t="s">
        <v>23</v>
      </c>
      <c r="D427" s="104" t="s">
        <v>863</v>
      </c>
      <c r="E427" s="105">
        <v>42535</v>
      </c>
      <c r="F427" s="106"/>
      <c r="G427" s="96">
        <v>13748368.310000001</v>
      </c>
    </row>
    <row r="428" spans="1:7" x14ac:dyDescent="0.25">
      <c r="A428" s="2"/>
      <c r="B428" s="104"/>
      <c r="C428" s="114" t="s">
        <v>103</v>
      </c>
      <c r="D428" s="104" t="s">
        <v>863</v>
      </c>
      <c r="E428" s="105">
        <v>42643</v>
      </c>
      <c r="F428" s="106" t="s">
        <v>1519</v>
      </c>
      <c r="G428" s="96">
        <v>1094598.57</v>
      </c>
    </row>
    <row r="429" spans="1:7" x14ac:dyDescent="0.25">
      <c r="A429" s="2"/>
      <c r="B429" s="104"/>
      <c r="C429" s="114" t="s">
        <v>221</v>
      </c>
      <c r="D429" s="104" t="s">
        <v>863</v>
      </c>
      <c r="E429" s="105">
        <v>42653</v>
      </c>
      <c r="F429" s="106" t="s">
        <v>1520</v>
      </c>
      <c r="G429" s="96">
        <v>2855804.3</v>
      </c>
    </row>
    <row r="430" spans="1:7" x14ac:dyDescent="0.25">
      <c r="A430" s="2"/>
      <c r="B430" s="104"/>
      <c r="C430" s="114" t="s">
        <v>55</v>
      </c>
      <c r="D430" s="104" t="s">
        <v>863</v>
      </c>
      <c r="E430" s="105">
        <v>42674</v>
      </c>
      <c r="F430" s="106" t="s">
        <v>1433</v>
      </c>
      <c r="G430" s="96">
        <v>4334090.59</v>
      </c>
    </row>
    <row r="431" spans="1:7" x14ac:dyDescent="0.25">
      <c r="A431" s="2"/>
      <c r="B431" s="104"/>
      <c r="C431" s="114" t="s">
        <v>215</v>
      </c>
      <c r="D431" s="104" t="s">
        <v>863</v>
      </c>
      <c r="E431" s="105">
        <v>42755</v>
      </c>
      <c r="F431" s="106" t="s">
        <v>1853</v>
      </c>
      <c r="G431" s="96">
        <v>1887269.08</v>
      </c>
    </row>
    <row r="432" spans="1:7" x14ac:dyDescent="0.25">
      <c r="A432" s="2"/>
      <c r="B432" s="104"/>
      <c r="C432" s="114" t="s">
        <v>15</v>
      </c>
      <c r="D432" s="104" t="s">
        <v>863</v>
      </c>
      <c r="E432" s="105">
        <v>42755</v>
      </c>
      <c r="F432" s="106" t="s">
        <v>1854</v>
      </c>
      <c r="G432" s="96">
        <v>1497627.16</v>
      </c>
    </row>
    <row r="433" spans="1:7" x14ac:dyDescent="0.25">
      <c r="A433" s="2"/>
      <c r="B433" s="104"/>
      <c r="C433" s="114" t="s">
        <v>214</v>
      </c>
      <c r="D433" s="104" t="s">
        <v>863</v>
      </c>
      <c r="E433" s="105">
        <v>42809</v>
      </c>
      <c r="F433" s="106" t="s">
        <v>1169</v>
      </c>
      <c r="G433" s="96">
        <v>1454181.31</v>
      </c>
    </row>
    <row r="434" spans="1:7" x14ac:dyDescent="0.25">
      <c r="A434" s="2"/>
      <c r="B434" s="104"/>
      <c r="C434" s="114" t="s">
        <v>218</v>
      </c>
      <c r="D434" s="104" t="s">
        <v>863</v>
      </c>
      <c r="E434" s="105">
        <v>42808</v>
      </c>
      <c r="F434" s="106" t="s">
        <v>2133</v>
      </c>
      <c r="G434" s="96">
        <v>822974.72</v>
      </c>
    </row>
    <row r="435" spans="1:7" x14ac:dyDescent="0.25">
      <c r="A435" s="2"/>
      <c r="B435" s="104"/>
      <c r="C435" s="114" t="s">
        <v>220</v>
      </c>
      <c r="D435" s="104" t="s">
        <v>863</v>
      </c>
      <c r="E435" s="105">
        <v>42811</v>
      </c>
      <c r="F435" s="106" t="s">
        <v>2492</v>
      </c>
      <c r="G435" s="96">
        <v>2001778.94</v>
      </c>
    </row>
    <row r="436" spans="1:7" x14ac:dyDescent="0.25">
      <c r="A436" s="104" t="s">
        <v>1070</v>
      </c>
      <c r="G436" s="96">
        <v>29696692.98</v>
      </c>
    </row>
    <row r="437" spans="1:7" x14ac:dyDescent="0.25">
      <c r="A437" s="104"/>
      <c r="G437" s="96"/>
    </row>
    <row r="438" spans="1:7" x14ac:dyDescent="0.25">
      <c r="A438" s="104" t="s">
        <v>326</v>
      </c>
      <c r="G438" s="96"/>
    </row>
    <row r="439" spans="1:7" ht="45" x14ac:dyDescent="0.25">
      <c r="A439" s="107" t="s">
        <v>324</v>
      </c>
      <c r="B439" s="107"/>
      <c r="C439" s="107"/>
      <c r="D439" s="107"/>
      <c r="E439" s="107"/>
      <c r="F439" s="107"/>
      <c r="G439" s="96"/>
    </row>
    <row r="440" spans="1:7" x14ac:dyDescent="0.25">
      <c r="A440" s="115" t="s">
        <v>325</v>
      </c>
      <c r="B440" s="104" t="s">
        <v>1071</v>
      </c>
      <c r="C440" s="120">
        <v>0.83</v>
      </c>
      <c r="D440" s="120"/>
      <c r="E440" s="120"/>
      <c r="F440" s="120"/>
      <c r="G440" s="96"/>
    </row>
    <row r="441" spans="1:7" x14ac:dyDescent="0.25">
      <c r="A441" s="2"/>
      <c r="B441" s="104"/>
      <c r="C441" s="114" t="s">
        <v>23</v>
      </c>
      <c r="D441" s="104" t="s">
        <v>863</v>
      </c>
      <c r="E441" s="105">
        <v>42529</v>
      </c>
      <c r="F441" s="106"/>
      <c r="G441" s="96">
        <v>5704777.6799999997</v>
      </c>
    </row>
    <row r="442" spans="1:7" x14ac:dyDescent="0.25">
      <c r="A442" s="2"/>
      <c r="B442" s="104"/>
      <c r="C442" s="114" t="s">
        <v>103</v>
      </c>
      <c r="D442" s="104" t="s">
        <v>863</v>
      </c>
      <c r="E442" s="105">
        <v>42653</v>
      </c>
      <c r="F442" s="106" t="s">
        <v>1072</v>
      </c>
      <c r="G442" s="96">
        <v>700971.48</v>
      </c>
    </row>
    <row r="443" spans="1:7" x14ac:dyDescent="0.25">
      <c r="A443" s="2"/>
      <c r="B443" s="104"/>
      <c r="C443" s="114" t="s">
        <v>221</v>
      </c>
      <c r="D443" s="104" t="s">
        <v>863</v>
      </c>
      <c r="E443" s="105">
        <v>42653</v>
      </c>
      <c r="F443" s="106" t="s">
        <v>1073</v>
      </c>
      <c r="G443" s="96">
        <v>2774334.66</v>
      </c>
    </row>
    <row r="444" spans="1:7" x14ac:dyDescent="0.25">
      <c r="A444" s="2"/>
      <c r="B444" s="104"/>
      <c r="C444" s="114" t="s">
        <v>55</v>
      </c>
      <c r="D444" s="104" t="s">
        <v>863</v>
      </c>
      <c r="E444" s="105">
        <v>42726</v>
      </c>
      <c r="F444" s="106" t="s">
        <v>1680</v>
      </c>
      <c r="G444" s="96">
        <v>4768098.2699999996</v>
      </c>
    </row>
    <row r="445" spans="1:7" x14ac:dyDescent="0.25">
      <c r="A445" s="2"/>
      <c r="B445" s="104"/>
      <c r="C445" s="114" t="s">
        <v>215</v>
      </c>
      <c r="D445" s="104" t="s">
        <v>863</v>
      </c>
      <c r="E445" s="105">
        <v>42774</v>
      </c>
      <c r="F445" s="106" t="s">
        <v>1979</v>
      </c>
      <c r="G445" s="96">
        <v>2674891.6800000002</v>
      </c>
    </row>
    <row r="446" spans="1:7" x14ac:dyDescent="0.25">
      <c r="A446" s="104" t="s">
        <v>1074</v>
      </c>
      <c r="G446" s="96">
        <v>16623073.77</v>
      </c>
    </row>
    <row r="447" spans="1:7" x14ac:dyDescent="0.25">
      <c r="A447" s="104"/>
      <c r="G447" s="96"/>
    </row>
    <row r="448" spans="1:7" x14ac:dyDescent="0.25">
      <c r="A448" s="104" t="s">
        <v>375</v>
      </c>
      <c r="G448" s="96"/>
    </row>
    <row r="449" spans="1:7" ht="45" x14ac:dyDescent="0.25">
      <c r="A449" s="107" t="s">
        <v>377</v>
      </c>
      <c r="B449" s="107"/>
      <c r="C449" s="107"/>
      <c r="D449" s="107"/>
      <c r="E449" s="107"/>
      <c r="F449" s="107"/>
      <c r="G449" s="96"/>
    </row>
    <row r="450" spans="1:7" ht="30" x14ac:dyDescent="0.25">
      <c r="A450" s="115" t="s">
        <v>378</v>
      </c>
      <c r="B450" s="104" t="s">
        <v>1075</v>
      </c>
      <c r="C450" s="120">
        <v>0.67</v>
      </c>
      <c r="D450" s="120"/>
      <c r="E450" s="120"/>
      <c r="F450" s="120"/>
      <c r="G450" s="96"/>
    </row>
    <row r="451" spans="1:7" x14ac:dyDescent="0.25">
      <c r="A451" s="2"/>
      <c r="B451" s="104"/>
      <c r="C451" s="114" t="s">
        <v>23</v>
      </c>
      <c r="D451" s="104" t="s">
        <v>863</v>
      </c>
      <c r="E451" s="105">
        <v>42531</v>
      </c>
      <c r="F451" s="106"/>
      <c r="G451" s="96">
        <v>6779955.6600000001</v>
      </c>
    </row>
    <row r="452" spans="1:7" x14ac:dyDescent="0.25">
      <c r="A452" s="2"/>
      <c r="B452" s="104"/>
      <c r="C452" s="114" t="s">
        <v>103</v>
      </c>
      <c r="D452" s="104" t="s">
        <v>863</v>
      </c>
      <c r="E452" s="105">
        <v>42685</v>
      </c>
      <c r="F452" s="106" t="s">
        <v>1434</v>
      </c>
      <c r="G452" s="96">
        <v>998404.29</v>
      </c>
    </row>
    <row r="453" spans="1:7" x14ac:dyDescent="0.25">
      <c r="A453" s="2"/>
      <c r="B453" s="104"/>
      <c r="C453" s="114" t="s">
        <v>221</v>
      </c>
      <c r="D453" s="104" t="s">
        <v>863</v>
      </c>
      <c r="E453" s="105">
        <v>42712</v>
      </c>
      <c r="F453" s="106" t="s">
        <v>1076</v>
      </c>
      <c r="G453" s="96">
        <v>704895.24</v>
      </c>
    </row>
    <row r="454" spans="1:7" x14ac:dyDescent="0.25">
      <c r="A454" s="2"/>
      <c r="B454" s="104"/>
      <c r="C454" s="114" t="s">
        <v>55</v>
      </c>
      <c r="D454" s="104" t="s">
        <v>863</v>
      </c>
      <c r="E454" s="105">
        <v>42712</v>
      </c>
      <c r="F454" s="106" t="s">
        <v>1823</v>
      </c>
      <c r="G454" s="96">
        <v>272350.99</v>
      </c>
    </row>
    <row r="455" spans="1:7" x14ac:dyDescent="0.25">
      <c r="A455" s="2"/>
      <c r="B455" s="104"/>
      <c r="C455" s="114" t="s">
        <v>215</v>
      </c>
      <c r="D455" s="104" t="s">
        <v>863</v>
      </c>
      <c r="E455" s="105">
        <v>42712</v>
      </c>
      <c r="F455" s="106" t="s">
        <v>1543</v>
      </c>
      <c r="G455" s="96">
        <v>602283.13</v>
      </c>
    </row>
    <row r="456" spans="1:7" x14ac:dyDescent="0.25">
      <c r="A456" s="2"/>
      <c r="B456" s="104"/>
      <c r="C456" s="114" t="s">
        <v>15</v>
      </c>
      <c r="D456" s="104" t="s">
        <v>863</v>
      </c>
      <c r="E456" s="105">
        <v>42712</v>
      </c>
      <c r="F456" s="106" t="s">
        <v>1824</v>
      </c>
      <c r="G456" s="96">
        <v>454459.7</v>
      </c>
    </row>
    <row r="457" spans="1:7" x14ac:dyDescent="0.25">
      <c r="A457" s="2"/>
      <c r="B457" s="104"/>
      <c r="C457" s="114" t="s">
        <v>214</v>
      </c>
      <c r="D457" s="104" t="s">
        <v>863</v>
      </c>
      <c r="E457" s="105">
        <v>42712</v>
      </c>
      <c r="F457" s="106" t="s">
        <v>1419</v>
      </c>
      <c r="G457" s="96">
        <v>463442.07</v>
      </c>
    </row>
    <row r="458" spans="1:7" x14ac:dyDescent="0.25">
      <c r="A458" s="2"/>
      <c r="B458" s="104"/>
      <c r="C458" s="114" t="s">
        <v>218</v>
      </c>
      <c r="D458" s="104" t="s">
        <v>863</v>
      </c>
      <c r="E458" s="105">
        <v>42755</v>
      </c>
      <c r="F458" s="106" t="s">
        <v>1894</v>
      </c>
      <c r="G458" s="96">
        <v>935585.42</v>
      </c>
    </row>
    <row r="459" spans="1:7" x14ac:dyDescent="0.25">
      <c r="A459" s="2"/>
      <c r="B459" s="104"/>
      <c r="C459" s="114" t="s">
        <v>220</v>
      </c>
      <c r="D459" s="104" t="s">
        <v>865</v>
      </c>
      <c r="E459" s="105">
        <v>42807</v>
      </c>
      <c r="F459" s="106" t="s">
        <v>2422</v>
      </c>
      <c r="G459" s="96">
        <v>754375.56</v>
      </c>
    </row>
    <row r="460" spans="1:7" x14ac:dyDescent="0.25">
      <c r="A460" s="2"/>
      <c r="B460" s="104"/>
      <c r="C460" s="114" t="s">
        <v>748</v>
      </c>
      <c r="D460" s="104" t="s">
        <v>865</v>
      </c>
      <c r="E460" s="105">
        <v>42807</v>
      </c>
      <c r="F460" s="106" t="s">
        <v>2446</v>
      </c>
      <c r="G460" s="96">
        <v>860936.14</v>
      </c>
    </row>
    <row r="461" spans="1:7" x14ac:dyDescent="0.25">
      <c r="A461" s="2"/>
      <c r="B461" s="104"/>
      <c r="C461" s="114" t="s">
        <v>249</v>
      </c>
      <c r="D461" s="104" t="s">
        <v>865</v>
      </c>
      <c r="E461" s="105">
        <v>42807</v>
      </c>
      <c r="F461" s="106" t="s">
        <v>2493</v>
      </c>
      <c r="G461" s="96">
        <v>1354409.35</v>
      </c>
    </row>
    <row r="462" spans="1:7" x14ac:dyDescent="0.25">
      <c r="A462" s="2"/>
      <c r="B462" s="104"/>
      <c r="C462" s="114" t="s">
        <v>264</v>
      </c>
      <c r="D462" s="104" t="s">
        <v>866</v>
      </c>
      <c r="E462" s="105">
        <v>42811</v>
      </c>
      <c r="F462" s="106" t="s">
        <v>1152</v>
      </c>
      <c r="G462" s="96">
        <v>3132618.17</v>
      </c>
    </row>
    <row r="463" spans="1:7" x14ac:dyDescent="0.25">
      <c r="A463" s="104" t="s">
        <v>1077</v>
      </c>
      <c r="G463" s="96">
        <v>17313715.719999999</v>
      </c>
    </row>
    <row r="464" spans="1:7" x14ac:dyDescent="0.25">
      <c r="A464" s="104"/>
      <c r="G464" s="96"/>
    </row>
    <row r="465" spans="1:7" x14ac:dyDescent="0.25">
      <c r="A465" s="104" t="s">
        <v>358</v>
      </c>
      <c r="G465" s="96"/>
    </row>
    <row r="466" spans="1:7" ht="60" x14ac:dyDescent="0.25">
      <c r="A466" s="107" t="s">
        <v>357</v>
      </c>
      <c r="B466" s="107"/>
      <c r="C466" s="107"/>
      <c r="D466" s="107"/>
      <c r="E466" s="107"/>
      <c r="F466" s="107"/>
      <c r="G466" s="96"/>
    </row>
    <row r="467" spans="1:7" ht="30" x14ac:dyDescent="0.25">
      <c r="A467" s="115" t="s">
        <v>356</v>
      </c>
      <c r="B467" s="104" t="s">
        <v>1256</v>
      </c>
      <c r="C467" s="120">
        <v>1</v>
      </c>
      <c r="D467" s="120"/>
      <c r="E467" s="120"/>
      <c r="F467" s="120"/>
      <c r="G467" s="96"/>
    </row>
    <row r="468" spans="1:7" x14ac:dyDescent="0.25">
      <c r="A468" s="2"/>
      <c r="B468" s="104"/>
      <c r="C468" s="114" t="s">
        <v>23</v>
      </c>
      <c r="D468" s="104" t="s">
        <v>863</v>
      </c>
      <c r="E468" s="105">
        <v>42538</v>
      </c>
      <c r="F468" s="106"/>
      <c r="G468" s="96">
        <v>78910.5</v>
      </c>
    </row>
    <row r="469" spans="1:7" x14ac:dyDescent="0.25">
      <c r="A469" s="2"/>
      <c r="B469" s="104"/>
      <c r="C469" s="114" t="s">
        <v>103</v>
      </c>
      <c r="D469" s="104" t="s">
        <v>863</v>
      </c>
      <c r="E469" s="105">
        <v>42663</v>
      </c>
      <c r="F469" s="106" t="s">
        <v>1078</v>
      </c>
      <c r="G469" s="96">
        <v>177055.45</v>
      </c>
    </row>
    <row r="470" spans="1:7" x14ac:dyDescent="0.25">
      <c r="A470" s="2"/>
      <c r="B470" s="104"/>
      <c r="C470" s="114" t="s">
        <v>221</v>
      </c>
      <c r="D470" s="104" t="s">
        <v>863</v>
      </c>
      <c r="E470" s="105">
        <v>42663</v>
      </c>
      <c r="F470" s="106" t="s">
        <v>1078</v>
      </c>
      <c r="G470" s="96">
        <v>177055.45</v>
      </c>
    </row>
    <row r="471" spans="1:7" x14ac:dyDescent="0.25">
      <c r="A471" s="2"/>
      <c r="B471" s="104"/>
      <c r="C471" s="114" t="s">
        <v>55</v>
      </c>
      <c r="D471" s="104" t="s">
        <v>863</v>
      </c>
      <c r="E471" s="105">
        <v>42663</v>
      </c>
      <c r="F471" s="106" t="s">
        <v>1078</v>
      </c>
      <c r="G471" s="96">
        <v>177055.45</v>
      </c>
    </row>
    <row r="472" spans="1:7" x14ac:dyDescent="0.25">
      <c r="A472" s="2"/>
      <c r="B472" s="104"/>
      <c r="C472" s="114" t="s">
        <v>215</v>
      </c>
      <c r="D472" s="104" t="s">
        <v>863</v>
      </c>
      <c r="E472" s="105">
        <v>42781</v>
      </c>
      <c r="F472" s="106" t="s">
        <v>1078</v>
      </c>
      <c r="G472" s="96">
        <v>177055.45</v>
      </c>
    </row>
    <row r="473" spans="1:7" x14ac:dyDescent="0.25">
      <c r="A473" s="104" t="s">
        <v>1257</v>
      </c>
      <c r="G473" s="96">
        <v>787132.3</v>
      </c>
    </row>
    <row r="474" spans="1:7" x14ac:dyDescent="0.25">
      <c r="A474" s="104"/>
      <c r="G474" s="96"/>
    </row>
    <row r="475" spans="1:7" x14ac:dyDescent="0.25">
      <c r="A475" s="104" t="s">
        <v>426</v>
      </c>
      <c r="G475" s="96"/>
    </row>
    <row r="476" spans="1:7" ht="60" x14ac:dyDescent="0.25">
      <c r="A476" s="107" t="s">
        <v>427</v>
      </c>
      <c r="B476" s="107"/>
      <c r="C476" s="107"/>
      <c r="D476" s="107"/>
      <c r="E476" s="107"/>
      <c r="F476" s="107"/>
      <c r="G476" s="96"/>
    </row>
    <row r="477" spans="1:7" x14ac:dyDescent="0.25">
      <c r="A477" s="115" t="s">
        <v>425</v>
      </c>
      <c r="B477" s="104" t="s">
        <v>1079</v>
      </c>
      <c r="C477" s="120">
        <v>1</v>
      </c>
      <c r="D477" s="120"/>
      <c r="E477" s="120"/>
      <c r="F477" s="120"/>
      <c r="G477" s="96"/>
    </row>
    <row r="478" spans="1:7" x14ac:dyDescent="0.25">
      <c r="A478" s="2"/>
      <c r="B478" s="104"/>
      <c r="C478" s="114" t="s">
        <v>23</v>
      </c>
      <c r="D478" s="104" t="s">
        <v>863</v>
      </c>
      <c r="E478" s="105">
        <v>42627</v>
      </c>
      <c r="F478" s="106"/>
      <c r="G478" s="96">
        <v>52549.42</v>
      </c>
    </row>
    <row r="479" spans="1:7" x14ac:dyDescent="0.25">
      <c r="A479" s="2"/>
      <c r="B479" s="104"/>
      <c r="C479" s="114" t="s">
        <v>103</v>
      </c>
      <c r="D479" s="104" t="s">
        <v>863</v>
      </c>
      <c r="E479" s="105">
        <v>42697</v>
      </c>
      <c r="F479" s="106" t="s">
        <v>1078</v>
      </c>
      <c r="G479" s="96">
        <v>117907.75</v>
      </c>
    </row>
    <row r="480" spans="1:7" x14ac:dyDescent="0.25">
      <c r="A480" s="2"/>
      <c r="B480" s="104"/>
      <c r="C480" s="114" t="s">
        <v>221</v>
      </c>
      <c r="D480" s="104" t="s">
        <v>863</v>
      </c>
      <c r="E480" s="105">
        <v>42781</v>
      </c>
      <c r="F480" s="106" t="s">
        <v>1078</v>
      </c>
      <c r="G480" s="96">
        <v>117907.75</v>
      </c>
    </row>
    <row r="481" spans="1:7" x14ac:dyDescent="0.25">
      <c r="A481" s="2"/>
      <c r="B481" s="104"/>
      <c r="C481" s="114" t="s">
        <v>55</v>
      </c>
      <c r="D481" s="104" t="s">
        <v>863</v>
      </c>
      <c r="E481" s="105">
        <v>42781</v>
      </c>
      <c r="F481" s="106" t="s">
        <v>1078</v>
      </c>
      <c r="G481" s="96">
        <v>117907.75</v>
      </c>
    </row>
    <row r="482" spans="1:7" x14ac:dyDescent="0.25">
      <c r="A482" s="2"/>
      <c r="B482" s="104"/>
      <c r="C482" s="114" t="s">
        <v>215</v>
      </c>
      <c r="D482" s="104" t="s">
        <v>863</v>
      </c>
      <c r="E482" s="105">
        <v>42781</v>
      </c>
      <c r="F482" s="106" t="s">
        <v>1078</v>
      </c>
      <c r="G482" s="96">
        <v>117907.75</v>
      </c>
    </row>
    <row r="483" spans="1:7" x14ac:dyDescent="0.25">
      <c r="A483" s="104" t="s">
        <v>1080</v>
      </c>
      <c r="G483" s="96">
        <v>524180.42</v>
      </c>
    </row>
    <row r="484" spans="1:7" x14ac:dyDescent="0.25">
      <c r="A484" s="104"/>
      <c r="G484" s="96"/>
    </row>
    <row r="485" spans="1:7" x14ac:dyDescent="0.25">
      <c r="A485" s="104" t="s">
        <v>419</v>
      </c>
      <c r="G485" s="96"/>
    </row>
    <row r="486" spans="1:7" ht="45" x14ac:dyDescent="0.25">
      <c r="A486" s="107" t="s">
        <v>417</v>
      </c>
      <c r="B486" s="107"/>
      <c r="C486" s="107"/>
      <c r="D486" s="107"/>
      <c r="E486" s="107"/>
      <c r="F486" s="107"/>
      <c r="G486" s="96"/>
    </row>
    <row r="487" spans="1:7" x14ac:dyDescent="0.25">
      <c r="A487" s="115" t="s">
        <v>418</v>
      </c>
      <c r="B487" s="104" t="s">
        <v>1081</v>
      </c>
      <c r="C487" s="120">
        <v>1</v>
      </c>
      <c r="D487" s="120"/>
      <c r="E487" s="120"/>
      <c r="F487" s="120"/>
      <c r="G487" s="96"/>
    </row>
    <row r="488" spans="1:7" x14ac:dyDescent="0.25">
      <c r="A488" s="2"/>
      <c r="B488" s="104"/>
      <c r="C488" s="114" t="s">
        <v>23</v>
      </c>
      <c r="D488" s="104" t="s">
        <v>863</v>
      </c>
      <c r="E488" s="105">
        <v>42545</v>
      </c>
      <c r="F488" s="106"/>
      <c r="G488" s="96">
        <v>70322.36</v>
      </c>
    </row>
    <row r="489" spans="1:7" x14ac:dyDescent="0.25">
      <c r="A489" s="2"/>
      <c r="B489" s="104"/>
      <c r="C489" s="114" t="s">
        <v>103</v>
      </c>
      <c r="D489" s="104" t="s">
        <v>863</v>
      </c>
      <c r="E489" s="105">
        <v>42664</v>
      </c>
      <c r="F489" s="106" t="s">
        <v>1258</v>
      </c>
      <c r="G489" s="96">
        <v>258051.38</v>
      </c>
    </row>
    <row r="490" spans="1:7" x14ac:dyDescent="0.25">
      <c r="A490" s="2"/>
      <c r="B490" s="104"/>
      <c r="C490" s="114" t="s">
        <v>221</v>
      </c>
      <c r="D490" s="104" t="s">
        <v>863</v>
      </c>
      <c r="E490" s="105">
        <v>42664</v>
      </c>
      <c r="F490" s="106" t="s">
        <v>1259</v>
      </c>
      <c r="G490" s="96">
        <v>111704.12</v>
      </c>
    </row>
    <row r="491" spans="1:7" x14ac:dyDescent="0.25">
      <c r="A491" s="2"/>
      <c r="B491" s="104"/>
      <c r="C491" s="114" t="s">
        <v>55</v>
      </c>
      <c r="D491" s="104" t="s">
        <v>863</v>
      </c>
      <c r="E491" s="105">
        <v>42664</v>
      </c>
      <c r="F491" s="106" t="s">
        <v>1260</v>
      </c>
      <c r="G491" s="96">
        <v>110587</v>
      </c>
    </row>
    <row r="492" spans="1:7" x14ac:dyDescent="0.25">
      <c r="A492" s="2"/>
      <c r="B492" s="104"/>
      <c r="C492" s="114" t="s">
        <v>215</v>
      </c>
      <c r="D492" s="104" t="s">
        <v>863</v>
      </c>
      <c r="E492" s="105">
        <v>42671</v>
      </c>
      <c r="F492" s="106" t="s">
        <v>1317</v>
      </c>
      <c r="G492" s="96">
        <v>116172.3</v>
      </c>
    </row>
    <row r="493" spans="1:7" x14ac:dyDescent="0.25">
      <c r="A493" s="2"/>
      <c r="B493" s="104"/>
      <c r="C493" s="114" t="s">
        <v>15</v>
      </c>
      <c r="D493" s="104" t="s">
        <v>2238</v>
      </c>
      <c r="E493" s="105">
        <v>42713</v>
      </c>
      <c r="F493" s="106" t="s">
        <v>1895</v>
      </c>
      <c r="G493" s="96">
        <v>17314.2</v>
      </c>
    </row>
    <row r="494" spans="1:7" x14ac:dyDescent="0.25">
      <c r="A494" s="2"/>
      <c r="B494" s="104"/>
      <c r="C494" s="114" t="s">
        <v>214</v>
      </c>
      <c r="D494" s="104" t="s">
        <v>2238</v>
      </c>
      <c r="E494" s="105">
        <v>42713</v>
      </c>
      <c r="F494" s="106" t="s">
        <v>1895</v>
      </c>
      <c r="G494" s="96">
        <v>17314.099999999999</v>
      </c>
    </row>
    <row r="495" spans="1:7" x14ac:dyDescent="0.25">
      <c r="A495" s="104" t="s">
        <v>1082</v>
      </c>
      <c r="G495" s="96">
        <v>701465.46</v>
      </c>
    </row>
    <row r="496" spans="1:7" x14ac:dyDescent="0.25">
      <c r="A496" s="104"/>
      <c r="G496" s="96"/>
    </row>
    <row r="497" spans="1:7" x14ac:dyDescent="0.25">
      <c r="A497" s="104" t="s">
        <v>359</v>
      </c>
      <c r="G497" s="96"/>
    </row>
    <row r="498" spans="1:7" ht="60" x14ac:dyDescent="0.25">
      <c r="A498" s="107" t="s">
        <v>361</v>
      </c>
      <c r="B498" s="107"/>
      <c r="C498" s="107"/>
      <c r="D498" s="107"/>
      <c r="E498" s="107"/>
      <c r="F498" s="107"/>
      <c r="G498" s="96"/>
    </row>
    <row r="499" spans="1:7" x14ac:dyDescent="0.25">
      <c r="A499" s="115" t="s">
        <v>362</v>
      </c>
      <c r="B499" s="104" t="s">
        <v>1083</v>
      </c>
      <c r="C499" s="120">
        <v>1</v>
      </c>
      <c r="D499" s="120"/>
      <c r="E499" s="120"/>
      <c r="F499" s="120"/>
      <c r="G499" s="96"/>
    </row>
    <row r="500" spans="1:7" x14ac:dyDescent="0.25">
      <c r="A500" s="2"/>
      <c r="B500" s="104"/>
      <c r="C500" s="114" t="s">
        <v>23</v>
      </c>
      <c r="D500" s="104" t="s">
        <v>863</v>
      </c>
      <c r="E500" s="105">
        <v>42537</v>
      </c>
      <c r="F500" s="106"/>
      <c r="G500" s="96">
        <v>105502.2</v>
      </c>
    </row>
    <row r="501" spans="1:7" x14ac:dyDescent="0.25">
      <c r="A501" s="2"/>
      <c r="B501" s="104"/>
      <c r="C501" s="114" t="s">
        <v>103</v>
      </c>
      <c r="D501" s="104" t="s">
        <v>863</v>
      </c>
      <c r="E501" s="105">
        <v>42632</v>
      </c>
      <c r="F501" s="106" t="s">
        <v>1078</v>
      </c>
      <c r="G501" s="96">
        <v>236720.57</v>
      </c>
    </row>
    <row r="502" spans="1:7" x14ac:dyDescent="0.25">
      <c r="A502" s="2"/>
      <c r="B502" s="104"/>
      <c r="C502" s="114" t="s">
        <v>221</v>
      </c>
      <c r="D502" s="104" t="s">
        <v>863</v>
      </c>
      <c r="E502" s="105">
        <v>42664</v>
      </c>
      <c r="F502" s="106" t="s">
        <v>1078</v>
      </c>
      <c r="G502" s="96">
        <v>236720.57</v>
      </c>
    </row>
    <row r="503" spans="1:7" x14ac:dyDescent="0.25">
      <c r="A503" s="2"/>
      <c r="B503" s="104"/>
      <c r="C503" s="114" t="s">
        <v>55</v>
      </c>
      <c r="D503" s="104" t="s">
        <v>863</v>
      </c>
      <c r="E503" s="105">
        <v>42697</v>
      </c>
      <c r="F503" s="106" t="s">
        <v>1078</v>
      </c>
      <c r="G503" s="96">
        <v>236720.57</v>
      </c>
    </row>
    <row r="504" spans="1:7" x14ac:dyDescent="0.25">
      <c r="A504" s="2"/>
      <c r="B504" s="104"/>
      <c r="C504" s="114" t="s">
        <v>215</v>
      </c>
      <c r="D504" s="104" t="s">
        <v>863</v>
      </c>
      <c r="E504" s="105">
        <v>43062</v>
      </c>
      <c r="F504" s="106" t="s">
        <v>1084</v>
      </c>
      <c r="G504" s="96">
        <v>118360.25</v>
      </c>
    </row>
    <row r="505" spans="1:7" x14ac:dyDescent="0.25">
      <c r="A505" s="2"/>
      <c r="B505" s="104"/>
      <c r="C505" s="114" t="s">
        <v>15</v>
      </c>
      <c r="D505" s="104" t="s">
        <v>863</v>
      </c>
      <c r="E505" s="105">
        <v>42781</v>
      </c>
      <c r="F505" s="106" t="s">
        <v>1084</v>
      </c>
      <c r="G505" s="96">
        <v>118360.25</v>
      </c>
    </row>
    <row r="506" spans="1:7" x14ac:dyDescent="0.25">
      <c r="A506" s="104" t="s">
        <v>1085</v>
      </c>
      <c r="G506" s="96">
        <v>1052384.4099999999</v>
      </c>
    </row>
    <row r="507" spans="1:7" x14ac:dyDescent="0.25">
      <c r="A507" s="104"/>
      <c r="G507" s="96"/>
    </row>
    <row r="508" spans="1:7" x14ac:dyDescent="0.25">
      <c r="A508" s="104" t="s">
        <v>315</v>
      </c>
      <c r="G508" s="96"/>
    </row>
    <row r="509" spans="1:7" ht="60" x14ac:dyDescent="0.25">
      <c r="A509" s="107" t="s">
        <v>317</v>
      </c>
      <c r="B509" s="107"/>
      <c r="C509" s="107"/>
      <c r="D509" s="107"/>
      <c r="E509" s="107"/>
      <c r="F509" s="107"/>
      <c r="G509" s="96"/>
    </row>
    <row r="510" spans="1:7" x14ac:dyDescent="0.25">
      <c r="A510" s="115" t="s">
        <v>289</v>
      </c>
      <c r="B510" s="104" t="s">
        <v>1086</v>
      </c>
      <c r="C510" s="120">
        <v>1</v>
      </c>
      <c r="D510" s="120"/>
      <c r="E510" s="120"/>
      <c r="F510" s="120"/>
      <c r="G510" s="96"/>
    </row>
    <row r="511" spans="1:7" x14ac:dyDescent="0.25">
      <c r="A511" s="2"/>
      <c r="B511" s="104"/>
      <c r="C511" s="114" t="s">
        <v>23</v>
      </c>
      <c r="D511" s="104" t="s">
        <v>863</v>
      </c>
      <c r="E511" s="105">
        <v>42523</v>
      </c>
      <c r="F511" s="106"/>
      <c r="G511" s="96">
        <v>249748.85</v>
      </c>
    </row>
    <row r="512" spans="1:7" x14ac:dyDescent="0.25">
      <c r="A512" s="2"/>
      <c r="B512" s="104"/>
      <c r="C512" s="114" t="s">
        <v>103</v>
      </c>
      <c r="D512" s="104" t="s">
        <v>863</v>
      </c>
      <c r="E512" s="105">
        <v>42663</v>
      </c>
      <c r="F512" s="106" t="s">
        <v>1087</v>
      </c>
      <c r="G512" s="96">
        <v>320213.71999999997</v>
      </c>
    </row>
    <row r="513" spans="1:7" x14ac:dyDescent="0.25">
      <c r="A513" s="2"/>
      <c r="B513" s="104"/>
      <c r="C513" s="114" t="s">
        <v>221</v>
      </c>
      <c r="D513" s="104" t="s">
        <v>863</v>
      </c>
      <c r="E513" s="105">
        <v>42663</v>
      </c>
      <c r="F513" s="106" t="s">
        <v>1087</v>
      </c>
      <c r="G513" s="96">
        <v>320213.71999999997</v>
      </c>
    </row>
    <row r="514" spans="1:7" x14ac:dyDescent="0.25">
      <c r="A514" s="2"/>
      <c r="B514" s="104"/>
      <c r="C514" s="114" t="s">
        <v>55</v>
      </c>
      <c r="D514" s="104" t="s">
        <v>863</v>
      </c>
      <c r="E514" s="105">
        <v>42671</v>
      </c>
      <c r="F514" s="106" t="s">
        <v>1087</v>
      </c>
      <c r="G514" s="96">
        <v>320213.71999999997</v>
      </c>
    </row>
    <row r="515" spans="1:7" x14ac:dyDescent="0.25">
      <c r="A515" s="2"/>
      <c r="B515" s="104"/>
      <c r="C515" s="114" t="s">
        <v>215</v>
      </c>
      <c r="D515" s="104" t="s">
        <v>863</v>
      </c>
      <c r="E515" s="105">
        <v>42671</v>
      </c>
      <c r="F515" s="106" t="s">
        <v>1087</v>
      </c>
      <c r="G515" s="96">
        <v>320213.71999999997</v>
      </c>
    </row>
    <row r="516" spans="1:7" x14ac:dyDescent="0.25">
      <c r="A516" s="2"/>
      <c r="B516" s="104"/>
      <c r="C516" s="114" t="s">
        <v>15</v>
      </c>
      <c r="D516" s="104" t="s">
        <v>863</v>
      </c>
      <c r="E516" s="105">
        <v>42781</v>
      </c>
      <c r="F516" s="106" t="s">
        <v>1087</v>
      </c>
      <c r="G516" s="96">
        <v>320213.71999999997</v>
      </c>
    </row>
    <row r="517" spans="1:7" x14ac:dyDescent="0.25">
      <c r="A517" s="2"/>
      <c r="B517" s="104"/>
      <c r="C517" s="114" t="s">
        <v>214</v>
      </c>
      <c r="D517" s="104" t="s">
        <v>863</v>
      </c>
      <c r="E517" s="105">
        <v>42781</v>
      </c>
      <c r="F517" s="106" t="s">
        <v>1087</v>
      </c>
      <c r="G517" s="96">
        <v>320213.71999999997</v>
      </c>
    </row>
    <row r="518" spans="1:7" x14ac:dyDescent="0.25">
      <c r="A518" s="2"/>
      <c r="B518" s="104"/>
      <c r="C518" s="114" t="s">
        <v>218</v>
      </c>
      <c r="D518" s="104" t="s">
        <v>863</v>
      </c>
      <c r="E518" s="105">
        <v>42781</v>
      </c>
      <c r="F518" s="106" t="s">
        <v>1087</v>
      </c>
      <c r="G518" s="96">
        <v>320213.74</v>
      </c>
    </row>
    <row r="519" spans="1:7" x14ac:dyDescent="0.25">
      <c r="A519" s="104" t="s">
        <v>1088</v>
      </c>
      <c r="G519" s="96">
        <v>2491244.91</v>
      </c>
    </row>
    <row r="520" spans="1:7" x14ac:dyDescent="0.25">
      <c r="A520" s="104"/>
      <c r="G520" s="96"/>
    </row>
    <row r="521" spans="1:7" x14ac:dyDescent="0.25">
      <c r="A521" s="104" t="s">
        <v>446</v>
      </c>
      <c r="G521" s="96"/>
    </row>
    <row r="522" spans="1:7" ht="75" x14ac:dyDescent="0.25">
      <c r="A522" s="107" t="s">
        <v>445</v>
      </c>
      <c r="B522" s="107"/>
      <c r="C522" s="107"/>
      <c r="D522" s="107"/>
      <c r="E522" s="107"/>
      <c r="F522" s="107"/>
      <c r="G522" s="96"/>
    </row>
    <row r="523" spans="1:7" x14ac:dyDescent="0.25">
      <c r="A523" s="115" t="s">
        <v>444</v>
      </c>
      <c r="B523" s="104" t="s">
        <v>1563</v>
      </c>
      <c r="C523" s="120">
        <v>1</v>
      </c>
      <c r="D523" s="120"/>
      <c r="E523" s="120"/>
      <c r="F523" s="120"/>
      <c r="G523" s="96"/>
    </row>
    <row r="524" spans="1:7" x14ac:dyDescent="0.25">
      <c r="A524" s="2"/>
      <c r="B524" s="104"/>
      <c r="C524" s="114" t="s">
        <v>103</v>
      </c>
      <c r="D524" s="104" t="s">
        <v>863</v>
      </c>
      <c r="E524" s="105">
        <v>42781</v>
      </c>
      <c r="F524" s="106" t="s">
        <v>1564</v>
      </c>
      <c r="G524" s="96">
        <v>132199.92000000001</v>
      </c>
    </row>
    <row r="525" spans="1:7" x14ac:dyDescent="0.25">
      <c r="A525" s="2"/>
      <c r="B525" s="104"/>
      <c r="C525" s="114" t="s">
        <v>221</v>
      </c>
      <c r="D525" s="104" t="s">
        <v>863</v>
      </c>
      <c r="E525" s="105">
        <v>42781</v>
      </c>
      <c r="F525" s="106" t="s">
        <v>1320</v>
      </c>
      <c r="G525" s="96">
        <v>88133.29</v>
      </c>
    </row>
    <row r="526" spans="1:7" x14ac:dyDescent="0.25">
      <c r="A526" s="104" t="s">
        <v>1565</v>
      </c>
      <c r="G526" s="96">
        <v>220333.21</v>
      </c>
    </row>
    <row r="527" spans="1:7" x14ac:dyDescent="0.25">
      <c r="A527" s="104"/>
      <c r="G527" s="96"/>
    </row>
    <row r="528" spans="1:7" x14ac:dyDescent="0.25">
      <c r="A528" s="104" t="s">
        <v>447</v>
      </c>
      <c r="G528" s="96"/>
    </row>
    <row r="529" spans="1:7" ht="75" x14ac:dyDescent="0.25">
      <c r="A529" s="107" t="s">
        <v>450</v>
      </c>
      <c r="B529" s="107"/>
      <c r="C529" s="107"/>
      <c r="D529" s="107"/>
      <c r="E529" s="107"/>
      <c r="F529" s="107"/>
      <c r="G529" s="96"/>
    </row>
    <row r="530" spans="1:7" x14ac:dyDescent="0.25">
      <c r="A530" s="115" t="s">
        <v>444</v>
      </c>
      <c r="B530" s="104" t="s">
        <v>1563</v>
      </c>
      <c r="C530" s="120">
        <v>1</v>
      </c>
      <c r="D530" s="120"/>
      <c r="E530" s="120"/>
      <c r="F530" s="120"/>
      <c r="G530" s="96"/>
    </row>
    <row r="531" spans="1:7" x14ac:dyDescent="0.25">
      <c r="A531" s="2"/>
      <c r="B531" s="104"/>
      <c r="C531" s="114" t="s">
        <v>103</v>
      </c>
      <c r="D531" s="104" t="s">
        <v>863</v>
      </c>
      <c r="E531" s="105">
        <v>42781</v>
      </c>
      <c r="F531" s="106" t="s">
        <v>1681</v>
      </c>
      <c r="G531" s="96">
        <v>118979.94</v>
      </c>
    </row>
    <row r="532" spans="1:7" x14ac:dyDescent="0.25">
      <c r="A532" s="2"/>
      <c r="B532" s="104"/>
      <c r="C532" s="114" t="s">
        <v>221</v>
      </c>
      <c r="D532" s="104" t="s">
        <v>863</v>
      </c>
      <c r="E532" s="105">
        <v>42781</v>
      </c>
      <c r="F532" s="106" t="s">
        <v>1682</v>
      </c>
      <c r="G532" s="96">
        <v>101353.27</v>
      </c>
    </row>
    <row r="533" spans="1:7" x14ac:dyDescent="0.25">
      <c r="A533" s="104" t="s">
        <v>1683</v>
      </c>
      <c r="G533" s="96">
        <v>220333.21</v>
      </c>
    </row>
    <row r="534" spans="1:7" x14ac:dyDescent="0.25">
      <c r="A534" s="104"/>
      <c r="G534" s="96"/>
    </row>
    <row r="535" spans="1:7" x14ac:dyDescent="0.25">
      <c r="A535" s="104" t="s">
        <v>740</v>
      </c>
      <c r="G535" s="96"/>
    </row>
    <row r="536" spans="1:7" ht="45" x14ac:dyDescent="0.25">
      <c r="A536" s="107" t="s">
        <v>741</v>
      </c>
      <c r="B536" s="107"/>
      <c r="C536" s="107"/>
      <c r="D536" s="107"/>
      <c r="E536" s="107"/>
      <c r="F536" s="107"/>
      <c r="G536" s="96"/>
    </row>
    <row r="537" spans="1:7" x14ac:dyDescent="0.25">
      <c r="A537" s="115" t="s">
        <v>295</v>
      </c>
      <c r="B537" s="104" t="s">
        <v>1089</v>
      </c>
      <c r="C537" s="120">
        <v>1</v>
      </c>
      <c r="D537" s="120"/>
      <c r="E537" s="120"/>
      <c r="F537" s="120"/>
      <c r="G537" s="96"/>
    </row>
    <row r="538" spans="1:7" x14ac:dyDescent="0.25">
      <c r="A538" s="2"/>
      <c r="B538" s="104"/>
      <c r="C538" s="114" t="s">
        <v>103</v>
      </c>
      <c r="D538" s="104" t="s">
        <v>863</v>
      </c>
      <c r="E538" s="105">
        <v>42662</v>
      </c>
      <c r="F538" s="106" t="s">
        <v>1078</v>
      </c>
      <c r="G538" s="96">
        <v>84410.66</v>
      </c>
    </row>
    <row r="539" spans="1:7" x14ac:dyDescent="0.25">
      <c r="A539" s="2"/>
      <c r="B539" s="104"/>
      <c r="C539" s="114" t="s">
        <v>221</v>
      </c>
      <c r="D539" s="104" t="s">
        <v>863</v>
      </c>
      <c r="E539" s="105">
        <v>42662</v>
      </c>
      <c r="F539" s="106" t="s">
        <v>1078</v>
      </c>
      <c r="G539" s="96">
        <v>84410.66</v>
      </c>
    </row>
    <row r="540" spans="1:7" x14ac:dyDescent="0.25">
      <c r="A540" s="2"/>
      <c r="B540" s="104"/>
      <c r="C540" s="114" t="s">
        <v>55</v>
      </c>
      <c r="D540" s="104" t="s">
        <v>863</v>
      </c>
      <c r="E540" s="105">
        <v>42662</v>
      </c>
      <c r="F540" s="106" t="s">
        <v>1078</v>
      </c>
      <c r="G540" s="96">
        <v>84410.66</v>
      </c>
    </row>
    <row r="541" spans="1:7" x14ac:dyDescent="0.25">
      <c r="A541" s="2"/>
      <c r="B541" s="104"/>
      <c r="C541" s="114" t="s">
        <v>215</v>
      </c>
      <c r="D541" s="104" t="s">
        <v>2238</v>
      </c>
      <c r="E541" s="105">
        <v>42744</v>
      </c>
      <c r="F541" s="106" t="s">
        <v>1078</v>
      </c>
      <c r="G541" s="96">
        <v>84410.66</v>
      </c>
    </row>
    <row r="542" spans="1:7" x14ac:dyDescent="0.25">
      <c r="A542" s="104" t="s">
        <v>1261</v>
      </c>
      <c r="G542" s="96">
        <v>337642.64</v>
      </c>
    </row>
    <row r="543" spans="1:7" x14ac:dyDescent="0.25">
      <c r="A543" s="104"/>
      <c r="G543" s="96"/>
    </row>
    <row r="544" spans="1:7" x14ac:dyDescent="0.25">
      <c r="A544" s="104" t="s">
        <v>287</v>
      </c>
      <c r="G544" s="96"/>
    </row>
    <row r="545" spans="1:7" ht="45" x14ac:dyDescent="0.25">
      <c r="A545" s="107" t="s">
        <v>692</v>
      </c>
      <c r="B545" s="107"/>
      <c r="C545" s="107"/>
      <c r="D545" s="107"/>
      <c r="E545" s="107"/>
      <c r="F545" s="107"/>
      <c r="G545" s="96"/>
    </row>
    <row r="546" spans="1:7" x14ac:dyDescent="0.25">
      <c r="A546" s="115" t="s">
        <v>286</v>
      </c>
      <c r="B546" s="104" t="s">
        <v>1090</v>
      </c>
      <c r="C546" s="120">
        <v>1</v>
      </c>
      <c r="D546" s="120"/>
      <c r="E546" s="120"/>
      <c r="F546" s="120"/>
      <c r="G546" s="96"/>
    </row>
    <row r="547" spans="1:7" x14ac:dyDescent="0.25">
      <c r="A547" s="2"/>
      <c r="B547" s="104"/>
      <c r="C547" s="114" t="s">
        <v>23</v>
      </c>
      <c r="D547" s="104" t="s">
        <v>863</v>
      </c>
      <c r="E547" s="105">
        <v>42551</v>
      </c>
      <c r="F547" s="106"/>
      <c r="G547" s="96">
        <v>18932</v>
      </c>
    </row>
    <row r="548" spans="1:7" x14ac:dyDescent="0.25">
      <c r="A548" s="2"/>
      <c r="B548" s="104"/>
      <c r="C548" s="114" t="s">
        <v>103</v>
      </c>
      <c r="D548" s="104" t="s">
        <v>863</v>
      </c>
      <c r="E548" s="105">
        <v>42632</v>
      </c>
      <c r="F548" s="106" t="s">
        <v>1262</v>
      </c>
      <c r="G548" s="96">
        <v>135931.76999999999</v>
      </c>
    </row>
    <row r="549" spans="1:7" x14ac:dyDescent="0.25">
      <c r="A549" s="2"/>
      <c r="B549" s="104"/>
      <c r="C549" s="114" t="s">
        <v>221</v>
      </c>
      <c r="D549" s="104" t="s">
        <v>2238</v>
      </c>
      <c r="E549" s="105">
        <v>42741</v>
      </c>
      <c r="F549" s="106" t="s">
        <v>1091</v>
      </c>
      <c r="G549" s="96">
        <v>33982.949999999997</v>
      </c>
    </row>
    <row r="550" spans="1:7" x14ac:dyDescent="0.25">
      <c r="A550" s="104" t="s">
        <v>1092</v>
      </c>
      <c r="G550" s="96">
        <v>188846.72</v>
      </c>
    </row>
    <row r="551" spans="1:7" x14ac:dyDescent="0.25">
      <c r="A551" s="104"/>
      <c r="G551" s="96"/>
    </row>
    <row r="552" spans="1:7" x14ac:dyDescent="0.25">
      <c r="A552" s="104" t="s">
        <v>691</v>
      </c>
      <c r="G552" s="96"/>
    </row>
    <row r="553" spans="1:7" ht="60" x14ac:dyDescent="0.25">
      <c r="A553" s="107" t="s">
        <v>689</v>
      </c>
      <c r="B553" s="107"/>
      <c r="C553" s="107"/>
      <c r="D553" s="107"/>
      <c r="E553" s="107"/>
      <c r="F553" s="107"/>
      <c r="G553" s="96"/>
    </row>
    <row r="554" spans="1:7" x14ac:dyDescent="0.25">
      <c r="A554" s="115" t="s">
        <v>690</v>
      </c>
      <c r="B554" s="104" t="s">
        <v>1263</v>
      </c>
      <c r="C554" s="120">
        <v>0.97</v>
      </c>
      <c r="D554" s="120"/>
      <c r="E554" s="120"/>
      <c r="F554" s="120"/>
      <c r="G554" s="96"/>
    </row>
    <row r="555" spans="1:7" x14ac:dyDescent="0.25">
      <c r="A555" s="2"/>
      <c r="B555" s="104"/>
      <c r="C555" s="114" t="s">
        <v>103</v>
      </c>
      <c r="D555" s="104" t="s">
        <v>863</v>
      </c>
      <c r="E555" s="105">
        <v>42605</v>
      </c>
      <c r="F555" s="106" t="s">
        <v>1264</v>
      </c>
      <c r="G555" s="96">
        <v>51759.519999999997</v>
      </c>
    </row>
    <row r="556" spans="1:7" x14ac:dyDescent="0.25">
      <c r="A556" s="2"/>
      <c r="B556" s="104"/>
      <c r="C556" s="114" t="s">
        <v>221</v>
      </c>
      <c r="D556" s="104" t="s">
        <v>863</v>
      </c>
      <c r="E556" s="105">
        <v>42486</v>
      </c>
      <c r="F556" s="106" t="s">
        <v>1265</v>
      </c>
      <c r="G556" s="96">
        <v>36254.379999999997</v>
      </c>
    </row>
    <row r="557" spans="1:7" x14ac:dyDescent="0.25">
      <c r="A557" s="2"/>
      <c r="B557" s="104"/>
      <c r="C557" s="114" t="s">
        <v>55</v>
      </c>
      <c r="D557" s="104" t="s">
        <v>863</v>
      </c>
      <c r="E557" s="105">
        <v>42632</v>
      </c>
      <c r="F557" s="106" t="s">
        <v>1266</v>
      </c>
      <c r="G557" s="96">
        <v>16362.1</v>
      </c>
    </row>
    <row r="558" spans="1:7" x14ac:dyDescent="0.25">
      <c r="A558" s="2"/>
      <c r="B558" s="104"/>
      <c r="C558" s="114" t="s">
        <v>215</v>
      </c>
      <c r="D558" s="104" t="s">
        <v>863</v>
      </c>
      <c r="E558" s="105">
        <v>42662</v>
      </c>
      <c r="F558" s="106" t="s">
        <v>1267</v>
      </c>
      <c r="G558" s="96">
        <v>3100.58</v>
      </c>
    </row>
    <row r="559" spans="1:7" x14ac:dyDescent="0.25">
      <c r="A559" s="104" t="s">
        <v>1268</v>
      </c>
      <c r="G559" s="96">
        <v>107476.58</v>
      </c>
    </row>
    <row r="560" spans="1:7" x14ac:dyDescent="0.25">
      <c r="A560" s="104"/>
      <c r="G560" s="96"/>
    </row>
    <row r="561" spans="1:7" x14ac:dyDescent="0.25">
      <c r="A561" s="104" t="s">
        <v>296</v>
      </c>
      <c r="G561" s="96"/>
    </row>
    <row r="562" spans="1:7" ht="75" x14ac:dyDescent="0.25">
      <c r="A562" s="107" t="s">
        <v>484</v>
      </c>
      <c r="B562" s="107"/>
      <c r="C562" s="107"/>
      <c r="D562" s="107"/>
      <c r="E562" s="107"/>
      <c r="F562" s="107"/>
      <c r="G562" s="96"/>
    </row>
    <row r="563" spans="1:7" x14ac:dyDescent="0.25">
      <c r="A563" s="115" t="s">
        <v>295</v>
      </c>
      <c r="B563" s="104" t="s">
        <v>1089</v>
      </c>
      <c r="C563" s="120">
        <v>1</v>
      </c>
      <c r="D563" s="120"/>
      <c r="E563" s="120"/>
      <c r="F563" s="120"/>
      <c r="G563" s="96"/>
    </row>
    <row r="564" spans="1:7" x14ac:dyDescent="0.25">
      <c r="A564" s="2"/>
      <c r="B564" s="104"/>
      <c r="C564" s="114" t="s">
        <v>103</v>
      </c>
      <c r="D564" s="104" t="s">
        <v>863</v>
      </c>
      <c r="E564" s="105">
        <v>42662</v>
      </c>
      <c r="F564" s="106" t="s">
        <v>1078</v>
      </c>
      <c r="G564" s="96">
        <v>84410.66</v>
      </c>
    </row>
    <row r="565" spans="1:7" x14ac:dyDescent="0.25">
      <c r="A565" s="2"/>
      <c r="B565" s="104"/>
      <c r="C565" s="114" t="s">
        <v>221</v>
      </c>
      <c r="D565" s="104" t="s">
        <v>863</v>
      </c>
      <c r="E565" s="105">
        <v>42664</v>
      </c>
      <c r="F565" s="106" t="s">
        <v>1078</v>
      </c>
      <c r="G565" s="96">
        <v>84410.66</v>
      </c>
    </row>
    <row r="566" spans="1:7" x14ac:dyDescent="0.25">
      <c r="A566" s="2"/>
      <c r="B566" s="104"/>
      <c r="C566" s="114" t="s">
        <v>55</v>
      </c>
      <c r="D566" s="104" t="s">
        <v>863</v>
      </c>
      <c r="E566" s="105">
        <v>42781</v>
      </c>
      <c r="F566" s="106" t="s">
        <v>1078</v>
      </c>
      <c r="G566" s="96">
        <v>84410.66</v>
      </c>
    </row>
    <row r="567" spans="1:7" x14ac:dyDescent="0.25">
      <c r="A567" s="2"/>
      <c r="B567" s="104"/>
      <c r="C567" s="114" t="s">
        <v>215</v>
      </c>
      <c r="D567" s="104" t="s">
        <v>2238</v>
      </c>
      <c r="E567" s="105">
        <v>42744</v>
      </c>
      <c r="F567" s="106" t="s">
        <v>1078</v>
      </c>
      <c r="G567" s="96">
        <v>84410.66</v>
      </c>
    </row>
    <row r="568" spans="1:7" x14ac:dyDescent="0.25">
      <c r="A568" s="104" t="s">
        <v>1093</v>
      </c>
      <c r="G568" s="96">
        <v>337642.64</v>
      </c>
    </row>
    <row r="569" spans="1:7" x14ac:dyDescent="0.25">
      <c r="A569" s="104"/>
      <c r="G569" s="96"/>
    </row>
    <row r="570" spans="1:7" x14ac:dyDescent="0.25">
      <c r="A570" s="104" t="s">
        <v>331</v>
      </c>
      <c r="G570" s="96"/>
    </row>
    <row r="571" spans="1:7" ht="30" x14ac:dyDescent="0.25">
      <c r="A571" s="107" t="s">
        <v>328</v>
      </c>
      <c r="B571" s="107"/>
      <c r="C571" s="107"/>
      <c r="D571" s="107"/>
      <c r="E571" s="107"/>
      <c r="F571" s="107"/>
      <c r="G571" s="96"/>
    </row>
    <row r="572" spans="1:7" ht="30" x14ac:dyDescent="0.25">
      <c r="A572" s="115" t="s">
        <v>329</v>
      </c>
      <c r="B572" s="104" t="s">
        <v>1599</v>
      </c>
      <c r="C572" s="120">
        <v>1</v>
      </c>
      <c r="D572" s="120"/>
      <c r="E572" s="120"/>
      <c r="F572" s="120"/>
      <c r="G572" s="96"/>
    </row>
    <row r="573" spans="1:7" x14ac:dyDescent="0.25">
      <c r="A573" s="2"/>
      <c r="B573" s="104"/>
      <c r="C573" s="114" t="s">
        <v>23</v>
      </c>
      <c r="D573" s="104" t="s">
        <v>863</v>
      </c>
      <c r="E573" s="105">
        <v>42523</v>
      </c>
      <c r="F573" s="106"/>
      <c r="G573" s="96">
        <v>530366.26</v>
      </c>
    </row>
    <row r="574" spans="1:7" x14ac:dyDescent="0.25">
      <c r="A574" s="2"/>
      <c r="B574" s="104"/>
      <c r="C574" s="114" t="s">
        <v>103</v>
      </c>
      <c r="D574" s="104" t="s">
        <v>863</v>
      </c>
      <c r="E574" s="105">
        <v>42564</v>
      </c>
      <c r="F574" s="106" t="s">
        <v>1363</v>
      </c>
      <c r="G574" s="96">
        <v>371235.68</v>
      </c>
    </row>
    <row r="575" spans="1:7" x14ac:dyDescent="0.25">
      <c r="A575" s="2"/>
      <c r="B575" s="104"/>
      <c r="C575" s="114" t="s">
        <v>221</v>
      </c>
      <c r="D575" s="104" t="s">
        <v>863</v>
      </c>
      <c r="E575" s="105">
        <v>42632</v>
      </c>
      <c r="F575" s="106" t="s">
        <v>1600</v>
      </c>
      <c r="G575" s="96">
        <v>527100.68000000005</v>
      </c>
    </row>
    <row r="576" spans="1:7" x14ac:dyDescent="0.25">
      <c r="A576" s="2"/>
      <c r="B576" s="104"/>
      <c r="C576" s="114" t="s">
        <v>55</v>
      </c>
      <c r="D576" s="104" t="s">
        <v>863</v>
      </c>
      <c r="E576" s="105">
        <v>42671</v>
      </c>
      <c r="F576" s="106" t="s">
        <v>1601</v>
      </c>
      <c r="G576" s="96">
        <v>331671.14</v>
      </c>
    </row>
    <row r="577" spans="1:7" x14ac:dyDescent="0.25">
      <c r="A577" s="2"/>
      <c r="B577" s="104"/>
      <c r="C577" s="114" t="s">
        <v>215</v>
      </c>
      <c r="D577" s="104" t="s">
        <v>863</v>
      </c>
      <c r="E577" s="105">
        <v>42720</v>
      </c>
      <c r="F577" s="106" t="s">
        <v>1091</v>
      </c>
      <c r="G577" s="96">
        <v>440104.95</v>
      </c>
    </row>
    <row r="578" spans="1:7" x14ac:dyDescent="0.25">
      <c r="A578" s="104" t="s">
        <v>1521</v>
      </c>
      <c r="G578" s="96">
        <v>2200478.71</v>
      </c>
    </row>
    <row r="579" spans="1:7" x14ac:dyDescent="0.25">
      <c r="A579" s="104"/>
      <c r="G579" s="96"/>
    </row>
    <row r="580" spans="1:7" x14ac:dyDescent="0.25">
      <c r="A580" s="104" t="s">
        <v>451</v>
      </c>
      <c r="G580" s="96"/>
    </row>
    <row r="581" spans="1:7" ht="60" x14ac:dyDescent="0.25">
      <c r="A581" s="107" t="s">
        <v>453</v>
      </c>
      <c r="B581" s="107"/>
      <c r="C581" s="107"/>
      <c r="D581" s="107"/>
      <c r="E581" s="107"/>
      <c r="F581" s="107"/>
      <c r="G581" s="96"/>
    </row>
    <row r="582" spans="1:7" x14ac:dyDescent="0.25">
      <c r="A582" s="115" t="s">
        <v>452</v>
      </c>
      <c r="B582" s="104" t="s">
        <v>1094</v>
      </c>
      <c r="C582" s="120">
        <v>1</v>
      </c>
      <c r="D582" s="120"/>
      <c r="E582" s="120"/>
      <c r="F582" s="120"/>
      <c r="G582" s="96"/>
    </row>
    <row r="583" spans="1:7" x14ac:dyDescent="0.25">
      <c r="A583" s="2"/>
      <c r="B583" s="104"/>
      <c r="C583" s="114" t="s">
        <v>23</v>
      </c>
      <c r="D583" s="104" t="s">
        <v>863</v>
      </c>
      <c r="E583" s="105">
        <v>42549</v>
      </c>
      <c r="F583" s="106"/>
      <c r="G583" s="96">
        <v>229909.48</v>
      </c>
    </row>
    <row r="584" spans="1:7" x14ac:dyDescent="0.25">
      <c r="A584" s="2"/>
      <c r="B584" s="104"/>
      <c r="C584" s="114" t="s">
        <v>103</v>
      </c>
      <c r="D584" s="104" t="s">
        <v>863</v>
      </c>
      <c r="E584" s="105">
        <v>42664</v>
      </c>
      <c r="F584" s="106" t="s">
        <v>1269</v>
      </c>
      <c r="G584" s="96">
        <v>57157.2</v>
      </c>
    </row>
    <row r="585" spans="1:7" x14ac:dyDescent="0.25">
      <c r="A585" s="2"/>
      <c r="B585" s="104"/>
      <c r="C585" s="114" t="s">
        <v>221</v>
      </c>
      <c r="D585" s="104" t="s">
        <v>863</v>
      </c>
      <c r="E585" s="105">
        <v>42664</v>
      </c>
      <c r="F585" s="106" t="s">
        <v>1095</v>
      </c>
      <c r="G585" s="96">
        <v>364609.43</v>
      </c>
    </row>
    <row r="586" spans="1:7" x14ac:dyDescent="0.25">
      <c r="A586" s="2"/>
      <c r="B586" s="104"/>
      <c r="C586" s="114" t="s">
        <v>55</v>
      </c>
      <c r="D586" s="104" t="s">
        <v>863</v>
      </c>
      <c r="E586" s="105">
        <v>42671</v>
      </c>
      <c r="F586" s="106" t="s">
        <v>1318</v>
      </c>
      <c r="G586" s="96">
        <v>355117.63</v>
      </c>
    </row>
    <row r="587" spans="1:7" x14ac:dyDescent="0.25">
      <c r="A587" s="2"/>
      <c r="B587" s="104"/>
      <c r="C587" s="114" t="s">
        <v>215</v>
      </c>
      <c r="D587" s="104" t="s">
        <v>863</v>
      </c>
      <c r="E587" s="105">
        <v>42671</v>
      </c>
      <c r="F587" s="106" t="s">
        <v>1318</v>
      </c>
      <c r="G587" s="96">
        <v>355117.63</v>
      </c>
    </row>
    <row r="588" spans="1:7" x14ac:dyDescent="0.25">
      <c r="A588" s="2"/>
      <c r="B588" s="104"/>
      <c r="C588" s="114" t="s">
        <v>15</v>
      </c>
      <c r="D588" s="104" t="s">
        <v>863</v>
      </c>
      <c r="E588" s="105">
        <v>42697</v>
      </c>
      <c r="F588" s="106" t="s">
        <v>1095</v>
      </c>
      <c r="G588" s="96">
        <v>364609.43</v>
      </c>
    </row>
    <row r="589" spans="1:7" x14ac:dyDescent="0.25">
      <c r="A589" s="2"/>
      <c r="B589" s="104"/>
      <c r="C589" s="114" t="s">
        <v>214</v>
      </c>
      <c r="D589" s="104" t="s">
        <v>863</v>
      </c>
      <c r="E589" s="105">
        <v>42781</v>
      </c>
      <c r="F589" s="106" t="s">
        <v>1318</v>
      </c>
      <c r="G589" s="96">
        <v>355117.63</v>
      </c>
    </row>
    <row r="590" spans="1:7" x14ac:dyDescent="0.25">
      <c r="A590" s="2"/>
      <c r="B590" s="104"/>
      <c r="C590" s="114" t="s">
        <v>218</v>
      </c>
      <c r="D590" s="104" t="s">
        <v>863</v>
      </c>
      <c r="E590" s="105">
        <v>42781</v>
      </c>
      <c r="F590" s="106" t="s">
        <v>2078</v>
      </c>
      <c r="G590" s="96">
        <v>211708.68</v>
      </c>
    </row>
    <row r="591" spans="1:7" x14ac:dyDescent="0.25">
      <c r="A591" s="104" t="s">
        <v>1096</v>
      </c>
      <c r="G591" s="96">
        <v>2293347.11</v>
      </c>
    </row>
    <row r="592" spans="1:7" x14ac:dyDescent="0.25">
      <c r="A592" s="104"/>
      <c r="G592" s="96"/>
    </row>
    <row r="593" spans="1:7" x14ac:dyDescent="0.25">
      <c r="A593" s="104" t="s">
        <v>421</v>
      </c>
      <c r="G593" s="96"/>
    </row>
    <row r="594" spans="1:7" ht="60" x14ac:dyDescent="0.25">
      <c r="A594" s="107" t="s">
        <v>420</v>
      </c>
      <c r="B594" s="107"/>
      <c r="C594" s="107"/>
      <c r="D594" s="107"/>
      <c r="E594" s="107"/>
      <c r="F594" s="107"/>
      <c r="G594" s="96"/>
    </row>
    <row r="595" spans="1:7" x14ac:dyDescent="0.25">
      <c r="A595" s="115" t="s">
        <v>418</v>
      </c>
      <c r="B595" s="104" t="s">
        <v>1097</v>
      </c>
      <c r="C595" s="120">
        <v>1</v>
      </c>
      <c r="D595" s="120"/>
      <c r="E595" s="120"/>
      <c r="F595" s="120"/>
      <c r="G595" s="96"/>
    </row>
    <row r="596" spans="1:7" x14ac:dyDescent="0.25">
      <c r="A596" s="2"/>
      <c r="B596" s="104"/>
      <c r="C596" s="114" t="s">
        <v>23</v>
      </c>
      <c r="D596" s="104" t="s">
        <v>863</v>
      </c>
      <c r="E596" s="105">
        <v>42545</v>
      </c>
      <c r="F596" s="106"/>
      <c r="G596" s="96">
        <v>114699.41</v>
      </c>
    </row>
    <row r="597" spans="1:7" x14ac:dyDescent="0.25">
      <c r="A597" s="2"/>
      <c r="B597" s="104"/>
      <c r="C597" s="114" t="s">
        <v>103</v>
      </c>
      <c r="D597" s="104" t="s">
        <v>863</v>
      </c>
      <c r="E597" s="105">
        <v>42671</v>
      </c>
      <c r="F597" s="106" t="s">
        <v>1319</v>
      </c>
      <c r="G597" s="96">
        <v>25559.81</v>
      </c>
    </row>
    <row r="598" spans="1:7" x14ac:dyDescent="0.25">
      <c r="A598" s="2"/>
      <c r="B598" s="104"/>
      <c r="C598" s="114" t="s">
        <v>221</v>
      </c>
      <c r="D598" s="104" t="s">
        <v>863</v>
      </c>
      <c r="E598" s="105">
        <v>42671</v>
      </c>
      <c r="F598" s="106" t="s">
        <v>1098</v>
      </c>
      <c r="G598" s="96">
        <v>175220.52</v>
      </c>
    </row>
    <row r="599" spans="1:7" x14ac:dyDescent="0.25">
      <c r="A599" s="2"/>
      <c r="B599" s="104"/>
      <c r="C599" s="114" t="s">
        <v>55</v>
      </c>
      <c r="D599" s="104" t="s">
        <v>863</v>
      </c>
      <c r="E599" s="105">
        <v>42671</v>
      </c>
      <c r="F599" s="106" t="s">
        <v>1101</v>
      </c>
      <c r="G599" s="96">
        <v>171570</v>
      </c>
    </row>
    <row r="600" spans="1:7" x14ac:dyDescent="0.25">
      <c r="A600" s="2"/>
      <c r="B600" s="104"/>
      <c r="C600" s="114" t="s">
        <v>215</v>
      </c>
      <c r="D600" s="104" t="s">
        <v>863</v>
      </c>
      <c r="E600" s="105">
        <v>42781</v>
      </c>
      <c r="F600" s="106" t="s">
        <v>1716</v>
      </c>
      <c r="G600" s="96">
        <v>182521.41</v>
      </c>
    </row>
    <row r="601" spans="1:7" x14ac:dyDescent="0.25">
      <c r="A601" s="2"/>
      <c r="B601" s="104"/>
      <c r="C601" s="114" t="s">
        <v>15</v>
      </c>
      <c r="D601" s="104" t="s">
        <v>863</v>
      </c>
      <c r="E601" s="105">
        <v>42781</v>
      </c>
      <c r="F601" s="106" t="s">
        <v>1098</v>
      </c>
      <c r="G601" s="96">
        <v>175220.52</v>
      </c>
    </row>
    <row r="602" spans="1:7" x14ac:dyDescent="0.25">
      <c r="A602" s="2"/>
      <c r="B602" s="104"/>
      <c r="C602" s="114" t="s">
        <v>214</v>
      </c>
      <c r="D602" s="104" t="s">
        <v>863</v>
      </c>
      <c r="E602" s="105">
        <v>42781</v>
      </c>
      <c r="F602" s="106" t="s">
        <v>1101</v>
      </c>
      <c r="G602" s="96">
        <v>171570</v>
      </c>
    </row>
    <row r="603" spans="1:7" x14ac:dyDescent="0.25">
      <c r="A603" s="2"/>
      <c r="B603" s="104"/>
      <c r="C603" s="114" t="s">
        <v>218</v>
      </c>
      <c r="D603" s="104" t="s">
        <v>2238</v>
      </c>
      <c r="E603" s="105">
        <v>42741</v>
      </c>
      <c r="F603" s="106" t="s">
        <v>2079</v>
      </c>
      <c r="G603" s="96">
        <v>127764.97</v>
      </c>
    </row>
    <row r="604" spans="1:7" x14ac:dyDescent="0.25">
      <c r="A604" s="104" t="s">
        <v>1099</v>
      </c>
      <c r="G604" s="96">
        <v>1144126.6399999999</v>
      </c>
    </row>
    <row r="605" spans="1:7" x14ac:dyDescent="0.25">
      <c r="A605" s="104"/>
      <c r="G605" s="96"/>
    </row>
    <row r="606" spans="1:7" x14ac:dyDescent="0.25">
      <c r="A606" s="104" t="s">
        <v>320</v>
      </c>
      <c r="G606" s="96"/>
    </row>
    <row r="607" spans="1:7" ht="90" x14ac:dyDescent="0.25">
      <c r="A607" s="107" t="s">
        <v>321</v>
      </c>
      <c r="B607" s="107"/>
      <c r="C607" s="107"/>
      <c r="D607" s="107"/>
      <c r="E607" s="107"/>
      <c r="F607" s="107"/>
      <c r="G607" s="96"/>
    </row>
    <row r="608" spans="1:7" ht="30" x14ac:dyDescent="0.25">
      <c r="A608" s="115" t="s">
        <v>489</v>
      </c>
      <c r="B608" s="104" t="s">
        <v>1100</v>
      </c>
      <c r="C608" s="120">
        <v>1</v>
      </c>
      <c r="D608" s="120"/>
      <c r="E608" s="120"/>
      <c r="F608" s="120"/>
      <c r="G608" s="96"/>
    </row>
    <row r="609" spans="1:7" x14ac:dyDescent="0.25">
      <c r="A609" s="2"/>
      <c r="B609" s="104"/>
      <c r="C609" s="114" t="s">
        <v>23</v>
      </c>
      <c r="D609" s="104" t="s">
        <v>863</v>
      </c>
      <c r="E609" s="105">
        <v>42537</v>
      </c>
      <c r="F609" s="106"/>
      <c r="G609" s="96">
        <v>164826.6</v>
      </c>
    </row>
    <row r="610" spans="1:7" x14ac:dyDescent="0.25">
      <c r="A610" s="2"/>
      <c r="B610" s="104"/>
      <c r="C610" s="114" t="s">
        <v>103</v>
      </c>
      <c r="D610" s="104" t="s">
        <v>863</v>
      </c>
      <c r="E610" s="105">
        <v>42664</v>
      </c>
      <c r="F610" s="106" t="s">
        <v>1101</v>
      </c>
      <c r="G610" s="96">
        <v>246553.13</v>
      </c>
    </row>
    <row r="611" spans="1:7" x14ac:dyDescent="0.25">
      <c r="A611" s="2"/>
      <c r="B611" s="104"/>
      <c r="C611" s="114" t="s">
        <v>221</v>
      </c>
      <c r="D611" s="104" t="s">
        <v>863</v>
      </c>
      <c r="E611" s="105">
        <v>42697</v>
      </c>
      <c r="F611" s="106" t="s">
        <v>1101</v>
      </c>
      <c r="G611" s="96">
        <v>246553.13</v>
      </c>
    </row>
    <row r="612" spans="1:7" x14ac:dyDescent="0.25">
      <c r="A612" s="2"/>
      <c r="B612" s="104"/>
      <c r="C612" s="114" t="s">
        <v>55</v>
      </c>
      <c r="D612" s="104" t="s">
        <v>863</v>
      </c>
      <c r="E612" s="105">
        <v>42781</v>
      </c>
      <c r="F612" s="106" t="s">
        <v>1101</v>
      </c>
      <c r="G612" s="96">
        <v>246553.13</v>
      </c>
    </row>
    <row r="613" spans="1:7" x14ac:dyDescent="0.25">
      <c r="A613" s="2"/>
      <c r="B613" s="104"/>
      <c r="C613" s="114" t="s">
        <v>215</v>
      </c>
      <c r="D613" s="104" t="s">
        <v>863</v>
      </c>
      <c r="E613" s="105">
        <v>42781</v>
      </c>
      <c r="F613" s="106" t="s">
        <v>1101</v>
      </c>
      <c r="G613" s="96">
        <v>246553.13</v>
      </c>
    </row>
    <row r="614" spans="1:7" x14ac:dyDescent="0.25">
      <c r="A614" s="2"/>
      <c r="B614" s="104"/>
      <c r="C614" s="114" t="s">
        <v>15</v>
      </c>
      <c r="D614" s="104" t="s">
        <v>863</v>
      </c>
      <c r="E614" s="105">
        <v>42781</v>
      </c>
      <c r="F614" s="106" t="s">
        <v>1101</v>
      </c>
      <c r="G614" s="96">
        <v>246553.13</v>
      </c>
    </row>
    <row r="615" spans="1:7" x14ac:dyDescent="0.25">
      <c r="A615" s="2"/>
      <c r="B615" s="104"/>
      <c r="C615" s="114" t="s">
        <v>214</v>
      </c>
      <c r="D615" s="104" t="s">
        <v>2238</v>
      </c>
      <c r="E615" s="105">
        <v>42741</v>
      </c>
      <c r="F615" s="106" t="s">
        <v>1101</v>
      </c>
      <c r="G615" s="96">
        <v>246553.1</v>
      </c>
    </row>
    <row r="616" spans="1:7" x14ac:dyDescent="0.25">
      <c r="A616" s="104" t="s">
        <v>1102</v>
      </c>
      <c r="G616" s="96">
        <v>1644145.35</v>
      </c>
    </row>
    <row r="617" spans="1:7" x14ac:dyDescent="0.25">
      <c r="A617" s="104"/>
      <c r="G617" s="96"/>
    </row>
    <row r="618" spans="1:7" x14ac:dyDescent="0.25">
      <c r="A618" s="104" t="s">
        <v>436</v>
      </c>
      <c r="G618" s="96"/>
    </row>
    <row r="619" spans="1:7" ht="75" x14ac:dyDescent="0.25">
      <c r="A619" s="107" t="s">
        <v>435</v>
      </c>
      <c r="B619" s="107"/>
      <c r="C619" s="107"/>
      <c r="D619" s="107"/>
      <c r="E619" s="107"/>
      <c r="F619" s="107"/>
      <c r="G619" s="96"/>
    </row>
    <row r="620" spans="1:7" ht="30" x14ac:dyDescent="0.25">
      <c r="A620" s="115" t="s">
        <v>432</v>
      </c>
      <c r="B620" s="104" t="s">
        <v>1270</v>
      </c>
      <c r="C620" s="120">
        <v>0.17</v>
      </c>
      <c r="D620" s="120"/>
      <c r="E620" s="120"/>
      <c r="F620" s="120"/>
      <c r="G620" s="96"/>
    </row>
    <row r="621" spans="1:7" x14ac:dyDescent="0.25">
      <c r="A621" s="2"/>
      <c r="B621" s="104"/>
      <c r="C621" s="114" t="s">
        <v>23</v>
      </c>
      <c r="D621" s="104" t="s">
        <v>863</v>
      </c>
      <c r="E621" s="105">
        <v>42551</v>
      </c>
      <c r="F621" s="106"/>
      <c r="G621" s="96">
        <v>338999.93</v>
      </c>
    </row>
    <row r="622" spans="1:7" x14ac:dyDescent="0.25">
      <c r="A622" s="2"/>
      <c r="B622" s="104"/>
      <c r="C622" s="114" t="s">
        <v>103</v>
      </c>
      <c r="D622" s="104" t="s">
        <v>2238</v>
      </c>
      <c r="E622" s="105">
        <v>42741</v>
      </c>
      <c r="F622" s="106" t="s">
        <v>1101</v>
      </c>
      <c r="G622" s="96">
        <v>507087.4</v>
      </c>
    </row>
    <row r="623" spans="1:7" x14ac:dyDescent="0.25">
      <c r="A623" s="104" t="s">
        <v>1271</v>
      </c>
      <c r="G623" s="96">
        <v>846087.33</v>
      </c>
    </row>
    <row r="624" spans="1:7" x14ac:dyDescent="0.25">
      <c r="A624" s="104"/>
      <c r="G624" s="96"/>
    </row>
    <row r="625" spans="1:7" x14ac:dyDescent="0.25">
      <c r="A625" s="104" t="s">
        <v>291</v>
      </c>
      <c r="G625" s="96"/>
    </row>
    <row r="626" spans="1:7" ht="60" x14ac:dyDescent="0.25">
      <c r="A626" s="107" t="s">
        <v>288</v>
      </c>
      <c r="B626" s="107"/>
      <c r="C626" s="107"/>
      <c r="D626" s="107"/>
      <c r="E626" s="107"/>
      <c r="F626" s="107"/>
      <c r="G626" s="96"/>
    </row>
    <row r="627" spans="1:7" x14ac:dyDescent="0.25">
      <c r="A627" s="115" t="s">
        <v>289</v>
      </c>
      <c r="B627" s="104" t="s">
        <v>1103</v>
      </c>
      <c r="C627" s="120">
        <v>0.96</v>
      </c>
      <c r="D627" s="120"/>
      <c r="E627" s="120"/>
      <c r="F627" s="120"/>
      <c r="G627" s="96"/>
    </row>
    <row r="628" spans="1:7" x14ac:dyDescent="0.25">
      <c r="A628" s="2"/>
      <c r="B628" s="104"/>
      <c r="C628" s="114" t="s">
        <v>23</v>
      </c>
      <c r="D628" s="104" t="s">
        <v>863</v>
      </c>
      <c r="E628" s="105">
        <v>42541</v>
      </c>
      <c r="F628" s="106"/>
      <c r="G628" s="96">
        <v>244513.89</v>
      </c>
    </row>
    <row r="629" spans="1:7" x14ac:dyDescent="0.25">
      <c r="A629" s="2"/>
      <c r="B629" s="104"/>
      <c r="C629" s="114" t="s">
        <v>103</v>
      </c>
      <c r="D629" s="104" t="s">
        <v>863</v>
      </c>
      <c r="E629" s="105">
        <v>42627</v>
      </c>
      <c r="F629" s="106" t="s">
        <v>1101</v>
      </c>
      <c r="G629" s="96">
        <v>365752.04</v>
      </c>
    </row>
    <row r="630" spans="1:7" x14ac:dyDescent="0.25">
      <c r="A630" s="2"/>
      <c r="B630" s="104"/>
      <c r="C630" s="114" t="s">
        <v>221</v>
      </c>
      <c r="D630" s="104" t="s">
        <v>863</v>
      </c>
      <c r="E630" s="105">
        <v>42671</v>
      </c>
      <c r="F630" s="106" t="s">
        <v>1101</v>
      </c>
      <c r="G630" s="96">
        <v>365752.04</v>
      </c>
    </row>
    <row r="631" spans="1:7" x14ac:dyDescent="0.25">
      <c r="A631" s="2"/>
      <c r="B631" s="104"/>
      <c r="C631" s="114" t="s">
        <v>55</v>
      </c>
      <c r="D631" s="104" t="s">
        <v>863</v>
      </c>
      <c r="E631" s="105">
        <v>42697</v>
      </c>
      <c r="F631" s="106" t="s">
        <v>1101</v>
      </c>
      <c r="G631" s="96">
        <v>365752.04</v>
      </c>
    </row>
    <row r="632" spans="1:7" x14ac:dyDescent="0.25">
      <c r="A632" s="2"/>
      <c r="B632" s="104"/>
      <c r="C632" s="114" t="s">
        <v>215</v>
      </c>
      <c r="D632" s="104" t="s">
        <v>863</v>
      </c>
      <c r="E632" s="105">
        <v>42781</v>
      </c>
      <c r="F632" s="106" t="s">
        <v>1101</v>
      </c>
      <c r="G632" s="96">
        <v>365752.04</v>
      </c>
    </row>
    <row r="633" spans="1:7" x14ac:dyDescent="0.25">
      <c r="A633" s="2"/>
      <c r="B633" s="104"/>
      <c r="C633" s="114" t="s">
        <v>15</v>
      </c>
      <c r="D633" s="104" t="s">
        <v>863</v>
      </c>
      <c r="E633" s="105">
        <v>42781</v>
      </c>
      <c r="F633" s="106" t="s">
        <v>1101</v>
      </c>
      <c r="G633" s="96">
        <v>365752.04</v>
      </c>
    </row>
    <row r="634" spans="1:7" x14ac:dyDescent="0.25">
      <c r="A634" s="2"/>
      <c r="B634" s="104"/>
      <c r="C634" s="114" t="s">
        <v>214</v>
      </c>
      <c r="D634" s="104" t="s">
        <v>863</v>
      </c>
      <c r="E634" s="105">
        <v>42781</v>
      </c>
      <c r="F634" s="106" t="s">
        <v>1946</v>
      </c>
      <c r="G634" s="96">
        <v>143335.26999999999</v>
      </c>
    </row>
    <row r="635" spans="1:7" x14ac:dyDescent="0.25">
      <c r="A635" s="2"/>
      <c r="B635" s="104"/>
      <c r="C635" s="114" t="s">
        <v>218</v>
      </c>
      <c r="D635" s="104" t="s">
        <v>2238</v>
      </c>
      <c r="E635" s="105">
        <v>42741</v>
      </c>
      <c r="F635" s="106" t="s">
        <v>1946</v>
      </c>
      <c r="G635" s="96">
        <v>143335.26999999999</v>
      </c>
    </row>
    <row r="636" spans="1:7" x14ac:dyDescent="0.25">
      <c r="A636" s="104" t="s">
        <v>1104</v>
      </c>
      <c r="G636" s="96">
        <v>2359944.63</v>
      </c>
    </row>
    <row r="637" spans="1:7" x14ac:dyDescent="0.25">
      <c r="A637" s="104"/>
      <c r="G637" s="96"/>
    </row>
    <row r="638" spans="1:7" x14ac:dyDescent="0.25">
      <c r="A638" s="104" t="s">
        <v>428</v>
      </c>
      <c r="G638" s="96"/>
    </row>
    <row r="639" spans="1:7" ht="60" x14ac:dyDescent="0.25">
      <c r="A639" s="107" t="s">
        <v>430</v>
      </c>
      <c r="B639" s="107"/>
      <c r="C639" s="107"/>
      <c r="D639" s="107"/>
      <c r="E639" s="107"/>
      <c r="F639" s="107"/>
      <c r="G639" s="96"/>
    </row>
    <row r="640" spans="1:7" x14ac:dyDescent="0.25">
      <c r="A640" s="115" t="s">
        <v>443</v>
      </c>
      <c r="B640" s="104" t="s">
        <v>1105</v>
      </c>
      <c r="C640" s="120">
        <v>1</v>
      </c>
      <c r="D640" s="120"/>
      <c r="E640" s="120"/>
      <c r="F640" s="120"/>
      <c r="G640" s="96"/>
    </row>
    <row r="641" spans="1:7" x14ac:dyDescent="0.25">
      <c r="A641" s="2"/>
      <c r="B641" s="104"/>
      <c r="C641" s="114" t="s">
        <v>23</v>
      </c>
      <c r="D641" s="104" t="s">
        <v>863</v>
      </c>
      <c r="E641" s="105">
        <v>42632</v>
      </c>
      <c r="F641" s="106"/>
      <c r="G641" s="96">
        <v>194848.69</v>
      </c>
    </row>
    <row r="642" spans="1:7" x14ac:dyDescent="0.25">
      <c r="A642" s="2"/>
      <c r="B642" s="104"/>
      <c r="C642" s="114" t="s">
        <v>103</v>
      </c>
      <c r="D642" s="104" t="s">
        <v>863</v>
      </c>
      <c r="E642" s="105">
        <v>42781</v>
      </c>
      <c r="F642" s="106" t="s">
        <v>1101</v>
      </c>
      <c r="G642" s="96">
        <v>291461.14</v>
      </c>
    </row>
    <row r="643" spans="1:7" x14ac:dyDescent="0.25">
      <c r="A643" s="2"/>
      <c r="B643" s="104"/>
      <c r="C643" s="114" t="s">
        <v>221</v>
      </c>
      <c r="D643" s="104" t="s">
        <v>863</v>
      </c>
      <c r="E643" s="105">
        <v>42781</v>
      </c>
      <c r="F643" s="106" t="s">
        <v>1101</v>
      </c>
      <c r="G643" s="96">
        <v>291461.14</v>
      </c>
    </row>
    <row r="644" spans="1:7" x14ac:dyDescent="0.25">
      <c r="A644" s="2"/>
      <c r="B644" s="104"/>
      <c r="C644" s="114" t="s">
        <v>55</v>
      </c>
      <c r="D644" s="104" t="s">
        <v>863</v>
      </c>
      <c r="E644" s="105">
        <v>42781</v>
      </c>
      <c r="F644" s="106" t="s">
        <v>1101</v>
      </c>
      <c r="G644" s="96">
        <v>291461.14</v>
      </c>
    </row>
    <row r="645" spans="1:7" x14ac:dyDescent="0.25">
      <c r="A645" s="2"/>
      <c r="B645" s="104"/>
      <c r="C645" s="114" t="s">
        <v>215</v>
      </c>
      <c r="D645" s="104" t="s">
        <v>863</v>
      </c>
      <c r="E645" s="105">
        <v>42781</v>
      </c>
      <c r="F645" s="106" t="s">
        <v>1101</v>
      </c>
      <c r="G645" s="96">
        <v>291461.14</v>
      </c>
    </row>
    <row r="646" spans="1:7" x14ac:dyDescent="0.25">
      <c r="A646" s="2"/>
      <c r="B646" s="104"/>
      <c r="C646" s="114" t="s">
        <v>15</v>
      </c>
      <c r="D646" s="104" t="s">
        <v>863</v>
      </c>
      <c r="E646" s="105">
        <v>42781</v>
      </c>
      <c r="F646" s="106" t="s">
        <v>1101</v>
      </c>
      <c r="G646" s="96">
        <v>291461.14</v>
      </c>
    </row>
    <row r="647" spans="1:7" x14ac:dyDescent="0.25">
      <c r="A647" s="2"/>
      <c r="B647" s="104"/>
      <c r="C647" s="114" t="s">
        <v>214</v>
      </c>
      <c r="D647" s="104" t="s">
        <v>2238</v>
      </c>
      <c r="E647" s="105">
        <v>42745</v>
      </c>
      <c r="F647" s="106" t="s">
        <v>1101</v>
      </c>
      <c r="G647" s="96">
        <v>291461.14</v>
      </c>
    </row>
    <row r="648" spans="1:7" x14ac:dyDescent="0.25">
      <c r="A648" s="104" t="s">
        <v>1106</v>
      </c>
      <c r="G648" s="96">
        <v>1943615.53</v>
      </c>
    </row>
    <row r="649" spans="1:7" x14ac:dyDescent="0.25">
      <c r="A649" s="104"/>
      <c r="G649" s="96"/>
    </row>
    <row r="650" spans="1:7" x14ac:dyDescent="0.25">
      <c r="A650" s="104" t="s">
        <v>403</v>
      </c>
      <c r="G650" s="96"/>
    </row>
    <row r="651" spans="1:7" ht="105" x14ac:dyDescent="0.25">
      <c r="A651" s="107" t="s">
        <v>406</v>
      </c>
      <c r="B651" s="107"/>
      <c r="C651" s="107"/>
      <c r="D651" s="107"/>
      <c r="E651" s="107"/>
      <c r="F651" s="107"/>
      <c r="G651" s="96"/>
    </row>
    <row r="652" spans="1:7" x14ac:dyDescent="0.25">
      <c r="A652" s="115" t="s">
        <v>402</v>
      </c>
      <c r="B652" s="104" t="s">
        <v>2447</v>
      </c>
      <c r="C652" s="120">
        <v>1</v>
      </c>
      <c r="D652" s="120"/>
      <c r="E652" s="120"/>
      <c r="F652" s="120"/>
      <c r="G652" s="96"/>
    </row>
    <row r="653" spans="1:7" x14ac:dyDescent="0.25">
      <c r="A653" s="2"/>
      <c r="B653" s="104"/>
      <c r="C653" s="114" t="s">
        <v>23</v>
      </c>
      <c r="D653" s="104" t="s">
        <v>863</v>
      </c>
      <c r="E653" s="105">
        <v>42551</v>
      </c>
      <c r="F653" s="106"/>
      <c r="G653" s="96">
        <v>460586.76</v>
      </c>
    </row>
    <row r="654" spans="1:7" x14ac:dyDescent="0.25">
      <c r="A654" s="2"/>
      <c r="B654" s="104"/>
      <c r="C654" s="114" t="s">
        <v>103</v>
      </c>
      <c r="D654" s="104" t="s">
        <v>863</v>
      </c>
      <c r="E654" s="105">
        <v>42664</v>
      </c>
      <c r="F654" s="106" t="s">
        <v>2448</v>
      </c>
      <c r="G654" s="96">
        <v>100391.46</v>
      </c>
    </row>
    <row r="655" spans="1:7" x14ac:dyDescent="0.25">
      <c r="A655" s="2"/>
      <c r="B655" s="104"/>
      <c r="C655" s="114" t="s">
        <v>221</v>
      </c>
      <c r="D655" s="104" t="s">
        <v>863</v>
      </c>
      <c r="E655" s="105">
        <v>42632</v>
      </c>
      <c r="F655" s="106" t="s">
        <v>1087</v>
      </c>
      <c r="G655" s="96">
        <v>590538.02</v>
      </c>
    </row>
    <row r="656" spans="1:7" x14ac:dyDescent="0.25">
      <c r="A656" s="2"/>
      <c r="B656" s="104"/>
      <c r="C656" s="114" t="s">
        <v>55</v>
      </c>
      <c r="D656" s="104" t="s">
        <v>863</v>
      </c>
      <c r="E656" s="105">
        <v>42664</v>
      </c>
      <c r="F656" s="106" t="s">
        <v>1087</v>
      </c>
      <c r="G656" s="96">
        <v>590538.02</v>
      </c>
    </row>
    <row r="657" spans="1:7" x14ac:dyDescent="0.25">
      <c r="A657" s="2"/>
      <c r="B657" s="104"/>
      <c r="C657" s="114" t="s">
        <v>215</v>
      </c>
      <c r="D657" s="104" t="s">
        <v>863</v>
      </c>
      <c r="E657" s="105">
        <v>42697</v>
      </c>
      <c r="F657" s="106" t="s">
        <v>1087</v>
      </c>
      <c r="G657" s="96">
        <v>590538.02</v>
      </c>
    </row>
    <row r="658" spans="1:7" x14ac:dyDescent="0.25">
      <c r="A658" s="2"/>
      <c r="B658" s="104"/>
      <c r="C658" s="114" t="s">
        <v>15</v>
      </c>
      <c r="D658" s="104" t="s">
        <v>863</v>
      </c>
      <c r="E658" s="105">
        <v>42781</v>
      </c>
      <c r="F658" s="106" t="s">
        <v>1087</v>
      </c>
      <c r="G658" s="96">
        <v>590538.02</v>
      </c>
    </row>
    <row r="659" spans="1:7" x14ac:dyDescent="0.25">
      <c r="A659" s="2"/>
      <c r="B659" s="104"/>
      <c r="C659" s="114" t="s">
        <v>214</v>
      </c>
      <c r="D659" s="104" t="s">
        <v>2238</v>
      </c>
      <c r="E659" s="105">
        <v>42741</v>
      </c>
      <c r="F659" s="106" t="s">
        <v>1087</v>
      </c>
      <c r="G659" s="96">
        <v>590538.02</v>
      </c>
    </row>
    <row r="660" spans="1:7" x14ac:dyDescent="0.25">
      <c r="A660" s="2"/>
      <c r="B660" s="104"/>
      <c r="C660" s="114" t="s">
        <v>218</v>
      </c>
      <c r="D660" s="104" t="s">
        <v>2238</v>
      </c>
      <c r="E660" s="105">
        <v>42741</v>
      </c>
      <c r="F660" s="106" t="s">
        <v>1087</v>
      </c>
      <c r="G660" s="96">
        <v>590538.02</v>
      </c>
    </row>
    <row r="661" spans="1:7" x14ac:dyDescent="0.25">
      <c r="A661" s="2"/>
      <c r="B661" s="104"/>
      <c r="C661" s="114" t="s">
        <v>220</v>
      </c>
      <c r="D661" s="104" t="s">
        <v>2238</v>
      </c>
      <c r="E661" s="105">
        <v>42745</v>
      </c>
      <c r="F661" s="106" t="s">
        <v>2450</v>
      </c>
      <c r="G661" s="96">
        <v>490146.56</v>
      </c>
    </row>
    <row r="662" spans="1:7" x14ac:dyDescent="0.25">
      <c r="A662" s="104" t="s">
        <v>1107</v>
      </c>
      <c r="G662" s="96">
        <v>4594352.9000000004</v>
      </c>
    </row>
    <row r="663" spans="1:7" x14ac:dyDescent="0.25">
      <c r="A663" s="104"/>
      <c r="G663" s="96"/>
    </row>
    <row r="664" spans="1:7" x14ac:dyDescent="0.25">
      <c r="A664" s="104" t="s">
        <v>410</v>
      </c>
      <c r="G664" s="96"/>
    </row>
    <row r="665" spans="1:7" ht="75" x14ac:dyDescent="0.25">
      <c r="A665" s="107" t="s">
        <v>409</v>
      </c>
      <c r="B665" s="107"/>
      <c r="C665" s="107"/>
      <c r="D665" s="107"/>
      <c r="E665" s="107"/>
      <c r="F665" s="107"/>
      <c r="G665" s="96"/>
    </row>
    <row r="666" spans="1:7" x14ac:dyDescent="0.25">
      <c r="A666" s="115" t="s">
        <v>408</v>
      </c>
      <c r="B666" s="104" t="s">
        <v>1108</v>
      </c>
      <c r="C666" s="120">
        <v>0.71</v>
      </c>
      <c r="D666" s="120"/>
      <c r="E666" s="120"/>
      <c r="F666" s="120"/>
      <c r="G666" s="96"/>
    </row>
    <row r="667" spans="1:7" x14ac:dyDescent="0.25">
      <c r="A667" s="2"/>
      <c r="B667" s="104"/>
      <c r="C667" s="114" t="s">
        <v>23</v>
      </c>
      <c r="D667" s="104" t="s">
        <v>863</v>
      </c>
      <c r="E667" s="105">
        <v>42544</v>
      </c>
      <c r="F667" s="106"/>
      <c r="G667" s="96">
        <v>242893.36</v>
      </c>
    </row>
    <row r="668" spans="1:7" x14ac:dyDescent="0.25">
      <c r="A668" s="2"/>
      <c r="B668" s="104"/>
      <c r="C668" s="114" t="s">
        <v>103</v>
      </c>
      <c r="D668" s="104" t="s">
        <v>863</v>
      </c>
      <c r="E668" s="105">
        <v>42671</v>
      </c>
      <c r="F668" s="106" t="s">
        <v>1087</v>
      </c>
      <c r="G668" s="96">
        <v>311423.96999999997</v>
      </c>
    </row>
    <row r="669" spans="1:7" x14ac:dyDescent="0.25">
      <c r="A669" s="2"/>
      <c r="B669" s="104"/>
      <c r="C669" s="114" t="s">
        <v>221</v>
      </c>
      <c r="D669" s="104" t="s">
        <v>863</v>
      </c>
      <c r="E669" s="105">
        <v>42697</v>
      </c>
      <c r="F669" s="106" t="s">
        <v>1087</v>
      </c>
      <c r="G669" s="96">
        <v>311423.96999999997</v>
      </c>
    </row>
    <row r="670" spans="1:7" x14ac:dyDescent="0.25">
      <c r="A670" s="2"/>
      <c r="B670" s="104"/>
      <c r="C670" s="114" t="s">
        <v>55</v>
      </c>
      <c r="D670" s="104" t="s">
        <v>863</v>
      </c>
      <c r="E670" s="105">
        <v>42781</v>
      </c>
      <c r="F670" s="106" t="s">
        <v>1087</v>
      </c>
      <c r="G670" s="96">
        <v>311423.96999999997</v>
      </c>
    </row>
    <row r="671" spans="1:7" x14ac:dyDescent="0.25">
      <c r="A671" s="2"/>
      <c r="B671" s="104"/>
      <c r="C671" s="114" t="s">
        <v>215</v>
      </c>
      <c r="D671" s="104" t="s">
        <v>863</v>
      </c>
      <c r="E671" s="105">
        <v>42781</v>
      </c>
      <c r="F671" s="106" t="s">
        <v>1087</v>
      </c>
      <c r="G671" s="96">
        <v>311423.96999999997</v>
      </c>
    </row>
    <row r="672" spans="1:7" x14ac:dyDescent="0.25">
      <c r="A672" s="2"/>
      <c r="B672" s="104"/>
      <c r="C672" s="114" t="s">
        <v>15</v>
      </c>
      <c r="D672" s="104" t="s">
        <v>2238</v>
      </c>
      <c r="E672" s="105">
        <v>42744</v>
      </c>
      <c r="F672" s="106" t="s">
        <v>1087</v>
      </c>
      <c r="G672" s="96">
        <v>311423.96999999997</v>
      </c>
    </row>
    <row r="673" spans="1:7" x14ac:dyDescent="0.25">
      <c r="A673" s="104" t="s">
        <v>1109</v>
      </c>
      <c r="G673" s="96">
        <v>1800013.21</v>
      </c>
    </row>
    <row r="674" spans="1:7" x14ac:dyDescent="0.25">
      <c r="A674" s="104"/>
      <c r="G674" s="96"/>
    </row>
    <row r="675" spans="1:7" x14ac:dyDescent="0.25">
      <c r="A675" s="104" t="s">
        <v>480</v>
      </c>
      <c r="G675" s="96"/>
    </row>
    <row r="676" spans="1:7" ht="45" x14ac:dyDescent="0.25">
      <c r="A676" s="107" t="s">
        <v>479</v>
      </c>
      <c r="B676" s="107"/>
      <c r="C676" s="107"/>
      <c r="D676" s="107"/>
      <c r="E676" s="107"/>
      <c r="F676" s="107"/>
      <c r="G676" s="96"/>
    </row>
    <row r="677" spans="1:7" x14ac:dyDescent="0.25">
      <c r="A677" s="115" t="s">
        <v>481</v>
      </c>
      <c r="B677" s="104" t="s">
        <v>1272</v>
      </c>
      <c r="C677" s="120">
        <v>0.92</v>
      </c>
      <c r="D677" s="120"/>
      <c r="E677" s="120"/>
      <c r="F677" s="120"/>
      <c r="G677" s="96"/>
    </row>
    <row r="678" spans="1:7" x14ac:dyDescent="0.25">
      <c r="A678" s="2"/>
      <c r="B678" s="104"/>
      <c r="C678" s="114" t="s">
        <v>23</v>
      </c>
      <c r="D678" s="104" t="s">
        <v>863</v>
      </c>
      <c r="E678" s="105">
        <v>42551</v>
      </c>
      <c r="F678" s="106"/>
      <c r="G678" s="96">
        <v>136665.4</v>
      </c>
    </row>
    <row r="679" spans="1:7" x14ac:dyDescent="0.25">
      <c r="A679" s="2"/>
      <c r="B679" s="104"/>
      <c r="C679" s="114" t="s">
        <v>103</v>
      </c>
      <c r="D679" s="104" t="s">
        <v>863</v>
      </c>
      <c r="E679" s="105">
        <v>42662</v>
      </c>
      <c r="F679" s="106" t="s">
        <v>1273</v>
      </c>
      <c r="G679" s="96">
        <v>288077.28000000003</v>
      </c>
    </row>
    <row r="680" spans="1:7" x14ac:dyDescent="0.25">
      <c r="A680" s="2"/>
      <c r="B680" s="104"/>
      <c r="C680" s="114" t="s">
        <v>221</v>
      </c>
      <c r="D680" s="104" t="s">
        <v>863</v>
      </c>
      <c r="E680" s="105">
        <v>42613</v>
      </c>
      <c r="F680" s="106" t="s">
        <v>1274</v>
      </c>
      <c r="G680" s="96">
        <v>270775.76</v>
      </c>
    </row>
    <row r="681" spans="1:7" x14ac:dyDescent="0.25">
      <c r="A681" s="2"/>
      <c r="B681" s="104"/>
      <c r="C681" s="114" t="s">
        <v>55</v>
      </c>
      <c r="D681" s="104" t="s">
        <v>863</v>
      </c>
      <c r="E681" s="105">
        <v>42762</v>
      </c>
      <c r="F681" s="106" t="s">
        <v>1566</v>
      </c>
      <c r="G681" s="96">
        <v>288059.49</v>
      </c>
    </row>
    <row r="682" spans="1:7" x14ac:dyDescent="0.25">
      <c r="A682" s="2"/>
      <c r="B682" s="104"/>
      <c r="C682" s="114" t="s">
        <v>215</v>
      </c>
      <c r="D682" s="104" t="s">
        <v>863</v>
      </c>
      <c r="E682" s="105">
        <v>42762</v>
      </c>
      <c r="F682" s="106" t="s">
        <v>1567</v>
      </c>
      <c r="G682" s="96">
        <v>276537.11</v>
      </c>
    </row>
    <row r="683" spans="1:7" x14ac:dyDescent="0.25">
      <c r="A683" s="104" t="s">
        <v>1275</v>
      </c>
      <c r="G683" s="96">
        <v>1260115.04</v>
      </c>
    </row>
    <row r="684" spans="1:7" x14ac:dyDescent="0.25">
      <c r="A684" s="104"/>
      <c r="G684" s="96"/>
    </row>
    <row r="685" spans="1:7" x14ac:dyDescent="0.25">
      <c r="A685" s="104" t="s">
        <v>437</v>
      </c>
      <c r="G685" s="96"/>
    </row>
    <row r="686" spans="1:7" ht="90" x14ac:dyDescent="0.25">
      <c r="A686" s="107" t="s">
        <v>439</v>
      </c>
      <c r="B686" s="107"/>
      <c r="C686" s="107"/>
      <c r="D686" s="107"/>
      <c r="E686" s="107"/>
      <c r="F686" s="107"/>
      <c r="G686" s="96"/>
    </row>
    <row r="687" spans="1:7" ht="30" x14ac:dyDescent="0.25">
      <c r="A687" s="115" t="s">
        <v>432</v>
      </c>
      <c r="B687" s="104" t="s">
        <v>1110</v>
      </c>
      <c r="C687" s="120">
        <v>0.5</v>
      </c>
      <c r="D687" s="120"/>
      <c r="E687" s="120"/>
      <c r="F687" s="120"/>
      <c r="G687" s="96"/>
    </row>
    <row r="688" spans="1:7" x14ac:dyDescent="0.25">
      <c r="A688" s="2"/>
      <c r="B688" s="104"/>
      <c r="C688" s="114" t="s">
        <v>23</v>
      </c>
      <c r="D688" s="104" t="s">
        <v>863</v>
      </c>
      <c r="E688" s="105">
        <v>42632</v>
      </c>
      <c r="F688" s="106"/>
      <c r="G688" s="96">
        <v>102899.03</v>
      </c>
    </row>
    <row r="689" spans="1:7" x14ac:dyDescent="0.25">
      <c r="A689" s="2"/>
      <c r="B689" s="104"/>
      <c r="C689" s="114" t="s">
        <v>103</v>
      </c>
      <c r="D689" s="104" t="s">
        <v>863</v>
      </c>
      <c r="E689" s="105">
        <v>42781</v>
      </c>
      <c r="F689" s="106" t="s">
        <v>1101</v>
      </c>
      <c r="G689" s="96">
        <v>153919.82</v>
      </c>
    </row>
    <row r="690" spans="1:7" x14ac:dyDescent="0.25">
      <c r="A690" s="2"/>
      <c r="B690" s="104"/>
      <c r="C690" s="114" t="s">
        <v>221</v>
      </c>
      <c r="D690" s="104" t="s">
        <v>863</v>
      </c>
      <c r="E690" s="105">
        <v>42781</v>
      </c>
      <c r="F690" s="106" t="s">
        <v>1101</v>
      </c>
      <c r="G690" s="96">
        <v>153919.82</v>
      </c>
    </row>
    <row r="691" spans="1:7" x14ac:dyDescent="0.25">
      <c r="A691" s="2"/>
      <c r="B691" s="104"/>
      <c r="C691" s="114" t="s">
        <v>55</v>
      </c>
      <c r="D691" s="104" t="s">
        <v>2238</v>
      </c>
      <c r="E691" s="105">
        <v>42744</v>
      </c>
      <c r="F691" s="106" t="s">
        <v>1101</v>
      </c>
      <c r="G691" s="96">
        <v>153919.82</v>
      </c>
    </row>
    <row r="692" spans="1:7" x14ac:dyDescent="0.25">
      <c r="A692" s="104" t="s">
        <v>1111</v>
      </c>
      <c r="G692" s="96">
        <v>564658.49</v>
      </c>
    </row>
    <row r="693" spans="1:7" x14ac:dyDescent="0.25">
      <c r="A693" s="104"/>
      <c r="G693" s="96"/>
    </row>
    <row r="694" spans="1:7" x14ac:dyDescent="0.25">
      <c r="A694" s="104" t="s">
        <v>695</v>
      </c>
      <c r="G694" s="96"/>
    </row>
    <row r="695" spans="1:7" ht="60" x14ac:dyDescent="0.25">
      <c r="A695" s="107" t="s">
        <v>696</v>
      </c>
      <c r="B695" s="107"/>
      <c r="C695" s="107"/>
      <c r="D695" s="107"/>
      <c r="E695" s="107"/>
      <c r="F695" s="107"/>
      <c r="G695" s="96"/>
    </row>
    <row r="696" spans="1:7" ht="45" x14ac:dyDescent="0.25">
      <c r="A696" s="115" t="s">
        <v>693</v>
      </c>
      <c r="B696" s="104" t="s">
        <v>1112</v>
      </c>
      <c r="C696" s="120">
        <v>0.81</v>
      </c>
      <c r="D696" s="120"/>
      <c r="E696" s="120"/>
      <c r="F696" s="120"/>
      <c r="G696" s="96"/>
    </row>
    <row r="697" spans="1:7" x14ac:dyDescent="0.25">
      <c r="A697" s="2"/>
      <c r="B697" s="104"/>
      <c r="C697" s="114" t="s">
        <v>23</v>
      </c>
      <c r="D697" s="104" t="s">
        <v>863</v>
      </c>
      <c r="E697" s="105">
        <v>42632</v>
      </c>
      <c r="F697" s="106"/>
      <c r="G697" s="96">
        <v>121682.42</v>
      </c>
    </row>
    <row r="698" spans="1:7" x14ac:dyDescent="0.25">
      <c r="A698" s="2"/>
      <c r="B698" s="104"/>
      <c r="C698" s="114" t="s">
        <v>103</v>
      </c>
      <c r="D698" s="104" t="s">
        <v>863</v>
      </c>
      <c r="E698" s="105">
        <v>42664</v>
      </c>
      <c r="F698" s="106" t="s">
        <v>1276</v>
      </c>
      <c r="G698" s="96">
        <v>229340.94</v>
      </c>
    </row>
    <row r="699" spans="1:7" x14ac:dyDescent="0.25">
      <c r="A699" s="2"/>
      <c r="B699" s="104"/>
      <c r="C699" s="114" t="s">
        <v>221</v>
      </c>
      <c r="D699" s="104" t="s">
        <v>863</v>
      </c>
      <c r="E699" s="105">
        <v>42671</v>
      </c>
      <c r="F699" s="106" t="s">
        <v>1091</v>
      </c>
      <c r="G699" s="96">
        <v>218419.95</v>
      </c>
    </row>
    <row r="700" spans="1:7" x14ac:dyDescent="0.25">
      <c r="A700" s="2"/>
      <c r="B700" s="104"/>
      <c r="C700" s="114" t="s">
        <v>55</v>
      </c>
      <c r="D700" s="104" t="s">
        <v>863</v>
      </c>
      <c r="E700" s="105">
        <v>42697</v>
      </c>
      <c r="F700" s="106" t="s">
        <v>1091</v>
      </c>
      <c r="G700" s="96">
        <v>218419.95</v>
      </c>
    </row>
    <row r="701" spans="1:7" x14ac:dyDescent="0.25">
      <c r="A701" s="2"/>
      <c r="B701" s="104"/>
      <c r="C701" s="114" t="s">
        <v>215</v>
      </c>
      <c r="D701" s="104" t="s">
        <v>2238</v>
      </c>
      <c r="E701" s="105">
        <v>42664</v>
      </c>
      <c r="F701" s="106" t="s">
        <v>1091</v>
      </c>
      <c r="G701" s="96">
        <v>218419.95</v>
      </c>
    </row>
    <row r="702" spans="1:7" x14ac:dyDescent="0.25">
      <c r="A702" s="104" t="s">
        <v>1113</v>
      </c>
      <c r="G702" s="96">
        <v>1006283.21</v>
      </c>
    </row>
    <row r="703" spans="1:7" x14ac:dyDescent="0.25">
      <c r="A703" s="104"/>
      <c r="G703" s="96"/>
    </row>
    <row r="704" spans="1:7" x14ac:dyDescent="0.25">
      <c r="A704" s="104" t="s">
        <v>345</v>
      </c>
      <c r="G704" s="96"/>
    </row>
    <row r="705" spans="1:7" ht="120" x14ac:dyDescent="0.25">
      <c r="A705" s="107" t="s">
        <v>347</v>
      </c>
      <c r="B705" s="107"/>
      <c r="C705" s="107"/>
      <c r="D705" s="107"/>
      <c r="E705" s="107"/>
      <c r="F705" s="107"/>
      <c r="G705" s="96"/>
    </row>
    <row r="706" spans="1:7" x14ac:dyDescent="0.25">
      <c r="A706" s="115" t="s">
        <v>346</v>
      </c>
      <c r="B706" s="104" t="s">
        <v>1277</v>
      </c>
      <c r="C706" s="120">
        <v>1</v>
      </c>
      <c r="D706" s="120"/>
      <c r="E706" s="120"/>
      <c r="F706" s="120"/>
      <c r="G706" s="96"/>
    </row>
    <row r="707" spans="1:7" x14ac:dyDescent="0.25">
      <c r="A707" s="2"/>
      <c r="B707" s="104"/>
      <c r="C707" s="114" t="s">
        <v>103</v>
      </c>
      <c r="D707" s="104" t="s">
        <v>863</v>
      </c>
      <c r="E707" s="105">
        <v>42545</v>
      </c>
      <c r="F707" s="106" t="s">
        <v>1278</v>
      </c>
      <c r="G707" s="96">
        <v>99700.75</v>
      </c>
    </row>
    <row r="708" spans="1:7" x14ac:dyDescent="0.25">
      <c r="A708" s="2"/>
      <c r="B708" s="104"/>
      <c r="C708" s="114" t="s">
        <v>221</v>
      </c>
      <c r="D708" s="104" t="s">
        <v>863</v>
      </c>
      <c r="E708" s="105">
        <v>42632</v>
      </c>
      <c r="F708" s="106" t="s">
        <v>1278</v>
      </c>
      <c r="G708" s="96">
        <v>99700.75</v>
      </c>
    </row>
    <row r="709" spans="1:7" x14ac:dyDescent="0.25">
      <c r="A709" s="2"/>
      <c r="B709" s="104"/>
      <c r="C709" s="114" t="s">
        <v>55</v>
      </c>
      <c r="D709" s="104" t="s">
        <v>863</v>
      </c>
      <c r="E709" s="105">
        <v>42781</v>
      </c>
      <c r="F709" s="106" t="s">
        <v>1790</v>
      </c>
      <c r="G709" s="96">
        <v>76453.8</v>
      </c>
    </row>
    <row r="710" spans="1:7" x14ac:dyDescent="0.25">
      <c r="A710" s="2"/>
      <c r="B710" s="104"/>
      <c r="C710" s="114" t="s">
        <v>215</v>
      </c>
      <c r="D710" s="104" t="s">
        <v>863</v>
      </c>
      <c r="E710" s="105">
        <v>42781</v>
      </c>
      <c r="F710" s="106" t="s">
        <v>1791</v>
      </c>
      <c r="G710" s="96">
        <v>24354.75</v>
      </c>
    </row>
    <row r="711" spans="1:7" x14ac:dyDescent="0.25">
      <c r="A711" s="2"/>
      <c r="B711" s="104"/>
      <c r="C711" s="114" t="s">
        <v>15</v>
      </c>
      <c r="D711" s="104" t="s">
        <v>863</v>
      </c>
      <c r="E711" s="105">
        <v>42781</v>
      </c>
      <c r="F711" s="106" t="s">
        <v>1792</v>
      </c>
      <c r="G711" s="96">
        <v>32125.81</v>
      </c>
    </row>
    <row r="712" spans="1:7" x14ac:dyDescent="0.25">
      <c r="A712" s="104" t="s">
        <v>1279</v>
      </c>
      <c r="G712" s="96">
        <v>332335.86</v>
      </c>
    </row>
    <row r="713" spans="1:7" x14ac:dyDescent="0.25">
      <c r="A713" s="104"/>
      <c r="G713" s="96"/>
    </row>
    <row r="714" spans="1:7" x14ac:dyDescent="0.25">
      <c r="A714" s="104" t="s">
        <v>462</v>
      </c>
      <c r="G714" s="96"/>
    </row>
    <row r="715" spans="1:7" ht="60" x14ac:dyDescent="0.25">
      <c r="A715" s="107" t="s">
        <v>463</v>
      </c>
      <c r="B715" s="107"/>
      <c r="C715" s="107"/>
      <c r="D715" s="107"/>
      <c r="E715" s="107"/>
      <c r="F715" s="107"/>
      <c r="G715" s="96"/>
    </row>
    <row r="716" spans="1:7" x14ac:dyDescent="0.25">
      <c r="A716" s="115" t="s">
        <v>459</v>
      </c>
      <c r="B716" s="104" t="s">
        <v>1423</v>
      </c>
      <c r="C716" s="120">
        <v>0.31</v>
      </c>
      <c r="D716" s="120"/>
      <c r="E716" s="120"/>
      <c r="F716" s="120"/>
      <c r="G716" s="96"/>
    </row>
    <row r="717" spans="1:7" x14ac:dyDescent="0.25">
      <c r="A717" s="2"/>
      <c r="B717" s="104"/>
      <c r="C717" s="114" t="s">
        <v>23</v>
      </c>
      <c r="D717" s="104" t="s">
        <v>863</v>
      </c>
      <c r="E717" s="105">
        <v>42593</v>
      </c>
      <c r="F717" s="106"/>
      <c r="G717" s="96">
        <v>27538853.760000002</v>
      </c>
    </row>
    <row r="718" spans="1:7" x14ac:dyDescent="0.25">
      <c r="A718" s="2"/>
      <c r="B718" s="104"/>
      <c r="C718" s="114" t="s">
        <v>103</v>
      </c>
      <c r="D718" s="104" t="s">
        <v>863</v>
      </c>
      <c r="E718" s="105">
        <v>42712</v>
      </c>
      <c r="F718" s="106" t="s">
        <v>1793</v>
      </c>
      <c r="G718" s="96">
        <v>1534592.93</v>
      </c>
    </row>
    <row r="719" spans="1:7" x14ac:dyDescent="0.25">
      <c r="A719" s="2"/>
      <c r="B719" s="104"/>
      <c r="C719" s="114" t="s">
        <v>221</v>
      </c>
      <c r="D719" s="104" t="s">
        <v>863</v>
      </c>
      <c r="E719" s="105">
        <v>42712</v>
      </c>
      <c r="F719" s="106" t="s">
        <v>1794</v>
      </c>
      <c r="G719" s="96">
        <v>2393414.21</v>
      </c>
    </row>
    <row r="720" spans="1:7" x14ac:dyDescent="0.25">
      <c r="A720" s="2"/>
      <c r="B720" s="104"/>
      <c r="C720" s="114" t="s">
        <v>55</v>
      </c>
      <c r="D720" s="104" t="s">
        <v>863</v>
      </c>
      <c r="E720" s="105">
        <v>42755</v>
      </c>
      <c r="F720" s="106" t="s">
        <v>1966</v>
      </c>
      <c r="G720" s="96">
        <v>1616266.97</v>
      </c>
    </row>
    <row r="721" spans="1:7" x14ac:dyDescent="0.25">
      <c r="A721" s="2"/>
      <c r="B721" s="104"/>
      <c r="C721" s="114" t="s">
        <v>215</v>
      </c>
      <c r="D721" s="104" t="s">
        <v>864</v>
      </c>
      <c r="E721" s="105">
        <v>42811</v>
      </c>
      <c r="F721" s="106" t="s">
        <v>1981</v>
      </c>
      <c r="G721" s="96">
        <v>4320860.88</v>
      </c>
    </row>
    <row r="722" spans="1:7" x14ac:dyDescent="0.25">
      <c r="A722" s="2"/>
      <c r="B722" s="104"/>
      <c r="C722" s="114" t="s">
        <v>15</v>
      </c>
      <c r="D722" s="104" t="s">
        <v>864</v>
      </c>
      <c r="E722" s="105">
        <v>42811</v>
      </c>
      <c r="F722" s="106" t="s">
        <v>2489</v>
      </c>
      <c r="G722" s="96">
        <v>10105049.18</v>
      </c>
    </row>
    <row r="723" spans="1:7" x14ac:dyDescent="0.25">
      <c r="A723" s="104" t="s">
        <v>1424</v>
      </c>
      <c r="G723" s="96">
        <v>47509037.93</v>
      </c>
    </row>
    <row r="724" spans="1:7" x14ac:dyDescent="0.25">
      <c r="A724" s="104"/>
      <c r="G724" s="96"/>
    </row>
    <row r="725" spans="1:7" x14ac:dyDescent="0.25">
      <c r="A725" s="104" t="s">
        <v>441</v>
      </c>
      <c r="G725" s="96"/>
    </row>
    <row r="726" spans="1:7" ht="45" x14ac:dyDescent="0.25">
      <c r="A726" s="107" t="s">
        <v>442</v>
      </c>
      <c r="B726" s="107"/>
      <c r="C726" s="107"/>
      <c r="D726" s="107"/>
      <c r="E726" s="107"/>
      <c r="F726" s="107"/>
      <c r="G726" s="96"/>
    </row>
    <row r="727" spans="1:7" x14ac:dyDescent="0.25">
      <c r="A727" s="115" t="s">
        <v>440</v>
      </c>
      <c r="B727" s="104" t="s">
        <v>1114</v>
      </c>
      <c r="C727" s="120">
        <v>1</v>
      </c>
      <c r="D727" s="120"/>
      <c r="E727" s="120"/>
      <c r="F727" s="120"/>
      <c r="G727" s="96"/>
    </row>
    <row r="728" spans="1:7" x14ac:dyDescent="0.25">
      <c r="A728" s="2"/>
      <c r="B728" s="104"/>
      <c r="C728" s="114" t="s">
        <v>23</v>
      </c>
      <c r="D728" s="104" t="s">
        <v>863</v>
      </c>
      <c r="E728" s="105">
        <v>42632</v>
      </c>
      <c r="F728" s="106"/>
      <c r="G728" s="96">
        <v>70680.960000000006</v>
      </c>
    </row>
    <row r="729" spans="1:7" x14ac:dyDescent="0.25">
      <c r="A729" s="2"/>
      <c r="B729" s="104"/>
      <c r="C729" s="114" t="s">
        <v>103</v>
      </c>
      <c r="D729" s="104" t="s">
        <v>863</v>
      </c>
      <c r="E729" s="105">
        <v>42671</v>
      </c>
      <c r="F729" s="106" t="s">
        <v>1078</v>
      </c>
      <c r="G729" s="96">
        <v>158590.39999999999</v>
      </c>
    </row>
    <row r="730" spans="1:7" x14ac:dyDescent="0.25">
      <c r="A730" s="2"/>
      <c r="B730" s="104"/>
      <c r="C730" s="114" t="s">
        <v>221</v>
      </c>
      <c r="D730" s="104" t="s">
        <v>863</v>
      </c>
      <c r="E730" s="105">
        <v>42697</v>
      </c>
      <c r="F730" s="106" t="s">
        <v>1078</v>
      </c>
      <c r="G730" s="96">
        <v>158590.39999999999</v>
      </c>
    </row>
    <row r="731" spans="1:7" x14ac:dyDescent="0.25">
      <c r="A731" s="2"/>
      <c r="B731" s="104"/>
      <c r="C731" s="114" t="s">
        <v>55</v>
      </c>
      <c r="D731" s="104" t="s">
        <v>863</v>
      </c>
      <c r="E731" s="105">
        <v>42697</v>
      </c>
      <c r="F731" s="106" t="s">
        <v>1078</v>
      </c>
      <c r="G731" s="96">
        <v>158590.39999999999</v>
      </c>
    </row>
    <row r="732" spans="1:7" x14ac:dyDescent="0.25">
      <c r="A732" s="2"/>
      <c r="B732" s="104"/>
      <c r="C732" s="114" t="s">
        <v>215</v>
      </c>
      <c r="D732" s="104" t="s">
        <v>863</v>
      </c>
      <c r="E732" s="105">
        <v>42723</v>
      </c>
      <c r="F732" s="106" t="s">
        <v>1078</v>
      </c>
      <c r="G732" s="96">
        <v>158590.39999999999</v>
      </c>
    </row>
    <row r="733" spans="1:7" x14ac:dyDescent="0.25">
      <c r="A733" s="104" t="s">
        <v>1115</v>
      </c>
      <c r="G733" s="96">
        <v>705042.56</v>
      </c>
    </row>
    <row r="734" spans="1:7" x14ac:dyDescent="0.25">
      <c r="A734" s="104"/>
      <c r="G734" s="96"/>
    </row>
    <row r="735" spans="1:7" x14ac:dyDescent="0.25">
      <c r="A735" s="104" t="s">
        <v>487</v>
      </c>
      <c r="G735" s="96"/>
    </row>
    <row r="736" spans="1:7" ht="45" x14ac:dyDescent="0.25">
      <c r="A736" s="107" t="s">
        <v>486</v>
      </c>
      <c r="B736" s="107"/>
      <c r="C736" s="107"/>
      <c r="D736" s="107"/>
      <c r="E736" s="107"/>
      <c r="F736" s="107"/>
      <c r="G736" s="96"/>
    </row>
    <row r="737" spans="1:7" ht="30" x14ac:dyDescent="0.25">
      <c r="A737" s="115" t="s">
        <v>33</v>
      </c>
      <c r="B737" s="104" t="s">
        <v>1116</v>
      </c>
      <c r="C737" s="120">
        <v>1</v>
      </c>
      <c r="D737" s="120"/>
      <c r="E737" s="120"/>
      <c r="F737" s="120"/>
      <c r="G737" s="96"/>
    </row>
    <row r="738" spans="1:7" x14ac:dyDescent="0.25">
      <c r="A738" s="2"/>
      <c r="B738" s="104"/>
      <c r="C738" s="114" t="s">
        <v>23</v>
      </c>
      <c r="D738" s="104" t="s">
        <v>863</v>
      </c>
      <c r="E738" s="105">
        <v>42632</v>
      </c>
      <c r="F738" s="106"/>
      <c r="G738" s="96">
        <v>79805.13</v>
      </c>
    </row>
    <row r="739" spans="1:7" x14ac:dyDescent="0.25">
      <c r="A739" s="2"/>
      <c r="B739" s="104"/>
      <c r="C739" s="114" t="s">
        <v>103</v>
      </c>
      <c r="D739" s="104" t="s">
        <v>863</v>
      </c>
      <c r="E739" s="105">
        <v>42705</v>
      </c>
      <c r="F739" s="106" t="s">
        <v>1117</v>
      </c>
      <c r="G739" s="96">
        <v>166746.32</v>
      </c>
    </row>
    <row r="740" spans="1:7" x14ac:dyDescent="0.25">
      <c r="A740" s="2"/>
      <c r="B740" s="104"/>
      <c r="C740" s="114" t="s">
        <v>221</v>
      </c>
      <c r="D740" s="104" t="s">
        <v>863</v>
      </c>
      <c r="E740" s="105">
        <v>42705</v>
      </c>
      <c r="F740" s="106" t="s">
        <v>1118</v>
      </c>
      <c r="G740" s="96">
        <v>178115.33</v>
      </c>
    </row>
    <row r="741" spans="1:7" x14ac:dyDescent="0.25">
      <c r="A741" s="2"/>
      <c r="B741" s="104"/>
      <c r="C741" s="114" t="s">
        <v>55</v>
      </c>
      <c r="D741" s="104" t="s">
        <v>863</v>
      </c>
      <c r="E741" s="105">
        <v>42705</v>
      </c>
      <c r="F741" s="106" t="s">
        <v>1119</v>
      </c>
      <c r="G741" s="96">
        <v>189484.41</v>
      </c>
    </row>
    <row r="742" spans="1:7" x14ac:dyDescent="0.25">
      <c r="A742" s="2"/>
      <c r="B742" s="104"/>
      <c r="C742" s="114" t="s">
        <v>215</v>
      </c>
      <c r="D742" s="104" t="s">
        <v>863</v>
      </c>
      <c r="E742" s="105">
        <v>42705</v>
      </c>
      <c r="F742" s="106" t="s">
        <v>1120</v>
      </c>
      <c r="G742" s="96">
        <v>181905.02</v>
      </c>
    </row>
    <row r="743" spans="1:7" x14ac:dyDescent="0.25">
      <c r="A743" s="104" t="s">
        <v>1121</v>
      </c>
      <c r="G743" s="96">
        <v>796056.21</v>
      </c>
    </row>
    <row r="744" spans="1:7" x14ac:dyDescent="0.25">
      <c r="A744" s="104"/>
      <c r="G744" s="96"/>
    </row>
    <row r="745" spans="1:7" x14ac:dyDescent="0.25">
      <c r="A745" s="104" t="s">
        <v>431</v>
      </c>
      <c r="G745" s="96"/>
    </row>
    <row r="746" spans="1:7" ht="75" x14ac:dyDescent="0.25">
      <c r="A746" s="107" t="s">
        <v>433</v>
      </c>
      <c r="B746" s="107"/>
      <c r="C746" s="107"/>
      <c r="D746" s="107"/>
      <c r="E746" s="107"/>
      <c r="F746" s="107"/>
      <c r="G746" s="96"/>
    </row>
    <row r="747" spans="1:7" ht="30" x14ac:dyDescent="0.25">
      <c r="A747" s="115" t="s">
        <v>432</v>
      </c>
      <c r="B747" s="104" t="s">
        <v>1280</v>
      </c>
      <c r="C747" s="120">
        <v>1</v>
      </c>
      <c r="D747" s="120"/>
      <c r="E747" s="120"/>
      <c r="F747" s="120"/>
      <c r="G747" s="96"/>
    </row>
    <row r="748" spans="1:7" x14ac:dyDescent="0.25">
      <c r="A748" s="2"/>
      <c r="B748" s="104"/>
      <c r="C748" s="114" t="s">
        <v>23</v>
      </c>
      <c r="D748" s="104" t="s">
        <v>863</v>
      </c>
      <c r="E748" s="105">
        <v>42551</v>
      </c>
      <c r="F748" s="106"/>
      <c r="G748" s="96">
        <v>77909.42</v>
      </c>
    </row>
    <row r="749" spans="1:7" x14ac:dyDescent="0.25">
      <c r="A749" s="2"/>
      <c r="B749" s="104"/>
      <c r="C749" s="114" t="s">
        <v>103</v>
      </c>
      <c r="D749" s="104" t="s">
        <v>863</v>
      </c>
      <c r="E749" s="105">
        <v>42697</v>
      </c>
      <c r="F749" s="106" t="s">
        <v>1122</v>
      </c>
      <c r="G749" s="96">
        <v>233079.02</v>
      </c>
    </row>
    <row r="750" spans="1:7" x14ac:dyDescent="0.25">
      <c r="A750" s="2"/>
      <c r="B750" s="104"/>
      <c r="C750" s="114" t="s">
        <v>221</v>
      </c>
      <c r="D750" s="104" t="s">
        <v>863</v>
      </c>
      <c r="E750" s="105">
        <v>42781</v>
      </c>
      <c r="F750" s="106" t="s">
        <v>1122</v>
      </c>
      <c r="G750" s="96">
        <v>233079.02</v>
      </c>
    </row>
    <row r="751" spans="1:7" x14ac:dyDescent="0.25">
      <c r="A751" s="2"/>
      <c r="B751" s="104"/>
      <c r="C751" s="114" t="s">
        <v>55</v>
      </c>
      <c r="D751" s="104" t="s">
        <v>2238</v>
      </c>
      <c r="E751" s="105">
        <v>42744</v>
      </c>
      <c r="F751" s="106" t="s">
        <v>1122</v>
      </c>
      <c r="G751" s="96">
        <v>233079.03</v>
      </c>
    </row>
    <row r="752" spans="1:7" x14ac:dyDescent="0.25">
      <c r="A752" s="104" t="s">
        <v>1281</v>
      </c>
      <c r="G752" s="96">
        <v>777146.49</v>
      </c>
    </row>
    <row r="753" spans="1:7" x14ac:dyDescent="0.25">
      <c r="A753" s="104"/>
      <c r="G753" s="96"/>
    </row>
    <row r="754" spans="1:7" x14ac:dyDescent="0.25">
      <c r="A754" s="104" t="s">
        <v>416</v>
      </c>
      <c r="G754" s="96"/>
    </row>
    <row r="755" spans="1:7" ht="75" x14ac:dyDescent="0.25">
      <c r="A755" s="107" t="s">
        <v>415</v>
      </c>
      <c r="B755" s="107"/>
      <c r="C755" s="107"/>
      <c r="D755" s="107"/>
      <c r="E755" s="107"/>
      <c r="F755" s="107"/>
      <c r="G755" s="96"/>
    </row>
    <row r="756" spans="1:7" x14ac:dyDescent="0.25">
      <c r="A756" s="115" t="s">
        <v>346</v>
      </c>
      <c r="B756" s="104" t="s">
        <v>1123</v>
      </c>
      <c r="C756" s="120">
        <v>1</v>
      </c>
      <c r="D756" s="120"/>
      <c r="E756" s="120"/>
      <c r="F756" s="120"/>
      <c r="G756" s="96"/>
    </row>
    <row r="757" spans="1:7" x14ac:dyDescent="0.25">
      <c r="A757" s="2"/>
      <c r="B757" s="104"/>
      <c r="C757" s="114" t="s">
        <v>23</v>
      </c>
      <c r="D757" s="104" t="s">
        <v>863</v>
      </c>
      <c r="E757" s="105">
        <v>42545</v>
      </c>
      <c r="F757" s="106"/>
      <c r="G757" s="96">
        <v>62362.27</v>
      </c>
    </row>
    <row r="758" spans="1:7" x14ac:dyDescent="0.25">
      <c r="A758" s="2"/>
      <c r="B758" s="104"/>
      <c r="C758" s="114" t="s">
        <v>103</v>
      </c>
      <c r="D758" s="104" t="s">
        <v>863</v>
      </c>
      <c r="E758" s="105">
        <v>42671</v>
      </c>
      <c r="F758" s="106" t="s">
        <v>1122</v>
      </c>
      <c r="G758" s="96">
        <v>186567.14</v>
      </c>
    </row>
    <row r="759" spans="1:7" x14ac:dyDescent="0.25">
      <c r="A759" s="2"/>
      <c r="B759" s="104"/>
      <c r="C759" s="114" t="s">
        <v>221</v>
      </c>
      <c r="D759" s="104" t="s">
        <v>863</v>
      </c>
      <c r="E759" s="105">
        <v>42781</v>
      </c>
      <c r="F759" s="106" t="s">
        <v>1795</v>
      </c>
      <c r="G759" s="96">
        <v>177238.78</v>
      </c>
    </row>
    <row r="760" spans="1:7" x14ac:dyDescent="0.25">
      <c r="A760" s="2"/>
      <c r="B760" s="104"/>
      <c r="C760" s="114" t="s">
        <v>55</v>
      </c>
      <c r="D760" s="104" t="s">
        <v>863</v>
      </c>
      <c r="E760" s="105">
        <v>42781</v>
      </c>
      <c r="F760" s="106" t="s">
        <v>1796</v>
      </c>
      <c r="G760" s="96">
        <v>74626.87</v>
      </c>
    </row>
    <row r="761" spans="1:7" x14ac:dyDescent="0.25">
      <c r="A761" s="2"/>
      <c r="B761" s="104"/>
      <c r="C761" s="114" t="s">
        <v>215</v>
      </c>
      <c r="D761" s="104" t="s">
        <v>2238</v>
      </c>
      <c r="E761" s="105">
        <v>42699</v>
      </c>
      <c r="F761" s="106" t="s">
        <v>1797</v>
      </c>
      <c r="G761" s="96">
        <v>121268.64</v>
      </c>
    </row>
    <row r="762" spans="1:7" x14ac:dyDescent="0.25">
      <c r="A762" s="104" t="s">
        <v>1124</v>
      </c>
      <c r="G762" s="96">
        <v>622063.69999999995</v>
      </c>
    </row>
    <row r="763" spans="1:7" x14ac:dyDescent="0.25">
      <c r="A763" s="104"/>
      <c r="G763" s="96"/>
    </row>
    <row r="764" spans="1:7" x14ac:dyDescent="0.25">
      <c r="A764" s="104" t="s">
        <v>414</v>
      </c>
      <c r="G764" s="96"/>
    </row>
    <row r="765" spans="1:7" ht="75" x14ac:dyDescent="0.25">
      <c r="A765" s="107" t="s">
        <v>413</v>
      </c>
      <c r="B765" s="107"/>
      <c r="C765" s="107"/>
      <c r="D765" s="107"/>
      <c r="E765" s="107"/>
      <c r="F765" s="107"/>
      <c r="G765" s="96"/>
    </row>
    <row r="766" spans="1:7" x14ac:dyDescent="0.25">
      <c r="A766" s="115" t="s">
        <v>346</v>
      </c>
      <c r="B766" s="104" t="s">
        <v>1282</v>
      </c>
      <c r="C766" s="120">
        <v>0.92</v>
      </c>
      <c r="D766" s="120"/>
      <c r="E766" s="120"/>
      <c r="F766" s="120"/>
      <c r="G766" s="96"/>
    </row>
    <row r="767" spans="1:7" x14ac:dyDescent="0.25">
      <c r="A767" s="2"/>
      <c r="B767" s="104"/>
      <c r="C767" s="114" t="s">
        <v>23</v>
      </c>
      <c r="D767" s="104" t="s">
        <v>863</v>
      </c>
      <c r="E767" s="105">
        <v>42545</v>
      </c>
      <c r="F767" s="106"/>
      <c r="G767" s="96">
        <v>44960.97</v>
      </c>
    </row>
    <row r="768" spans="1:7" x14ac:dyDescent="0.25">
      <c r="A768" s="2"/>
      <c r="B768" s="104"/>
      <c r="C768" s="114" t="s">
        <v>103</v>
      </c>
      <c r="D768" s="104" t="s">
        <v>863</v>
      </c>
      <c r="E768" s="105">
        <v>42632</v>
      </c>
      <c r="F768" s="106" t="s">
        <v>1122</v>
      </c>
      <c r="G768" s="96">
        <v>134508.28</v>
      </c>
    </row>
    <row r="769" spans="1:7" x14ac:dyDescent="0.25">
      <c r="A769" s="2"/>
      <c r="B769" s="104"/>
      <c r="C769" s="114" t="s">
        <v>221</v>
      </c>
      <c r="D769" s="104" t="s">
        <v>863</v>
      </c>
      <c r="E769" s="105">
        <v>42781</v>
      </c>
      <c r="F769" s="106" t="s">
        <v>1122</v>
      </c>
      <c r="G769" s="96">
        <v>134508.28</v>
      </c>
    </row>
    <row r="770" spans="1:7" x14ac:dyDescent="0.25">
      <c r="A770" s="2"/>
      <c r="B770" s="104"/>
      <c r="C770" s="114" t="s">
        <v>55</v>
      </c>
      <c r="D770" s="104" t="s">
        <v>863</v>
      </c>
      <c r="E770" s="105">
        <v>42781</v>
      </c>
      <c r="F770" s="106" t="s">
        <v>1101</v>
      </c>
      <c r="G770" s="96">
        <v>67254.17</v>
      </c>
    </row>
    <row r="771" spans="1:7" x14ac:dyDescent="0.25">
      <c r="A771" s="2"/>
      <c r="B771" s="104"/>
      <c r="C771" s="114" t="s">
        <v>215</v>
      </c>
      <c r="D771" s="104" t="s">
        <v>864</v>
      </c>
      <c r="E771" s="105">
        <v>42717</v>
      </c>
      <c r="F771" s="106" t="s">
        <v>1321</v>
      </c>
      <c r="G771" s="96">
        <v>33627.089999999997</v>
      </c>
    </row>
    <row r="772" spans="1:7" x14ac:dyDescent="0.25">
      <c r="A772" s="104" t="s">
        <v>1283</v>
      </c>
      <c r="G772" s="96">
        <v>414858.79</v>
      </c>
    </row>
    <row r="773" spans="1:7" x14ac:dyDescent="0.25">
      <c r="A773" s="104"/>
      <c r="G773" s="96"/>
    </row>
    <row r="774" spans="1:7" x14ac:dyDescent="0.25">
      <c r="A774" s="104" t="s">
        <v>424</v>
      </c>
      <c r="G774" s="96"/>
    </row>
    <row r="775" spans="1:7" ht="60" x14ac:dyDescent="0.25">
      <c r="A775" s="107" t="s">
        <v>423</v>
      </c>
      <c r="B775" s="107"/>
      <c r="C775" s="107"/>
      <c r="D775" s="107"/>
      <c r="E775" s="107"/>
      <c r="F775" s="107"/>
      <c r="G775" s="96"/>
    </row>
    <row r="776" spans="1:7" x14ac:dyDescent="0.25">
      <c r="A776" s="115" t="s">
        <v>418</v>
      </c>
      <c r="B776" s="104" t="s">
        <v>1125</v>
      </c>
      <c r="C776" s="120">
        <v>1</v>
      </c>
      <c r="D776" s="120"/>
      <c r="E776" s="120"/>
      <c r="F776" s="120"/>
      <c r="G776" s="96"/>
    </row>
    <row r="777" spans="1:7" x14ac:dyDescent="0.25">
      <c r="A777" s="2"/>
      <c r="B777" s="104"/>
      <c r="C777" s="114" t="s">
        <v>23</v>
      </c>
      <c r="D777" s="104" t="s">
        <v>863</v>
      </c>
      <c r="E777" s="105">
        <v>42545</v>
      </c>
      <c r="F777" s="106"/>
      <c r="G777" s="96">
        <v>73963.350000000006</v>
      </c>
    </row>
    <row r="778" spans="1:7" x14ac:dyDescent="0.25">
      <c r="A778" s="2"/>
      <c r="B778" s="104"/>
      <c r="C778" s="114" t="s">
        <v>103</v>
      </c>
      <c r="D778" s="104" t="s">
        <v>863</v>
      </c>
      <c r="E778" s="105">
        <v>42671</v>
      </c>
      <c r="F778" s="106" t="s">
        <v>1078</v>
      </c>
      <c r="G778" s="96">
        <v>165955.26999999999</v>
      </c>
    </row>
    <row r="779" spans="1:7" x14ac:dyDescent="0.25">
      <c r="A779" s="2"/>
      <c r="B779" s="104"/>
      <c r="C779" s="114" t="s">
        <v>221</v>
      </c>
      <c r="D779" s="104" t="s">
        <v>863</v>
      </c>
      <c r="E779" s="105">
        <v>42697</v>
      </c>
      <c r="F779" s="106" t="s">
        <v>1078</v>
      </c>
      <c r="G779" s="96">
        <v>165955.26999999999</v>
      </c>
    </row>
    <row r="780" spans="1:7" x14ac:dyDescent="0.25">
      <c r="A780" s="2"/>
      <c r="B780" s="104"/>
      <c r="C780" s="114" t="s">
        <v>55</v>
      </c>
      <c r="D780" s="104" t="s">
        <v>863</v>
      </c>
      <c r="E780" s="105">
        <v>42697</v>
      </c>
      <c r="F780" s="106" t="s">
        <v>1078</v>
      </c>
      <c r="G780" s="96">
        <v>165955.26999999999</v>
      </c>
    </row>
    <row r="781" spans="1:7" x14ac:dyDescent="0.25">
      <c r="A781" s="2"/>
      <c r="B781" s="104"/>
      <c r="C781" s="114" t="s">
        <v>215</v>
      </c>
      <c r="D781" s="104" t="s">
        <v>863</v>
      </c>
      <c r="E781" s="105">
        <v>42781</v>
      </c>
      <c r="F781" s="106" t="s">
        <v>1896</v>
      </c>
      <c r="G781" s="96">
        <v>154891.62</v>
      </c>
    </row>
    <row r="782" spans="1:7" x14ac:dyDescent="0.25">
      <c r="A782" s="2"/>
      <c r="B782" s="104"/>
      <c r="C782" s="114" t="s">
        <v>15</v>
      </c>
      <c r="D782" s="104" t="s">
        <v>863</v>
      </c>
      <c r="E782" s="105">
        <v>42781</v>
      </c>
      <c r="F782" s="106" t="s">
        <v>1314</v>
      </c>
      <c r="G782" s="96">
        <v>11063.66</v>
      </c>
    </row>
    <row r="783" spans="1:7" x14ac:dyDescent="0.25">
      <c r="A783" s="104" t="s">
        <v>1126</v>
      </c>
      <c r="G783" s="96">
        <v>737784.44</v>
      </c>
    </row>
    <row r="784" spans="1:7" x14ac:dyDescent="0.25">
      <c r="A784" s="104"/>
      <c r="G784" s="96"/>
    </row>
    <row r="785" spans="1:7" x14ac:dyDescent="0.25">
      <c r="A785" s="104" t="s">
        <v>465</v>
      </c>
      <c r="G785" s="96"/>
    </row>
    <row r="786" spans="1:7" ht="75" x14ac:dyDescent="0.25">
      <c r="A786" s="107" t="s">
        <v>464</v>
      </c>
      <c r="B786" s="107"/>
      <c r="C786" s="107"/>
      <c r="D786" s="107"/>
      <c r="E786" s="107"/>
      <c r="F786" s="107"/>
      <c r="G786" s="96"/>
    </row>
    <row r="787" spans="1:7" x14ac:dyDescent="0.25">
      <c r="A787" s="115" t="s">
        <v>346</v>
      </c>
      <c r="B787" s="104" t="s">
        <v>1284</v>
      </c>
      <c r="C787" s="120">
        <v>1</v>
      </c>
      <c r="D787" s="120"/>
      <c r="E787" s="120"/>
      <c r="F787" s="120"/>
      <c r="G787" s="96"/>
    </row>
    <row r="788" spans="1:7" x14ac:dyDescent="0.25">
      <c r="A788" s="2"/>
      <c r="B788" s="104"/>
      <c r="C788" s="114" t="s">
        <v>23</v>
      </c>
      <c r="D788" s="104" t="s">
        <v>863</v>
      </c>
      <c r="E788" s="105">
        <v>42573</v>
      </c>
      <c r="F788" s="106"/>
      <c r="G788" s="96">
        <v>83879.179999999993</v>
      </c>
    </row>
    <row r="789" spans="1:7" x14ac:dyDescent="0.25">
      <c r="A789" s="2"/>
      <c r="B789" s="104"/>
      <c r="C789" s="114" t="s">
        <v>103</v>
      </c>
      <c r="D789" s="104" t="s">
        <v>863</v>
      </c>
      <c r="E789" s="105">
        <v>42664</v>
      </c>
      <c r="F789" s="106" t="s">
        <v>1122</v>
      </c>
      <c r="G789" s="96">
        <v>250938.57</v>
      </c>
    </row>
    <row r="790" spans="1:7" x14ac:dyDescent="0.25">
      <c r="A790" s="2"/>
      <c r="B790" s="104"/>
      <c r="C790" s="114" t="s">
        <v>221</v>
      </c>
      <c r="D790" s="104" t="s">
        <v>863</v>
      </c>
      <c r="E790" s="105">
        <v>42781</v>
      </c>
      <c r="F790" s="106" t="s">
        <v>1122</v>
      </c>
      <c r="G790" s="96">
        <v>250938.55</v>
      </c>
    </row>
    <row r="791" spans="1:7" x14ac:dyDescent="0.25">
      <c r="A791" s="2"/>
      <c r="B791" s="104"/>
      <c r="C791" s="114" t="s">
        <v>55</v>
      </c>
      <c r="D791" s="104" t="s">
        <v>863</v>
      </c>
      <c r="E791" s="105">
        <v>42781</v>
      </c>
      <c r="F791" s="106" t="s">
        <v>1101</v>
      </c>
      <c r="G791" s="96">
        <v>125469.31</v>
      </c>
    </row>
    <row r="792" spans="1:7" x14ac:dyDescent="0.25">
      <c r="A792" s="2"/>
      <c r="B792" s="104"/>
      <c r="C792" s="114" t="s">
        <v>215</v>
      </c>
      <c r="D792" s="104" t="s">
        <v>864</v>
      </c>
      <c r="E792" s="105">
        <v>42717</v>
      </c>
      <c r="F792" s="106" t="s">
        <v>1101</v>
      </c>
      <c r="G792" s="96">
        <v>125469.31</v>
      </c>
    </row>
    <row r="793" spans="1:7" x14ac:dyDescent="0.25">
      <c r="A793" s="104" t="s">
        <v>1285</v>
      </c>
      <c r="G793" s="96">
        <v>836694.92</v>
      </c>
    </row>
    <row r="794" spans="1:7" x14ac:dyDescent="0.25">
      <c r="A794" s="104"/>
      <c r="G794" s="96"/>
    </row>
    <row r="795" spans="1:7" x14ac:dyDescent="0.25">
      <c r="A795" s="104" t="s">
        <v>490</v>
      </c>
      <c r="G795" s="96"/>
    </row>
    <row r="796" spans="1:7" ht="60" x14ac:dyDescent="0.25">
      <c r="A796" s="107" t="s">
        <v>488</v>
      </c>
      <c r="B796" s="107"/>
      <c r="C796" s="107"/>
      <c r="D796" s="107"/>
      <c r="E796" s="107"/>
      <c r="F796" s="107"/>
      <c r="G796" s="96"/>
    </row>
    <row r="797" spans="1:7" ht="30" x14ac:dyDescent="0.25">
      <c r="A797" s="115" t="s">
        <v>489</v>
      </c>
      <c r="B797" s="104" t="s">
        <v>1127</v>
      </c>
      <c r="C797" s="120">
        <v>0.67</v>
      </c>
      <c r="D797" s="120"/>
      <c r="E797" s="120"/>
      <c r="F797" s="120"/>
      <c r="G797" s="96"/>
    </row>
    <row r="798" spans="1:7" x14ac:dyDescent="0.25">
      <c r="A798" s="2"/>
      <c r="B798" s="104"/>
      <c r="C798" s="114" t="s">
        <v>103</v>
      </c>
      <c r="D798" s="104" t="s">
        <v>863</v>
      </c>
      <c r="E798" s="105">
        <v>42664</v>
      </c>
      <c r="F798" s="106" t="s">
        <v>1122</v>
      </c>
      <c r="G798" s="96">
        <v>156470.78</v>
      </c>
    </row>
    <row r="799" spans="1:7" x14ac:dyDescent="0.25">
      <c r="A799" s="2"/>
      <c r="B799" s="104"/>
      <c r="C799" s="114" t="s">
        <v>221</v>
      </c>
      <c r="D799" s="104" t="s">
        <v>863</v>
      </c>
      <c r="E799" s="105">
        <v>42781</v>
      </c>
      <c r="F799" s="106" t="s">
        <v>1122</v>
      </c>
      <c r="G799" s="96">
        <v>156470.78</v>
      </c>
    </row>
    <row r="800" spans="1:7" x14ac:dyDescent="0.25">
      <c r="A800" s="104" t="s">
        <v>1128</v>
      </c>
      <c r="G800" s="96">
        <v>312941.56</v>
      </c>
    </row>
    <row r="801" spans="1:7" x14ac:dyDescent="0.25">
      <c r="A801" s="104"/>
      <c r="G801" s="96"/>
    </row>
    <row r="802" spans="1:7" x14ac:dyDescent="0.25">
      <c r="A802" s="104" t="s">
        <v>492</v>
      </c>
      <c r="G802" s="96"/>
    </row>
    <row r="803" spans="1:7" ht="60" x14ac:dyDescent="0.25">
      <c r="A803" s="107" t="s">
        <v>491</v>
      </c>
      <c r="B803" s="107"/>
      <c r="C803" s="107"/>
      <c r="D803" s="107"/>
      <c r="E803" s="107"/>
      <c r="F803" s="107"/>
      <c r="G803" s="96"/>
    </row>
    <row r="804" spans="1:7" ht="30" x14ac:dyDescent="0.25">
      <c r="A804" s="115" t="s">
        <v>489</v>
      </c>
      <c r="B804" s="104" t="s">
        <v>1129</v>
      </c>
      <c r="C804" s="120">
        <v>0.67</v>
      </c>
      <c r="D804" s="120"/>
      <c r="E804" s="120"/>
      <c r="F804" s="120"/>
      <c r="G804" s="96"/>
    </row>
    <row r="805" spans="1:7" x14ac:dyDescent="0.25">
      <c r="A805" s="2"/>
      <c r="B805" s="104"/>
      <c r="C805" s="114" t="s">
        <v>103</v>
      </c>
      <c r="D805" s="104" t="s">
        <v>863</v>
      </c>
      <c r="E805" s="105">
        <v>42671</v>
      </c>
      <c r="F805" s="106" t="s">
        <v>1122</v>
      </c>
      <c r="G805" s="96">
        <v>273823.09999999998</v>
      </c>
    </row>
    <row r="806" spans="1:7" x14ac:dyDescent="0.25">
      <c r="A806" s="2"/>
      <c r="B806" s="104"/>
      <c r="C806" s="114" t="s">
        <v>221</v>
      </c>
      <c r="D806" s="104" t="s">
        <v>863</v>
      </c>
      <c r="E806" s="105">
        <v>42781</v>
      </c>
      <c r="F806" s="106" t="s">
        <v>1122</v>
      </c>
      <c r="G806" s="96">
        <v>273823.09999999998</v>
      </c>
    </row>
    <row r="807" spans="1:7" x14ac:dyDescent="0.25">
      <c r="A807" s="104" t="s">
        <v>1130</v>
      </c>
      <c r="G807" s="96">
        <v>547646.19999999995</v>
      </c>
    </row>
    <row r="808" spans="1:7" x14ac:dyDescent="0.25">
      <c r="A808" s="104"/>
      <c r="G808" s="96"/>
    </row>
    <row r="809" spans="1:7" x14ac:dyDescent="0.25">
      <c r="A809" s="104" t="s">
        <v>683</v>
      </c>
      <c r="G809" s="96"/>
    </row>
    <row r="810" spans="1:7" ht="45" x14ac:dyDescent="0.25">
      <c r="A810" s="107" t="s">
        <v>681</v>
      </c>
      <c r="B810" s="107"/>
      <c r="C810" s="107"/>
      <c r="D810" s="107"/>
      <c r="E810" s="107"/>
      <c r="F810" s="107"/>
      <c r="G810" s="96"/>
    </row>
    <row r="811" spans="1:7" x14ac:dyDescent="0.25">
      <c r="A811" s="115" t="s">
        <v>682</v>
      </c>
      <c r="B811" s="104" t="s">
        <v>1131</v>
      </c>
      <c r="C811" s="120">
        <v>1</v>
      </c>
      <c r="D811" s="120"/>
      <c r="E811" s="120"/>
      <c r="F811" s="120"/>
      <c r="G811" s="96"/>
    </row>
    <row r="812" spans="1:7" x14ac:dyDescent="0.25">
      <c r="A812" s="2"/>
      <c r="B812" s="104"/>
      <c r="C812" s="114" t="s">
        <v>23</v>
      </c>
      <c r="D812" s="104" t="s">
        <v>863</v>
      </c>
      <c r="E812" s="105">
        <v>42632</v>
      </c>
      <c r="F812" s="106"/>
      <c r="G812" s="96">
        <v>67401.460000000006</v>
      </c>
    </row>
    <row r="813" spans="1:7" x14ac:dyDescent="0.25">
      <c r="A813" s="2"/>
      <c r="B813" s="104"/>
      <c r="C813" s="114" t="s">
        <v>103</v>
      </c>
      <c r="D813" s="104" t="s">
        <v>863</v>
      </c>
      <c r="E813" s="105">
        <v>42781</v>
      </c>
      <c r="F813" s="106" t="s">
        <v>1132</v>
      </c>
      <c r="G813" s="96">
        <v>199626.31</v>
      </c>
    </row>
    <row r="814" spans="1:7" x14ac:dyDescent="0.25">
      <c r="A814" s="2"/>
      <c r="B814" s="104"/>
      <c r="C814" s="114" t="s">
        <v>221</v>
      </c>
      <c r="D814" s="104" t="s">
        <v>863</v>
      </c>
      <c r="E814" s="105">
        <v>42781</v>
      </c>
      <c r="F814" s="106" t="s">
        <v>1132</v>
      </c>
      <c r="G814" s="96">
        <v>199626.31</v>
      </c>
    </row>
    <row r="815" spans="1:7" x14ac:dyDescent="0.25">
      <c r="A815" s="2"/>
      <c r="B815" s="104"/>
      <c r="C815" s="114" t="s">
        <v>55</v>
      </c>
      <c r="D815" s="104" t="s">
        <v>863</v>
      </c>
      <c r="E815" s="105">
        <v>42781</v>
      </c>
      <c r="F815" s="106" t="s">
        <v>1897</v>
      </c>
      <c r="G815" s="96">
        <v>205675.57</v>
      </c>
    </row>
    <row r="816" spans="1:7" x14ac:dyDescent="0.25">
      <c r="A816" s="104" t="s">
        <v>1133</v>
      </c>
      <c r="G816" s="96">
        <v>672329.65</v>
      </c>
    </row>
    <row r="817" spans="1:7" x14ac:dyDescent="0.25">
      <c r="A817" s="104"/>
      <c r="G817" s="96"/>
    </row>
    <row r="818" spans="1:7" x14ac:dyDescent="0.25">
      <c r="A818" s="104" t="s">
        <v>648</v>
      </c>
      <c r="G818" s="96"/>
    </row>
    <row r="819" spans="1:7" ht="60" x14ac:dyDescent="0.25">
      <c r="A819" s="107" t="s">
        <v>647</v>
      </c>
      <c r="B819" s="107"/>
      <c r="C819" s="107"/>
      <c r="D819" s="107"/>
      <c r="E819" s="107"/>
      <c r="F819" s="107"/>
      <c r="G819" s="96"/>
    </row>
    <row r="820" spans="1:7" x14ac:dyDescent="0.25">
      <c r="A820" s="115" t="s">
        <v>649</v>
      </c>
      <c r="B820" s="104" t="s">
        <v>1286</v>
      </c>
      <c r="C820" s="120">
        <v>1</v>
      </c>
      <c r="D820" s="120"/>
      <c r="E820" s="120"/>
      <c r="F820" s="120"/>
      <c r="G820" s="96"/>
    </row>
    <row r="821" spans="1:7" x14ac:dyDescent="0.25">
      <c r="A821" s="2"/>
      <c r="B821" s="104"/>
      <c r="C821" s="114" t="s">
        <v>103</v>
      </c>
      <c r="D821" s="104" t="s">
        <v>863</v>
      </c>
      <c r="E821" s="105">
        <v>42662</v>
      </c>
      <c r="F821" s="106" t="s">
        <v>1287</v>
      </c>
      <c r="G821" s="96">
        <v>20992.39</v>
      </c>
    </row>
    <row r="822" spans="1:7" x14ac:dyDescent="0.25">
      <c r="A822" s="2"/>
      <c r="B822" s="104"/>
      <c r="C822" s="114" t="s">
        <v>221</v>
      </c>
      <c r="D822" s="104" t="s">
        <v>863</v>
      </c>
      <c r="E822" s="105">
        <v>42781</v>
      </c>
      <c r="F822" s="106" t="s">
        <v>1752</v>
      </c>
      <c r="G822" s="96">
        <v>15575.96</v>
      </c>
    </row>
    <row r="823" spans="1:7" x14ac:dyDescent="0.25">
      <c r="A823" s="104" t="s">
        <v>1288</v>
      </c>
      <c r="G823" s="96">
        <v>36568.35</v>
      </c>
    </row>
    <row r="824" spans="1:7" x14ac:dyDescent="0.25">
      <c r="A824" s="104"/>
      <c r="G824" s="96"/>
    </row>
    <row r="825" spans="1:7" x14ac:dyDescent="0.25">
      <c r="A825" s="104" t="s">
        <v>651</v>
      </c>
      <c r="G825" s="96"/>
    </row>
    <row r="826" spans="1:7" ht="60" x14ac:dyDescent="0.25">
      <c r="A826" s="107" t="s">
        <v>652</v>
      </c>
      <c r="B826" s="107"/>
      <c r="C826" s="107"/>
      <c r="D826" s="107"/>
      <c r="E826" s="107"/>
      <c r="F826" s="107"/>
      <c r="G826" s="96"/>
    </row>
    <row r="827" spans="1:7" x14ac:dyDescent="0.25">
      <c r="A827" s="115" t="s">
        <v>649</v>
      </c>
      <c r="B827" s="104" t="s">
        <v>1289</v>
      </c>
      <c r="C827" s="120">
        <v>1</v>
      </c>
      <c r="D827" s="120"/>
      <c r="E827" s="120"/>
      <c r="F827" s="120"/>
      <c r="G827" s="96"/>
    </row>
    <row r="828" spans="1:7" x14ac:dyDescent="0.25">
      <c r="A828" s="2"/>
      <c r="B828" s="104"/>
      <c r="C828" s="114" t="s">
        <v>103</v>
      </c>
      <c r="D828" s="104" t="s">
        <v>863</v>
      </c>
      <c r="E828" s="105">
        <v>42632</v>
      </c>
      <c r="F828" s="106" t="s">
        <v>1290</v>
      </c>
      <c r="G828" s="96">
        <v>38323.43</v>
      </c>
    </row>
    <row r="829" spans="1:7" x14ac:dyDescent="0.25">
      <c r="A829" s="2"/>
      <c r="B829" s="104"/>
      <c r="C829" s="114" t="s">
        <v>221</v>
      </c>
      <c r="D829" s="104" t="s">
        <v>863</v>
      </c>
      <c r="E829" s="105">
        <v>42781</v>
      </c>
      <c r="F829" s="106" t="s">
        <v>1753</v>
      </c>
      <c r="G829" s="96">
        <v>34164.879999999997</v>
      </c>
    </row>
    <row r="830" spans="1:7" x14ac:dyDescent="0.25">
      <c r="A830" s="104" t="s">
        <v>1291</v>
      </c>
      <c r="G830" s="96">
        <v>72488.31</v>
      </c>
    </row>
    <row r="831" spans="1:7" x14ac:dyDescent="0.25">
      <c r="A831" s="104"/>
      <c r="G831" s="96"/>
    </row>
    <row r="832" spans="1:7" x14ac:dyDescent="0.25">
      <c r="A832" s="104" t="s">
        <v>655</v>
      </c>
      <c r="G832" s="96"/>
    </row>
    <row r="833" spans="1:7" ht="60" x14ac:dyDescent="0.25">
      <c r="A833" s="107" t="s">
        <v>654</v>
      </c>
      <c r="B833" s="107"/>
      <c r="C833" s="107"/>
      <c r="D833" s="107"/>
      <c r="E833" s="107"/>
      <c r="F833" s="107"/>
      <c r="G833" s="96"/>
    </row>
    <row r="834" spans="1:7" x14ac:dyDescent="0.25">
      <c r="A834" s="115" t="s">
        <v>649</v>
      </c>
      <c r="B834" s="104" t="s">
        <v>1292</v>
      </c>
      <c r="C834" s="120">
        <v>1</v>
      </c>
      <c r="D834" s="120"/>
      <c r="E834" s="120"/>
      <c r="F834" s="120"/>
      <c r="G834" s="96"/>
    </row>
    <row r="835" spans="1:7" x14ac:dyDescent="0.25">
      <c r="A835" s="2"/>
      <c r="B835" s="104"/>
      <c r="C835" s="114" t="s">
        <v>103</v>
      </c>
      <c r="D835" s="104" t="s">
        <v>863</v>
      </c>
      <c r="E835" s="105">
        <v>42664</v>
      </c>
      <c r="F835" s="106" t="s">
        <v>1293</v>
      </c>
      <c r="G835" s="96">
        <v>28658.18</v>
      </c>
    </row>
    <row r="836" spans="1:7" x14ac:dyDescent="0.25">
      <c r="A836" s="2"/>
      <c r="B836" s="104"/>
      <c r="C836" s="114" t="s">
        <v>221</v>
      </c>
      <c r="D836" s="104" t="s">
        <v>863</v>
      </c>
      <c r="E836" s="105">
        <v>42781</v>
      </c>
      <c r="F836" s="106" t="s">
        <v>1293</v>
      </c>
      <c r="G836" s="96">
        <v>28658.18</v>
      </c>
    </row>
    <row r="837" spans="1:7" x14ac:dyDescent="0.25">
      <c r="A837" s="104" t="s">
        <v>1294</v>
      </c>
      <c r="G837" s="96">
        <v>57316.36</v>
      </c>
    </row>
    <row r="838" spans="1:7" x14ac:dyDescent="0.25">
      <c r="A838" s="104"/>
      <c r="G838" s="96"/>
    </row>
    <row r="839" spans="1:7" x14ac:dyDescent="0.25">
      <c r="A839" s="104" t="s">
        <v>658</v>
      </c>
      <c r="G839" s="96"/>
    </row>
    <row r="840" spans="1:7" ht="60" x14ac:dyDescent="0.25">
      <c r="A840" s="107" t="s">
        <v>657</v>
      </c>
      <c r="B840" s="107"/>
      <c r="C840" s="107"/>
      <c r="D840" s="107"/>
      <c r="E840" s="107"/>
      <c r="F840" s="107"/>
      <c r="G840" s="96"/>
    </row>
    <row r="841" spans="1:7" x14ac:dyDescent="0.25">
      <c r="A841" s="115" t="s">
        <v>649</v>
      </c>
      <c r="B841" s="104" t="s">
        <v>1134</v>
      </c>
      <c r="C841" s="120">
        <v>1</v>
      </c>
      <c r="D841" s="120"/>
      <c r="E841" s="120"/>
      <c r="F841" s="120"/>
      <c r="G841" s="96"/>
    </row>
    <row r="842" spans="1:7" x14ac:dyDescent="0.25">
      <c r="A842" s="2"/>
      <c r="B842" s="104"/>
      <c r="C842" s="114" t="s">
        <v>103</v>
      </c>
      <c r="D842" s="104" t="s">
        <v>863</v>
      </c>
      <c r="E842" s="105">
        <v>42697</v>
      </c>
      <c r="F842" s="106" t="s">
        <v>1293</v>
      </c>
      <c r="G842" s="96">
        <v>22174.42</v>
      </c>
    </row>
    <row r="843" spans="1:7" x14ac:dyDescent="0.25">
      <c r="A843" s="2"/>
      <c r="B843" s="104"/>
      <c r="C843" s="114" t="s">
        <v>221</v>
      </c>
      <c r="D843" s="104" t="s">
        <v>863</v>
      </c>
      <c r="E843" s="105">
        <v>42781</v>
      </c>
      <c r="F843" s="106" t="s">
        <v>1293</v>
      </c>
      <c r="G843" s="96">
        <v>22174.42</v>
      </c>
    </row>
    <row r="844" spans="1:7" x14ac:dyDescent="0.25">
      <c r="A844" s="104" t="s">
        <v>1135</v>
      </c>
      <c r="G844" s="96">
        <v>44348.84</v>
      </c>
    </row>
    <row r="845" spans="1:7" x14ac:dyDescent="0.25">
      <c r="A845" s="104"/>
      <c r="G845" s="96"/>
    </row>
    <row r="846" spans="1:7" x14ac:dyDescent="0.25">
      <c r="A846" s="104" t="s">
        <v>753</v>
      </c>
      <c r="G846" s="96"/>
    </row>
    <row r="847" spans="1:7" ht="45" x14ac:dyDescent="0.25">
      <c r="A847" s="107" t="s">
        <v>756</v>
      </c>
      <c r="B847" s="107"/>
      <c r="C847" s="107"/>
      <c r="D847" s="107"/>
      <c r="E847" s="107"/>
      <c r="F847" s="107"/>
      <c r="G847" s="96"/>
    </row>
    <row r="848" spans="1:7" x14ac:dyDescent="0.25">
      <c r="A848" s="115" t="s">
        <v>649</v>
      </c>
      <c r="B848" s="104" t="s">
        <v>1136</v>
      </c>
      <c r="C848" s="120">
        <v>0.56000000000000005</v>
      </c>
      <c r="D848" s="120"/>
      <c r="E848" s="120"/>
      <c r="F848" s="120"/>
      <c r="G848" s="96"/>
    </row>
    <row r="849" spans="1:7" x14ac:dyDescent="0.25">
      <c r="A849" s="2"/>
      <c r="B849" s="104"/>
      <c r="C849" s="114" t="s">
        <v>103</v>
      </c>
      <c r="D849" s="104" t="s">
        <v>863</v>
      </c>
      <c r="E849" s="105">
        <v>42697</v>
      </c>
      <c r="F849" s="106" t="s">
        <v>1717</v>
      </c>
      <c r="G849" s="96">
        <v>67781.119999999995</v>
      </c>
    </row>
    <row r="850" spans="1:7" x14ac:dyDescent="0.25">
      <c r="A850" s="104" t="s">
        <v>1137</v>
      </c>
      <c r="G850" s="96">
        <v>67781.119999999995</v>
      </c>
    </row>
    <row r="851" spans="1:7" x14ac:dyDescent="0.25">
      <c r="A851" s="104"/>
      <c r="G851" s="96"/>
    </row>
    <row r="852" spans="1:7" x14ac:dyDescent="0.25">
      <c r="A852" s="104" t="s">
        <v>661</v>
      </c>
      <c r="G852" s="96"/>
    </row>
    <row r="853" spans="1:7" ht="45" x14ac:dyDescent="0.25">
      <c r="A853" s="107" t="s">
        <v>660</v>
      </c>
      <c r="B853" s="107"/>
      <c r="C853" s="107"/>
      <c r="D853" s="107"/>
      <c r="E853" s="107"/>
      <c r="F853" s="107"/>
      <c r="G853" s="96"/>
    </row>
    <row r="854" spans="1:7" x14ac:dyDescent="0.25">
      <c r="A854" s="115" t="s">
        <v>649</v>
      </c>
      <c r="B854" s="104" t="s">
        <v>1292</v>
      </c>
      <c r="C854" s="120">
        <v>0.5</v>
      </c>
      <c r="D854" s="120"/>
      <c r="E854" s="120"/>
      <c r="F854" s="120"/>
      <c r="G854" s="96"/>
    </row>
    <row r="855" spans="1:7" x14ac:dyDescent="0.25">
      <c r="A855" s="2"/>
      <c r="B855" s="104"/>
      <c r="C855" s="114" t="s">
        <v>103</v>
      </c>
      <c r="D855" s="104" t="s">
        <v>863</v>
      </c>
      <c r="E855" s="105">
        <v>42632</v>
      </c>
      <c r="F855" s="106" t="s">
        <v>1293</v>
      </c>
      <c r="G855" s="96">
        <v>28658.18</v>
      </c>
    </row>
    <row r="856" spans="1:7" x14ac:dyDescent="0.25">
      <c r="A856" s="104" t="s">
        <v>1295</v>
      </c>
      <c r="G856" s="96">
        <v>28658.18</v>
      </c>
    </row>
    <row r="857" spans="1:7" x14ac:dyDescent="0.25">
      <c r="A857" s="104"/>
      <c r="G857" s="96"/>
    </row>
    <row r="858" spans="1:7" x14ac:dyDescent="0.25">
      <c r="A858" s="104" t="s">
        <v>664</v>
      </c>
      <c r="G858" s="96"/>
    </row>
    <row r="859" spans="1:7" ht="45" x14ac:dyDescent="0.25">
      <c r="A859" s="107" t="s">
        <v>663</v>
      </c>
      <c r="B859" s="107"/>
      <c r="C859" s="107"/>
      <c r="D859" s="107"/>
      <c r="E859" s="107"/>
      <c r="F859" s="107"/>
      <c r="G859" s="96"/>
    </row>
    <row r="860" spans="1:7" x14ac:dyDescent="0.25">
      <c r="A860" s="115" t="s">
        <v>649</v>
      </c>
      <c r="B860" s="104" t="s">
        <v>1296</v>
      </c>
      <c r="C860" s="120">
        <v>0.5</v>
      </c>
      <c r="D860" s="120"/>
      <c r="E860" s="120"/>
      <c r="F860" s="120"/>
      <c r="G860" s="96"/>
    </row>
    <row r="861" spans="1:7" x14ac:dyDescent="0.25">
      <c r="A861" s="2"/>
      <c r="B861" s="104"/>
      <c r="C861" s="114" t="s">
        <v>103</v>
      </c>
      <c r="D861" s="104" t="s">
        <v>863</v>
      </c>
      <c r="E861" s="105">
        <v>42632</v>
      </c>
      <c r="F861" s="106" t="s">
        <v>1293</v>
      </c>
      <c r="G861" s="96">
        <v>36503.53</v>
      </c>
    </row>
    <row r="862" spans="1:7" x14ac:dyDescent="0.25">
      <c r="A862" s="104" t="s">
        <v>1297</v>
      </c>
      <c r="G862" s="96">
        <v>36503.53</v>
      </c>
    </row>
    <row r="863" spans="1:7" x14ac:dyDescent="0.25">
      <c r="A863" s="104"/>
      <c r="G863" s="96"/>
    </row>
    <row r="864" spans="1:7" x14ac:dyDescent="0.25">
      <c r="A864" s="104" t="s">
        <v>667</v>
      </c>
      <c r="G864" s="96"/>
    </row>
    <row r="865" spans="1:7" ht="60" x14ac:dyDescent="0.25">
      <c r="A865" s="107" t="s">
        <v>666</v>
      </c>
      <c r="B865" s="107"/>
      <c r="C865" s="107"/>
      <c r="D865" s="107"/>
      <c r="E865" s="107"/>
      <c r="F865" s="107"/>
      <c r="G865" s="96"/>
    </row>
    <row r="866" spans="1:7" x14ac:dyDescent="0.25">
      <c r="A866" s="115" t="s">
        <v>649</v>
      </c>
      <c r="B866" s="104" t="s">
        <v>1298</v>
      </c>
      <c r="C866" s="120">
        <v>0.56999999999999995</v>
      </c>
      <c r="D866" s="120"/>
      <c r="E866" s="120"/>
      <c r="F866" s="120"/>
      <c r="G866" s="96"/>
    </row>
    <row r="867" spans="1:7" x14ac:dyDescent="0.25">
      <c r="A867" s="2"/>
      <c r="B867" s="104"/>
      <c r="C867" s="114" t="s">
        <v>103</v>
      </c>
      <c r="D867" s="104" t="s">
        <v>863</v>
      </c>
      <c r="E867" s="105">
        <v>42632</v>
      </c>
      <c r="F867" s="106" t="s">
        <v>1299</v>
      </c>
      <c r="G867" s="96">
        <v>129538.83</v>
      </c>
    </row>
    <row r="868" spans="1:7" x14ac:dyDescent="0.25">
      <c r="A868" s="104" t="s">
        <v>1300</v>
      </c>
      <c r="G868" s="96">
        <v>129538.83</v>
      </c>
    </row>
    <row r="869" spans="1:7" x14ac:dyDescent="0.25">
      <c r="A869" s="104"/>
      <c r="G869" s="96"/>
    </row>
    <row r="870" spans="1:7" x14ac:dyDescent="0.25">
      <c r="A870" s="104" t="s">
        <v>1734</v>
      </c>
      <c r="G870" s="96"/>
    </row>
    <row r="871" spans="1:7" ht="45" x14ac:dyDescent="0.25">
      <c r="A871" s="107" t="s">
        <v>1733</v>
      </c>
      <c r="B871" s="107"/>
      <c r="C871" s="107"/>
      <c r="D871" s="107"/>
      <c r="E871" s="107"/>
      <c r="F871" s="107"/>
      <c r="G871" s="96"/>
    </row>
    <row r="872" spans="1:7" x14ac:dyDescent="0.25">
      <c r="A872" s="115" t="s">
        <v>649</v>
      </c>
      <c r="B872" s="104" t="s">
        <v>1754</v>
      </c>
      <c r="C872" s="120">
        <v>1</v>
      </c>
      <c r="D872" s="120"/>
      <c r="E872" s="120"/>
      <c r="F872" s="120"/>
      <c r="G872" s="96"/>
    </row>
    <row r="873" spans="1:7" x14ac:dyDescent="0.25">
      <c r="A873" s="2"/>
      <c r="B873" s="104"/>
      <c r="C873" s="114" t="s">
        <v>103</v>
      </c>
      <c r="D873" s="104" t="s">
        <v>2238</v>
      </c>
      <c r="E873" s="105">
        <v>42690</v>
      </c>
      <c r="F873" s="106" t="s">
        <v>1324</v>
      </c>
      <c r="G873" s="96">
        <v>51999.99</v>
      </c>
    </row>
    <row r="874" spans="1:7" x14ac:dyDescent="0.25">
      <c r="A874" s="104" t="s">
        <v>1755</v>
      </c>
      <c r="G874" s="96">
        <v>51999.99</v>
      </c>
    </row>
    <row r="875" spans="1:7" x14ac:dyDescent="0.25">
      <c r="A875" s="104"/>
      <c r="G875" s="96"/>
    </row>
    <row r="876" spans="1:7" x14ac:dyDescent="0.25">
      <c r="A876" s="104" t="s">
        <v>670</v>
      </c>
      <c r="G876" s="96"/>
    </row>
    <row r="877" spans="1:7" ht="45" x14ac:dyDescent="0.25">
      <c r="A877" s="107" t="s">
        <v>669</v>
      </c>
      <c r="B877" s="107"/>
      <c r="C877" s="107"/>
      <c r="D877" s="107"/>
      <c r="E877" s="107"/>
      <c r="F877" s="107"/>
      <c r="G877" s="96"/>
    </row>
    <row r="878" spans="1:7" x14ac:dyDescent="0.25">
      <c r="A878" s="115" t="s">
        <v>649</v>
      </c>
      <c r="B878" s="104" t="s">
        <v>1298</v>
      </c>
      <c r="C878" s="120">
        <v>0.56999999999999995</v>
      </c>
      <c r="D878" s="120"/>
      <c r="E878" s="120"/>
      <c r="F878" s="120"/>
      <c r="G878" s="96"/>
    </row>
    <row r="879" spans="1:7" x14ac:dyDescent="0.25">
      <c r="A879" s="2"/>
      <c r="B879" s="104"/>
      <c r="C879" s="114" t="s">
        <v>103</v>
      </c>
      <c r="D879" s="104" t="s">
        <v>863</v>
      </c>
      <c r="E879" s="105">
        <v>42591</v>
      </c>
      <c r="F879" s="106" t="s">
        <v>1299</v>
      </c>
      <c r="G879" s="96">
        <v>129538.83</v>
      </c>
    </row>
    <row r="880" spans="1:7" x14ac:dyDescent="0.25">
      <c r="A880" s="104" t="s">
        <v>1301</v>
      </c>
      <c r="G880" s="96">
        <v>129538.83</v>
      </c>
    </row>
    <row r="881" spans="1:7" x14ac:dyDescent="0.25">
      <c r="A881" s="104"/>
      <c r="G881" s="96"/>
    </row>
    <row r="882" spans="1:7" x14ac:dyDescent="0.25">
      <c r="A882" s="104" t="s">
        <v>621</v>
      </c>
      <c r="G882" s="96"/>
    </row>
    <row r="883" spans="1:7" ht="30" x14ac:dyDescent="0.25">
      <c r="A883" s="107" t="s">
        <v>619</v>
      </c>
      <c r="B883" s="107"/>
      <c r="C883" s="107"/>
      <c r="D883" s="107"/>
      <c r="E883" s="107"/>
      <c r="F883" s="107"/>
      <c r="G883" s="96"/>
    </row>
    <row r="884" spans="1:7" ht="30" x14ac:dyDescent="0.25">
      <c r="A884" s="115" t="s">
        <v>620</v>
      </c>
      <c r="B884" s="104" t="s">
        <v>1522</v>
      </c>
      <c r="C884" s="120">
        <v>0.09</v>
      </c>
      <c r="D884" s="120"/>
      <c r="E884" s="120"/>
      <c r="F884" s="120"/>
      <c r="G884" s="96"/>
    </row>
    <row r="885" spans="1:7" x14ac:dyDescent="0.25">
      <c r="A885" s="2"/>
      <c r="B885" s="104"/>
      <c r="C885" s="114" t="s">
        <v>23</v>
      </c>
      <c r="D885" s="104" t="s">
        <v>863</v>
      </c>
      <c r="E885" s="105">
        <v>42632</v>
      </c>
      <c r="F885" s="106"/>
      <c r="G885" s="96">
        <v>11667055.49</v>
      </c>
    </row>
    <row r="886" spans="1:7" x14ac:dyDescent="0.25">
      <c r="A886" s="2"/>
      <c r="B886" s="104"/>
      <c r="C886" s="114" t="s">
        <v>103</v>
      </c>
      <c r="D886" s="104" t="s">
        <v>864</v>
      </c>
      <c r="E886" s="105">
        <v>42811</v>
      </c>
      <c r="F886" s="106" t="s">
        <v>1055</v>
      </c>
      <c r="G886" s="96">
        <v>949302.71</v>
      </c>
    </row>
    <row r="887" spans="1:7" x14ac:dyDescent="0.25">
      <c r="A887" s="2"/>
      <c r="B887" s="104"/>
      <c r="C887" s="114" t="s">
        <v>221</v>
      </c>
      <c r="D887" s="104" t="s">
        <v>864</v>
      </c>
      <c r="E887" s="105">
        <v>42811</v>
      </c>
      <c r="F887" s="106" t="s">
        <v>2084</v>
      </c>
      <c r="G887" s="96">
        <v>689845.44</v>
      </c>
    </row>
    <row r="888" spans="1:7" x14ac:dyDescent="0.25">
      <c r="A888" s="2"/>
      <c r="B888" s="104"/>
      <c r="C888" s="114" t="s">
        <v>55</v>
      </c>
      <c r="D888" s="104" t="s">
        <v>863</v>
      </c>
      <c r="E888" s="105">
        <v>42810</v>
      </c>
      <c r="F888" s="106" t="s">
        <v>2464</v>
      </c>
      <c r="G888" s="96">
        <v>858725.86</v>
      </c>
    </row>
    <row r="889" spans="1:7" x14ac:dyDescent="0.25">
      <c r="A889" s="104" t="s">
        <v>1523</v>
      </c>
      <c r="G889" s="96">
        <v>14164929.5</v>
      </c>
    </row>
    <row r="890" spans="1:7" x14ac:dyDescent="0.25">
      <c r="A890" s="104"/>
      <c r="G890" s="96"/>
    </row>
    <row r="891" spans="1:7" x14ac:dyDescent="0.25">
      <c r="A891" s="104" t="s">
        <v>707</v>
      </c>
      <c r="G891" s="96"/>
    </row>
    <row r="892" spans="1:7" ht="75" x14ac:dyDescent="0.25">
      <c r="A892" s="107" t="s">
        <v>706</v>
      </c>
      <c r="B892" s="107"/>
      <c r="C892" s="107"/>
      <c r="D892" s="107"/>
      <c r="E892" s="107"/>
      <c r="F892" s="107"/>
      <c r="G892" s="96"/>
    </row>
    <row r="893" spans="1:7" ht="30" x14ac:dyDescent="0.25">
      <c r="A893" s="115" t="s">
        <v>708</v>
      </c>
      <c r="B893" s="104" t="s">
        <v>1524</v>
      </c>
      <c r="C893" s="120">
        <v>1.1399999999999999</v>
      </c>
      <c r="D893" s="120"/>
      <c r="E893" s="120"/>
      <c r="F893" s="120"/>
      <c r="G893" s="96"/>
    </row>
    <row r="894" spans="1:7" x14ac:dyDescent="0.25">
      <c r="A894" s="2"/>
      <c r="B894" s="104"/>
      <c r="C894" s="114" t="s">
        <v>23</v>
      </c>
      <c r="D894" s="104" t="s">
        <v>863</v>
      </c>
      <c r="E894" s="105">
        <v>42604</v>
      </c>
      <c r="F894" s="106"/>
      <c r="G894" s="96">
        <v>643753.89</v>
      </c>
    </row>
    <row r="895" spans="1:7" x14ac:dyDescent="0.25">
      <c r="A895" s="2"/>
      <c r="B895" s="104"/>
      <c r="C895" s="114" t="s">
        <v>103</v>
      </c>
      <c r="D895" s="104" t="s">
        <v>863</v>
      </c>
      <c r="E895" s="105">
        <v>42710</v>
      </c>
      <c r="F895" s="106" t="s">
        <v>1568</v>
      </c>
      <c r="G895" s="96">
        <v>161469.32</v>
      </c>
    </row>
    <row r="896" spans="1:7" x14ac:dyDescent="0.25">
      <c r="A896" s="2"/>
      <c r="B896" s="104"/>
      <c r="C896" s="114" t="s">
        <v>221</v>
      </c>
      <c r="D896" s="104" t="s">
        <v>863</v>
      </c>
      <c r="E896" s="105">
        <v>42734</v>
      </c>
      <c r="F896" s="106" t="s">
        <v>1980</v>
      </c>
      <c r="G896" s="96">
        <v>169137.96</v>
      </c>
    </row>
    <row r="897" spans="1:7" x14ac:dyDescent="0.25">
      <c r="A897" s="2"/>
      <c r="B897" s="104"/>
      <c r="C897" s="114" t="s">
        <v>55</v>
      </c>
      <c r="D897" s="104" t="s">
        <v>863</v>
      </c>
      <c r="E897" s="105">
        <v>42734</v>
      </c>
      <c r="F897" s="106" t="s">
        <v>2134</v>
      </c>
      <c r="G897" s="96">
        <v>466190.85</v>
      </c>
    </row>
    <row r="898" spans="1:7" x14ac:dyDescent="0.25">
      <c r="A898" s="2"/>
      <c r="B898" s="104"/>
      <c r="C898" s="114" t="s">
        <v>215</v>
      </c>
      <c r="D898" s="104" t="s">
        <v>774</v>
      </c>
      <c r="E898" s="105">
        <v>42810</v>
      </c>
      <c r="F898" s="106" t="s">
        <v>2518</v>
      </c>
      <c r="G898" s="96">
        <v>0.01</v>
      </c>
    </row>
    <row r="899" spans="1:7" x14ac:dyDescent="0.25">
      <c r="A899" s="2"/>
      <c r="B899" s="104"/>
      <c r="D899" s="104" t="s">
        <v>869</v>
      </c>
      <c r="E899" s="105">
        <v>42748</v>
      </c>
      <c r="F899" s="106" t="s">
        <v>2190</v>
      </c>
      <c r="G899" s="96">
        <v>696229.93</v>
      </c>
    </row>
    <row r="900" spans="1:7" x14ac:dyDescent="0.25">
      <c r="A900" s="104" t="s">
        <v>1525</v>
      </c>
      <c r="G900" s="96">
        <v>2136781.96</v>
      </c>
    </row>
    <row r="901" spans="1:7" x14ac:dyDescent="0.25">
      <c r="A901" s="104"/>
      <c r="G901" s="96"/>
    </row>
    <row r="902" spans="1:7" x14ac:dyDescent="0.25">
      <c r="A902" s="104" t="s">
        <v>466</v>
      </c>
      <c r="G902" s="96"/>
    </row>
    <row r="903" spans="1:7" ht="45" x14ac:dyDescent="0.25">
      <c r="A903" s="107" t="s">
        <v>467</v>
      </c>
      <c r="B903" s="107"/>
      <c r="C903" s="107"/>
      <c r="D903" s="107"/>
      <c r="E903" s="107"/>
      <c r="F903" s="107"/>
      <c r="G903" s="96"/>
    </row>
    <row r="904" spans="1:7" ht="30" x14ac:dyDescent="0.25">
      <c r="A904" s="115" t="s">
        <v>468</v>
      </c>
      <c r="B904" s="104" t="s">
        <v>1138</v>
      </c>
      <c r="C904" s="120">
        <v>1</v>
      </c>
      <c r="D904" s="120"/>
      <c r="E904" s="120"/>
      <c r="F904" s="120"/>
      <c r="G904" s="96"/>
    </row>
    <row r="905" spans="1:7" x14ac:dyDescent="0.25">
      <c r="A905" s="2"/>
      <c r="B905" s="104"/>
      <c r="C905" s="114" t="s">
        <v>23</v>
      </c>
      <c r="D905" s="104" t="s">
        <v>863</v>
      </c>
      <c r="E905" s="105">
        <v>42573</v>
      </c>
      <c r="F905" s="106"/>
      <c r="G905" s="96">
        <v>87871.79</v>
      </c>
    </row>
    <row r="906" spans="1:7" x14ac:dyDescent="0.25">
      <c r="A906" s="2"/>
      <c r="B906" s="104"/>
      <c r="C906" s="114" t="s">
        <v>103</v>
      </c>
      <c r="D906" s="104" t="s">
        <v>863</v>
      </c>
      <c r="E906" s="105">
        <v>42663</v>
      </c>
      <c r="F906" s="106" t="s">
        <v>1302</v>
      </c>
      <c r="G906" s="96">
        <v>74133.039999999994</v>
      </c>
    </row>
    <row r="907" spans="1:7" x14ac:dyDescent="0.25">
      <c r="A907" s="2"/>
      <c r="B907" s="104"/>
      <c r="C907" s="114" t="s">
        <v>221</v>
      </c>
      <c r="D907" s="104" t="s">
        <v>863</v>
      </c>
      <c r="E907" s="105">
        <v>42663</v>
      </c>
      <c r="F907" s="106" t="s">
        <v>1139</v>
      </c>
      <c r="G907" s="96">
        <v>162461.74</v>
      </c>
    </row>
    <row r="908" spans="1:7" x14ac:dyDescent="0.25">
      <c r="A908" s="2"/>
      <c r="B908" s="104"/>
      <c r="C908" s="114" t="s">
        <v>55</v>
      </c>
      <c r="D908" s="104" t="s">
        <v>863</v>
      </c>
      <c r="E908" s="105">
        <v>42697</v>
      </c>
      <c r="F908" s="106" t="s">
        <v>1139</v>
      </c>
      <c r="G908" s="96">
        <v>162461.74</v>
      </c>
    </row>
    <row r="909" spans="1:7" x14ac:dyDescent="0.25">
      <c r="A909" s="2"/>
      <c r="B909" s="104"/>
      <c r="C909" s="114" t="s">
        <v>215</v>
      </c>
      <c r="D909" s="104" t="s">
        <v>863</v>
      </c>
      <c r="E909" s="105">
        <v>42781</v>
      </c>
      <c r="F909" s="106" t="s">
        <v>1091</v>
      </c>
      <c r="G909" s="96">
        <v>157729.85999999999</v>
      </c>
    </row>
    <row r="910" spans="1:7" x14ac:dyDescent="0.25">
      <c r="A910" s="2"/>
      <c r="B910" s="104"/>
      <c r="C910" s="114" t="s">
        <v>15</v>
      </c>
      <c r="D910" s="104" t="s">
        <v>863</v>
      </c>
      <c r="E910" s="105">
        <v>42781</v>
      </c>
      <c r="F910" s="106" t="s">
        <v>1139</v>
      </c>
      <c r="G910" s="96">
        <v>162461.76000000001</v>
      </c>
    </row>
    <row r="911" spans="1:7" x14ac:dyDescent="0.25">
      <c r="A911" s="2"/>
      <c r="B911" s="104"/>
      <c r="C911" s="114" t="s">
        <v>214</v>
      </c>
      <c r="D911" s="104" t="s">
        <v>863</v>
      </c>
      <c r="E911" s="105">
        <v>42781</v>
      </c>
      <c r="F911" s="106" t="s">
        <v>1898</v>
      </c>
      <c r="G911" s="96">
        <v>67648.13</v>
      </c>
    </row>
    <row r="912" spans="1:7" x14ac:dyDescent="0.25">
      <c r="A912" s="104" t="s">
        <v>1140</v>
      </c>
      <c r="G912" s="96">
        <v>874768.06</v>
      </c>
    </row>
    <row r="913" spans="1:7" x14ac:dyDescent="0.25">
      <c r="A913" s="104"/>
      <c r="G913" s="96"/>
    </row>
    <row r="914" spans="1:7" x14ac:dyDescent="0.25">
      <c r="A914" s="104" t="s">
        <v>476</v>
      </c>
      <c r="G914" s="96"/>
    </row>
    <row r="915" spans="1:7" ht="60" x14ac:dyDescent="0.25">
      <c r="A915" s="107" t="s">
        <v>475</v>
      </c>
      <c r="B915" s="107"/>
      <c r="C915" s="107"/>
      <c r="D915" s="107"/>
      <c r="E915" s="107"/>
      <c r="F915" s="107"/>
      <c r="G915" s="96"/>
    </row>
    <row r="916" spans="1:7" x14ac:dyDescent="0.25">
      <c r="A916" s="115" t="s">
        <v>444</v>
      </c>
      <c r="B916" s="104" t="s">
        <v>1833</v>
      </c>
      <c r="C916" s="120">
        <v>1</v>
      </c>
      <c r="D916" s="120"/>
      <c r="E916" s="120"/>
      <c r="F916" s="120"/>
      <c r="G916" s="96"/>
    </row>
    <row r="917" spans="1:7" x14ac:dyDescent="0.25">
      <c r="A917" s="2"/>
      <c r="B917" s="104"/>
      <c r="C917" s="114" t="s">
        <v>103</v>
      </c>
      <c r="D917" s="104" t="s">
        <v>863</v>
      </c>
      <c r="E917" s="105">
        <v>42781</v>
      </c>
      <c r="F917" s="106" t="s">
        <v>1078</v>
      </c>
      <c r="G917" s="96">
        <v>109522.39</v>
      </c>
    </row>
    <row r="918" spans="1:7" x14ac:dyDescent="0.25">
      <c r="A918" s="2"/>
      <c r="B918" s="104"/>
      <c r="C918" s="114" t="s">
        <v>221</v>
      </c>
      <c r="D918" s="104" t="s">
        <v>863</v>
      </c>
      <c r="E918" s="105">
        <v>42781</v>
      </c>
      <c r="F918" s="106" t="s">
        <v>1078</v>
      </c>
      <c r="G918" s="96">
        <v>109522.39</v>
      </c>
    </row>
    <row r="919" spans="1:7" x14ac:dyDescent="0.25">
      <c r="A919" s="2"/>
      <c r="B919" s="104"/>
      <c r="C919" s="114" t="s">
        <v>55</v>
      </c>
      <c r="D919" s="104" t="s">
        <v>863</v>
      </c>
      <c r="E919" s="105">
        <v>42781</v>
      </c>
      <c r="F919" s="106" t="s">
        <v>1078</v>
      </c>
      <c r="G919" s="96">
        <v>109522.39</v>
      </c>
    </row>
    <row r="920" spans="1:7" x14ac:dyDescent="0.25">
      <c r="A920" s="2"/>
      <c r="B920" s="104"/>
      <c r="C920" s="114" t="s">
        <v>215</v>
      </c>
      <c r="D920" s="104" t="s">
        <v>863</v>
      </c>
      <c r="E920" s="105">
        <v>42781</v>
      </c>
      <c r="F920" s="106" t="s">
        <v>1078</v>
      </c>
      <c r="G920" s="96">
        <v>109522.39</v>
      </c>
    </row>
    <row r="921" spans="1:7" x14ac:dyDescent="0.25">
      <c r="A921" s="104" t="s">
        <v>1834</v>
      </c>
      <c r="G921" s="96">
        <v>438089.56</v>
      </c>
    </row>
    <row r="922" spans="1:7" x14ac:dyDescent="0.25">
      <c r="A922" s="104"/>
      <c r="G922" s="96"/>
    </row>
    <row r="923" spans="1:7" x14ac:dyDescent="0.25">
      <c r="A923" s="104" t="s">
        <v>809</v>
      </c>
      <c r="G923" s="96"/>
    </row>
    <row r="924" spans="1:7" ht="60" x14ac:dyDescent="0.25">
      <c r="A924" s="107" t="s">
        <v>810</v>
      </c>
      <c r="B924" s="107"/>
      <c r="C924" s="107"/>
      <c r="D924" s="107"/>
      <c r="E924" s="107"/>
      <c r="F924" s="107"/>
      <c r="G924" s="96"/>
    </row>
    <row r="925" spans="1:7" x14ac:dyDescent="0.25">
      <c r="A925" s="115" t="s">
        <v>418</v>
      </c>
      <c r="B925" s="104" t="s">
        <v>1141</v>
      </c>
      <c r="C925" s="120">
        <v>1</v>
      </c>
      <c r="D925" s="120"/>
      <c r="E925" s="120"/>
      <c r="F925" s="120"/>
      <c r="G925" s="96"/>
    </row>
    <row r="926" spans="1:7" x14ac:dyDescent="0.25">
      <c r="A926" s="2"/>
      <c r="B926" s="104"/>
      <c r="C926" s="114" t="s">
        <v>23</v>
      </c>
      <c r="D926" s="104" t="s">
        <v>863</v>
      </c>
      <c r="E926" s="105">
        <v>42622</v>
      </c>
      <c r="F926" s="106"/>
      <c r="G926" s="96">
        <v>79096.86</v>
      </c>
    </row>
    <row r="927" spans="1:7" x14ac:dyDescent="0.25">
      <c r="A927" s="2"/>
      <c r="B927" s="104"/>
      <c r="C927" s="114" t="s">
        <v>103</v>
      </c>
      <c r="D927" s="104" t="s">
        <v>2238</v>
      </c>
      <c r="E927" s="105">
        <v>42713</v>
      </c>
      <c r="F927" s="106" t="s">
        <v>1899</v>
      </c>
      <c r="G927" s="96">
        <v>173529.72</v>
      </c>
    </row>
    <row r="928" spans="1:7" x14ac:dyDescent="0.25">
      <c r="A928" s="2"/>
      <c r="B928" s="104"/>
      <c r="C928" s="114" t="s">
        <v>221</v>
      </c>
      <c r="D928" s="104" t="s">
        <v>2238</v>
      </c>
      <c r="E928" s="105">
        <v>42713</v>
      </c>
      <c r="F928" s="106" t="s">
        <v>1900</v>
      </c>
      <c r="G928" s="96">
        <v>244519.16</v>
      </c>
    </row>
    <row r="929" spans="1:7" x14ac:dyDescent="0.25">
      <c r="A929" s="2"/>
      <c r="B929" s="104"/>
      <c r="C929" s="114" t="s">
        <v>55</v>
      </c>
      <c r="D929" s="104" t="s">
        <v>2238</v>
      </c>
      <c r="E929" s="105">
        <v>42713</v>
      </c>
      <c r="F929" s="106" t="s">
        <v>1122</v>
      </c>
      <c r="G929" s="96">
        <v>236631.44</v>
      </c>
    </row>
    <row r="930" spans="1:7" x14ac:dyDescent="0.25">
      <c r="A930" s="2"/>
      <c r="B930" s="104"/>
      <c r="C930" s="114" t="s">
        <v>215</v>
      </c>
      <c r="D930" s="104" t="s">
        <v>2238</v>
      </c>
      <c r="E930" s="105">
        <v>42713</v>
      </c>
      <c r="F930" s="106" t="s">
        <v>1901</v>
      </c>
      <c r="G930" s="96">
        <v>49692.58</v>
      </c>
    </row>
    <row r="931" spans="1:7" x14ac:dyDescent="0.25">
      <c r="A931" s="2"/>
      <c r="B931" s="104"/>
      <c r="C931" s="114" t="s">
        <v>15</v>
      </c>
      <c r="D931" s="104" t="s">
        <v>2238</v>
      </c>
      <c r="E931" s="105">
        <v>42713</v>
      </c>
      <c r="F931" s="106" t="s">
        <v>1902</v>
      </c>
      <c r="G931" s="96">
        <v>5521.43</v>
      </c>
    </row>
    <row r="932" spans="1:7" x14ac:dyDescent="0.25">
      <c r="A932" s="104" t="s">
        <v>1142</v>
      </c>
      <c r="G932" s="96">
        <v>788991.19</v>
      </c>
    </row>
    <row r="933" spans="1:7" x14ac:dyDescent="0.25">
      <c r="A933" s="104"/>
      <c r="G933" s="96"/>
    </row>
    <row r="934" spans="1:7" x14ac:dyDescent="0.25">
      <c r="A934" s="104" t="s">
        <v>797</v>
      </c>
      <c r="G934" s="96"/>
    </row>
    <row r="935" spans="1:7" ht="75" x14ac:dyDescent="0.25">
      <c r="A935" s="107" t="s">
        <v>795</v>
      </c>
      <c r="B935" s="107"/>
      <c r="C935" s="107"/>
      <c r="D935" s="107"/>
      <c r="E935" s="107"/>
      <c r="F935" s="107"/>
      <c r="G935" s="96"/>
    </row>
    <row r="936" spans="1:7" x14ac:dyDescent="0.25">
      <c r="A936" s="115" t="s">
        <v>796</v>
      </c>
      <c r="B936" s="104" t="s">
        <v>1303</v>
      </c>
      <c r="C936" s="120">
        <v>1</v>
      </c>
      <c r="D936" s="120"/>
      <c r="E936" s="120"/>
      <c r="F936" s="120"/>
      <c r="G936" s="96"/>
    </row>
    <row r="937" spans="1:7" x14ac:dyDescent="0.25">
      <c r="A937" s="2"/>
      <c r="B937" s="104"/>
      <c r="C937" s="114" t="s">
        <v>103</v>
      </c>
      <c r="D937" s="104" t="s">
        <v>863</v>
      </c>
      <c r="E937" s="105">
        <v>42664</v>
      </c>
      <c r="F937" s="106" t="s">
        <v>1304</v>
      </c>
      <c r="G937" s="96">
        <v>35843.89</v>
      </c>
    </row>
    <row r="938" spans="1:7" x14ac:dyDescent="0.25">
      <c r="A938" s="2"/>
      <c r="B938" s="104"/>
      <c r="C938" s="114" t="s">
        <v>221</v>
      </c>
      <c r="D938" s="104" t="s">
        <v>863</v>
      </c>
      <c r="E938" s="105">
        <v>42664</v>
      </c>
      <c r="F938" s="106" t="s">
        <v>1305</v>
      </c>
      <c r="G938" s="96">
        <v>86943.83</v>
      </c>
    </row>
    <row r="939" spans="1:7" x14ac:dyDescent="0.25">
      <c r="A939" s="2"/>
      <c r="B939" s="104"/>
      <c r="C939" s="114" t="s">
        <v>55</v>
      </c>
      <c r="D939" s="104" t="s">
        <v>863</v>
      </c>
      <c r="E939" s="105">
        <v>42781</v>
      </c>
      <c r="F939" s="106" t="s">
        <v>1260</v>
      </c>
      <c r="G939" s="96">
        <v>92486.68</v>
      </c>
    </row>
    <row r="940" spans="1:7" x14ac:dyDescent="0.25">
      <c r="A940" s="2"/>
      <c r="B940" s="104"/>
      <c r="C940" s="114" t="s">
        <v>215</v>
      </c>
      <c r="D940" s="104" t="s">
        <v>863</v>
      </c>
      <c r="E940" s="105">
        <v>42781</v>
      </c>
      <c r="F940" s="106" t="s">
        <v>1855</v>
      </c>
      <c r="G940" s="96">
        <v>88791.44</v>
      </c>
    </row>
    <row r="941" spans="1:7" x14ac:dyDescent="0.25">
      <c r="A941" s="2"/>
      <c r="B941" s="104"/>
      <c r="C941" s="114" t="s">
        <v>15</v>
      </c>
      <c r="D941" s="104" t="s">
        <v>863</v>
      </c>
      <c r="E941" s="105">
        <v>42781</v>
      </c>
      <c r="F941" s="106" t="s">
        <v>1305</v>
      </c>
      <c r="G941" s="96">
        <v>86943.83</v>
      </c>
    </row>
    <row r="942" spans="1:7" x14ac:dyDescent="0.25">
      <c r="A942" s="2"/>
      <c r="B942" s="104"/>
      <c r="C942" s="114" t="s">
        <v>214</v>
      </c>
      <c r="D942" s="104" t="s">
        <v>863</v>
      </c>
      <c r="E942" s="105">
        <v>42781</v>
      </c>
      <c r="F942" s="106" t="s">
        <v>1855</v>
      </c>
      <c r="G942" s="96">
        <v>88791.44</v>
      </c>
    </row>
    <row r="943" spans="1:7" x14ac:dyDescent="0.25">
      <c r="A943" s="2"/>
      <c r="B943" s="104"/>
      <c r="C943" s="114" t="s">
        <v>218</v>
      </c>
      <c r="D943" s="104" t="s">
        <v>2238</v>
      </c>
      <c r="E943" s="105">
        <v>42734</v>
      </c>
      <c r="F943" s="106" t="s">
        <v>1856</v>
      </c>
      <c r="G943" s="96">
        <v>48090.97</v>
      </c>
    </row>
    <row r="944" spans="1:7" x14ac:dyDescent="0.25">
      <c r="A944" s="104" t="s">
        <v>1306</v>
      </c>
      <c r="G944" s="96">
        <v>527892.07999999996</v>
      </c>
    </row>
    <row r="945" spans="1:7" x14ac:dyDescent="0.25">
      <c r="A945" s="104"/>
      <c r="G945" s="96"/>
    </row>
    <row r="946" spans="1:7" x14ac:dyDescent="0.25">
      <c r="A946" s="104" t="s">
        <v>687</v>
      </c>
      <c r="G946" s="96"/>
    </row>
    <row r="947" spans="1:7" ht="60" x14ac:dyDescent="0.25">
      <c r="A947" s="107" t="s">
        <v>685</v>
      </c>
      <c r="B947" s="107"/>
      <c r="C947" s="107"/>
      <c r="D947" s="107"/>
      <c r="E947" s="107"/>
      <c r="F947" s="107"/>
      <c r="G947" s="96"/>
    </row>
    <row r="948" spans="1:7" x14ac:dyDescent="0.25">
      <c r="A948" s="115" t="s">
        <v>686</v>
      </c>
      <c r="B948" s="104" t="s">
        <v>1307</v>
      </c>
      <c r="C948" s="120">
        <v>0.49</v>
      </c>
      <c r="D948" s="120"/>
      <c r="E948" s="120"/>
      <c r="F948" s="120"/>
      <c r="G948" s="96"/>
    </row>
    <row r="949" spans="1:7" x14ac:dyDescent="0.25">
      <c r="A949" s="2"/>
      <c r="B949" s="104"/>
      <c r="C949" s="114" t="s">
        <v>23</v>
      </c>
      <c r="D949" s="104" t="s">
        <v>863</v>
      </c>
      <c r="E949" s="105">
        <v>42632</v>
      </c>
      <c r="F949" s="106"/>
      <c r="G949" s="96">
        <v>65999.679999999993</v>
      </c>
    </row>
    <row r="950" spans="1:7" x14ac:dyDescent="0.25">
      <c r="A950" s="2"/>
      <c r="B950" s="104"/>
      <c r="C950" s="114" t="s">
        <v>103</v>
      </c>
      <c r="D950" s="104" t="s">
        <v>2238</v>
      </c>
      <c r="E950" s="105">
        <v>42741</v>
      </c>
      <c r="F950" s="106" t="s">
        <v>1903</v>
      </c>
      <c r="G950" s="96">
        <v>39489.81</v>
      </c>
    </row>
    <row r="951" spans="1:7" x14ac:dyDescent="0.25">
      <c r="A951" s="2"/>
      <c r="B951" s="104"/>
      <c r="C951" s="114" t="s">
        <v>221</v>
      </c>
      <c r="D951" s="104" t="s">
        <v>2238</v>
      </c>
      <c r="E951" s="105">
        <v>42741</v>
      </c>
      <c r="F951" s="106" t="s">
        <v>1904</v>
      </c>
      <c r="G951" s="96">
        <v>97685.33</v>
      </c>
    </row>
    <row r="952" spans="1:7" x14ac:dyDescent="0.25">
      <c r="A952" s="2"/>
      <c r="B952" s="104"/>
      <c r="C952" s="114" t="s">
        <v>55</v>
      </c>
      <c r="D952" s="104" t="s">
        <v>2238</v>
      </c>
      <c r="E952" s="105">
        <v>42741</v>
      </c>
      <c r="F952" s="106" t="s">
        <v>1905</v>
      </c>
      <c r="G952" s="96">
        <v>103920.53</v>
      </c>
    </row>
    <row r="953" spans="1:7" x14ac:dyDescent="0.25">
      <c r="A953" s="2"/>
      <c r="B953" s="104"/>
      <c r="C953" s="114" t="s">
        <v>218</v>
      </c>
      <c r="D953" s="104" t="s">
        <v>2238</v>
      </c>
      <c r="E953" s="105">
        <v>42812</v>
      </c>
      <c r="F953" s="106" t="s">
        <v>2536</v>
      </c>
      <c r="G953" s="96">
        <v>50722.06</v>
      </c>
    </row>
    <row r="954" spans="1:7" x14ac:dyDescent="0.25">
      <c r="A954" s="104" t="s">
        <v>1308</v>
      </c>
      <c r="G954" s="96">
        <v>357817.41</v>
      </c>
    </row>
    <row r="955" spans="1:7" x14ac:dyDescent="0.25">
      <c r="A955" s="104"/>
      <c r="G955" s="96"/>
    </row>
    <row r="956" spans="1:7" x14ac:dyDescent="0.25">
      <c r="A956" s="104" t="s">
        <v>628</v>
      </c>
      <c r="G956" s="96"/>
    </row>
    <row r="957" spans="1:7" ht="45" x14ac:dyDescent="0.25">
      <c r="A957" s="107" t="s">
        <v>627</v>
      </c>
      <c r="B957" s="107"/>
      <c r="C957" s="107"/>
      <c r="D957" s="107"/>
      <c r="E957" s="107"/>
      <c r="F957" s="107"/>
      <c r="G957" s="96"/>
    </row>
    <row r="958" spans="1:7" x14ac:dyDescent="0.25">
      <c r="A958" s="115" t="s">
        <v>478</v>
      </c>
      <c r="B958" s="104" t="s">
        <v>1309</v>
      </c>
      <c r="C958" s="120">
        <v>1</v>
      </c>
      <c r="D958" s="120"/>
      <c r="E958" s="120"/>
      <c r="F958" s="120"/>
      <c r="G958" s="96"/>
    </row>
    <row r="959" spans="1:7" x14ac:dyDescent="0.25">
      <c r="A959" s="2"/>
      <c r="B959" s="104"/>
      <c r="C959" s="114" t="s">
        <v>103</v>
      </c>
      <c r="D959" s="104" t="s">
        <v>863</v>
      </c>
      <c r="E959" s="105">
        <v>42573</v>
      </c>
      <c r="F959" s="106" t="s">
        <v>1078</v>
      </c>
      <c r="G959" s="96">
        <v>61798.69</v>
      </c>
    </row>
    <row r="960" spans="1:7" x14ac:dyDescent="0.25">
      <c r="A960" s="2"/>
      <c r="B960" s="104"/>
      <c r="C960" s="114" t="s">
        <v>221</v>
      </c>
      <c r="D960" s="104" t="s">
        <v>863</v>
      </c>
      <c r="E960" s="105">
        <v>42605</v>
      </c>
      <c r="F960" s="106" t="s">
        <v>1078</v>
      </c>
      <c r="G960" s="96">
        <v>61798.69</v>
      </c>
    </row>
    <row r="961" spans="1:7" x14ac:dyDescent="0.25">
      <c r="A961" s="2"/>
      <c r="B961" s="104"/>
      <c r="C961" s="114" t="s">
        <v>55</v>
      </c>
      <c r="D961" s="104" t="s">
        <v>863</v>
      </c>
      <c r="E961" s="105">
        <v>42660</v>
      </c>
      <c r="F961" s="106" t="s">
        <v>1078</v>
      </c>
      <c r="G961" s="96">
        <v>61798.69</v>
      </c>
    </row>
    <row r="962" spans="1:7" x14ac:dyDescent="0.25">
      <c r="A962" s="2"/>
      <c r="B962" s="104"/>
      <c r="C962" s="114" t="s">
        <v>215</v>
      </c>
      <c r="D962" s="104" t="s">
        <v>863</v>
      </c>
      <c r="E962" s="105">
        <v>42713</v>
      </c>
      <c r="F962" s="106" t="s">
        <v>1078</v>
      </c>
      <c r="G962" s="96">
        <v>61798.69</v>
      </c>
    </row>
    <row r="963" spans="1:7" x14ac:dyDescent="0.25">
      <c r="A963" s="104" t="s">
        <v>1310</v>
      </c>
      <c r="G963" s="96">
        <v>247194.76</v>
      </c>
    </row>
    <row r="964" spans="1:7" x14ac:dyDescent="0.25">
      <c r="A964" s="104"/>
      <c r="G964" s="96"/>
    </row>
    <row r="965" spans="1:7" x14ac:dyDescent="0.25">
      <c r="A965" s="104" t="s">
        <v>471</v>
      </c>
      <c r="G965" s="96"/>
    </row>
    <row r="966" spans="1:7" ht="60" x14ac:dyDescent="0.25">
      <c r="A966" s="107" t="s">
        <v>472</v>
      </c>
      <c r="B966" s="107"/>
      <c r="C966" s="107"/>
      <c r="D966" s="107"/>
      <c r="E966" s="107"/>
      <c r="F966" s="107"/>
      <c r="G966" s="96"/>
    </row>
    <row r="967" spans="1:7" x14ac:dyDescent="0.25">
      <c r="A967" s="115" t="s">
        <v>478</v>
      </c>
      <c r="B967" s="104" t="s">
        <v>1143</v>
      </c>
      <c r="C967" s="120">
        <v>1</v>
      </c>
      <c r="D967" s="120"/>
      <c r="E967" s="120"/>
      <c r="F967" s="120"/>
      <c r="G967" s="96"/>
    </row>
    <row r="968" spans="1:7" x14ac:dyDescent="0.25">
      <c r="A968" s="2"/>
      <c r="B968" s="104"/>
      <c r="C968" s="114" t="s">
        <v>103</v>
      </c>
      <c r="D968" s="104" t="s">
        <v>863</v>
      </c>
      <c r="E968" s="105">
        <v>42605</v>
      </c>
      <c r="F968" s="106" t="s">
        <v>1311</v>
      </c>
      <c r="G968" s="96">
        <v>20765.09</v>
      </c>
    </row>
    <row r="969" spans="1:7" x14ac:dyDescent="0.25">
      <c r="A969" s="2"/>
      <c r="B969" s="104"/>
      <c r="C969" s="114" t="s">
        <v>221</v>
      </c>
      <c r="D969" s="104" t="s">
        <v>863</v>
      </c>
      <c r="E969" s="105">
        <v>42671</v>
      </c>
      <c r="F969" s="106" t="s">
        <v>1320</v>
      </c>
      <c r="G969" s="96">
        <v>28316.01</v>
      </c>
    </row>
    <row r="970" spans="1:7" x14ac:dyDescent="0.25">
      <c r="A970" s="2"/>
      <c r="B970" s="104"/>
      <c r="C970" s="114" t="s">
        <v>55</v>
      </c>
      <c r="D970" s="104" t="s">
        <v>863</v>
      </c>
      <c r="E970" s="105">
        <v>42678</v>
      </c>
      <c r="F970" s="106" t="s">
        <v>1684</v>
      </c>
      <c r="G970" s="96">
        <v>21708.98</v>
      </c>
    </row>
    <row r="971" spans="1:7" x14ac:dyDescent="0.25">
      <c r="A971" s="104" t="s">
        <v>1144</v>
      </c>
      <c r="G971" s="96">
        <v>70790.080000000002</v>
      </c>
    </row>
    <row r="972" spans="1:7" x14ac:dyDescent="0.25">
      <c r="A972" s="104"/>
      <c r="G972" s="96"/>
    </row>
    <row r="973" spans="1:7" x14ac:dyDescent="0.25">
      <c r="A973" s="104" t="s">
        <v>495</v>
      </c>
      <c r="G973" s="96"/>
    </row>
    <row r="974" spans="1:7" ht="45" x14ac:dyDescent="0.25">
      <c r="A974" s="107" t="s">
        <v>493</v>
      </c>
      <c r="B974" s="107"/>
      <c r="C974" s="107"/>
      <c r="D974" s="107"/>
      <c r="E974" s="107"/>
      <c r="F974" s="107"/>
      <c r="G974" s="96"/>
    </row>
    <row r="975" spans="1:7" x14ac:dyDescent="0.25">
      <c r="A975" s="115" t="s">
        <v>494</v>
      </c>
      <c r="B975" s="104" t="s">
        <v>1145</v>
      </c>
      <c r="C975" s="120">
        <v>0.71</v>
      </c>
      <c r="D975" s="120"/>
      <c r="E975" s="120"/>
      <c r="F975" s="120"/>
      <c r="G975" s="96"/>
    </row>
    <row r="976" spans="1:7" x14ac:dyDescent="0.25">
      <c r="A976" s="2"/>
      <c r="B976" s="104"/>
      <c r="C976" s="114" t="s">
        <v>23</v>
      </c>
      <c r="D976" s="104" t="s">
        <v>863</v>
      </c>
      <c r="E976" s="105">
        <v>42632</v>
      </c>
      <c r="F976" s="106"/>
      <c r="G976" s="96">
        <v>458563.76</v>
      </c>
    </row>
    <row r="977" spans="1:7" x14ac:dyDescent="0.25">
      <c r="A977" s="2"/>
      <c r="B977" s="104"/>
      <c r="C977" s="114" t="s">
        <v>103</v>
      </c>
      <c r="D977" s="104" t="s">
        <v>863</v>
      </c>
      <c r="E977" s="105">
        <v>42781</v>
      </c>
      <c r="F977" s="106" t="s">
        <v>1146</v>
      </c>
      <c r="G977" s="96">
        <v>322792.92</v>
      </c>
    </row>
    <row r="978" spans="1:7" x14ac:dyDescent="0.25">
      <c r="A978" s="2"/>
      <c r="B978" s="104"/>
      <c r="C978" s="114" t="s">
        <v>221</v>
      </c>
      <c r="D978" s="104" t="s">
        <v>863</v>
      </c>
      <c r="E978" s="105">
        <v>42781</v>
      </c>
      <c r="F978" s="106" t="s">
        <v>1147</v>
      </c>
      <c r="G978" s="96">
        <v>632136.15</v>
      </c>
    </row>
    <row r="979" spans="1:7" x14ac:dyDescent="0.25">
      <c r="A979" s="2"/>
      <c r="B979" s="104"/>
      <c r="C979" s="114" t="s">
        <v>55</v>
      </c>
      <c r="D979" s="104" t="s">
        <v>863</v>
      </c>
      <c r="E979" s="105">
        <v>42781</v>
      </c>
      <c r="F979" s="106" t="s">
        <v>1148</v>
      </c>
      <c r="G979" s="96">
        <v>672485.24</v>
      </c>
    </row>
    <row r="980" spans="1:7" x14ac:dyDescent="0.25">
      <c r="A980" s="2"/>
      <c r="B980" s="104"/>
      <c r="C980" s="114" t="s">
        <v>215</v>
      </c>
      <c r="D980" s="104" t="s">
        <v>863</v>
      </c>
      <c r="E980" s="105">
        <v>42781</v>
      </c>
      <c r="F980" s="106" t="s">
        <v>1149</v>
      </c>
      <c r="G980" s="96">
        <v>645585.84</v>
      </c>
    </row>
    <row r="981" spans="1:7" x14ac:dyDescent="0.25">
      <c r="A981" s="2"/>
      <c r="B981" s="104"/>
      <c r="C981" s="114" t="s">
        <v>15</v>
      </c>
      <c r="D981" s="104" t="s">
        <v>863</v>
      </c>
      <c r="E981" s="105">
        <v>42781</v>
      </c>
      <c r="F981" s="106" t="s">
        <v>1147</v>
      </c>
      <c r="G981" s="96">
        <v>632136.15</v>
      </c>
    </row>
    <row r="982" spans="1:7" x14ac:dyDescent="0.25">
      <c r="A982" s="104" t="s">
        <v>1150</v>
      </c>
      <c r="G982" s="96">
        <v>3363700.06</v>
      </c>
    </row>
    <row r="983" spans="1:7" x14ac:dyDescent="0.25">
      <c r="A983" s="104"/>
      <c r="G983" s="96"/>
    </row>
    <row r="984" spans="1:7" x14ac:dyDescent="0.25">
      <c r="A984" s="104" t="s">
        <v>499</v>
      </c>
      <c r="G984" s="96"/>
    </row>
    <row r="985" spans="1:7" ht="60" x14ac:dyDescent="0.25">
      <c r="A985" s="107" t="s">
        <v>498</v>
      </c>
      <c r="B985" s="107"/>
      <c r="C985" s="107"/>
      <c r="D985" s="107"/>
      <c r="E985" s="107"/>
      <c r="F985" s="107"/>
      <c r="G985" s="96"/>
    </row>
    <row r="986" spans="1:7" x14ac:dyDescent="0.25">
      <c r="A986" s="115" t="s">
        <v>494</v>
      </c>
      <c r="B986" s="104" t="s">
        <v>1151</v>
      </c>
      <c r="C986" s="120">
        <v>0.92</v>
      </c>
      <c r="D986" s="120"/>
      <c r="E986" s="120"/>
      <c r="F986" s="120"/>
      <c r="G986" s="96"/>
    </row>
    <row r="987" spans="1:7" x14ac:dyDescent="0.25">
      <c r="A987" s="2"/>
      <c r="B987" s="104"/>
      <c r="C987" s="114" t="s">
        <v>23</v>
      </c>
      <c r="D987" s="104" t="s">
        <v>863</v>
      </c>
      <c r="E987" s="105">
        <v>42632</v>
      </c>
      <c r="F987" s="106"/>
      <c r="G987" s="96">
        <v>270674.14</v>
      </c>
    </row>
    <row r="988" spans="1:7" x14ac:dyDescent="0.25">
      <c r="A988" s="2"/>
      <c r="B988" s="104"/>
      <c r="C988" s="114" t="s">
        <v>103</v>
      </c>
      <c r="D988" s="104" t="s">
        <v>863</v>
      </c>
      <c r="E988" s="105">
        <v>42705</v>
      </c>
      <c r="F988" s="106" t="s">
        <v>1155</v>
      </c>
      <c r="G988" s="96">
        <v>247047.48</v>
      </c>
    </row>
    <row r="989" spans="1:7" x14ac:dyDescent="0.25">
      <c r="A989" s="2"/>
      <c r="B989" s="104"/>
      <c r="C989" s="114" t="s">
        <v>221</v>
      </c>
      <c r="D989" s="104" t="s">
        <v>863</v>
      </c>
      <c r="E989" s="105">
        <v>42705</v>
      </c>
      <c r="F989" s="106" t="s">
        <v>1152</v>
      </c>
      <c r="G989" s="96">
        <v>483801.35</v>
      </c>
    </row>
    <row r="990" spans="1:7" x14ac:dyDescent="0.25">
      <c r="A990" s="2"/>
      <c r="B990" s="104"/>
      <c r="C990" s="114" t="s">
        <v>55</v>
      </c>
      <c r="D990" s="104" t="s">
        <v>863</v>
      </c>
      <c r="E990" s="105">
        <v>42705</v>
      </c>
      <c r="F990" s="106" t="s">
        <v>1153</v>
      </c>
      <c r="G990" s="96">
        <v>514682.27</v>
      </c>
    </row>
    <row r="991" spans="1:7" x14ac:dyDescent="0.25">
      <c r="A991" s="2"/>
      <c r="B991" s="104"/>
      <c r="C991" s="114" t="s">
        <v>215</v>
      </c>
      <c r="D991" s="104" t="s">
        <v>863</v>
      </c>
      <c r="E991" s="105">
        <v>42781</v>
      </c>
      <c r="F991" s="106" t="s">
        <v>1154</v>
      </c>
      <c r="G991" s="96">
        <v>494094.99</v>
      </c>
    </row>
    <row r="992" spans="1:7" x14ac:dyDescent="0.25">
      <c r="A992" s="2"/>
      <c r="B992" s="104"/>
      <c r="C992" s="114" t="s">
        <v>15</v>
      </c>
      <c r="D992" s="104" t="s">
        <v>863</v>
      </c>
      <c r="E992" s="105">
        <v>42781</v>
      </c>
      <c r="F992" s="106" t="s">
        <v>1152</v>
      </c>
      <c r="G992" s="96">
        <v>483801.35</v>
      </c>
    </row>
    <row r="993" spans="1:7" x14ac:dyDescent="0.25">
      <c r="A993" s="104" t="s">
        <v>1156</v>
      </c>
      <c r="G993" s="96">
        <v>2494101.58</v>
      </c>
    </row>
    <row r="994" spans="1:7" x14ac:dyDescent="0.25">
      <c r="A994" s="104"/>
      <c r="G994" s="96"/>
    </row>
    <row r="995" spans="1:7" x14ac:dyDescent="0.25">
      <c r="A995" s="104" t="s">
        <v>732</v>
      </c>
      <c r="G995" s="96"/>
    </row>
    <row r="996" spans="1:7" ht="60" x14ac:dyDescent="0.25">
      <c r="A996" s="107" t="s">
        <v>733</v>
      </c>
      <c r="B996" s="107"/>
      <c r="C996" s="107"/>
      <c r="D996" s="107"/>
      <c r="E996" s="107"/>
      <c r="F996" s="107"/>
      <c r="G996" s="96"/>
    </row>
    <row r="997" spans="1:7" x14ac:dyDescent="0.25">
      <c r="A997" s="115" t="s">
        <v>734</v>
      </c>
      <c r="B997" s="104" t="s">
        <v>1157</v>
      </c>
      <c r="C997" s="120">
        <v>0.93</v>
      </c>
      <c r="D997" s="120"/>
      <c r="E997" s="120"/>
      <c r="F997" s="120"/>
      <c r="G997" s="96"/>
    </row>
    <row r="998" spans="1:7" x14ac:dyDescent="0.25">
      <c r="A998" s="2"/>
      <c r="B998" s="104"/>
      <c r="C998" s="114" t="s">
        <v>103</v>
      </c>
      <c r="D998" s="104" t="s">
        <v>863</v>
      </c>
      <c r="E998" s="105">
        <v>42632</v>
      </c>
      <c r="F998" s="106" t="s">
        <v>1158</v>
      </c>
      <c r="G998" s="96">
        <v>201392.2</v>
      </c>
    </row>
    <row r="999" spans="1:7" x14ac:dyDescent="0.25">
      <c r="A999" s="2"/>
      <c r="B999" s="104"/>
      <c r="C999" s="114" t="s">
        <v>221</v>
      </c>
      <c r="D999" s="104" t="s">
        <v>863</v>
      </c>
      <c r="E999" s="105">
        <v>42632</v>
      </c>
      <c r="F999" s="106" t="s">
        <v>1312</v>
      </c>
      <c r="G999" s="96">
        <v>185900.53</v>
      </c>
    </row>
    <row r="1000" spans="1:7" x14ac:dyDescent="0.25">
      <c r="A1000" s="2"/>
      <c r="B1000" s="104"/>
      <c r="C1000" s="114" t="s">
        <v>55</v>
      </c>
      <c r="D1000" s="104" t="s">
        <v>863</v>
      </c>
      <c r="E1000" s="105">
        <v>42671</v>
      </c>
      <c r="F1000" s="106" t="s">
        <v>1321</v>
      </c>
      <c r="G1000" s="96">
        <v>193646.4</v>
      </c>
    </row>
    <row r="1001" spans="1:7" x14ac:dyDescent="0.25">
      <c r="A1001" s="2"/>
      <c r="B1001" s="104"/>
      <c r="C1001" s="114" t="s">
        <v>215</v>
      </c>
      <c r="D1001" s="104" t="s">
        <v>863</v>
      </c>
      <c r="E1001" s="105">
        <v>42697</v>
      </c>
      <c r="F1001" s="106" t="s">
        <v>1158</v>
      </c>
      <c r="G1001" s="96">
        <v>201392.23</v>
      </c>
    </row>
    <row r="1002" spans="1:7" x14ac:dyDescent="0.25">
      <c r="A1002" s="2"/>
      <c r="B1002" s="104"/>
      <c r="C1002" s="114" t="s">
        <v>15</v>
      </c>
      <c r="D1002" s="104" t="s">
        <v>863</v>
      </c>
      <c r="E1002" s="105">
        <v>42697</v>
      </c>
      <c r="F1002" s="106" t="s">
        <v>1159</v>
      </c>
      <c r="G1002" s="96">
        <v>216883.94</v>
      </c>
    </row>
    <row r="1003" spans="1:7" x14ac:dyDescent="0.25">
      <c r="A1003" s="2"/>
      <c r="B1003" s="104"/>
      <c r="C1003" s="114" t="s">
        <v>214</v>
      </c>
      <c r="D1003" s="104" t="s">
        <v>863</v>
      </c>
      <c r="E1003" s="105">
        <v>42781</v>
      </c>
      <c r="F1003" s="106" t="s">
        <v>1160</v>
      </c>
      <c r="G1003" s="96">
        <v>197519.31</v>
      </c>
    </row>
    <row r="1004" spans="1:7" x14ac:dyDescent="0.25">
      <c r="A1004" s="2"/>
      <c r="B1004" s="104"/>
      <c r="C1004" s="114" t="s">
        <v>218</v>
      </c>
      <c r="D1004" s="104" t="s">
        <v>863</v>
      </c>
      <c r="E1004" s="105">
        <v>42781</v>
      </c>
      <c r="F1004" s="106" t="s">
        <v>1158</v>
      </c>
      <c r="G1004" s="96">
        <v>201392.23</v>
      </c>
    </row>
    <row r="1005" spans="1:7" x14ac:dyDescent="0.25">
      <c r="A1005" s="2"/>
      <c r="B1005" s="104"/>
      <c r="C1005" s="114" t="s">
        <v>220</v>
      </c>
      <c r="D1005" s="104" t="s">
        <v>863</v>
      </c>
      <c r="E1005" s="105">
        <v>42781</v>
      </c>
      <c r="F1005" s="106" t="s">
        <v>1569</v>
      </c>
      <c r="G1005" s="96">
        <v>189773.44</v>
      </c>
    </row>
    <row r="1006" spans="1:7" x14ac:dyDescent="0.25">
      <c r="A1006" s="2"/>
      <c r="B1006" s="104"/>
      <c r="C1006" s="114" t="s">
        <v>748</v>
      </c>
      <c r="D1006" s="104" t="s">
        <v>2238</v>
      </c>
      <c r="E1006" s="105">
        <v>42745</v>
      </c>
      <c r="F1006" s="106" t="s">
        <v>2080</v>
      </c>
      <c r="G1006" s="96">
        <v>364055.18</v>
      </c>
    </row>
    <row r="1007" spans="1:7" x14ac:dyDescent="0.25">
      <c r="A1007" s="2"/>
      <c r="B1007" s="104"/>
      <c r="C1007" s="114" t="s">
        <v>249</v>
      </c>
      <c r="D1007" s="104" t="s">
        <v>2238</v>
      </c>
      <c r="E1007" s="105">
        <v>42745</v>
      </c>
      <c r="F1007" s="106" t="s">
        <v>1158</v>
      </c>
      <c r="G1007" s="96">
        <v>201392.23</v>
      </c>
    </row>
    <row r="1008" spans="1:7" x14ac:dyDescent="0.25">
      <c r="A1008" s="104" t="s">
        <v>1161</v>
      </c>
      <c r="G1008" s="96">
        <v>2153347.69</v>
      </c>
    </row>
    <row r="1009" spans="1:7" x14ac:dyDescent="0.25">
      <c r="A1009" s="104"/>
      <c r="G1009" s="96"/>
    </row>
    <row r="1010" spans="1:7" x14ac:dyDescent="0.25">
      <c r="A1010" s="104" t="s">
        <v>749</v>
      </c>
      <c r="G1010" s="96"/>
    </row>
    <row r="1011" spans="1:7" ht="60" x14ac:dyDescent="0.25">
      <c r="A1011" s="107" t="s">
        <v>750</v>
      </c>
      <c r="B1011" s="107"/>
      <c r="C1011" s="107"/>
      <c r="D1011" s="107"/>
      <c r="E1011" s="107"/>
      <c r="F1011" s="107"/>
      <c r="G1011" s="96"/>
    </row>
    <row r="1012" spans="1:7" x14ac:dyDescent="0.25">
      <c r="A1012" s="115" t="s">
        <v>734</v>
      </c>
      <c r="B1012" s="104" t="s">
        <v>1162</v>
      </c>
      <c r="C1012" s="120">
        <v>0.78</v>
      </c>
      <c r="D1012" s="120"/>
      <c r="E1012" s="120"/>
      <c r="F1012" s="120"/>
      <c r="G1012" s="96"/>
    </row>
    <row r="1013" spans="1:7" x14ac:dyDescent="0.25">
      <c r="A1013" s="2"/>
      <c r="B1013" s="104"/>
      <c r="C1013" s="114" t="s">
        <v>103</v>
      </c>
      <c r="D1013" s="104" t="s">
        <v>863</v>
      </c>
      <c r="E1013" s="105">
        <v>42671</v>
      </c>
      <c r="F1013" s="106" t="s">
        <v>1158</v>
      </c>
      <c r="G1013" s="96">
        <v>202820.98</v>
      </c>
    </row>
    <row r="1014" spans="1:7" x14ac:dyDescent="0.25">
      <c r="A1014" s="2"/>
      <c r="B1014" s="104"/>
      <c r="C1014" s="114" t="s">
        <v>221</v>
      </c>
      <c r="D1014" s="104" t="s">
        <v>863</v>
      </c>
      <c r="E1014" s="105">
        <v>42664</v>
      </c>
      <c r="F1014" s="106" t="s">
        <v>1101</v>
      </c>
      <c r="G1014" s="96">
        <v>390040.37</v>
      </c>
    </row>
    <row r="1015" spans="1:7" x14ac:dyDescent="0.25">
      <c r="A1015" s="2"/>
      <c r="B1015" s="104"/>
      <c r="C1015" s="114" t="s">
        <v>55</v>
      </c>
      <c r="D1015" s="104" t="s">
        <v>863</v>
      </c>
      <c r="E1015" s="105">
        <v>42781</v>
      </c>
      <c r="F1015" s="106" t="s">
        <v>1020</v>
      </c>
      <c r="G1015" s="96">
        <v>389964.66</v>
      </c>
    </row>
    <row r="1016" spans="1:7" x14ac:dyDescent="0.25">
      <c r="A1016" s="2"/>
      <c r="B1016" s="104"/>
      <c r="C1016" s="114" t="s">
        <v>215</v>
      </c>
      <c r="D1016" s="104" t="s">
        <v>863</v>
      </c>
      <c r="E1016" s="105">
        <v>42781</v>
      </c>
      <c r="F1016" s="106" t="s">
        <v>1020</v>
      </c>
      <c r="G1016" s="96">
        <v>389859.14</v>
      </c>
    </row>
    <row r="1017" spans="1:7" x14ac:dyDescent="0.25">
      <c r="A1017" s="2"/>
      <c r="B1017" s="104"/>
      <c r="C1017" s="114" t="s">
        <v>15</v>
      </c>
      <c r="D1017" s="104" t="s">
        <v>863</v>
      </c>
      <c r="E1017" s="105">
        <v>42781</v>
      </c>
      <c r="F1017" s="106" t="s">
        <v>1906</v>
      </c>
      <c r="G1017" s="96">
        <v>84531.54</v>
      </c>
    </row>
    <row r="1018" spans="1:7" x14ac:dyDescent="0.25">
      <c r="A1018" s="2"/>
      <c r="B1018" s="104"/>
      <c r="C1018" s="114" t="s">
        <v>214</v>
      </c>
      <c r="D1018" s="104" t="s">
        <v>863</v>
      </c>
      <c r="E1018" s="105">
        <v>42781</v>
      </c>
      <c r="F1018" s="106" t="s">
        <v>1947</v>
      </c>
      <c r="G1018" s="96">
        <v>374640.03</v>
      </c>
    </row>
    <row r="1019" spans="1:7" x14ac:dyDescent="0.25">
      <c r="A1019" s="104" t="s">
        <v>1163</v>
      </c>
      <c r="G1019" s="96">
        <v>1831856.72</v>
      </c>
    </row>
    <row r="1020" spans="1:7" x14ac:dyDescent="0.25">
      <c r="A1020" s="104"/>
      <c r="G1020" s="96"/>
    </row>
    <row r="1021" spans="1:7" x14ac:dyDescent="0.25">
      <c r="A1021" s="104" t="s">
        <v>678</v>
      </c>
      <c r="G1021" s="96"/>
    </row>
    <row r="1022" spans="1:7" ht="45" x14ac:dyDescent="0.25">
      <c r="A1022" s="107" t="s">
        <v>677</v>
      </c>
      <c r="B1022" s="107"/>
      <c r="C1022" s="107"/>
      <c r="D1022" s="107"/>
      <c r="E1022" s="107"/>
      <c r="F1022" s="107"/>
      <c r="G1022" s="96"/>
    </row>
    <row r="1023" spans="1:7" x14ac:dyDescent="0.25">
      <c r="A1023" s="115" t="s">
        <v>679</v>
      </c>
      <c r="B1023" s="104" t="s">
        <v>1164</v>
      </c>
      <c r="C1023" s="120">
        <v>1.06</v>
      </c>
      <c r="D1023" s="120"/>
      <c r="E1023" s="120"/>
      <c r="F1023" s="120"/>
      <c r="G1023" s="96"/>
    </row>
    <row r="1024" spans="1:7" x14ac:dyDescent="0.25">
      <c r="A1024" s="2"/>
      <c r="B1024" s="104"/>
      <c r="C1024" s="114" t="s">
        <v>23</v>
      </c>
      <c r="D1024" s="104" t="s">
        <v>863</v>
      </c>
      <c r="E1024" s="105">
        <v>42627</v>
      </c>
      <c r="F1024" s="106"/>
      <c r="G1024" s="96">
        <v>136944.74</v>
      </c>
    </row>
    <row r="1025" spans="1:7" x14ac:dyDescent="0.25">
      <c r="A1025" s="2"/>
      <c r="B1025" s="104"/>
      <c r="C1025" s="114" t="s">
        <v>103</v>
      </c>
      <c r="D1025" s="104" t="s">
        <v>863</v>
      </c>
      <c r="E1025" s="105">
        <v>42664</v>
      </c>
      <c r="F1025" s="106" t="s">
        <v>1313</v>
      </c>
      <c r="G1025" s="96">
        <v>56659.56</v>
      </c>
    </row>
    <row r="1026" spans="1:7" x14ac:dyDescent="0.25">
      <c r="A1026" s="2"/>
      <c r="B1026" s="104"/>
      <c r="C1026" s="114" t="s">
        <v>221</v>
      </c>
      <c r="D1026" s="104" t="s">
        <v>863</v>
      </c>
      <c r="E1026" s="105">
        <v>42671</v>
      </c>
      <c r="F1026" s="106" t="s">
        <v>1101</v>
      </c>
      <c r="G1026" s="96">
        <v>204846.51</v>
      </c>
    </row>
    <row r="1027" spans="1:7" x14ac:dyDescent="0.25">
      <c r="A1027" s="2"/>
      <c r="B1027" s="104"/>
      <c r="C1027" s="114" t="s">
        <v>55</v>
      </c>
      <c r="D1027" s="104" t="s">
        <v>863</v>
      </c>
      <c r="E1027" s="105">
        <v>42697</v>
      </c>
      <c r="F1027" s="106" t="s">
        <v>1716</v>
      </c>
      <c r="G1027" s="96">
        <v>217921.82</v>
      </c>
    </row>
    <row r="1028" spans="1:7" x14ac:dyDescent="0.25">
      <c r="A1028" s="2"/>
      <c r="B1028" s="104"/>
      <c r="C1028" s="114" t="s">
        <v>215</v>
      </c>
      <c r="D1028" s="104" t="s">
        <v>863</v>
      </c>
      <c r="E1028" s="105">
        <v>42781</v>
      </c>
      <c r="F1028" s="106" t="s">
        <v>1098</v>
      </c>
      <c r="G1028" s="96">
        <v>209204.96</v>
      </c>
    </row>
    <row r="1029" spans="1:7" x14ac:dyDescent="0.25">
      <c r="A1029" s="2"/>
      <c r="B1029" s="104"/>
      <c r="C1029" s="114" t="s">
        <v>15</v>
      </c>
      <c r="D1029" s="104" t="s">
        <v>863</v>
      </c>
      <c r="E1029" s="105">
        <v>42781</v>
      </c>
      <c r="F1029" s="106" t="s">
        <v>1101</v>
      </c>
      <c r="G1029" s="96">
        <v>204846.51</v>
      </c>
    </row>
    <row r="1030" spans="1:7" x14ac:dyDescent="0.25">
      <c r="A1030" s="2"/>
      <c r="B1030" s="104"/>
      <c r="C1030" s="114" t="s">
        <v>214</v>
      </c>
      <c r="D1030" s="104" t="s">
        <v>863</v>
      </c>
      <c r="E1030" s="105">
        <v>42781</v>
      </c>
      <c r="F1030" s="106" t="s">
        <v>1098</v>
      </c>
      <c r="G1030" s="96">
        <v>209204.96</v>
      </c>
    </row>
    <row r="1031" spans="1:7" x14ac:dyDescent="0.25">
      <c r="A1031" s="2"/>
      <c r="B1031" s="104"/>
      <c r="C1031" s="114" t="s">
        <v>218</v>
      </c>
      <c r="D1031" s="104" t="s">
        <v>2238</v>
      </c>
      <c r="E1031" s="105">
        <v>42812</v>
      </c>
      <c r="F1031" s="106" t="s">
        <v>1101</v>
      </c>
      <c r="G1031" s="96">
        <v>213587.66</v>
      </c>
    </row>
    <row r="1032" spans="1:7" x14ac:dyDescent="0.25">
      <c r="A1032" s="104" t="s">
        <v>1165</v>
      </c>
      <c r="G1032" s="96">
        <v>1453216.72</v>
      </c>
    </row>
    <row r="1033" spans="1:7" x14ac:dyDescent="0.25">
      <c r="A1033" s="104"/>
      <c r="G1033" s="96"/>
    </row>
    <row r="1034" spans="1:7" x14ac:dyDescent="0.25">
      <c r="A1034" s="104" t="s">
        <v>633</v>
      </c>
      <c r="G1034" s="96"/>
    </row>
    <row r="1035" spans="1:7" ht="45" x14ac:dyDescent="0.25">
      <c r="A1035" s="107" t="s">
        <v>630</v>
      </c>
      <c r="B1035" s="107"/>
      <c r="C1035" s="107"/>
      <c r="D1035" s="107"/>
      <c r="E1035" s="107"/>
      <c r="F1035" s="107"/>
      <c r="G1035" s="96"/>
    </row>
    <row r="1036" spans="1:7" ht="30" x14ac:dyDescent="0.25">
      <c r="A1036" s="115" t="s">
        <v>632</v>
      </c>
      <c r="B1036" s="104" t="s">
        <v>1166</v>
      </c>
      <c r="C1036" s="120">
        <v>0.65</v>
      </c>
      <c r="D1036" s="120"/>
      <c r="E1036" s="120"/>
      <c r="F1036" s="120"/>
      <c r="G1036" s="96"/>
    </row>
    <row r="1037" spans="1:7" x14ac:dyDescent="0.25">
      <c r="A1037" s="2"/>
      <c r="B1037" s="104"/>
      <c r="C1037" s="114" t="s">
        <v>23</v>
      </c>
      <c r="D1037" s="104" t="s">
        <v>863</v>
      </c>
      <c r="E1037" s="105">
        <v>42632</v>
      </c>
      <c r="F1037" s="106"/>
      <c r="G1037" s="96">
        <v>3508741.67</v>
      </c>
    </row>
    <row r="1038" spans="1:7" x14ac:dyDescent="0.25">
      <c r="A1038" s="2"/>
      <c r="B1038" s="104"/>
      <c r="C1038" s="114" t="s">
        <v>103</v>
      </c>
      <c r="D1038" s="104" t="s">
        <v>863</v>
      </c>
      <c r="E1038" s="105">
        <v>42712</v>
      </c>
      <c r="F1038" s="106" t="s">
        <v>1756</v>
      </c>
      <c r="G1038" s="96">
        <v>1901716.97</v>
      </c>
    </row>
    <row r="1039" spans="1:7" x14ac:dyDescent="0.25">
      <c r="A1039" s="2"/>
      <c r="B1039" s="104"/>
      <c r="C1039" s="114" t="s">
        <v>221</v>
      </c>
      <c r="D1039" s="104" t="s">
        <v>863</v>
      </c>
      <c r="E1039" s="105">
        <v>42762</v>
      </c>
      <c r="F1039" s="106" t="s">
        <v>1832</v>
      </c>
      <c r="G1039" s="96">
        <v>1177975.8999999999</v>
      </c>
    </row>
    <row r="1040" spans="1:7" x14ac:dyDescent="0.25">
      <c r="A1040" s="2"/>
      <c r="B1040" s="104"/>
      <c r="C1040" s="114" t="s">
        <v>55</v>
      </c>
      <c r="D1040" s="104" t="s">
        <v>863</v>
      </c>
      <c r="E1040" s="105">
        <v>42755</v>
      </c>
      <c r="F1040" s="106" t="s">
        <v>2086</v>
      </c>
      <c r="G1040" s="96">
        <v>2232735.29</v>
      </c>
    </row>
    <row r="1041" spans="1:7" x14ac:dyDescent="0.25">
      <c r="A1041" s="104" t="s">
        <v>1167</v>
      </c>
      <c r="G1041" s="96">
        <v>8821169.8300000001</v>
      </c>
    </row>
    <row r="1042" spans="1:7" x14ac:dyDescent="0.25">
      <c r="A1042" s="104"/>
      <c r="G1042" s="96"/>
    </row>
    <row r="1043" spans="1:7" x14ac:dyDescent="0.25">
      <c r="A1043" s="104" t="s">
        <v>712</v>
      </c>
      <c r="G1043" s="96"/>
    </row>
    <row r="1044" spans="1:7" ht="75" x14ac:dyDescent="0.25">
      <c r="A1044" s="107" t="s">
        <v>711</v>
      </c>
      <c r="B1044" s="107"/>
      <c r="C1044" s="107"/>
      <c r="D1044" s="107"/>
      <c r="E1044" s="107"/>
      <c r="F1044" s="107"/>
      <c r="G1044" s="96"/>
    </row>
    <row r="1045" spans="1:7" x14ac:dyDescent="0.25">
      <c r="A1045" s="115" t="s">
        <v>604</v>
      </c>
      <c r="B1045" s="104" t="s">
        <v>1168</v>
      </c>
      <c r="C1045" s="120">
        <v>0.19</v>
      </c>
      <c r="D1045" s="120"/>
      <c r="E1045" s="120"/>
      <c r="F1045" s="120"/>
      <c r="G1045" s="96"/>
    </row>
    <row r="1046" spans="1:7" x14ac:dyDescent="0.25">
      <c r="A1046" s="2"/>
      <c r="B1046" s="104"/>
      <c r="C1046" s="114" t="s">
        <v>23</v>
      </c>
      <c r="D1046" s="104" t="s">
        <v>863</v>
      </c>
      <c r="E1046" s="105">
        <v>42593</v>
      </c>
      <c r="F1046" s="106"/>
      <c r="G1046" s="96">
        <v>26273164.969999999</v>
      </c>
    </row>
    <row r="1047" spans="1:7" x14ac:dyDescent="0.25">
      <c r="A1047" s="2"/>
      <c r="B1047" s="104"/>
      <c r="C1047" s="114" t="s">
        <v>103</v>
      </c>
      <c r="D1047" s="104" t="s">
        <v>863</v>
      </c>
      <c r="E1047" s="105">
        <v>42685</v>
      </c>
      <c r="F1047" s="106" t="s">
        <v>1169</v>
      </c>
      <c r="G1047" s="96">
        <v>2777386.05</v>
      </c>
    </row>
    <row r="1048" spans="1:7" x14ac:dyDescent="0.25">
      <c r="A1048" s="2"/>
      <c r="B1048" s="104"/>
      <c r="C1048" s="114" t="s">
        <v>221</v>
      </c>
      <c r="D1048" s="104" t="s">
        <v>863</v>
      </c>
      <c r="E1048" s="105">
        <v>42803</v>
      </c>
      <c r="F1048" s="106" t="s">
        <v>1266</v>
      </c>
      <c r="G1048" s="96">
        <v>9018667.8699999992</v>
      </c>
    </row>
    <row r="1049" spans="1:7" x14ac:dyDescent="0.25">
      <c r="A1049" s="104" t="s">
        <v>1170</v>
      </c>
      <c r="G1049" s="96">
        <v>38069218.890000001</v>
      </c>
    </row>
    <row r="1050" spans="1:7" x14ac:dyDescent="0.25">
      <c r="A1050" s="104"/>
      <c r="G1050" s="96"/>
    </row>
    <row r="1051" spans="1:7" x14ac:dyDescent="0.25">
      <c r="A1051" s="104" t="s">
        <v>675</v>
      </c>
      <c r="G1051" s="96"/>
    </row>
    <row r="1052" spans="1:7" ht="60" x14ac:dyDescent="0.25">
      <c r="A1052" s="107" t="s">
        <v>673</v>
      </c>
      <c r="B1052" s="107"/>
      <c r="C1052" s="107"/>
      <c r="D1052" s="107"/>
      <c r="E1052" s="107"/>
      <c r="F1052" s="107"/>
      <c r="G1052" s="96"/>
    </row>
    <row r="1053" spans="1:7" x14ac:dyDescent="0.25">
      <c r="A1053" s="115" t="s">
        <v>674</v>
      </c>
      <c r="B1053" s="104" t="s">
        <v>1171</v>
      </c>
      <c r="C1053" s="120">
        <v>0.78</v>
      </c>
      <c r="D1053" s="120"/>
      <c r="E1053" s="120"/>
      <c r="F1053" s="120"/>
      <c r="G1053" s="96"/>
    </row>
    <row r="1054" spans="1:7" x14ac:dyDescent="0.25">
      <c r="A1054" s="2"/>
      <c r="B1054" s="104"/>
      <c r="C1054" s="114" t="s">
        <v>23</v>
      </c>
      <c r="D1054" s="104" t="s">
        <v>863</v>
      </c>
      <c r="E1054" s="105">
        <v>42627</v>
      </c>
      <c r="F1054" s="106"/>
      <c r="G1054" s="96">
        <v>60847.25</v>
      </c>
    </row>
    <row r="1055" spans="1:7" x14ac:dyDescent="0.25">
      <c r="A1055" s="2"/>
      <c r="B1055" s="104"/>
      <c r="C1055" s="114" t="s">
        <v>103</v>
      </c>
      <c r="D1055" s="104" t="s">
        <v>863</v>
      </c>
      <c r="E1055" s="105">
        <v>42664</v>
      </c>
      <c r="F1055" s="106" t="s">
        <v>1314</v>
      </c>
      <c r="G1055" s="96">
        <v>9101.75</v>
      </c>
    </row>
    <row r="1056" spans="1:7" x14ac:dyDescent="0.25">
      <c r="A1056" s="2"/>
      <c r="B1056" s="104"/>
      <c r="C1056" s="114" t="s">
        <v>221</v>
      </c>
      <c r="D1056" s="104" t="s">
        <v>863</v>
      </c>
      <c r="E1056" s="105">
        <v>42664</v>
      </c>
      <c r="F1056" s="106" t="s">
        <v>1172</v>
      </c>
      <c r="G1056" s="96">
        <v>94051.24</v>
      </c>
    </row>
    <row r="1057" spans="1:7" x14ac:dyDescent="0.25">
      <c r="A1057" s="2"/>
      <c r="B1057" s="104"/>
      <c r="C1057" s="114" t="s">
        <v>55</v>
      </c>
      <c r="D1057" s="104" t="s">
        <v>863</v>
      </c>
      <c r="E1057" s="105">
        <v>42781</v>
      </c>
      <c r="F1057" s="106" t="s">
        <v>1172</v>
      </c>
      <c r="G1057" s="96">
        <v>94051.24</v>
      </c>
    </row>
    <row r="1058" spans="1:7" x14ac:dyDescent="0.25">
      <c r="A1058" s="2"/>
      <c r="B1058" s="104"/>
      <c r="C1058" s="114" t="s">
        <v>215</v>
      </c>
      <c r="D1058" s="104" t="s">
        <v>863</v>
      </c>
      <c r="E1058" s="105">
        <v>42699</v>
      </c>
      <c r="F1058" s="106" t="s">
        <v>1101</v>
      </c>
      <c r="G1058" s="96">
        <v>91017.34</v>
      </c>
    </row>
    <row r="1059" spans="1:7" x14ac:dyDescent="0.25">
      <c r="A1059" s="2"/>
      <c r="B1059" s="104"/>
      <c r="C1059" s="114" t="s">
        <v>15</v>
      </c>
      <c r="D1059" s="104" t="s">
        <v>863</v>
      </c>
      <c r="E1059" s="105">
        <v>42781</v>
      </c>
      <c r="F1059" s="106" t="s">
        <v>1101</v>
      </c>
      <c r="G1059" s="96">
        <v>91017.34</v>
      </c>
    </row>
    <row r="1060" spans="1:7" x14ac:dyDescent="0.25">
      <c r="A1060" s="2"/>
      <c r="B1060" s="104"/>
      <c r="C1060" s="114" t="s">
        <v>214</v>
      </c>
      <c r="D1060" s="104" t="s">
        <v>863</v>
      </c>
      <c r="E1060" s="105">
        <v>42781</v>
      </c>
      <c r="F1060" s="106" t="s">
        <v>1321</v>
      </c>
      <c r="G1060" s="96">
        <v>45508.72</v>
      </c>
    </row>
    <row r="1061" spans="1:7" x14ac:dyDescent="0.25">
      <c r="A1061" s="104" t="s">
        <v>1173</v>
      </c>
      <c r="G1061" s="96">
        <v>485594.88</v>
      </c>
    </row>
    <row r="1062" spans="1:7" x14ac:dyDescent="0.25">
      <c r="A1062" s="104"/>
      <c r="G1062" s="96"/>
    </row>
    <row r="1063" spans="1:7" x14ac:dyDescent="0.25">
      <c r="A1063" s="104" t="s">
        <v>776</v>
      </c>
      <c r="G1063" s="96"/>
    </row>
    <row r="1064" spans="1:7" ht="30" x14ac:dyDescent="0.25">
      <c r="A1064" s="107" t="s">
        <v>783</v>
      </c>
      <c r="B1064" s="107"/>
      <c r="C1064" s="107"/>
      <c r="D1064" s="107"/>
      <c r="E1064" s="107"/>
      <c r="F1064" s="107"/>
      <c r="G1064" s="96"/>
    </row>
    <row r="1065" spans="1:7" x14ac:dyDescent="0.25">
      <c r="A1065" s="115" t="s">
        <v>784</v>
      </c>
      <c r="B1065" s="104" t="s">
        <v>1425</v>
      </c>
      <c r="C1065" s="120">
        <v>0.65</v>
      </c>
      <c r="D1065" s="120"/>
      <c r="E1065" s="120"/>
      <c r="F1065" s="120"/>
      <c r="G1065" s="96"/>
    </row>
    <row r="1066" spans="1:7" x14ac:dyDescent="0.25">
      <c r="A1066" s="2"/>
      <c r="B1066" s="104"/>
      <c r="C1066" s="114" t="s">
        <v>23</v>
      </c>
      <c r="D1066" s="104" t="s">
        <v>863</v>
      </c>
      <c r="E1066" s="105">
        <v>42632</v>
      </c>
      <c r="F1066" s="106"/>
      <c r="G1066" s="96">
        <v>24746516.640000001</v>
      </c>
    </row>
    <row r="1067" spans="1:7" x14ac:dyDescent="0.25">
      <c r="A1067" s="2"/>
      <c r="B1067" s="104"/>
      <c r="C1067" s="114" t="s">
        <v>103</v>
      </c>
      <c r="D1067" s="104" t="s">
        <v>863</v>
      </c>
      <c r="E1067" s="105">
        <v>42712</v>
      </c>
      <c r="F1067" s="106" t="s">
        <v>1798</v>
      </c>
      <c r="G1067" s="96">
        <v>17986206.199999999</v>
      </c>
    </row>
    <row r="1068" spans="1:7" x14ac:dyDescent="0.25">
      <c r="A1068" s="2"/>
      <c r="B1068" s="104"/>
      <c r="C1068" s="114" t="s">
        <v>221</v>
      </c>
      <c r="D1068" s="104" t="s">
        <v>863</v>
      </c>
      <c r="E1068" s="105">
        <v>42755</v>
      </c>
      <c r="F1068" s="106" t="s">
        <v>1967</v>
      </c>
      <c r="G1068" s="96">
        <v>9969052.6500000004</v>
      </c>
    </row>
    <row r="1069" spans="1:7" x14ac:dyDescent="0.25">
      <c r="A1069" s="2"/>
      <c r="B1069" s="104"/>
      <c r="C1069" s="114" t="s">
        <v>55</v>
      </c>
      <c r="D1069" s="104" t="s">
        <v>865</v>
      </c>
      <c r="E1069" s="105">
        <v>42810</v>
      </c>
      <c r="F1069" s="106" t="s">
        <v>2421</v>
      </c>
      <c r="G1069" s="96">
        <v>644175.75</v>
      </c>
    </row>
    <row r="1070" spans="1:7" x14ac:dyDescent="0.25">
      <c r="A1070" s="2"/>
      <c r="B1070" s="104"/>
      <c r="C1070" s="114" t="s">
        <v>215</v>
      </c>
      <c r="D1070" s="104" t="s">
        <v>865</v>
      </c>
      <c r="E1070" s="105">
        <v>42811</v>
      </c>
      <c r="F1070" s="106" t="s">
        <v>2490</v>
      </c>
      <c r="G1070" s="96">
        <v>8499943.8300000001</v>
      </c>
    </row>
    <row r="1071" spans="1:7" x14ac:dyDescent="0.25">
      <c r="A1071" s="104" t="s">
        <v>1426</v>
      </c>
      <c r="G1071" s="96">
        <v>61845895.07</v>
      </c>
    </row>
    <row r="1072" spans="1:7" x14ac:dyDescent="0.25">
      <c r="A1072" s="104"/>
      <c r="G1072" s="96"/>
    </row>
    <row r="1073" spans="1:7" x14ac:dyDescent="0.25">
      <c r="A1073" s="104" t="s">
        <v>848</v>
      </c>
      <c r="G1073" s="96"/>
    </row>
    <row r="1074" spans="1:7" ht="75" x14ac:dyDescent="0.25">
      <c r="A1074" s="107" t="s">
        <v>849</v>
      </c>
      <c r="B1074" s="107"/>
      <c r="C1074" s="107"/>
      <c r="D1074" s="107"/>
      <c r="E1074" s="107"/>
      <c r="F1074" s="107"/>
      <c r="G1074" s="96"/>
    </row>
    <row r="1075" spans="1:7" x14ac:dyDescent="0.25">
      <c r="A1075" s="115" t="s">
        <v>850</v>
      </c>
      <c r="B1075" s="104" t="s">
        <v>1174</v>
      </c>
      <c r="C1075" s="120">
        <v>0.71</v>
      </c>
      <c r="D1075" s="120"/>
      <c r="E1075" s="120"/>
      <c r="F1075" s="120"/>
      <c r="G1075" s="96"/>
    </row>
    <row r="1076" spans="1:7" x14ac:dyDescent="0.25">
      <c r="A1076" s="2"/>
      <c r="B1076" s="104"/>
      <c r="C1076" s="114" t="s">
        <v>103</v>
      </c>
      <c r="D1076" s="104" t="s">
        <v>863</v>
      </c>
      <c r="E1076" s="105">
        <v>42671</v>
      </c>
      <c r="F1076" s="106" t="s">
        <v>1322</v>
      </c>
      <c r="G1076" s="96">
        <v>24721.119999999999</v>
      </c>
    </row>
    <row r="1077" spans="1:7" x14ac:dyDescent="0.25">
      <c r="A1077" s="2"/>
      <c r="B1077" s="104"/>
      <c r="C1077" s="114" t="s">
        <v>221</v>
      </c>
      <c r="D1077" s="104" t="s">
        <v>863</v>
      </c>
      <c r="E1077" s="105">
        <v>42781</v>
      </c>
      <c r="F1077" s="106" t="s">
        <v>1101</v>
      </c>
      <c r="G1077" s="96">
        <v>95352.91</v>
      </c>
    </row>
    <row r="1078" spans="1:7" x14ac:dyDescent="0.25">
      <c r="A1078" s="2"/>
      <c r="B1078" s="104"/>
      <c r="C1078" s="114" t="s">
        <v>55</v>
      </c>
      <c r="D1078" s="104" t="s">
        <v>863</v>
      </c>
      <c r="E1078" s="105">
        <v>42781</v>
      </c>
      <c r="F1078" s="106" t="s">
        <v>1101</v>
      </c>
      <c r="G1078" s="96">
        <v>95352.91</v>
      </c>
    </row>
    <row r="1079" spans="1:7" x14ac:dyDescent="0.25">
      <c r="A1079" s="2"/>
      <c r="B1079" s="104"/>
      <c r="C1079" s="114" t="s">
        <v>215</v>
      </c>
      <c r="D1079" s="104" t="s">
        <v>863</v>
      </c>
      <c r="E1079" s="105">
        <v>42781</v>
      </c>
      <c r="F1079" s="106" t="s">
        <v>1101</v>
      </c>
      <c r="G1079" s="96">
        <v>95352.91</v>
      </c>
    </row>
    <row r="1080" spans="1:7" x14ac:dyDescent="0.25">
      <c r="A1080" s="2"/>
      <c r="B1080" s="104"/>
      <c r="C1080" s="114" t="s">
        <v>15</v>
      </c>
      <c r="D1080" s="104" t="s">
        <v>2238</v>
      </c>
      <c r="E1080" s="105">
        <v>42723</v>
      </c>
      <c r="F1080" s="106" t="s">
        <v>1101</v>
      </c>
      <c r="G1080" s="96">
        <v>95352.91</v>
      </c>
    </row>
    <row r="1081" spans="1:7" x14ac:dyDescent="0.25">
      <c r="A1081" s="104" t="s">
        <v>1175</v>
      </c>
      <c r="G1081" s="96">
        <v>406132.76</v>
      </c>
    </row>
    <row r="1082" spans="1:7" x14ac:dyDescent="0.25">
      <c r="A1082" s="104"/>
      <c r="G1082" s="96"/>
    </row>
    <row r="1083" spans="1:7" x14ac:dyDescent="0.25">
      <c r="A1083" s="104" t="s">
        <v>858</v>
      </c>
      <c r="G1083" s="96"/>
    </row>
    <row r="1084" spans="1:7" ht="30" x14ac:dyDescent="0.25">
      <c r="A1084" s="107" t="s">
        <v>859</v>
      </c>
      <c r="B1084" s="107"/>
      <c r="C1084" s="107"/>
      <c r="D1084" s="107"/>
      <c r="E1084" s="107"/>
      <c r="F1084" s="107"/>
      <c r="G1084" s="96"/>
    </row>
    <row r="1085" spans="1:7" x14ac:dyDescent="0.25">
      <c r="A1085" s="115" t="s">
        <v>860</v>
      </c>
      <c r="B1085" s="104" t="s">
        <v>1526</v>
      </c>
      <c r="C1085" s="120">
        <v>0.12</v>
      </c>
      <c r="D1085" s="120"/>
      <c r="E1085" s="120"/>
      <c r="F1085" s="120"/>
      <c r="G1085" s="96"/>
    </row>
    <row r="1086" spans="1:7" x14ac:dyDescent="0.25">
      <c r="A1086" s="2"/>
      <c r="B1086" s="104"/>
      <c r="C1086" s="114" t="s">
        <v>23</v>
      </c>
      <c r="D1086" s="104" t="s">
        <v>863</v>
      </c>
      <c r="E1086" s="105">
        <v>42626</v>
      </c>
      <c r="F1086" s="106"/>
      <c r="G1086" s="96">
        <v>8953602.5999999996</v>
      </c>
    </row>
    <row r="1087" spans="1:7" x14ac:dyDescent="0.25">
      <c r="A1087" s="2"/>
      <c r="B1087" s="104"/>
      <c r="C1087" s="114" t="s">
        <v>103</v>
      </c>
      <c r="D1087" s="104" t="s">
        <v>863</v>
      </c>
      <c r="E1087" s="105">
        <v>42810</v>
      </c>
      <c r="F1087" s="106" t="s">
        <v>1943</v>
      </c>
      <c r="G1087" s="96">
        <v>95657.12</v>
      </c>
    </row>
    <row r="1088" spans="1:7" x14ac:dyDescent="0.25">
      <c r="A1088" s="2"/>
      <c r="B1088" s="104"/>
      <c r="C1088" s="114" t="s">
        <v>221</v>
      </c>
      <c r="D1088" s="104" t="s">
        <v>863</v>
      </c>
      <c r="E1088" s="105">
        <v>42810</v>
      </c>
      <c r="F1088" s="106" t="s">
        <v>1944</v>
      </c>
      <c r="G1088" s="96">
        <v>1084185.75</v>
      </c>
    </row>
    <row r="1089" spans="1:7" x14ac:dyDescent="0.25">
      <c r="A1089" s="2"/>
      <c r="B1089" s="104"/>
      <c r="C1089" s="114" t="s">
        <v>55</v>
      </c>
      <c r="D1089" s="104" t="s">
        <v>870</v>
      </c>
      <c r="E1089" s="105">
        <v>42748</v>
      </c>
      <c r="F1089" s="106" t="s">
        <v>2177</v>
      </c>
      <c r="G1089" s="96">
        <v>1279368.25</v>
      </c>
    </row>
    <row r="1090" spans="1:7" x14ac:dyDescent="0.25">
      <c r="A1090" s="104" t="s">
        <v>1527</v>
      </c>
      <c r="G1090" s="96">
        <v>11412813.720000001</v>
      </c>
    </row>
    <row r="1091" spans="1:7" x14ac:dyDescent="0.25">
      <c r="A1091" s="104"/>
      <c r="G1091" s="96"/>
    </row>
    <row r="1092" spans="1:7" x14ac:dyDescent="0.25">
      <c r="A1092" s="104" t="s">
        <v>804</v>
      </c>
      <c r="G1092" s="96"/>
    </row>
    <row r="1093" spans="1:7" ht="30" x14ac:dyDescent="0.25">
      <c r="A1093" s="107" t="s">
        <v>801</v>
      </c>
      <c r="B1093" s="107"/>
      <c r="C1093" s="107"/>
      <c r="D1093" s="107"/>
      <c r="E1093" s="107"/>
      <c r="F1093" s="107"/>
      <c r="G1093" s="96"/>
    </row>
    <row r="1094" spans="1:7" x14ac:dyDescent="0.25">
      <c r="A1094" s="115" t="s">
        <v>802</v>
      </c>
      <c r="B1094" s="104" t="s">
        <v>1528</v>
      </c>
      <c r="C1094" s="120">
        <v>0.31</v>
      </c>
      <c r="D1094" s="120"/>
      <c r="E1094" s="120"/>
      <c r="F1094" s="120"/>
      <c r="G1094" s="96"/>
    </row>
    <row r="1095" spans="1:7" x14ac:dyDescent="0.25">
      <c r="A1095" s="2"/>
      <c r="B1095" s="104"/>
      <c r="C1095" s="114" t="s">
        <v>23</v>
      </c>
      <c r="D1095" s="104" t="s">
        <v>863</v>
      </c>
      <c r="E1095" s="105">
        <v>42626</v>
      </c>
      <c r="F1095" s="106"/>
      <c r="G1095" s="96">
        <v>9881680.8100000005</v>
      </c>
    </row>
    <row r="1096" spans="1:7" x14ac:dyDescent="0.25">
      <c r="A1096" s="2"/>
      <c r="B1096" s="104"/>
      <c r="C1096" s="114" t="s">
        <v>103</v>
      </c>
      <c r="D1096" s="104" t="s">
        <v>863</v>
      </c>
      <c r="E1096" s="105">
        <v>42732</v>
      </c>
      <c r="F1096" s="106" t="s">
        <v>1945</v>
      </c>
      <c r="G1096" s="96">
        <v>572516.37</v>
      </c>
    </row>
    <row r="1097" spans="1:7" x14ac:dyDescent="0.25">
      <c r="A1097" s="2"/>
      <c r="B1097" s="104"/>
      <c r="C1097" s="114" t="s">
        <v>221</v>
      </c>
      <c r="D1097" s="104" t="s">
        <v>863</v>
      </c>
      <c r="E1097" s="105">
        <v>42732</v>
      </c>
      <c r="F1097" s="106" t="s">
        <v>1538</v>
      </c>
      <c r="G1097" s="96">
        <v>2123747.98</v>
      </c>
    </row>
    <row r="1098" spans="1:7" x14ac:dyDescent="0.25">
      <c r="A1098" s="2"/>
      <c r="B1098" s="104"/>
      <c r="C1098" s="114" t="s">
        <v>55</v>
      </c>
      <c r="D1098" s="104" t="s">
        <v>774</v>
      </c>
      <c r="E1098" s="105">
        <v>42811</v>
      </c>
      <c r="F1098" s="106" t="s">
        <v>2538</v>
      </c>
      <c r="G1098" s="96">
        <v>234236.38</v>
      </c>
    </row>
    <row r="1099" spans="1:7" x14ac:dyDescent="0.25">
      <c r="A1099" s="104" t="s">
        <v>1529</v>
      </c>
      <c r="G1099" s="96">
        <v>12812181.539999999</v>
      </c>
    </row>
    <row r="1100" spans="1:7" x14ac:dyDescent="0.25">
      <c r="A1100" s="104"/>
      <c r="G1100" s="96"/>
    </row>
    <row r="1101" spans="1:7" x14ac:dyDescent="0.25">
      <c r="A1101" s="104" t="s">
        <v>813</v>
      </c>
      <c r="G1101" s="96"/>
    </row>
    <row r="1102" spans="1:7" ht="30" x14ac:dyDescent="0.25">
      <c r="A1102" s="107" t="s">
        <v>815</v>
      </c>
      <c r="B1102" s="107"/>
      <c r="C1102" s="107"/>
      <c r="D1102" s="107"/>
      <c r="E1102" s="107"/>
      <c r="F1102" s="107"/>
      <c r="G1102" s="96"/>
    </row>
    <row r="1103" spans="1:7" x14ac:dyDescent="0.25">
      <c r="A1103" s="115" t="s">
        <v>816</v>
      </c>
      <c r="B1103" s="104" t="s">
        <v>1530</v>
      </c>
      <c r="C1103" s="120">
        <v>0.22</v>
      </c>
      <c r="D1103" s="120"/>
      <c r="E1103" s="120"/>
      <c r="F1103" s="120"/>
      <c r="G1103" s="96"/>
    </row>
    <row r="1104" spans="1:7" x14ac:dyDescent="0.25">
      <c r="A1104" s="2"/>
      <c r="B1104" s="104"/>
      <c r="C1104" s="114" t="s">
        <v>23</v>
      </c>
      <c r="D1104" s="104" t="s">
        <v>863</v>
      </c>
      <c r="E1104" s="105">
        <v>42618</v>
      </c>
      <c r="F1104" s="106"/>
      <c r="G1104" s="96">
        <v>3869778.24</v>
      </c>
    </row>
    <row r="1105" spans="1:7" x14ac:dyDescent="0.25">
      <c r="A1105" s="2"/>
      <c r="B1105" s="104"/>
      <c r="C1105" s="114" t="s">
        <v>103</v>
      </c>
      <c r="D1105" s="104" t="s">
        <v>863</v>
      </c>
      <c r="E1105" s="105">
        <v>42734</v>
      </c>
      <c r="F1105" s="106" t="s">
        <v>2088</v>
      </c>
      <c r="G1105" s="96">
        <v>1934889.11</v>
      </c>
    </row>
    <row r="1106" spans="1:7" x14ac:dyDescent="0.25">
      <c r="A1106" s="104" t="s">
        <v>1531</v>
      </c>
      <c r="G1106" s="96">
        <v>5804667.3499999996</v>
      </c>
    </row>
    <row r="1107" spans="1:7" x14ac:dyDescent="0.25">
      <c r="A1107" s="104"/>
      <c r="G1107" s="96"/>
    </row>
    <row r="1108" spans="1:7" x14ac:dyDescent="0.25">
      <c r="A1108" s="104" t="s">
        <v>814</v>
      </c>
      <c r="G1108" s="96"/>
    </row>
    <row r="1109" spans="1:7" ht="60" x14ac:dyDescent="0.25">
      <c r="A1109" s="107" t="s">
        <v>819</v>
      </c>
      <c r="B1109" s="107"/>
      <c r="C1109" s="107"/>
      <c r="D1109" s="107"/>
      <c r="E1109" s="107"/>
      <c r="F1109" s="107"/>
      <c r="G1109" s="96"/>
    </row>
    <row r="1110" spans="1:7" x14ac:dyDescent="0.25">
      <c r="A1110" s="115" t="s">
        <v>200</v>
      </c>
      <c r="B1110" s="104" t="s">
        <v>1532</v>
      </c>
      <c r="C1110" s="120">
        <v>0.68</v>
      </c>
      <c r="D1110" s="120"/>
      <c r="E1110" s="120"/>
      <c r="F1110" s="120"/>
      <c r="G1110" s="96"/>
    </row>
    <row r="1111" spans="1:7" x14ac:dyDescent="0.25">
      <c r="A1111" s="2"/>
      <c r="B1111" s="104"/>
      <c r="C1111" s="114" t="s">
        <v>23</v>
      </c>
      <c r="D1111" s="104" t="s">
        <v>863</v>
      </c>
      <c r="E1111" s="105">
        <v>42619</v>
      </c>
      <c r="F1111" s="106"/>
      <c r="G1111" s="96">
        <v>4411764.59</v>
      </c>
    </row>
    <row r="1112" spans="1:7" x14ac:dyDescent="0.25">
      <c r="A1112" s="2"/>
      <c r="B1112" s="104"/>
      <c r="C1112" s="114" t="s">
        <v>103</v>
      </c>
      <c r="D1112" s="104" t="s">
        <v>863</v>
      </c>
      <c r="E1112" s="105">
        <v>42733</v>
      </c>
      <c r="F1112" s="106" t="s">
        <v>1981</v>
      </c>
      <c r="G1112" s="96">
        <v>712709.93</v>
      </c>
    </row>
    <row r="1113" spans="1:7" x14ac:dyDescent="0.25">
      <c r="A1113" s="2"/>
      <c r="B1113" s="104"/>
      <c r="C1113" s="114" t="s">
        <v>221</v>
      </c>
      <c r="D1113" s="104" t="s">
        <v>863</v>
      </c>
      <c r="E1113" s="105">
        <v>42732</v>
      </c>
      <c r="F1113" s="106" t="s">
        <v>1120</v>
      </c>
      <c r="G1113" s="96">
        <v>2672780.88</v>
      </c>
    </row>
    <row r="1114" spans="1:7" x14ac:dyDescent="0.25">
      <c r="A1114" s="2"/>
      <c r="B1114" s="104"/>
      <c r="C1114" s="114" t="s">
        <v>55</v>
      </c>
      <c r="D1114" s="104" t="s">
        <v>863</v>
      </c>
      <c r="E1114" s="105">
        <v>42732</v>
      </c>
      <c r="F1114" s="106" t="s">
        <v>1982</v>
      </c>
      <c r="G1114" s="96">
        <v>3741093.9</v>
      </c>
    </row>
    <row r="1115" spans="1:7" x14ac:dyDescent="0.25">
      <c r="A1115" s="104" t="s">
        <v>1533</v>
      </c>
      <c r="G1115" s="96">
        <v>11538349.300000001</v>
      </c>
    </row>
    <row r="1116" spans="1:7" x14ac:dyDescent="0.25">
      <c r="A1116" s="104"/>
      <c r="G1116" s="96"/>
    </row>
    <row r="1117" spans="1:7" x14ac:dyDescent="0.25">
      <c r="A1117" s="104" t="s">
        <v>822</v>
      </c>
      <c r="G1117" s="96"/>
    </row>
    <row r="1118" spans="1:7" ht="60" x14ac:dyDescent="0.25">
      <c r="A1118" s="107" t="s">
        <v>829</v>
      </c>
      <c r="B1118" s="107"/>
      <c r="C1118" s="107"/>
      <c r="D1118" s="107"/>
      <c r="E1118" s="107"/>
      <c r="F1118" s="107"/>
      <c r="G1118" s="96"/>
    </row>
    <row r="1119" spans="1:7" ht="30" x14ac:dyDescent="0.25">
      <c r="A1119" s="115" t="s">
        <v>821</v>
      </c>
      <c r="B1119" s="104" t="s">
        <v>1176</v>
      </c>
      <c r="C1119" s="120">
        <v>0.57999999999999996</v>
      </c>
      <c r="D1119" s="120"/>
      <c r="E1119" s="120"/>
      <c r="F1119" s="120"/>
      <c r="G1119" s="96"/>
    </row>
    <row r="1120" spans="1:7" x14ac:dyDescent="0.25">
      <c r="A1120" s="2"/>
      <c r="B1120" s="104"/>
      <c r="C1120" s="114" t="s">
        <v>23</v>
      </c>
      <c r="D1120" s="104" t="s">
        <v>863</v>
      </c>
      <c r="E1120" s="105">
        <v>42781</v>
      </c>
      <c r="F1120" s="106"/>
      <c r="G1120" s="96">
        <v>339866.91</v>
      </c>
    </row>
    <row r="1121" spans="1:7" x14ac:dyDescent="0.25">
      <c r="A1121" s="2"/>
      <c r="B1121" s="104"/>
      <c r="C1121" s="114" t="s">
        <v>103</v>
      </c>
      <c r="D1121" s="104" t="s">
        <v>863</v>
      </c>
      <c r="E1121" s="105">
        <v>42781</v>
      </c>
      <c r="F1121" s="106" t="s">
        <v>1177</v>
      </c>
      <c r="G1121" s="96">
        <v>492844.07</v>
      </c>
    </row>
    <row r="1122" spans="1:7" x14ac:dyDescent="0.25">
      <c r="A1122" s="2"/>
      <c r="B1122" s="104"/>
      <c r="C1122" s="114" t="s">
        <v>221</v>
      </c>
      <c r="D1122" s="104" t="s">
        <v>863</v>
      </c>
      <c r="E1122" s="105">
        <v>42781</v>
      </c>
      <c r="F1122" s="106" t="s">
        <v>1178</v>
      </c>
      <c r="G1122" s="96">
        <v>639365.34</v>
      </c>
    </row>
    <row r="1123" spans="1:7" x14ac:dyDescent="0.25">
      <c r="A1123" s="2"/>
      <c r="B1123" s="104"/>
      <c r="C1123" s="114" t="s">
        <v>55</v>
      </c>
      <c r="D1123" s="104" t="s">
        <v>2238</v>
      </c>
      <c r="E1123" s="105">
        <v>42741</v>
      </c>
      <c r="F1123" s="106" t="s">
        <v>2081</v>
      </c>
      <c r="G1123" s="96">
        <v>626045.23</v>
      </c>
    </row>
    <row r="1124" spans="1:7" x14ac:dyDescent="0.25">
      <c r="A1124" s="104" t="s">
        <v>1179</v>
      </c>
      <c r="G1124" s="96">
        <v>2098121.5499999998</v>
      </c>
    </row>
    <row r="1125" spans="1:7" x14ac:dyDescent="0.25">
      <c r="A1125" s="104"/>
      <c r="G1125" s="96"/>
    </row>
    <row r="1126" spans="1:7" x14ac:dyDescent="0.25">
      <c r="A1126" s="104" t="s">
        <v>838</v>
      </c>
      <c r="G1126" s="96"/>
    </row>
    <row r="1127" spans="1:7" ht="75" x14ac:dyDescent="0.25">
      <c r="A1127" s="107" t="s">
        <v>876</v>
      </c>
      <c r="B1127" s="107"/>
      <c r="C1127" s="107"/>
      <c r="D1127" s="107"/>
      <c r="E1127" s="107"/>
      <c r="F1127" s="107"/>
      <c r="G1127" s="96"/>
    </row>
    <row r="1128" spans="1:7" x14ac:dyDescent="0.25">
      <c r="A1128" s="115" t="s">
        <v>877</v>
      </c>
      <c r="B1128" s="104" t="s">
        <v>1315</v>
      </c>
      <c r="C1128" s="120">
        <v>0.62</v>
      </c>
      <c r="D1128" s="120"/>
      <c r="E1128" s="120"/>
      <c r="F1128" s="120"/>
      <c r="G1128" s="96"/>
    </row>
    <row r="1129" spans="1:7" x14ac:dyDescent="0.25">
      <c r="A1129" s="2"/>
      <c r="B1129" s="104"/>
      <c r="C1129" s="114" t="s">
        <v>23</v>
      </c>
      <c r="D1129" s="104" t="s">
        <v>863</v>
      </c>
      <c r="E1129" s="105">
        <v>42635</v>
      </c>
      <c r="F1129" s="106"/>
      <c r="G1129" s="96">
        <v>113196.27</v>
      </c>
    </row>
    <row r="1130" spans="1:7" x14ac:dyDescent="0.25">
      <c r="A1130" s="2"/>
      <c r="B1130" s="104"/>
      <c r="C1130" s="114" t="s">
        <v>103</v>
      </c>
      <c r="D1130" s="104" t="s">
        <v>2238</v>
      </c>
      <c r="E1130" s="105">
        <v>42741</v>
      </c>
      <c r="F1130" s="106" t="s">
        <v>1948</v>
      </c>
      <c r="G1130" s="96">
        <v>210338.83</v>
      </c>
    </row>
    <row r="1131" spans="1:7" x14ac:dyDescent="0.25">
      <c r="A1131" s="2"/>
      <c r="B1131" s="104"/>
      <c r="C1131" s="114" t="s">
        <v>221</v>
      </c>
      <c r="D1131" s="104" t="s">
        <v>2238</v>
      </c>
      <c r="E1131" s="105">
        <v>42741</v>
      </c>
      <c r="F1131" s="106" t="s">
        <v>1948</v>
      </c>
      <c r="G1131" s="96">
        <v>210338.83</v>
      </c>
    </row>
    <row r="1132" spans="1:7" x14ac:dyDescent="0.25">
      <c r="A1132" s="2"/>
      <c r="B1132" s="104"/>
      <c r="C1132" s="114" t="s">
        <v>55</v>
      </c>
      <c r="D1132" s="104" t="s">
        <v>2238</v>
      </c>
      <c r="E1132" s="105">
        <v>42741</v>
      </c>
      <c r="F1132" s="106" t="s">
        <v>1948</v>
      </c>
      <c r="G1132" s="96">
        <v>210338.83</v>
      </c>
    </row>
    <row r="1133" spans="1:7" x14ac:dyDescent="0.25">
      <c r="A1133" s="104" t="s">
        <v>1316</v>
      </c>
      <c r="G1133" s="96">
        <v>744212.76</v>
      </c>
    </row>
    <row r="1134" spans="1:7" x14ac:dyDescent="0.25">
      <c r="A1134" s="104"/>
      <c r="G1134" s="96"/>
    </row>
    <row r="1135" spans="1:7" x14ac:dyDescent="0.25">
      <c r="A1135" s="104" t="s">
        <v>992</v>
      </c>
      <c r="G1135" s="96"/>
    </row>
    <row r="1136" spans="1:7" ht="30" x14ac:dyDescent="0.25">
      <c r="A1136" s="107" t="s">
        <v>993</v>
      </c>
      <c r="B1136" s="107"/>
      <c r="C1136" s="107"/>
      <c r="D1136" s="107"/>
      <c r="E1136" s="107"/>
      <c r="F1136" s="107"/>
      <c r="G1136" s="96"/>
    </row>
    <row r="1137" spans="1:7" x14ac:dyDescent="0.25">
      <c r="A1137" s="115" t="s">
        <v>587</v>
      </c>
      <c r="B1137" s="104" t="s">
        <v>1685</v>
      </c>
      <c r="C1137" s="120">
        <v>0.63</v>
      </c>
      <c r="D1137" s="120"/>
      <c r="E1137" s="120"/>
      <c r="F1137" s="120"/>
      <c r="G1137" s="96"/>
    </row>
    <row r="1138" spans="1:7" x14ac:dyDescent="0.25">
      <c r="A1138" s="2"/>
      <c r="B1138" s="104"/>
      <c r="C1138" s="114" t="s">
        <v>23</v>
      </c>
      <c r="D1138" s="104" t="s">
        <v>863</v>
      </c>
      <c r="E1138" s="105">
        <v>42690</v>
      </c>
      <c r="F1138" s="106"/>
      <c r="G1138" s="96">
        <v>2123653.8199999998</v>
      </c>
    </row>
    <row r="1139" spans="1:7" x14ac:dyDescent="0.25">
      <c r="A1139" s="2"/>
      <c r="B1139" s="104"/>
      <c r="C1139" s="114" t="s">
        <v>103</v>
      </c>
      <c r="D1139" s="104" t="s">
        <v>863</v>
      </c>
      <c r="E1139" s="105">
        <v>42732</v>
      </c>
      <c r="F1139" s="106" t="s">
        <v>2089</v>
      </c>
      <c r="G1139" s="96">
        <v>1954260.72</v>
      </c>
    </row>
    <row r="1140" spans="1:7" x14ac:dyDescent="0.25">
      <c r="A1140" s="2"/>
      <c r="B1140" s="104"/>
      <c r="C1140" s="114" t="s">
        <v>221</v>
      </c>
      <c r="D1140" s="104" t="s">
        <v>774</v>
      </c>
      <c r="E1140" s="105">
        <v>42783</v>
      </c>
      <c r="F1140" s="106" t="s">
        <v>2313</v>
      </c>
      <c r="G1140" s="96">
        <v>1141753.69</v>
      </c>
    </row>
    <row r="1141" spans="1:7" x14ac:dyDescent="0.25">
      <c r="A1141" s="104" t="s">
        <v>1686</v>
      </c>
      <c r="G1141" s="96">
        <v>5219668.2300000004</v>
      </c>
    </row>
    <row r="1142" spans="1:7" x14ac:dyDescent="0.25">
      <c r="A1142" s="104"/>
      <c r="G1142" s="96"/>
    </row>
    <row r="1143" spans="1:7" x14ac:dyDescent="0.25">
      <c r="A1143" s="104" t="s">
        <v>1644</v>
      </c>
      <c r="G1143" s="96"/>
    </row>
    <row r="1144" spans="1:7" ht="45" x14ac:dyDescent="0.25">
      <c r="A1144" s="107" t="s">
        <v>2437</v>
      </c>
      <c r="B1144" s="107"/>
      <c r="C1144" s="107"/>
      <c r="D1144" s="107"/>
      <c r="E1144" s="107"/>
      <c r="F1144" s="107"/>
      <c r="G1144" s="96"/>
    </row>
    <row r="1145" spans="1:7" x14ac:dyDescent="0.25">
      <c r="A1145" s="115" t="s">
        <v>1643</v>
      </c>
      <c r="B1145" s="104" t="s">
        <v>1807</v>
      </c>
      <c r="C1145" s="120">
        <v>0.19</v>
      </c>
      <c r="D1145" s="120"/>
      <c r="E1145" s="120"/>
      <c r="F1145" s="120"/>
      <c r="G1145" s="96"/>
    </row>
    <row r="1146" spans="1:7" x14ac:dyDescent="0.25">
      <c r="A1146" s="2"/>
      <c r="B1146" s="104"/>
      <c r="C1146" s="114" t="s">
        <v>23</v>
      </c>
      <c r="D1146" s="104" t="s">
        <v>863</v>
      </c>
      <c r="E1146" s="105">
        <v>42692</v>
      </c>
      <c r="F1146" s="106"/>
      <c r="G1146" s="96">
        <v>863992.62</v>
      </c>
    </row>
    <row r="1147" spans="1:7" x14ac:dyDescent="0.25">
      <c r="A1147" s="2"/>
      <c r="B1147" s="104"/>
      <c r="C1147" s="114" t="s">
        <v>221</v>
      </c>
      <c r="D1147" s="104" t="s">
        <v>864</v>
      </c>
      <c r="E1147" s="105">
        <v>42811</v>
      </c>
      <c r="F1147" s="106" t="s">
        <v>2450</v>
      </c>
      <c r="G1147" s="96">
        <v>237697.48</v>
      </c>
    </row>
    <row r="1148" spans="1:7" x14ac:dyDescent="0.25">
      <c r="A1148" s="2"/>
      <c r="B1148" s="104"/>
      <c r="C1148" s="114" t="s">
        <v>215</v>
      </c>
      <c r="D1148" s="104" t="s">
        <v>864</v>
      </c>
      <c r="E1148" s="105">
        <v>42811</v>
      </c>
      <c r="F1148" s="106" t="s">
        <v>2092</v>
      </c>
      <c r="G1148" s="96">
        <v>143904.46</v>
      </c>
    </row>
    <row r="1149" spans="1:7" x14ac:dyDescent="0.25">
      <c r="A1149" s="104" t="s">
        <v>1687</v>
      </c>
      <c r="G1149" s="96">
        <v>1245594.56</v>
      </c>
    </row>
    <row r="1150" spans="1:7" x14ac:dyDescent="0.25">
      <c r="A1150" s="104"/>
      <c r="G1150" s="96"/>
    </row>
    <row r="1151" spans="1:7" x14ac:dyDescent="0.25">
      <c r="A1151" s="104" t="s">
        <v>1647</v>
      </c>
      <c r="G1151" s="96"/>
    </row>
    <row r="1152" spans="1:7" ht="45" x14ac:dyDescent="0.25">
      <c r="A1152" s="107" t="s">
        <v>1648</v>
      </c>
      <c r="B1152" s="107"/>
      <c r="C1152" s="107"/>
      <c r="D1152" s="107"/>
      <c r="E1152" s="107"/>
      <c r="F1152" s="107"/>
      <c r="G1152" s="96"/>
    </row>
    <row r="1153" spans="1:7" x14ac:dyDescent="0.25">
      <c r="A1153" s="115" t="s">
        <v>1643</v>
      </c>
      <c r="B1153" s="104" t="s">
        <v>1808</v>
      </c>
      <c r="C1153" s="120">
        <v>0.19</v>
      </c>
      <c r="D1153" s="120"/>
      <c r="E1153" s="120"/>
      <c r="F1153" s="120"/>
      <c r="G1153" s="96"/>
    </row>
    <row r="1154" spans="1:7" x14ac:dyDescent="0.25">
      <c r="A1154" s="2"/>
      <c r="B1154" s="104"/>
      <c r="C1154" s="114" t="s">
        <v>23</v>
      </c>
      <c r="D1154" s="104" t="s">
        <v>863</v>
      </c>
      <c r="E1154" s="105">
        <v>42692</v>
      </c>
      <c r="F1154" s="106"/>
      <c r="G1154" s="96">
        <v>863992.48</v>
      </c>
    </row>
    <row r="1155" spans="1:7" x14ac:dyDescent="0.25">
      <c r="A1155" s="2"/>
      <c r="B1155" s="104"/>
      <c r="C1155" s="114" t="s">
        <v>103</v>
      </c>
      <c r="D1155" s="104" t="s">
        <v>863</v>
      </c>
      <c r="E1155" s="105">
        <v>42810</v>
      </c>
      <c r="F1155" s="106" t="s">
        <v>2450</v>
      </c>
      <c r="G1155" s="96">
        <v>237697.48</v>
      </c>
    </row>
    <row r="1156" spans="1:7" x14ac:dyDescent="0.25">
      <c r="A1156" s="2"/>
      <c r="B1156" s="104"/>
      <c r="C1156" s="114" t="s">
        <v>55</v>
      </c>
      <c r="D1156" s="104" t="s">
        <v>864</v>
      </c>
      <c r="E1156" s="105">
        <v>42811</v>
      </c>
      <c r="F1156" s="106" t="s">
        <v>2092</v>
      </c>
      <c r="G1156" s="96">
        <v>143904.46</v>
      </c>
    </row>
    <row r="1157" spans="1:7" x14ac:dyDescent="0.25">
      <c r="A1157" s="104" t="s">
        <v>1688</v>
      </c>
      <c r="G1157" s="96">
        <v>1245594.42</v>
      </c>
    </row>
    <row r="1158" spans="1:7" x14ac:dyDescent="0.25">
      <c r="A1158" s="104"/>
      <c r="G1158" s="96"/>
    </row>
    <row r="1159" spans="1:7" x14ac:dyDescent="0.25">
      <c r="A1159" s="104" t="s">
        <v>1650</v>
      </c>
      <c r="G1159" s="96"/>
    </row>
    <row r="1160" spans="1:7" ht="60" x14ac:dyDescent="0.25">
      <c r="A1160" s="107" t="s">
        <v>1631</v>
      </c>
      <c r="B1160" s="107"/>
      <c r="C1160" s="107"/>
      <c r="D1160" s="107"/>
      <c r="E1160" s="107"/>
      <c r="F1160" s="107"/>
      <c r="G1160" s="96"/>
    </row>
    <row r="1161" spans="1:7" x14ac:dyDescent="0.25">
      <c r="A1161" s="115" t="s">
        <v>1437</v>
      </c>
      <c r="B1161" s="104" t="s">
        <v>1689</v>
      </c>
      <c r="C1161" s="120">
        <v>0.12</v>
      </c>
      <c r="D1161" s="120"/>
      <c r="E1161" s="120"/>
      <c r="F1161" s="120"/>
      <c r="G1161" s="96"/>
    </row>
    <row r="1162" spans="1:7" x14ac:dyDescent="0.25">
      <c r="A1162" s="2"/>
      <c r="B1162" s="104"/>
      <c r="C1162" s="114" t="s">
        <v>23</v>
      </c>
      <c r="D1162" s="104" t="s">
        <v>863</v>
      </c>
      <c r="E1162" s="105">
        <v>42692</v>
      </c>
      <c r="F1162" s="106"/>
      <c r="G1162" s="96">
        <v>634074.93000000005</v>
      </c>
    </row>
    <row r="1163" spans="1:7" x14ac:dyDescent="0.25">
      <c r="A1163" s="2"/>
      <c r="B1163" s="104"/>
      <c r="C1163" s="114" t="s">
        <v>221</v>
      </c>
      <c r="D1163" s="104" t="s">
        <v>863</v>
      </c>
      <c r="E1163" s="105">
        <v>42804</v>
      </c>
      <c r="F1163" s="106" t="s">
        <v>2332</v>
      </c>
      <c r="G1163" s="96">
        <v>174609.77</v>
      </c>
    </row>
    <row r="1164" spans="1:7" x14ac:dyDescent="0.25">
      <c r="A1164" s="104" t="s">
        <v>1690</v>
      </c>
      <c r="G1164" s="96">
        <v>808684.7</v>
      </c>
    </row>
    <row r="1165" spans="1:7" x14ac:dyDescent="0.25">
      <c r="A1165" s="104"/>
      <c r="G1165" s="96"/>
    </row>
    <row r="1166" spans="1:7" x14ac:dyDescent="0.25">
      <c r="A1166" s="104" t="s">
        <v>1651</v>
      </c>
      <c r="G1166" s="96"/>
    </row>
    <row r="1167" spans="1:7" ht="45" x14ac:dyDescent="0.25">
      <c r="A1167" s="107" t="s">
        <v>1691</v>
      </c>
      <c r="B1167" s="107"/>
      <c r="C1167" s="107"/>
      <c r="D1167" s="107"/>
      <c r="E1167" s="107"/>
      <c r="F1167" s="107"/>
      <c r="G1167" s="96"/>
    </row>
    <row r="1168" spans="1:7" x14ac:dyDescent="0.25">
      <c r="A1168" s="115" t="s">
        <v>1437</v>
      </c>
      <c r="B1168" s="104" t="s">
        <v>1692</v>
      </c>
      <c r="C1168" s="120">
        <v>0.14000000000000001</v>
      </c>
      <c r="D1168" s="120"/>
      <c r="E1168" s="120"/>
      <c r="F1168" s="120"/>
      <c r="G1168" s="96"/>
    </row>
    <row r="1169" spans="1:7" x14ac:dyDescent="0.25">
      <c r="A1169" s="2"/>
      <c r="B1169" s="104"/>
      <c r="C1169" s="114" t="s">
        <v>23</v>
      </c>
      <c r="D1169" s="104" t="s">
        <v>863</v>
      </c>
      <c r="E1169" s="105">
        <v>42692</v>
      </c>
      <c r="F1169" s="106"/>
      <c r="G1169" s="96">
        <v>673918.5</v>
      </c>
    </row>
    <row r="1170" spans="1:7" x14ac:dyDescent="0.25">
      <c r="A1170" s="2"/>
      <c r="B1170" s="104"/>
      <c r="C1170" s="114" t="s">
        <v>103</v>
      </c>
      <c r="D1170" s="104" t="s">
        <v>863</v>
      </c>
      <c r="E1170" s="105">
        <v>42804</v>
      </c>
      <c r="F1170" s="106" t="s">
        <v>2334</v>
      </c>
      <c r="G1170" s="96">
        <v>220078.52</v>
      </c>
    </row>
    <row r="1171" spans="1:7" x14ac:dyDescent="0.25">
      <c r="A1171" s="104" t="s">
        <v>1693</v>
      </c>
      <c r="G1171" s="96">
        <v>893997.02</v>
      </c>
    </row>
    <row r="1172" spans="1:7" x14ac:dyDescent="0.25">
      <c r="A1172" s="104"/>
      <c r="G1172" s="96"/>
    </row>
    <row r="1173" spans="1:7" x14ac:dyDescent="0.25">
      <c r="A1173" s="104" t="s">
        <v>2472</v>
      </c>
      <c r="G1173" s="96"/>
    </row>
    <row r="1174" spans="1:7" ht="60" x14ac:dyDescent="0.25">
      <c r="A1174" s="107" t="s">
        <v>2470</v>
      </c>
      <c r="B1174" s="107"/>
      <c r="C1174" s="107"/>
      <c r="D1174" s="107"/>
      <c r="E1174" s="107"/>
      <c r="F1174" s="107"/>
      <c r="G1174" s="96"/>
    </row>
    <row r="1175" spans="1:7" x14ac:dyDescent="0.25">
      <c r="A1175" s="115" t="s">
        <v>2471</v>
      </c>
      <c r="B1175" s="104" t="s">
        <v>2474</v>
      </c>
      <c r="C1175" s="120">
        <v>0</v>
      </c>
      <c r="D1175" s="120"/>
      <c r="E1175" s="120"/>
      <c r="F1175" s="120"/>
      <c r="G1175" s="96"/>
    </row>
    <row r="1176" spans="1:7" x14ac:dyDescent="0.25">
      <c r="A1176" s="2"/>
      <c r="B1176" s="104"/>
      <c r="C1176" s="114" t="s">
        <v>23</v>
      </c>
      <c r="D1176" s="104" t="s">
        <v>2476</v>
      </c>
      <c r="E1176" s="105">
        <v>42800</v>
      </c>
      <c r="F1176" s="106"/>
      <c r="G1176" s="96">
        <v>206858.09</v>
      </c>
    </row>
    <row r="1177" spans="1:7" x14ac:dyDescent="0.25">
      <c r="A1177" s="104" t="s">
        <v>2475</v>
      </c>
      <c r="G1177" s="96">
        <v>206858.09</v>
      </c>
    </row>
    <row r="1178" spans="1:7" x14ac:dyDescent="0.25">
      <c r="A1178" s="104"/>
      <c r="G1178" s="96"/>
    </row>
    <row r="1179" spans="1:7" x14ac:dyDescent="0.25">
      <c r="A1179" s="104" t="s">
        <v>1842</v>
      </c>
      <c r="G1179" s="96"/>
    </row>
    <row r="1180" spans="1:7" ht="60" x14ac:dyDescent="0.25">
      <c r="A1180" s="107" t="s">
        <v>1841</v>
      </c>
      <c r="B1180" s="107"/>
      <c r="C1180" s="107"/>
      <c r="D1180" s="107"/>
      <c r="E1180" s="107"/>
      <c r="F1180" s="107"/>
      <c r="G1180" s="96"/>
    </row>
    <row r="1181" spans="1:7" x14ac:dyDescent="0.25">
      <c r="A1181" s="115" t="s">
        <v>734</v>
      </c>
      <c r="B1181" s="104" t="s">
        <v>1907</v>
      </c>
      <c r="C1181" s="120">
        <v>0.23</v>
      </c>
      <c r="D1181" s="120"/>
      <c r="E1181" s="120"/>
      <c r="F1181" s="120"/>
      <c r="G1181" s="96"/>
    </row>
    <row r="1182" spans="1:7" x14ac:dyDescent="0.25">
      <c r="A1182" s="2"/>
      <c r="B1182" s="104"/>
      <c r="C1182" s="114" t="s">
        <v>23</v>
      </c>
      <c r="D1182" s="104" t="s">
        <v>863</v>
      </c>
      <c r="E1182" s="105">
        <v>42781</v>
      </c>
      <c r="F1182" s="106"/>
      <c r="G1182" s="96">
        <v>295847.12</v>
      </c>
    </row>
    <row r="1183" spans="1:7" x14ac:dyDescent="0.25">
      <c r="A1183" s="2"/>
      <c r="B1183" s="104"/>
      <c r="C1183" s="114" t="s">
        <v>103</v>
      </c>
      <c r="D1183" s="104" t="s">
        <v>2238</v>
      </c>
      <c r="E1183" s="105">
        <v>42773</v>
      </c>
      <c r="F1183" s="106" t="s">
        <v>1983</v>
      </c>
      <c r="G1183" s="96">
        <v>159958.26</v>
      </c>
    </row>
    <row r="1184" spans="1:7" x14ac:dyDescent="0.25">
      <c r="A1184" s="104" t="s">
        <v>1908</v>
      </c>
      <c r="G1184" s="96">
        <v>455805.38</v>
      </c>
    </row>
    <row r="1185" spans="1:7" x14ac:dyDescent="0.25">
      <c r="A1185" s="104"/>
      <c r="G1185" s="96"/>
    </row>
    <row r="1186" spans="1:7" x14ac:dyDescent="0.25">
      <c r="A1186" s="104" t="s">
        <v>1633</v>
      </c>
      <c r="G1186" s="96"/>
    </row>
    <row r="1187" spans="1:7" ht="75" x14ac:dyDescent="0.25">
      <c r="A1187" s="107" t="s">
        <v>1634</v>
      </c>
      <c r="B1187" s="107"/>
      <c r="C1187" s="107"/>
      <c r="D1187" s="107"/>
      <c r="E1187" s="107"/>
      <c r="F1187" s="107"/>
      <c r="G1187" s="96"/>
    </row>
    <row r="1188" spans="1:7" x14ac:dyDescent="0.25">
      <c r="A1188" s="115" t="s">
        <v>1635</v>
      </c>
      <c r="B1188" s="104" t="s">
        <v>1694</v>
      </c>
      <c r="C1188" s="120">
        <v>0</v>
      </c>
      <c r="D1188" s="120"/>
      <c r="E1188" s="120"/>
      <c r="F1188" s="120"/>
      <c r="G1188" s="96"/>
    </row>
    <row r="1189" spans="1:7" x14ac:dyDescent="0.25">
      <c r="A1189" s="2"/>
      <c r="B1189" s="104"/>
      <c r="C1189" s="114" t="s">
        <v>23</v>
      </c>
      <c r="D1189" s="104" t="s">
        <v>863</v>
      </c>
      <c r="E1189" s="105">
        <v>42781</v>
      </c>
      <c r="F1189" s="106"/>
      <c r="G1189" s="96">
        <v>1017134.29</v>
      </c>
    </row>
    <row r="1190" spans="1:7" x14ac:dyDescent="0.25">
      <c r="A1190" s="104" t="s">
        <v>1695</v>
      </c>
      <c r="G1190" s="96">
        <v>1017134.29</v>
      </c>
    </row>
    <row r="1191" spans="1:7" x14ac:dyDescent="0.25">
      <c r="A1191" s="104"/>
      <c r="G1191" s="96"/>
    </row>
    <row r="1192" spans="1:7" x14ac:dyDescent="0.25">
      <c r="A1192" s="104" t="s">
        <v>1859</v>
      </c>
      <c r="G1192" s="96"/>
    </row>
    <row r="1193" spans="1:7" ht="60" x14ac:dyDescent="0.25">
      <c r="A1193" s="107" t="s">
        <v>1860</v>
      </c>
      <c r="B1193" s="107"/>
      <c r="C1193" s="107"/>
      <c r="D1193" s="107"/>
      <c r="E1193" s="107"/>
      <c r="F1193" s="107"/>
      <c r="G1193" s="96"/>
    </row>
    <row r="1194" spans="1:7" x14ac:dyDescent="0.25">
      <c r="A1194" s="115" t="s">
        <v>1861</v>
      </c>
      <c r="B1194" s="104" t="s">
        <v>2467</v>
      </c>
      <c r="C1194" s="120">
        <v>0</v>
      </c>
      <c r="D1194" s="120"/>
      <c r="E1194" s="120"/>
      <c r="F1194" s="120"/>
      <c r="G1194" s="96"/>
    </row>
    <row r="1195" spans="1:7" x14ac:dyDescent="0.25">
      <c r="A1195" s="2"/>
      <c r="B1195" s="104"/>
      <c r="C1195" s="114" t="s">
        <v>23</v>
      </c>
      <c r="D1195" s="104" t="s">
        <v>2476</v>
      </c>
      <c r="E1195" s="105">
        <v>42800</v>
      </c>
      <c r="F1195" s="106"/>
      <c r="G1195" s="96">
        <v>5639399.0800000001</v>
      </c>
    </row>
    <row r="1196" spans="1:7" x14ac:dyDescent="0.25">
      <c r="A1196" s="104" t="s">
        <v>2468</v>
      </c>
      <c r="G1196" s="96">
        <v>5639399.0800000001</v>
      </c>
    </row>
    <row r="1197" spans="1:7" x14ac:dyDescent="0.25">
      <c r="A1197" s="104"/>
      <c r="G1197" s="96"/>
    </row>
    <row r="1198" spans="1:7" x14ac:dyDescent="0.25">
      <c r="A1198" s="104" t="s">
        <v>1936</v>
      </c>
      <c r="G1198" s="96"/>
    </row>
    <row r="1199" spans="1:7" ht="45" x14ac:dyDescent="0.25">
      <c r="A1199" s="107" t="s">
        <v>1937</v>
      </c>
      <c r="B1199" s="107"/>
      <c r="C1199" s="107"/>
      <c r="D1199" s="107"/>
      <c r="E1199" s="107"/>
      <c r="F1199" s="107"/>
      <c r="G1199" s="96"/>
    </row>
    <row r="1200" spans="1:7" x14ac:dyDescent="0.25">
      <c r="A1200" s="115" t="s">
        <v>1938</v>
      </c>
      <c r="B1200" s="104" t="s">
        <v>1984</v>
      </c>
      <c r="C1200" s="120">
        <v>1</v>
      </c>
      <c r="D1200" s="120"/>
      <c r="E1200" s="120"/>
      <c r="F1200" s="120"/>
      <c r="G1200" s="96"/>
    </row>
    <row r="1201" spans="1:7" x14ac:dyDescent="0.25">
      <c r="A1201" s="2"/>
      <c r="B1201" s="104"/>
      <c r="C1201" s="114" t="s">
        <v>103</v>
      </c>
      <c r="D1201" s="104" t="s">
        <v>863</v>
      </c>
      <c r="E1201" s="105">
        <v>42734</v>
      </c>
      <c r="F1201" s="106" t="s">
        <v>1324</v>
      </c>
      <c r="G1201" s="96">
        <v>160649.46</v>
      </c>
    </row>
    <row r="1202" spans="1:7" x14ac:dyDescent="0.25">
      <c r="A1202" s="104" t="s">
        <v>1985</v>
      </c>
      <c r="G1202" s="96">
        <v>160649.46</v>
      </c>
    </row>
    <row r="1203" spans="1:7" x14ac:dyDescent="0.25">
      <c r="A1203" s="104"/>
      <c r="G1203" s="96"/>
    </row>
    <row r="1204" spans="1:7" x14ac:dyDescent="0.25">
      <c r="A1204" s="104" t="s">
        <v>1776</v>
      </c>
      <c r="G1204" s="96"/>
    </row>
    <row r="1205" spans="1:7" ht="30" x14ac:dyDescent="0.25">
      <c r="A1205" s="107" t="s">
        <v>859</v>
      </c>
      <c r="B1205" s="107"/>
      <c r="C1205" s="107"/>
      <c r="D1205" s="107"/>
      <c r="E1205" s="107"/>
      <c r="F1205" s="107"/>
      <c r="G1205" s="96"/>
    </row>
    <row r="1206" spans="1:7" x14ac:dyDescent="0.25">
      <c r="A1206" s="115" t="s">
        <v>408</v>
      </c>
      <c r="B1206" s="104" t="s">
        <v>1799</v>
      </c>
      <c r="C1206" s="120">
        <v>0</v>
      </c>
      <c r="D1206" s="120"/>
      <c r="E1206" s="120"/>
      <c r="F1206" s="120"/>
      <c r="G1206" s="96"/>
    </row>
    <row r="1207" spans="1:7" x14ac:dyDescent="0.25">
      <c r="A1207" s="2"/>
      <c r="B1207" s="104"/>
      <c r="C1207" s="114" t="s">
        <v>23</v>
      </c>
      <c r="D1207" s="104" t="s">
        <v>863</v>
      </c>
      <c r="E1207" s="105">
        <v>42781</v>
      </c>
      <c r="F1207" s="106"/>
      <c r="G1207" s="96">
        <v>82605.75</v>
      </c>
    </row>
    <row r="1208" spans="1:7" x14ac:dyDescent="0.25">
      <c r="A1208" s="104" t="s">
        <v>1800</v>
      </c>
      <c r="G1208" s="96">
        <v>82605.75</v>
      </c>
    </row>
    <row r="1209" spans="1:7" x14ac:dyDescent="0.25">
      <c r="A1209" s="104"/>
      <c r="G1209" s="96"/>
    </row>
    <row r="1210" spans="1:7" x14ac:dyDescent="0.25">
      <c r="A1210" s="104" t="s">
        <v>1739</v>
      </c>
      <c r="G1210" s="96"/>
    </row>
    <row r="1211" spans="1:7" ht="30" x14ac:dyDescent="0.25">
      <c r="A1211" s="107" t="s">
        <v>1737</v>
      </c>
      <c r="B1211" s="107"/>
      <c r="C1211" s="107"/>
      <c r="D1211" s="107"/>
      <c r="E1211" s="107"/>
      <c r="F1211" s="107"/>
      <c r="G1211" s="96"/>
    </row>
    <row r="1212" spans="1:7" x14ac:dyDescent="0.25">
      <c r="A1212" s="115" t="s">
        <v>604</v>
      </c>
      <c r="B1212" s="104" t="s">
        <v>1757</v>
      </c>
      <c r="C1212" s="120">
        <v>0.99</v>
      </c>
      <c r="D1212" s="120"/>
      <c r="E1212" s="120"/>
      <c r="F1212" s="120"/>
      <c r="G1212" s="96"/>
    </row>
    <row r="1213" spans="1:7" x14ac:dyDescent="0.25">
      <c r="A1213" s="2"/>
      <c r="B1213" s="104"/>
      <c r="C1213" s="114" t="s">
        <v>23</v>
      </c>
      <c r="D1213" s="104" t="s">
        <v>863</v>
      </c>
      <c r="E1213" s="105">
        <v>42712</v>
      </c>
      <c r="F1213" s="106"/>
      <c r="G1213" s="96">
        <v>385375.66</v>
      </c>
    </row>
    <row r="1214" spans="1:7" x14ac:dyDescent="0.25">
      <c r="A1214" s="2"/>
      <c r="B1214" s="104"/>
      <c r="C1214" s="114" t="s">
        <v>103</v>
      </c>
      <c r="D1214" s="104" t="s">
        <v>863</v>
      </c>
      <c r="E1214" s="105">
        <v>42780</v>
      </c>
      <c r="F1214" s="106" t="s">
        <v>1857</v>
      </c>
      <c r="G1214" s="96">
        <v>448335.07</v>
      </c>
    </row>
    <row r="1215" spans="1:7" x14ac:dyDescent="0.25">
      <c r="A1215" s="2"/>
      <c r="B1215" s="104"/>
      <c r="C1215" s="114" t="s">
        <v>221</v>
      </c>
      <c r="D1215" s="104" t="s">
        <v>866</v>
      </c>
      <c r="E1215" s="105">
        <v>42811</v>
      </c>
      <c r="F1215" s="106" t="s">
        <v>2548</v>
      </c>
      <c r="G1215" s="96">
        <v>385269.32</v>
      </c>
    </row>
    <row r="1216" spans="1:7" x14ac:dyDescent="0.25">
      <c r="A1216" s="2"/>
      <c r="B1216" s="104"/>
      <c r="C1216" s="114" t="s">
        <v>55</v>
      </c>
      <c r="D1216" s="104" t="s">
        <v>866</v>
      </c>
      <c r="E1216" s="105">
        <v>42811</v>
      </c>
      <c r="F1216" s="106" t="s">
        <v>2549</v>
      </c>
      <c r="G1216" s="96">
        <v>52087.97</v>
      </c>
    </row>
    <row r="1217" spans="1:7" x14ac:dyDescent="0.25">
      <c r="A1217" s="104" t="s">
        <v>1758</v>
      </c>
      <c r="G1217" s="96">
        <v>1271068.02</v>
      </c>
    </row>
    <row r="1218" spans="1:7" x14ac:dyDescent="0.25">
      <c r="A1218" s="104"/>
      <c r="G1218" s="96"/>
    </row>
    <row r="1219" spans="1:7" x14ac:dyDescent="0.25">
      <c r="A1219" s="104" t="s">
        <v>1746</v>
      </c>
      <c r="G1219" s="96"/>
    </row>
    <row r="1220" spans="1:7" ht="45" x14ac:dyDescent="0.25">
      <c r="A1220" s="107" t="s">
        <v>1747</v>
      </c>
      <c r="B1220" s="107"/>
      <c r="C1220" s="107"/>
      <c r="D1220" s="107"/>
      <c r="E1220" s="107"/>
      <c r="F1220" s="107"/>
      <c r="G1220" s="96"/>
    </row>
    <row r="1221" spans="1:7" x14ac:dyDescent="0.25">
      <c r="A1221" s="115" t="s">
        <v>604</v>
      </c>
      <c r="B1221" s="104" t="s">
        <v>1759</v>
      </c>
      <c r="C1221" s="120">
        <v>0.89</v>
      </c>
      <c r="D1221" s="120"/>
      <c r="E1221" s="120"/>
      <c r="F1221" s="120"/>
      <c r="G1221" s="96"/>
    </row>
    <row r="1222" spans="1:7" x14ac:dyDescent="0.25">
      <c r="A1222" s="2"/>
      <c r="B1222" s="104"/>
      <c r="C1222" s="114" t="s">
        <v>23</v>
      </c>
      <c r="D1222" s="104" t="s">
        <v>863</v>
      </c>
      <c r="E1222" s="105">
        <v>42702</v>
      </c>
      <c r="F1222" s="106"/>
      <c r="G1222" s="96">
        <v>2472483.19</v>
      </c>
    </row>
    <row r="1223" spans="1:7" x14ac:dyDescent="0.25">
      <c r="A1223" s="2"/>
      <c r="B1223" s="104"/>
      <c r="C1223" s="114" t="s">
        <v>103</v>
      </c>
      <c r="D1223" s="104" t="s">
        <v>863</v>
      </c>
      <c r="E1223" s="105">
        <v>42794</v>
      </c>
      <c r="F1223" s="106" t="s">
        <v>2413</v>
      </c>
      <c r="G1223" s="96">
        <v>5156362.46</v>
      </c>
    </row>
    <row r="1224" spans="1:7" x14ac:dyDescent="0.25">
      <c r="A1224" s="104" t="s">
        <v>1760</v>
      </c>
      <c r="G1224" s="96">
        <v>7628845.6500000004</v>
      </c>
    </row>
    <row r="1225" spans="1:7" x14ac:dyDescent="0.25">
      <c r="A1225" s="104"/>
      <c r="G1225" s="96"/>
    </row>
    <row r="1226" spans="1:7" x14ac:dyDescent="0.25">
      <c r="A1226" s="104" t="s">
        <v>2021</v>
      </c>
      <c r="G1226" s="96"/>
    </row>
    <row r="1227" spans="1:7" ht="45" x14ac:dyDescent="0.25">
      <c r="A1227" s="107" t="s">
        <v>2019</v>
      </c>
      <c r="B1227" s="107"/>
      <c r="C1227" s="107"/>
      <c r="D1227" s="107"/>
      <c r="E1227" s="107"/>
      <c r="F1227" s="107"/>
      <c r="G1227" s="96"/>
    </row>
    <row r="1228" spans="1:7" x14ac:dyDescent="0.25">
      <c r="A1228" s="115" t="s">
        <v>571</v>
      </c>
      <c r="B1228" s="104" t="s">
        <v>2135</v>
      </c>
      <c r="C1228" s="120">
        <v>0.55000000000000004</v>
      </c>
      <c r="D1228" s="120"/>
      <c r="E1228" s="120"/>
      <c r="F1228" s="120"/>
      <c r="G1228" s="96"/>
    </row>
    <row r="1229" spans="1:7" x14ac:dyDescent="0.25">
      <c r="A1229" s="2"/>
      <c r="B1229" s="104"/>
      <c r="C1229" s="114" t="s">
        <v>103</v>
      </c>
      <c r="D1229" s="104" t="s">
        <v>863</v>
      </c>
      <c r="E1229" s="105">
        <v>42732</v>
      </c>
      <c r="F1229" s="106" t="s">
        <v>2136</v>
      </c>
      <c r="G1229" s="96">
        <v>2924227.27</v>
      </c>
    </row>
    <row r="1230" spans="1:7" x14ac:dyDescent="0.25">
      <c r="A1230" s="2"/>
      <c r="B1230" s="104"/>
      <c r="C1230" s="114" t="s">
        <v>221</v>
      </c>
      <c r="D1230" s="104" t="s">
        <v>866</v>
      </c>
      <c r="E1230" s="105">
        <v>42810</v>
      </c>
      <c r="F1230" s="106" t="s">
        <v>2550</v>
      </c>
      <c r="G1230" s="96">
        <v>639825.51</v>
      </c>
    </row>
    <row r="1231" spans="1:7" x14ac:dyDescent="0.25">
      <c r="A1231" s="104" t="s">
        <v>2137</v>
      </c>
      <c r="G1231" s="96">
        <v>3564052.78</v>
      </c>
    </row>
    <row r="1232" spans="1:7" x14ac:dyDescent="0.25">
      <c r="A1232" s="104"/>
      <c r="G1232" s="96"/>
    </row>
    <row r="1233" spans="1:7" x14ac:dyDescent="0.25">
      <c r="A1233" s="104" t="s">
        <v>1922</v>
      </c>
      <c r="G1233" s="96"/>
    </row>
    <row r="1234" spans="1:7" ht="60" x14ac:dyDescent="0.25">
      <c r="A1234" s="107" t="s">
        <v>1929</v>
      </c>
      <c r="B1234" s="107"/>
      <c r="C1234" s="107"/>
      <c r="D1234" s="107"/>
      <c r="E1234" s="107"/>
      <c r="F1234" s="107"/>
      <c r="G1234" s="96"/>
    </row>
    <row r="1235" spans="1:7" x14ac:dyDescent="0.25">
      <c r="A1235" s="115" t="s">
        <v>649</v>
      </c>
      <c r="B1235" s="104" t="s">
        <v>1986</v>
      </c>
      <c r="C1235" s="120">
        <v>0.5</v>
      </c>
      <c r="D1235" s="120"/>
      <c r="E1235" s="120"/>
      <c r="F1235" s="120"/>
      <c r="G1235" s="96"/>
    </row>
    <row r="1236" spans="1:7" x14ac:dyDescent="0.25">
      <c r="A1236" s="2"/>
      <c r="B1236" s="104"/>
      <c r="C1236" s="114" t="s">
        <v>103</v>
      </c>
      <c r="D1236" s="104" t="s">
        <v>2238</v>
      </c>
      <c r="E1236" s="105">
        <v>42719</v>
      </c>
      <c r="F1236" s="106" t="s">
        <v>1987</v>
      </c>
      <c r="G1236" s="96">
        <v>148687.35</v>
      </c>
    </row>
    <row r="1237" spans="1:7" x14ac:dyDescent="0.25">
      <c r="A1237" s="104" t="s">
        <v>1988</v>
      </c>
      <c r="G1237" s="96">
        <v>148687.35</v>
      </c>
    </row>
    <row r="1238" spans="1:7" x14ac:dyDescent="0.25">
      <c r="A1238" s="104"/>
      <c r="G1238" s="96"/>
    </row>
    <row r="1239" spans="1:7" x14ac:dyDescent="0.25">
      <c r="A1239" s="104" t="s">
        <v>1930</v>
      </c>
      <c r="G1239" s="96"/>
    </row>
    <row r="1240" spans="1:7" ht="60" x14ac:dyDescent="0.25">
      <c r="A1240" s="107" t="s">
        <v>1931</v>
      </c>
      <c r="B1240" s="107"/>
      <c r="C1240" s="107"/>
      <c r="D1240" s="107"/>
      <c r="E1240" s="107"/>
      <c r="F1240" s="107"/>
      <c r="G1240" s="96"/>
    </row>
    <row r="1241" spans="1:7" x14ac:dyDescent="0.25">
      <c r="A1241" s="115" t="s">
        <v>1932</v>
      </c>
      <c r="B1241" s="104" t="s">
        <v>1989</v>
      </c>
      <c r="C1241" s="120">
        <v>0</v>
      </c>
      <c r="D1241" s="120"/>
      <c r="E1241" s="120"/>
      <c r="F1241" s="120"/>
      <c r="G1241" s="96"/>
    </row>
    <row r="1242" spans="1:7" x14ac:dyDescent="0.25">
      <c r="A1242" s="2"/>
      <c r="B1242" s="104"/>
      <c r="C1242" s="114" t="s">
        <v>23</v>
      </c>
      <c r="D1242" s="104" t="s">
        <v>863</v>
      </c>
      <c r="E1242" s="105">
        <v>42727</v>
      </c>
      <c r="F1242" s="106"/>
      <c r="G1242" s="96">
        <v>96887.9</v>
      </c>
    </row>
    <row r="1243" spans="1:7" x14ac:dyDescent="0.25">
      <c r="A1243" s="104" t="s">
        <v>1990</v>
      </c>
      <c r="G1243" s="96">
        <v>96887.9</v>
      </c>
    </row>
    <row r="1244" spans="1:7" x14ac:dyDescent="0.25">
      <c r="A1244" s="104"/>
      <c r="G1244" s="96"/>
    </row>
    <row r="1245" spans="1:7" x14ac:dyDescent="0.25">
      <c r="A1245" s="104" t="s">
        <v>2040</v>
      </c>
      <c r="G1245" s="96"/>
    </row>
    <row r="1246" spans="1:7" ht="60" x14ac:dyDescent="0.25">
      <c r="A1246" s="107" t="s">
        <v>2041</v>
      </c>
      <c r="B1246" s="107"/>
      <c r="C1246" s="107"/>
      <c r="D1246" s="107"/>
      <c r="E1246" s="107"/>
      <c r="F1246" s="107"/>
      <c r="G1246" s="96"/>
    </row>
    <row r="1247" spans="1:7" x14ac:dyDescent="0.25">
      <c r="A1247" s="115" t="s">
        <v>604</v>
      </c>
      <c r="B1247" s="104" t="s">
        <v>2138</v>
      </c>
      <c r="C1247" s="120">
        <v>0.3</v>
      </c>
      <c r="D1247" s="120"/>
      <c r="E1247" s="120"/>
      <c r="F1247" s="120"/>
      <c r="G1247" s="96"/>
    </row>
    <row r="1248" spans="1:7" x14ac:dyDescent="0.25">
      <c r="A1248" s="2"/>
      <c r="B1248" s="104"/>
      <c r="C1248" s="114" t="s">
        <v>23</v>
      </c>
      <c r="D1248" s="104" t="s">
        <v>863</v>
      </c>
      <c r="E1248" s="105">
        <v>42762</v>
      </c>
      <c r="F1248" s="106"/>
      <c r="G1248" s="96">
        <v>4829644.4800000004</v>
      </c>
    </row>
    <row r="1249" spans="1:7" x14ac:dyDescent="0.25">
      <c r="A1249" s="2"/>
      <c r="B1249" s="104"/>
      <c r="C1249" s="114" t="s">
        <v>103</v>
      </c>
      <c r="D1249" s="104" t="s">
        <v>865</v>
      </c>
      <c r="E1249" s="105">
        <v>42810</v>
      </c>
      <c r="F1249" s="106" t="s">
        <v>2551</v>
      </c>
      <c r="G1249" s="96">
        <v>3315458.52</v>
      </c>
    </row>
    <row r="1250" spans="1:7" x14ac:dyDescent="0.25">
      <c r="A1250" s="104" t="s">
        <v>2139</v>
      </c>
      <c r="G1250" s="96">
        <v>8145103</v>
      </c>
    </row>
    <row r="1251" spans="1:7" x14ac:dyDescent="0.25">
      <c r="A1251" s="104"/>
      <c r="G1251" s="96"/>
    </row>
    <row r="1252" spans="1:7" x14ac:dyDescent="0.25">
      <c r="A1252" s="104" t="s">
        <v>2030</v>
      </c>
      <c r="G1252" s="96"/>
    </row>
    <row r="1253" spans="1:7" ht="45" x14ac:dyDescent="0.25">
      <c r="A1253" s="107" t="s">
        <v>2029</v>
      </c>
      <c r="B1253" s="107"/>
      <c r="C1253" s="107"/>
      <c r="D1253" s="107"/>
      <c r="E1253" s="107"/>
      <c r="F1253" s="107"/>
      <c r="G1253" s="96"/>
    </row>
    <row r="1254" spans="1:7" ht="30" x14ac:dyDescent="0.25">
      <c r="A1254" s="115" t="s">
        <v>66</v>
      </c>
      <c r="B1254" s="104" t="s">
        <v>2140</v>
      </c>
      <c r="C1254" s="120">
        <v>1</v>
      </c>
      <c r="D1254" s="120"/>
      <c r="E1254" s="120"/>
      <c r="F1254" s="120"/>
      <c r="G1254" s="96"/>
    </row>
    <row r="1255" spans="1:7" x14ac:dyDescent="0.25">
      <c r="A1255" s="2"/>
      <c r="B1255" s="104"/>
      <c r="C1255" s="114" t="s">
        <v>103</v>
      </c>
      <c r="D1255" s="104" t="s">
        <v>863</v>
      </c>
      <c r="E1255" s="105">
        <v>42734</v>
      </c>
      <c r="F1255" s="106" t="s">
        <v>1324</v>
      </c>
      <c r="G1255" s="96">
        <v>815249.79</v>
      </c>
    </row>
    <row r="1256" spans="1:7" x14ac:dyDescent="0.25">
      <c r="A1256" s="104" t="s">
        <v>2141</v>
      </c>
      <c r="G1256" s="96">
        <v>815249.79</v>
      </c>
    </row>
    <row r="1257" spans="1:7" x14ac:dyDescent="0.25">
      <c r="A1257" s="104"/>
      <c r="G1257" s="96"/>
    </row>
    <row r="1258" spans="1:7" x14ac:dyDescent="0.25">
      <c r="A1258" s="104" t="s">
        <v>2035</v>
      </c>
      <c r="G1258" s="96"/>
    </row>
    <row r="1259" spans="1:7" ht="45" x14ac:dyDescent="0.25">
      <c r="A1259" s="107" t="s">
        <v>2037</v>
      </c>
      <c r="B1259" s="107"/>
      <c r="C1259" s="107"/>
      <c r="D1259" s="107"/>
      <c r="E1259" s="107"/>
      <c r="F1259" s="107"/>
      <c r="G1259" s="96"/>
    </row>
    <row r="1260" spans="1:7" x14ac:dyDescent="0.25">
      <c r="A1260" s="115" t="s">
        <v>2008</v>
      </c>
      <c r="B1260" s="104" t="s">
        <v>2142</v>
      </c>
      <c r="C1260" s="120">
        <v>1</v>
      </c>
      <c r="D1260" s="120"/>
      <c r="E1260" s="120"/>
      <c r="F1260" s="120"/>
      <c r="G1260" s="96"/>
    </row>
    <row r="1261" spans="1:7" x14ac:dyDescent="0.25">
      <c r="A1261" s="2"/>
      <c r="B1261" s="104"/>
      <c r="C1261" s="114" t="s">
        <v>103</v>
      </c>
      <c r="D1261" s="104" t="s">
        <v>863</v>
      </c>
      <c r="E1261" s="105">
        <v>42734</v>
      </c>
      <c r="F1261" s="106" t="s">
        <v>1324</v>
      </c>
      <c r="G1261" s="96">
        <v>817322.22</v>
      </c>
    </row>
    <row r="1262" spans="1:7" x14ac:dyDescent="0.25">
      <c r="A1262" s="104" t="s">
        <v>2143</v>
      </c>
      <c r="G1262" s="96">
        <v>817322.22</v>
      </c>
    </row>
    <row r="1263" spans="1:7" x14ac:dyDescent="0.25">
      <c r="A1263" s="104"/>
      <c r="G1263" s="96"/>
    </row>
    <row r="1264" spans="1:7" x14ac:dyDescent="0.25">
      <c r="A1264" s="104" t="s">
        <v>2028</v>
      </c>
      <c r="G1264" s="96"/>
    </row>
    <row r="1265" spans="1:7" ht="45" x14ac:dyDescent="0.25">
      <c r="A1265" s="107" t="s">
        <v>2032</v>
      </c>
      <c r="B1265" s="107"/>
      <c r="C1265" s="107"/>
      <c r="D1265" s="107"/>
      <c r="E1265" s="107"/>
      <c r="F1265" s="107"/>
      <c r="G1265" s="96"/>
    </row>
    <row r="1266" spans="1:7" ht="30" x14ac:dyDescent="0.25">
      <c r="A1266" s="115" t="s">
        <v>2027</v>
      </c>
      <c r="B1266" s="104" t="s">
        <v>2144</v>
      </c>
      <c r="C1266" s="120">
        <v>1</v>
      </c>
      <c r="D1266" s="120"/>
      <c r="E1266" s="120"/>
      <c r="F1266" s="120"/>
      <c r="G1266" s="96"/>
    </row>
    <row r="1267" spans="1:7" x14ac:dyDescent="0.25">
      <c r="A1267" s="2"/>
      <c r="B1267" s="104"/>
      <c r="C1267" s="114" t="s">
        <v>103</v>
      </c>
      <c r="D1267" s="104" t="s">
        <v>864</v>
      </c>
      <c r="E1267" s="105">
        <v>42732</v>
      </c>
      <c r="F1267" s="106" t="s">
        <v>2145</v>
      </c>
      <c r="G1267" s="96">
        <v>318872.31</v>
      </c>
    </row>
    <row r="1268" spans="1:7" x14ac:dyDescent="0.25">
      <c r="A1268" s="2"/>
      <c r="B1268" s="104"/>
      <c r="C1268" s="114" t="s">
        <v>221</v>
      </c>
      <c r="D1268" s="104" t="s">
        <v>864</v>
      </c>
      <c r="E1268" s="105">
        <v>42732</v>
      </c>
      <c r="F1268" s="106" t="s">
        <v>2146</v>
      </c>
      <c r="G1268" s="96">
        <v>221053.09</v>
      </c>
    </row>
    <row r="1269" spans="1:7" x14ac:dyDescent="0.25">
      <c r="A1269" s="2"/>
      <c r="B1269" s="104"/>
      <c r="C1269" s="114" t="s">
        <v>55</v>
      </c>
      <c r="D1269" s="104" t="s">
        <v>863</v>
      </c>
      <c r="E1269" s="105">
        <v>42732</v>
      </c>
      <c r="F1269" s="106" t="s">
        <v>2147</v>
      </c>
      <c r="G1269" s="96">
        <v>51318.74</v>
      </c>
    </row>
    <row r="1270" spans="1:7" x14ac:dyDescent="0.25">
      <c r="A1270" s="104" t="s">
        <v>2148</v>
      </c>
      <c r="G1270" s="96">
        <v>591244.14</v>
      </c>
    </row>
    <row r="1271" spans="1:7" x14ac:dyDescent="0.25">
      <c r="A1271" s="104"/>
      <c r="G1271" s="96"/>
    </row>
    <row r="1272" spans="1:7" x14ac:dyDescent="0.25">
      <c r="A1272" s="104" t="s">
        <v>2051</v>
      </c>
      <c r="G1272" s="96"/>
    </row>
    <row r="1273" spans="1:7" ht="45" x14ac:dyDescent="0.25">
      <c r="A1273" s="107" t="s">
        <v>2050</v>
      </c>
      <c r="B1273" s="107"/>
      <c r="C1273" s="107"/>
      <c r="D1273" s="107"/>
      <c r="E1273" s="107"/>
      <c r="F1273" s="107"/>
      <c r="G1273" s="96"/>
    </row>
    <row r="1274" spans="1:7" x14ac:dyDescent="0.25">
      <c r="A1274" s="115" t="s">
        <v>2049</v>
      </c>
      <c r="B1274" s="104" t="s">
        <v>2149</v>
      </c>
      <c r="C1274" s="120">
        <v>1</v>
      </c>
      <c r="D1274" s="120"/>
      <c r="E1274" s="120"/>
      <c r="F1274" s="120"/>
      <c r="G1274" s="96"/>
    </row>
    <row r="1275" spans="1:7" x14ac:dyDescent="0.25">
      <c r="A1275" s="2"/>
      <c r="B1275" s="104"/>
      <c r="C1275" s="114" t="s">
        <v>103</v>
      </c>
      <c r="D1275" s="104" t="s">
        <v>863</v>
      </c>
      <c r="E1275" s="105">
        <v>42734</v>
      </c>
      <c r="F1275" s="106" t="s">
        <v>1324</v>
      </c>
      <c r="G1275" s="96">
        <v>843611.12</v>
      </c>
    </row>
    <row r="1276" spans="1:7" x14ac:dyDescent="0.25">
      <c r="A1276" s="104" t="s">
        <v>2150</v>
      </c>
      <c r="G1276" s="96">
        <v>843611.12</v>
      </c>
    </row>
    <row r="1277" spans="1:7" x14ac:dyDescent="0.25">
      <c r="A1277" s="104"/>
      <c r="G1277" s="96"/>
    </row>
    <row r="1278" spans="1:7" x14ac:dyDescent="0.25">
      <c r="A1278" s="104" t="s">
        <v>2026</v>
      </c>
      <c r="G1278" s="96"/>
    </row>
    <row r="1279" spans="1:7" ht="75" x14ac:dyDescent="0.25">
      <c r="A1279" s="107" t="s">
        <v>2023</v>
      </c>
      <c r="B1279" s="107"/>
      <c r="C1279" s="107"/>
      <c r="D1279" s="107"/>
      <c r="E1279" s="107"/>
      <c r="F1279" s="107"/>
      <c r="G1279" s="96"/>
    </row>
    <row r="1280" spans="1:7" ht="30" x14ac:dyDescent="0.25">
      <c r="A1280" s="115" t="s">
        <v>2027</v>
      </c>
      <c r="B1280" s="104" t="s">
        <v>2151</v>
      </c>
      <c r="C1280" s="120">
        <v>1</v>
      </c>
      <c r="D1280" s="120"/>
      <c r="E1280" s="120"/>
      <c r="F1280" s="120"/>
      <c r="G1280" s="96"/>
    </row>
    <row r="1281" spans="1:7" x14ac:dyDescent="0.25">
      <c r="A1281" s="2"/>
      <c r="B1281" s="104"/>
      <c r="C1281" s="114" t="s">
        <v>103</v>
      </c>
      <c r="D1281" s="104" t="s">
        <v>863</v>
      </c>
      <c r="E1281" s="105">
        <v>42732</v>
      </c>
      <c r="F1281" s="106" t="s">
        <v>1324</v>
      </c>
      <c r="G1281" s="96">
        <v>134690.44</v>
      </c>
    </row>
    <row r="1282" spans="1:7" x14ac:dyDescent="0.25">
      <c r="A1282" s="104" t="s">
        <v>2152</v>
      </c>
      <c r="G1282" s="96">
        <v>134690.44</v>
      </c>
    </row>
    <row r="1283" spans="1:7" x14ac:dyDescent="0.25">
      <c r="A1283" s="104"/>
      <c r="G1283" s="96"/>
    </row>
    <row r="1284" spans="1:7" x14ac:dyDescent="0.25">
      <c r="A1284" s="104" t="s">
        <v>2057</v>
      </c>
      <c r="G1284" s="96"/>
    </row>
    <row r="1285" spans="1:7" ht="30" x14ac:dyDescent="0.25">
      <c r="A1285" s="107" t="s">
        <v>2054</v>
      </c>
      <c r="B1285" s="107"/>
      <c r="C1285" s="107"/>
      <c r="D1285" s="107"/>
      <c r="E1285" s="107"/>
      <c r="F1285" s="107"/>
      <c r="G1285" s="96"/>
    </row>
    <row r="1286" spans="1:7" x14ac:dyDescent="0.25">
      <c r="A1286" s="115" t="s">
        <v>2053</v>
      </c>
      <c r="B1286" s="104" t="s">
        <v>2153</v>
      </c>
      <c r="C1286" s="120">
        <v>1</v>
      </c>
      <c r="D1286" s="120"/>
      <c r="E1286" s="120"/>
      <c r="F1286" s="120"/>
      <c r="G1286" s="96"/>
    </row>
    <row r="1287" spans="1:7" x14ac:dyDescent="0.25">
      <c r="A1287" s="2"/>
      <c r="B1287" s="104"/>
      <c r="C1287" s="114" t="s">
        <v>103</v>
      </c>
      <c r="D1287" s="104" t="s">
        <v>863</v>
      </c>
      <c r="E1287" s="105">
        <v>42734</v>
      </c>
      <c r="F1287" s="106" t="s">
        <v>1324</v>
      </c>
      <c r="G1287" s="96">
        <v>1402664.65</v>
      </c>
    </row>
    <row r="1288" spans="1:7" x14ac:dyDescent="0.25">
      <c r="A1288" s="104" t="s">
        <v>2154</v>
      </c>
      <c r="G1288" s="96">
        <v>1402664.65</v>
      </c>
    </row>
    <row r="1289" spans="1:7" x14ac:dyDescent="0.25">
      <c r="A1289" s="104"/>
      <c r="G1289" s="96"/>
    </row>
    <row r="1290" spans="1:7" x14ac:dyDescent="0.25">
      <c r="A1290" s="104" t="s">
        <v>2065</v>
      </c>
      <c r="G1290" s="96"/>
    </row>
    <row r="1291" spans="1:7" ht="60" x14ac:dyDescent="0.25">
      <c r="A1291" s="107" t="s">
        <v>2064</v>
      </c>
      <c r="B1291" s="107"/>
      <c r="C1291" s="107"/>
      <c r="D1291" s="107"/>
      <c r="E1291" s="107"/>
      <c r="F1291" s="107"/>
      <c r="G1291" s="96"/>
    </row>
    <row r="1292" spans="1:7" x14ac:dyDescent="0.25">
      <c r="A1292" s="115" t="s">
        <v>425</v>
      </c>
      <c r="B1292" s="104" t="s">
        <v>2155</v>
      </c>
      <c r="C1292" s="120">
        <v>1</v>
      </c>
      <c r="D1292" s="120"/>
      <c r="E1292" s="120"/>
      <c r="F1292" s="120"/>
      <c r="G1292" s="96"/>
    </row>
    <row r="1293" spans="1:7" x14ac:dyDescent="0.25">
      <c r="A1293" s="2"/>
      <c r="B1293" s="104"/>
      <c r="C1293" s="114" t="s">
        <v>103</v>
      </c>
      <c r="D1293" s="104" t="s">
        <v>863</v>
      </c>
      <c r="E1293" s="105">
        <v>42734</v>
      </c>
      <c r="F1293" s="106" t="s">
        <v>1324</v>
      </c>
      <c r="G1293" s="96">
        <v>2099297.9</v>
      </c>
    </row>
    <row r="1294" spans="1:7" x14ac:dyDescent="0.25">
      <c r="A1294" s="104" t="s">
        <v>2156</v>
      </c>
      <c r="G1294" s="96">
        <v>2099297.9</v>
      </c>
    </row>
    <row r="1295" spans="1:7" x14ac:dyDescent="0.25">
      <c r="A1295" s="104"/>
      <c r="G1295" s="96"/>
    </row>
    <row r="1296" spans="1:7" x14ac:dyDescent="0.25">
      <c r="A1296" s="104" t="s">
        <v>2075</v>
      </c>
      <c r="G1296" s="96"/>
    </row>
    <row r="1297" spans="1:7" ht="60" x14ac:dyDescent="0.25">
      <c r="A1297" s="107" t="s">
        <v>2166</v>
      </c>
      <c r="B1297" s="107"/>
      <c r="C1297" s="107"/>
      <c r="D1297" s="107"/>
      <c r="E1297" s="107"/>
      <c r="F1297" s="107"/>
      <c r="G1297" s="96"/>
    </row>
    <row r="1298" spans="1:7" x14ac:dyDescent="0.25">
      <c r="A1298" s="115" t="s">
        <v>339</v>
      </c>
      <c r="B1298" s="104" t="s">
        <v>2178</v>
      </c>
      <c r="C1298" s="120">
        <v>1</v>
      </c>
      <c r="D1298" s="120"/>
      <c r="E1298" s="120"/>
      <c r="F1298" s="120"/>
      <c r="G1298" s="96"/>
    </row>
    <row r="1299" spans="1:7" x14ac:dyDescent="0.25">
      <c r="A1299" s="2"/>
      <c r="B1299" s="104"/>
      <c r="C1299" s="114" t="s">
        <v>103</v>
      </c>
      <c r="D1299" s="104" t="s">
        <v>863</v>
      </c>
      <c r="E1299" s="105">
        <v>42759</v>
      </c>
      <c r="F1299" s="106" t="s">
        <v>1324</v>
      </c>
      <c r="G1299" s="96">
        <v>2059713.94</v>
      </c>
    </row>
    <row r="1300" spans="1:7" x14ac:dyDescent="0.25">
      <c r="A1300" s="104" t="s">
        <v>2179</v>
      </c>
      <c r="G1300" s="96">
        <v>2059713.94</v>
      </c>
    </row>
    <row r="1301" spans="1:7" x14ac:dyDescent="0.25">
      <c r="A1301" s="104"/>
      <c r="G1301" s="96"/>
    </row>
    <row r="1302" spans="1:7" x14ac:dyDescent="0.25">
      <c r="A1302" s="104" t="s">
        <v>2076</v>
      </c>
      <c r="G1302" s="96"/>
    </row>
    <row r="1303" spans="1:7" ht="60" x14ac:dyDescent="0.25">
      <c r="A1303" s="107" t="s">
        <v>2171</v>
      </c>
      <c r="B1303" s="107"/>
      <c r="C1303" s="107"/>
      <c r="D1303" s="107"/>
      <c r="E1303" s="107"/>
      <c r="F1303" s="107"/>
      <c r="G1303" s="96"/>
    </row>
    <row r="1304" spans="1:7" x14ac:dyDescent="0.25">
      <c r="A1304" s="115" t="s">
        <v>339</v>
      </c>
      <c r="B1304" s="104" t="s">
        <v>2180</v>
      </c>
      <c r="C1304" s="120">
        <v>1</v>
      </c>
      <c r="D1304" s="120"/>
      <c r="E1304" s="120"/>
      <c r="F1304" s="120"/>
      <c r="G1304" s="96"/>
    </row>
    <row r="1305" spans="1:7" x14ac:dyDescent="0.25">
      <c r="A1305" s="2"/>
      <c r="B1305" s="104"/>
      <c r="C1305" s="114" t="s">
        <v>103</v>
      </c>
      <c r="D1305" s="104" t="s">
        <v>863</v>
      </c>
      <c r="E1305" s="105">
        <v>42759</v>
      </c>
      <c r="F1305" s="106" t="s">
        <v>2181</v>
      </c>
      <c r="G1305" s="96">
        <v>429642.88</v>
      </c>
    </row>
    <row r="1306" spans="1:7" x14ac:dyDescent="0.25">
      <c r="A1306" s="2"/>
      <c r="B1306" s="104"/>
      <c r="C1306" s="114" t="s">
        <v>221</v>
      </c>
      <c r="D1306" s="104" t="s">
        <v>863</v>
      </c>
      <c r="E1306" s="105">
        <v>42759</v>
      </c>
      <c r="F1306" s="106" t="s">
        <v>2182</v>
      </c>
      <c r="G1306" s="96">
        <v>1674636.29</v>
      </c>
    </row>
    <row r="1307" spans="1:7" x14ac:dyDescent="0.25">
      <c r="A1307" s="104" t="s">
        <v>2183</v>
      </c>
      <c r="G1307" s="96">
        <v>2104279.17</v>
      </c>
    </row>
    <row r="1308" spans="1:7" x14ac:dyDescent="0.25">
      <c r="A1308" s="104"/>
      <c r="G1308" s="96"/>
    </row>
    <row r="1309" spans="1:7" x14ac:dyDescent="0.25">
      <c r="A1309" s="104" t="s">
        <v>2077</v>
      </c>
      <c r="G1309" s="96"/>
    </row>
    <row r="1310" spans="1:7" ht="75" x14ac:dyDescent="0.25">
      <c r="A1310" s="107" t="s">
        <v>2169</v>
      </c>
      <c r="B1310" s="107"/>
      <c r="C1310" s="107"/>
      <c r="D1310" s="107"/>
      <c r="E1310" s="107"/>
      <c r="F1310" s="107"/>
      <c r="G1310" s="96"/>
    </row>
    <row r="1311" spans="1:7" x14ac:dyDescent="0.25">
      <c r="A1311" s="115" t="s">
        <v>2008</v>
      </c>
      <c r="B1311" s="104" t="s">
        <v>2259</v>
      </c>
      <c r="C1311" s="120">
        <v>1</v>
      </c>
      <c r="D1311" s="120"/>
      <c r="E1311" s="120"/>
      <c r="F1311" s="120"/>
      <c r="G1311" s="96"/>
    </row>
    <row r="1312" spans="1:7" x14ac:dyDescent="0.25">
      <c r="A1312" s="2"/>
      <c r="B1312" s="104"/>
      <c r="C1312" s="114" t="s">
        <v>103</v>
      </c>
      <c r="D1312" s="104" t="s">
        <v>863</v>
      </c>
      <c r="E1312" s="105">
        <v>42767</v>
      </c>
      <c r="F1312" s="106" t="s">
        <v>1324</v>
      </c>
      <c r="G1312" s="96">
        <v>2063495.17</v>
      </c>
    </row>
    <row r="1313" spans="1:7" x14ac:dyDescent="0.25">
      <c r="A1313" s="104" t="s">
        <v>2260</v>
      </c>
      <c r="G1313" s="96">
        <v>2063495.17</v>
      </c>
    </row>
    <row r="1314" spans="1:7" x14ac:dyDescent="0.25">
      <c r="A1314" s="104"/>
      <c r="G1314" s="96"/>
    </row>
    <row r="1315" spans="1:7" x14ac:dyDescent="0.25">
      <c r="A1315" s="104" t="s">
        <v>2438</v>
      </c>
      <c r="G1315" s="96"/>
    </row>
    <row r="1316" spans="1:7" ht="45" x14ac:dyDescent="0.25">
      <c r="A1316" s="107" t="s">
        <v>2439</v>
      </c>
      <c r="B1316" s="107"/>
      <c r="C1316" s="107"/>
      <c r="D1316" s="107"/>
      <c r="E1316" s="107"/>
      <c r="F1316" s="107"/>
      <c r="G1316" s="96"/>
    </row>
    <row r="1317" spans="1:7" ht="30" x14ac:dyDescent="0.25">
      <c r="A1317" s="115" t="s">
        <v>329</v>
      </c>
      <c r="B1317" s="104" t="s">
        <v>2552</v>
      </c>
      <c r="C1317" s="120">
        <v>0.89</v>
      </c>
      <c r="D1317" s="120"/>
      <c r="E1317" s="120"/>
      <c r="F1317" s="120"/>
      <c r="G1317" s="96"/>
    </row>
    <row r="1318" spans="1:7" x14ac:dyDescent="0.25">
      <c r="A1318" s="2"/>
      <c r="B1318" s="104"/>
      <c r="C1318" s="114" t="s">
        <v>103</v>
      </c>
      <c r="D1318" s="104" t="s">
        <v>866</v>
      </c>
      <c r="E1318" s="105">
        <v>42811</v>
      </c>
      <c r="F1318" s="106" t="s">
        <v>2553</v>
      </c>
      <c r="G1318" s="96">
        <v>510307.94</v>
      </c>
    </row>
    <row r="1319" spans="1:7" x14ac:dyDescent="0.25">
      <c r="A1319" s="104" t="s">
        <v>2554</v>
      </c>
      <c r="G1319" s="96">
        <v>510307.94</v>
      </c>
    </row>
    <row r="1320" spans="1:7" x14ac:dyDescent="0.25">
      <c r="A1320" s="104"/>
      <c r="G1320" s="96"/>
    </row>
    <row r="1321" spans="1:7" x14ac:dyDescent="0.25">
      <c r="A1321" s="104" t="s">
        <v>2389</v>
      </c>
      <c r="G1321" s="96"/>
    </row>
    <row r="1322" spans="1:7" ht="75" x14ac:dyDescent="0.25">
      <c r="A1322" s="107" t="s">
        <v>2390</v>
      </c>
      <c r="B1322" s="107"/>
      <c r="C1322" s="107"/>
      <c r="D1322" s="107"/>
      <c r="E1322" s="107"/>
      <c r="F1322" s="107"/>
      <c r="G1322" s="96"/>
    </row>
    <row r="1323" spans="1:7" x14ac:dyDescent="0.25">
      <c r="A1323" s="115" t="s">
        <v>2391</v>
      </c>
      <c r="B1323" s="104" t="s">
        <v>2555</v>
      </c>
      <c r="C1323" s="120">
        <v>0</v>
      </c>
      <c r="D1323" s="120"/>
      <c r="E1323" s="120"/>
      <c r="F1323" s="120"/>
      <c r="G1323" s="96"/>
    </row>
    <row r="1324" spans="1:7" x14ac:dyDescent="0.25">
      <c r="A1324" s="2"/>
      <c r="B1324" s="104"/>
      <c r="C1324" s="114" t="s">
        <v>23</v>
      </c>
      <c r="D1324" s="104" t="s">
        <v>864</v>
      </c>
      <c r="E1324" s="105">
        <v>42810</v>
      </c>
      <c r="F1324" s="106"/>
      <c r="G1324" s="96">
        <v>1450369.83</v>
      </c>
    </row>
    <row r="1325" spans="1:7" x14ac:dyDescent="0.25">
      <c r="A1325" s="104" t="s">
        <v>2556</v>
      </c>
      <c r="G1325" s="96">
        <v>1450369.83</v>
      </c>
    </row>
    <row r="1326" spans="1:7" x14ac:dyDescent="0.25">
      <c r="A1326" s="104"/>
      <c r="G1326" s="96"/>
    </row>
    <row r="1327" spans="1:7" x14ac:dyDescent="0.25">
      <c r="A1327" s="104" t="s">
        <v>2285</v>
      </c>
      <c r="G1327" s="96"/>
    </row>
    <row r="1328" spans="1:7" ht="60" x14ac:dyDescent="0.25">
      <c r="A1328" s="107" t="s">
        <v>2286</v>
      </c>
      <c r="B1328" s="107"/>
      <c r="C1328" s="107"/>
      <c r="D1328" s="107"/>
      <c r="E1328" s="107"/>
      <c r="F1328" s="107"/>
      <c r="G1328" s="96"/>
    </row>
    <row r="1329" spans="1:7" ht="30" x14ac:dyDescent="0.25">
      <c r="A1329" s="115" t="s">
        <v>873</v>
      </c>
      <c r="B1329" s="104" t="s">
        <v>2557</v>
      </c>
      <c r="C1329" s="120">
        <v>0</v>
      </c>
      <c r="D1329" s="120"/>
      <c r="E1329" s="120"/>
      <c r="F1329" s="120"/>
      <c r="G1329" s="96"/>
    </row>
    <row r="1330" spans="1:7" x14ac:dyDescent="0.25">
      <c r="A1330" s="2"/>
      <c r="B1330" s="104"/>
      <c r="C1330" s="114" t="s">
        <v>23</v>
      </c>
      <c r="D1330" s="104" t="s">
        <v>864</v>
      </c>
      <c r="E1330" s="105">
        <v>42811</v>
      </c>
      <c r="F1330" s="106"/>
      <c r="G1330" s="96">
        <v>4651840.3899999997</v>
      </c>
    </row>
    <row r="1331" spans="1:7" x14ac:dyDescent="0.25">
      <c r="A1331" s="104" t="s">
        <v>2558</v>
      </c>
      <c r="G1331" s="96">
        <v>4651840.3899999997</v>
      </c>
    </row>
    <row r="1332" spans="1:7" x14ac:dyDescent="0.25">
      <c r="A1332" s="104"/>
      <c r="G1332" s="96"/>
    </row>
    <row r="1333" spans="1:7" x14ac:dyDescent="0.25">
      <c r="A1333" s="104" t="s">
        <v>777</v>
      </c>
      <c r="G1333" s="96"/>
    </row>
    <row r="1334" spans="1:7" ht="60" x14ac:dyDescent="0.25">
      <c r="A1334" s="107" t="s">
        <v>778</v>
      </c>
      <c r="B1334" s="107"/>
      <c r="C1334" s="107"/>
      <c r="D1334" s="107"/>
      <c r="E1334" s="107"/>
      <c r="F1334" s="107"/>
      <c r="G1334" s="96"/>
    </row>
    <row r="1335" spans="1:7" ht="30" x14ac:dyDescent="0.25">
      <c r="A1335" s="115" t="s">
        <v>779</v>
      </c>
      <c r="B1335" s="104" t="s">
        <v>1546</v>
      </c>
      <c r="C1335" s="120">
        <v>0.97</v>
      </c>
      <c r="D1335" s="120"/>
      <c r="E1335" s="120"/>
      <c r="F1335" s="120"/>
      <c r="G1335" s="96"/>
    </row>
    <row r="1336" spans="1:7" x14ac:dyDescent="0.25">
      <c r="A1336" s="2"/>
      <c r="B1336" s="104"/>
      <c r="C1336" s="114" t="s">
        <v>23</v>
      </c>
      <c r="D1336" s="104" t="s">
        <v>863</v>
      </c>
      <c r="E1336" s="105">
        <v>42614</v>
      </c>
      <c r="F1336" s="106"/>
      <c r="G1336" s="96">
        <v>5861825.5800000001</v>
      </c>
    </row>
    <row r="1337" spans="1:7" x14ac:dyDescent="0.25">
      <c r="A1337" s="2"/>
      <c r="B1337" s="104"/>
      <c r="C1337" s="114" t="s">
        <v>103</v>
      </c>
      <c r="D1337" s="104" t="s">
        <v>863</v>
      </c>
      <c r="E1337" s="105">
        <v>42702</v>
      </c>
      <c r="F1337" s="106" t="s">
        <v>1334</v>
      </c>
      <c r="G1337" s="96">
        <v>1658085.05</v>
      </c>
    </row>
    <row r="1338" spans="1:7" x14ac:dyDescent="0.25">
      <c r="A1338" s="2"/>
      <c r="B1338" s="104"/>
      <c r="C1338" s="114" t="s">
        <v>221</v>
      </c>
      <c r="D1338" s="104" t="s">
        <v>863</v>
      </c>
      <c r="E1338" s="105">
        <v>42710</v>
      </c>
      <c r="F1338" s="106" t="s">
        <v>1676</v>
      </c>
      <c r="G1338" s="96">
        <v>5099524.07</v>
      </c>
    </row>
    <row r="1339" spans="1:7" x14ac:dyDescent="0.25">
      <c r="A1339" s="2"/>
      <c r="B1339" s="104"/>
      <c r="C1339" s="114" t="s">
        <v>55</v>
      </c>
      <c r="D1339" s="104" t="s">
        <v>864</v>
      </c>
      <c r="E1339" s="105">
        <v>42811</v>
      </c>
      <c r="F1339" s="106" t="s">
        <v>1892</v>
      </c>
      <c r="G1339" s="96">
        <v>5177621.22</v>
      </c>
    </row>
    <row r="1340" spans="1:7" x14ac:dyDescent="0.25">
      <c r="A1340" s="2"/>
      <c r="B1340" s="104"/>
      <c r="C1340" s="114" t="s">
        <v>215</v>
      </c>
      <c r="D1340" s="104" t="s">
        <v>864</v>
      </c>
      <c r="E1340" s="105">
        <v>42811</v>
      </c>
      <c r="F1340" s="106" t="s">
        <v>2101</v>
      </c>
      <c r="G1340" s="96">
        <v>1283573.51</v>
      </c>
    </row>
    <row r="1341" spans="1:7" x14ac:dyDescent="0.25">
      <c r="A1341" s="104" t="s">
        <v>1547</v>
      </c>
      <c r="G1341" s="96">
        <v>19080629.43</v>
      </c>
    </row>
    <row r="1342" spans="1:7" x14ac:dyDescent="0.25">
      <c r="A1342" s="104"/>
      <c r="G1342" s="96"/>
    </row>
    <row r="1343" spans="1:7" x14ac:dyDescent="0.25">
      <c r="A1343" s="104" t="s">
        <v>824</v>
      </c>
      <c r="G1343" s="96"/>
    </row>
    <row r="1344" spans="1:7" ht="75" x14ac:dyDescent="0.25">
      <c r="A1344" s="107" t="s">
        <v>826</v>
      </c>
      <c r="B1344" s="107"/>
      <c r="C1344" s="107"/>
      <c r="D1344" s="107"/>
      <c r="E1344" s="107"/>
      <c r="F1344" s="107"/>
      <c r="G1344" s="96"/>
    </row>
    <row r="1345" spans="1:7" x14ac:dyDescent="0.25">
      <c r="A1345" s="115" t="s">
        <v>823</v>
      </c>
      <c r="B1345" s="104" t="s">
        <v>1548</v>
      </c>
      <c r="C1345" s="120">
        <v>0.51</v>
      </c>
      <c r="D1345" s="120"/>
      <c r="E1345" s="120"/>
      <c r="F1345" s="120"/>
      <c r="G1345" s="96"/>
    </row>
    <row r="1346" spans="1:7" x14ac:dyDescent="0.25">
      <c r="A1346" s="2"/>
      <c r="B1346" s="104"/>
      <c r="C1346" s="114" t="s">
        <v>23</v>
      </c>
      <c r="D1346" s="104" t="s">
        <v>863</v>
      </c>
      <c r="E1346" s="105">
        <v>42619</v>
      </c>
      <c r="F1346" s="106"/>
      <c r="G1346" s="96">
        <v>6861945.5199999996</v>
      </c>
    </row>
    <row r="1347" spans="1:7" x14ac:dyDescent="0.25">
      <c r="A1347" s="2"/>
      <c r="B1347" s="104"/>
      <c r="C1347" s="114" t="s">
        <v>103</v>
      </c>
      <c r="D1347" s="104" t="s">
        <v>863</v>
      </c>
      <c r="E1347" s="105">
        <v>42727</v>
      </c>
      <c r="F1347" s="106" t="s">
        <v>1893</v>
      </c>
      <c r="G1347" s="96">
        <v>1412254.15</v>
      </c>
    </row>
    <row r="1348" spans="1:7" x14ac:dyDescent="0.25">
      <c r="A1348" s="2"/>
      <c r="B1348" s="104"/>
      <c r="C1348" s="114" t="s">
        <v>221</v>
      </c>
      <c r="D1348" s="104" t="s">
        <v>863</v>
      </c>
      <c r="E1348" s="105">
        <v>42733</v>
      </c>
      <c r="F1348" s="106" t="s">
        <v>1968</v>
      </c>
      <c r="G1348" s="96">
        <v>2868756.65</v>
      </c>
    </row>
    <row r="1349" spans="1:7" x14ac:dyDescent="0.25">
      <c r="A1349" s="2"/>
      <c r="B1349" s="104"/>
      <c r="C1349" s="114" t="s">
        <v>55</v>
      </c>
      <c r="D1349" s="104" t="s">
        <v>863</v>
      </c>
      <c r="E1349" s="105">
        <v>42804</v>
      </c>
      <c r="F1349" s="106" t="s">
        <v>2315</v>
      </c>
      <c r="G1349" s="96">
        <v>3855340.56</v>
      </c>
    </row>
    <row r="1350" spans="1:7" x14ac:dyDescent="0.25">
      <c r="A1350" s="104" t="s">
        <v>1549</v>
      </c>
      <c r="G1350" s="96">
        <v>14998296.880000001</v>
      </c>
    </row>
    <row r="1351" spans="1:7" x14ac:dyDescent="0.25">
      <c r="A1351" s="104"/>
      <c r="G1351" s="96"/>
    </row>
    <row r="1352" spans="1:7" x14ac:dyDescent="0.25">
      <c r="A1352" s="104" t="s">
        <v>872</v>
      </c>
      <c r="G1352" s="96"/>
    </row>
    <row r="1353" spans="1:7" ht="45" x14ac:dyDescent="0.25">
      <c r="A1353" s="107" t="s">
        <v>874</v>
      </c>
      <c r="B1353" s="107"/>
      <c r="C1353" s="107"/>
      <c r="D1353" s="107"/>
      <c r="E1353" s="107"/>
      <c r="F1353" s="107"/>
      <c r="G1353" s="96"/>
    </row>
    <row r="1354" spans="1:7" ht="30" x14ac:dyDescent="0.25">
      <c r="A1354" s="115" t="s">
        <v>873</v>
      </c>
      <c r="B1354" s="104" t="s">
        <v>1550</v>
      </c>
      <c r="C1354" s="120">
        <v>0.94</v>
      </c>
      <c r="D1354" s="120"/>
      <c r="E1354" s="120"/>
      <c r="F1354" s="120"/>
      <c r="G1354" s="96"/>
    </row>
    <row r="1355" spans="1:7" x14ac:dyDescent="0.25">
      <c r="A1355" s="2"/>
      <c r="B1355" s="104"/>
      <c r="C1355" s="114" t="s">
        <v>23</v>
      </c>
      <c r="D1355" s="104" t="s">
        <v>863</v>
      </c>
      <c r="E1355" s="105">
        <v>42626</v>
      </c>
      <c r="F1355" s="106"/>
      <c r="G1355" s="96">
        <v>7846191.1100000003</v>
      </c>
    </row>
    <row r="1356" spans="1:7" x14ac:dyDescent="0.25">
      <c r="A1356" s="2"/>
      <c r="B1356" s="104"/>
      <c r="C1356" s="114" t="s">
        <v>103</v>
      </c>
      <c r="D1356" s="104" t="s">
        <v>863</v>
      </c>
      <c r="E1356" s="105">
        <v>42733</v>
      </c>
      <c r="F1356" s="106" t="s">
        <v>1969</v>
      </c>
      <c r="G1356" s="96">
        <v>2128192.44</v>
      </c>
    </row>
    <row r="1357" spans="1:7" x14ac:dyDescent="0.25">
      <c r="A1357" s="2"/>
      <c r="B1357" s="104"/>
      <c r="C1357" s="114" t="s">
        <v>221</v>
      </c>
      <c r="D1357" s="104" t="s">
        <v>863</v>
      </c>
      <c r="E1357" s="105">
        <v>42733</v>
      </c>
      <c r="F1357" s="106" t="s">
        <v>1970</v>
      </c>
      <c r="G1357" s="96">
        <v>3569902.12</v>
      </c>
    </row>
    <row r="1358" spans="1:7" x14ac:dyDescent="0.25">
      <c r="A1358" s="2"/>
      <c r="B1358" s="104"/>
      <c r="C1358" s="114" t="s">
        <v>55</v>
      </c>
      <c r="D1358" s="104" t="s">
        <v>863</v>
      </c>
      <c r="E1358" s="105">
        <v>42759</v>
      </c>
      <c r="F1358" s="106" t="s">
        <v>2102</v>
      </c>
      <c r="G1358" s="96">
        <v>7403625.0700000003</v>
      </c>
    </row>
    <row r="1359" spans="1:7" x14ac:dyDescent="0.25">
      <c r="A1359" s="2"/>
      <c r="B1359" s="104"/>
      <c r="C1359" s="114" t="s">
        <v>215</v>
      </c>
      <c r="D1359" s="104" t="s">
        <v>866</v>
      </c>
      <c r="E1359" s="105">
        <v>42807</v>
      </c>
      <c r="F1359" s="106" t="s">
        <v>2483</v>
      </c>
      <c r="G1359" s="96">
        <v>4088907.55</v>
      </c>
    </row>
    <row r="1360" spans="1:7" x14ac:dyDescent="0.25">
      <c r="A1360" s="104" t="s">
        <v>1551</v>
      </c>
      <c r="G1360" s="96">
        <v>25036818.289999999</v>
      </c>
    </row>
    <row r="1361" spans="1:7" x14ac:dyDescent="0.25">
      <c r="A1361" s="104"/>
      <c r="G1361" s="96"/>
    </row>
    <row r="1362" spans="1:7" x14ac:dyDescent="0.25">
      <c r="A1362" s="104" t="s">
        <v>835</v>
      </c>
      <c r="G1362" s="96"/>
    </row>
    <row r="1363" spans="1:7" ht="75" x14ac:dyDescent="0.25">
      <c r="A1363" s="107" t="s">
        <v>836</v>
      </c>
      <c r="B1363" s="107"/>
      <c r="C1363" s="107"/>
      <c r="D1363" s="107"/>
      <c r="E1363" s="107"/>
      <c r="F1363" s="107"/>
      <c r="G1363" s="96"/>
    </row>
    <row r="1364" spans="1:7" x14ac:dyDescent="0.25">
      <c r="A1364" s="115" t="s">
        <v>834</v>
      </c>
      <c r="B1364" s="104" t="s">
        <v>1182</v>
      </c>
      <c r="C1364" s="120">
        <v>0.98</v>
      </c>
      <c r="D1364" s="120"/>
      <c r="E1364" s="120"/>
      <c r="F1364" s="120"/>
      <c r="G1364" s="96"/>
    </row>
    <row r="1365" spans="1:7" x14ac:dyDescent="0.25">
      <c r="A1365" s="2"/>
      <c r="B1365" s="104"/>
      <c r="C1365" s="114" t="s">
        <v>23</v>
      </c>
      <c r="D1365" s="104" t="s">
        <v>863</v>
      </c>
      <c r="E1365" s="105">
        <v>42646</v>
      </c>
      <c r="F1365" s="106"/>
      <c r="G1365" s="96">
        <v>5720997.1399999997</v>
      </c>
    </row>
    <row r="1366" spans="1:7" x14ac:dyDescent="0.25">
      <c r="A1366" s="2"/>
      <c r="B1366" s="104"/>
      <c r="C1366" s="114" t="s">
        <v>103</v>
      </c>
      <c r="D1366" s="104" t="s">
        <v>863</v>
      </c>
      <c r="E1366" s="105">
        <v>42734</v>
      </c>
      <c r="F1366" s="106" t="s">
        <v>1849</v>
      </c>
      <c r="G1366" s="96">
        <v>2995461.01</v>
      </c>
    </row>
    <row r="1367" spans="1:7" x14ac:dyDescent="0.25">
      <c r="A1367" s="2"/>
      <c r="B1367" s="104"/>
      <c r="C1367" s="114" t="s">
        <v>221</v>
      </c>
      <c r="D1367" s="104" t="s">
        <v>863</v>
      </c>
      <c r="E1367" s="105">
        <v>42734</v>
      </c>
      <c r="F1367" s="106" t="s">
        <v>1971</v>
      </c>
      <c r="G1367" s="96">
        <v>2382064.54</v>
      </c>
    </row>
    <row r="1368" spans="1:7" x14ac:dyDescent="0.25">
      <c r="A1368" s="2"/>
      <c r="B1368" s="104"/>
      <c r="C1368" s="114" t="s">
        <v>55</v>
      </c>
      <c r="D1368" s="104" t="s">
        <v>863</v>
      </c>
      <c r="E1368" s="105">
        <v>42732</v>
      </c>
      <c r="F1368" s="106" t="s">
        <v>2104</v>
      </c>
      <c r="G1368" s="96">
        <v>2054975.73</v>
      </c>
    </row>
    <row r="1369" spans="1:7" x14ac:dyDescent="0.25">
      <c r="A1369" s="2"/>
      <c r="B1369" s="104"/>
      <c r="C1369" s="114" t="s">
        <v>215</v>
      </c>
      <c r="D1369" s="104" t="s">
        <v>863</v>
      </c>
      <c r="E1369" s="105">
        <v>42759</v>
      </c>
      <c r="F1369" s="106" t="s">
        <v>2105</v>
      </c>
      <c r="G1369" s="96">
        <v>829891.59</v>
      </c>
    </row>
    <row r="1370" spans="1:7" x14ac:dyDescent="0.25">
      <c r="A1370" s="2"/>
      <c r="B1370" s="104"/>
      <c r="C1370" s="114" t="s">
        <v>15</v>
      </c>
      <c r="D1370" s="104" t="s">
        <v>863</v>
      </c>
      <c r="E1370" s="105">
        <v>42810</v>
      </c>
      <c r="F1370" s="106" t="s">
        <v>1342</v>
      </c>
      <c r="G1370" s="96">
        <v>2450173.0299999998</v>
      </c>
    </row>
    <row r="1371" spans="1:7" x14ac:dyDescent="0.25">
      <c r="A1371" s="2"/>
      <c r="B1371" s="104"/>
      <c r="C1371" s="114" t="s">
        <v>214</v>
      </c>
      <c r="D1371" s="104" t="s">
        <v>863</v>
      </c>
      <c r="E1371" s="105">
        <v>42810</v>
      </c>
      <c r="F1371" s="106" t="s">
        <v>2106</v>
      </c>
      <c r="G1371" s="96">
        <v>2228773.56</v>
      </c>
    </row>
    <row r="1372" spans="1:7" x14ac:dyDescent="0.25">
      <c r="A1372" s="104" t="s">
        <v>1183</v>
      </c>
      <c r="G1372" s="96">
        <v>18662336.600000001</v>
      </c>
    </row>
    <row r="1373" spans="1:7" x14ac:dyDescent="0.25">
      <c r="A1373" s="104"/>
      <c r="G1373" s="96"/>
    </row>
    <row r="1374" spans="1:7" x14ac:dyDescent="0.25">
      <c r="A1374" s="104" t="s">
        <v>914</v>
      </c>
      <c r="G1374" s="96"/>
    </row>
    <row r="1375" spans="1:7" ht="60" x14ac:dyDescent="0.25">
      <c r="A1375" s="107" t="s">
        <v>912</v>
      </c>
      <c r="B1375" s="107"/>
      <c r="C1375" s="107"/>
      <c r="D1375" s="107"/>
      <c r="E1375" s="107"/>
      <c r="F1375" s="107"/>
      <c r="G1375" s="96"/>
    </row>
    <row r="1376" spans="1:7" ht="30" x14ac:dyDescent="0.25">
      <c r="A1376" s="115" t="s">
        <v>913</v>
      </c>
      <c r="B1376" s="104" t="s">
        <v>1248</v>
      </c>
      <c r="C1376" s="120">
        <v>0.02</v>
      </c>
      <c r="D1376" s="120"/>
      <c r="E1376" s="120"/>
      <c r="F1376" s="120"/>
      <c r="G1376" s="96"/>
    </row>
    <row r="1377" spans="1:7" x14ac:dyDescent="0.25">
      <c r="A1377" s="2"/>
      <c r="B1377" s="104"/>
      <c r="C1377" s="114" t="s">
        <v>23</v>
      </c>
      <c r="D1377" s="104" t="s">
        <v>863</v>
      </c>
      <c r="E1377" s="105">
        <v>42660</v>
      </c>
      <c r="F1377" s="106"/>
      <c r="G1377" s="96">
        <v>3071355.59</v>
      </c>
    </row>
    <row r="1378" spans="1:7" x14ac:dyDescent="0.25">
      <c r="A1378" s="2"/>
      <c r="B1378" s="104"/>
      <c r="C1378" s="114" t="s">
        <v>103</v>
      </c>
      <c r="D1378" s="104" t="s">
        <v>863</v>
      </c>
      <c r="E1378" s="105">
        <v>42789</v>
      </c>
      <c r="F1378" s="106" t="s">
        <v>2240</v>
      </c>
      <c r="G1378" s="96">
        <v>115825.05</v>
      </c>
    </row>
    <row r="1379" spans="1:7" x14ac:dyDescent="0.25">
      <c r="A1379" s="2"/>
      <c r="B1379" s="104"/>
      <c r="C1379" s="114" t="s">
        <v>221</v>
      </c>
      <c r="D1379" s="104" t="s">
        <v>863</v>
      </c>
      <c r="E1379" s="105">
        <v>42789</v>
      </c>
      <c r="F1379" s="106" t="s">
        <v>2241</v>
      </c>
      <c r="G1379" s="96">
        <v>1</v>
      </c>
    </row>
    <row r="1380" spans="1:7" x14ac:dyDescent="0.25">
      <c r="A1380" s="2"/>
      <c r="B1380" s="104"/>
      <c r="C1380" s="114" t="s">
        <v>55</v>
      </c>
      <c r="D1380" s="104" t="s">
        <v>866</v>
      </c>
      <c r="E1380" s="105">
        <v>42800</v>
      </c>
      <c r="F1380" s="106" t="s">
        <v>2241</v>
      </c>
      <c r="G1380" s="96">
        <v>1</v>
      </c>
    </row>
    <row r="1381" spans="1:7" x14ac:dyDescent="0.25">
      <c r="A1381" s="104" t="s">
        <v>1552</v>
      </c>
      <c r="G1381" s="96">
        <v>3187182.64</v>
      </c>
    </row>
    <row r="1382" spans="1:7" x14ac:dyDescent="0.25">
      <c r="A1382" s="104"/>
      <c r="G1382" s="96"/>
    </row>
    <row r="1383" spans="1:7" x14ac:dyDescent="0.25">
      <c r="A1383" s="104" t="s">
        <v>1725</v>
      </c>
      <c r="G1383" s="96"/>
    </row>
    <row r="1384" spans="1:7" ht="45" x14ac:dyDescent="0.25">
      <c r="A1384" s="107" t="s">
        <v>1726</v>
      </c>
      <c r="B1384" s="107"/>
      <c r="C1384" s="107"/>
      <c r="D1384" s="107"/>
      <c r="E1384" s="107"/>
      <c r="F1384" s="107"/>
      <c r="G1384" s="96"/>
    </row>
    <row r="1385" spans="1:7" ht="30" x14ac:dyDescent="0.25">
      <c r="A1385" s="115" t="s">
        <v>66</v>
      </c>
      <c r="B1385" s="104" t="s">
        <v>1761</v>
      </c>
      <c r="C1385" s="120">
        <v>0.79</v>
      </c>
      <c r="D1385" s="120"/>
      <c r="E1385" s="120"/>
      <c r="F1385" s="120"/>
      <c r="G1385" s="96"/>
    </row>
    <row r="1386" spans="1:7" x14ac:dyDescent="0.25">
      <c r="A1386" s="2"/>
      <c r="B1386" s="104"/>
      <c r="C1386" s="114" t="s">
        <v>23</v>
      </c>
      <c r="D1386" s="104" t="s">
        <v>863</v>
      </c>
      <c r="E1386" s="105">
        <v>42699</v>
      </c>
      <c r="F1386" s="106"/>
      <c r="G1386" s="96">
        <v>4349390.51</v>
      </c>
    </row>
    <row r="1387" spans="1:7" x14ac:dyDescent="0.25">
      <c r="A1387" s="2"/>
      <c r="B1387" s="104"/>
      <c r="C1387" s="114" t="s">
        <v>103</v>
      </c>
      <c r="D1387" s="104" t="s">
        <v>863</v>
      </c>
      <c r="E1387" s="105">
        <v>42804</v>
      </c>
      <c r="F1387" s="106" t="s">
        <v>1172</v>
      </c>
      <c r="G1387" s="96">
        <v>1737214.3</v>
      </c>
    </row>
    <row r="1388" spans="1:7" x14ac:dyDescent="0.25">
      <c r="A1388" s="2"/>
      <c r="B1388" s="104"/>
      <c r="C1388" s="114" t="s">
        <v>221</v>
      </c>
      <c r="D1388" s="104" t="s">
        <v>863</v>
      </c>
      <c r="E1388" s="105">
        <v>42803</v>
      </c>
      <c r="F1388" s="106" t="s">
        <v>2423</v>
      </c>
      <c r="G1388" s="96">
        <v>3047126.61</v>
      </c>
    </row>
    <row r="1389" spans="1:7" x14ac:dyDescent="0.25">
      <c r="A1389" s="2"/>
      <c r="B1389" s="104"/>
      <c r="C1389" s="114" t="s">
        <v>55</v>
      </c>
      <c r="D1389" s="104" t="s">
        <v>864</v>
      </c>
      <c r="E1389" s="105">
        <v>42811</v>
      </c>
      <c r="F1389" s="106" t="s">
        <v>2452</v>
      </c>
      <c r="G1389" s="96">
        <v>3220833.35</v>
      </c>
    </row>
    <row r="1390" spans="1:7" x14ac:dyDescent="0.25">
      <c r="A1390" s="104" t="s">
        <v>1762</v>
      </c>
      <c r="G1390" s="96">
        <v>12354564.77</v>
      </c>
    </row>
    <row r="1391" spans="1:7" x14ac:dyDescent="0.25">
      <c r="A1391" s="104"/>
      <c r="G1391" s="96"/>
    </row>
    <row r="1392" spans="1:7" x14ac:dyDescent="0.25">
      <c r="A1392" s="104" t="s">
        <v>1230</v>
      </c>
      <c r="G1392" s="96"/>
    </row>
    <row r="1393" spans="1:7" ht="60" x14ac:dyDescent="0.25">
      <c r="A1393" s="107" t="s">
        <v>1229</v>
      </c>
      <c r="B1393" s="107"/>
      <c r="C1393" s="107"/>
      <c r="D1393" s="107"/>
      <c r="E1393" s="107"/>
      <c r="F1393" s="107"/>
      <c r="G1393" s="96"/>
    </row>
    <row r="1394" spans="1:7" x14ac:dyDescent="0.25">
      <c r="A1394" s="115" t="s">
        <v>1228</v>
      </c>
      <c r="B1394" s="104" t="s">
        <v>1570</v>
      </c>
      <c r="C1394" s="120">
        <v>0.1</v>
      </c>
      <c r="D1394" s="120"/>
      <c r="E1394" s="120"/>
      <c r="F1394" s="120"/>
      <c r="G1394" s="96"/>
    </row>
    <row r="1395" spans="1:7" x14ac:dyDescent="0.25">
      <c r="A1395" s="2"/>
      <c r="B1395" s="104"/>
      <c r="C1395" s="114" t="s">
        <v>23</v>
      </c>
      <c r="D1395" s="104" t="s">
        <v>863</v>
      </c>
      <c r="E1395" s="105">
        <v>42683</v>
      </c>
      <c r="F1395" s="106"/>
      <c r="G1395" s="96">
        <v>3453858.96</v>
      </c>
    </row>
    <row r="1396" spans="1:7" x14ac:dyDescent="0.25">
      <c r="A1396" s="2"/>
      <c r="B1396" s="104"/>
      <c r="C1396" s="114" t="s">
        <v>103</v>
      </c>
      <c r="D1396" s="104" t="s">
        <v>863</v>
      </c>
      <c r="E1396" s="105">
        <v>42810</v>
      </c>
      <c r="F1396" s="106" t="s">
        <v>1974</v>
      </c>
      <c r="G1396" s="96">
        <v>402515.8</v>
      </c>
    </row>
    <row r="1397" spans="1:7" x14ac:dyDescent="0.25">
      <c r="A1397" s="2"/>
      <c r="B1397" s="104"/>
      <c r="C1397" s="114" t="s">
        <v>221</v>
      </c>
      <c r="D1397" s="104" t="s">
        <v>863</v>
      </c>
      <c r="E1397" s="105">
        <v>42810</v>
      </c>
      <c r="F1397" s="106" t="s">
        <v>1492</v>
      </c>
      <c r="G1397" s="96">
        <v>414418.88</v>
      </c>
    </row>
    <row r="1398" spans="1:7" x14ac:dyDescent="0.25">
      <c r="A1398" s="104" t="s">
        <v>1571</v>
      </c>
      <c r="G1398" s="96">
        <v>4270793.6399999997</v>
      </c>
    </row>
    <row r="1399" spans="1:7" x14ac:dyDescent="0.25">
      <c r="A1399" s="104"/>
      <c r="G1399" s="96"/>
    </row>
    <row r="1400" spans="1:7" x14ac:dyDescent="0.25">
      <c r="A1400" s="104" t="s">
        <v>975</v>
      </c>
      <c r="G1400" s="96"/>
    </row>
    <row r="1401" spans="1:7" ht="45" x14ac:dyDescent="0.25">
      <c r="A1401" s="107" t="s">
        <v>974</v>
      </c>
      <c r="B1401" s="107"/>
      <c r="C1401" s="107"/>
      <c r="D1401" s="107"/>
      <c r="E1401" s="107"/>
      <c r="F1401" s="107"/>
      <c r="G1401" s="96"/>
    </row>
    <row r="1402" spans="1:7" x14ac:dyDescent="0.25">
      <c r="A1402" s="115" t="s">
        <v>96</v>
      </c>
      <c r="B1402" s="104" t="s">
        <v>1184</v>
      </c>
      <c r="C1402" s="120">
        <v>0.62</v>
      </c>
      <c r="D1402" s="120"/>
      <c r="E1402" s="120"/>
      <c r="F1402" s="120"/>
      <c r="G1402" s="96"/>
    </row>
    <row r="1403" spans="1:7" x14ac:dyDescent="0.25">
      <c r="A1403" s="2"/>
      <c r="B1403" s="104"/>
      <c r="C1403" s="114" t="s">
        <v>23</v>
      </c>
      <c r="D1403" s="104" t="s">
        <v>863</v>
      </c>
      <c r="E1403" s="105">
        <v>42677</v>
      </c>
      <c r="F1403" s="106"/>
      <c r="G1403" s="96">
        <v>4346135.2</v>
      </c>
    </row>
    <row r="1404" spans="1:7" x14ac:dyDescent="0.25">
      <c r="A1404" s="2"/>
      <c r="B1404" s="104"/>
      <c r="C1404" s="114" t="s">
        <v>103</v>
      </c>
      <c r="D1404" s="104" t="s">
        <v>863</v>
      </c>
      <c r="E1404" s="105">
        <v>42734</v>
      </c>
      <c r="F1404" s="106" t="s">
        <v>2107</v>
      </c>
      <c r="G1404" s="96">
        <v>999545.42</v>
      </c>
    </row>
    <row r="1405" spans="1:7" x14ac:dyDescent="0.25">
      <c r="A1405" s="2"/>
      <c r="B1405" s="104"/>
      <c r="C1405" s="114" t="s">
        <v>221</v>
      </c>
      <c r="D1405" s="104" t="s">
        <v>863</v>
      </c>
      <c r="E1405" s="105">
        <v>42734</v>
      </c>
      <c r="F1405" s="106" t="s">
        <v>2108</v>
      </c>
      <c r="G1405" s="96">
        <v>1718983.09</v>
      </c>
    </row>
    <row r="1406" spans="1:7" x14ac:dyDescent="0.25">
      <c r="A1406" s="2"/>
      <c r="B1406" s="104"/>
      <c r="C1406" s="114" t="s">
        <v>55</v>
      </c>
      <c r="D1406" s="104" t="s">
        <v>863</v>
      </c>
      <c r="E1406" s="105">
        <v>42810</v>
      </c>
      <c r="F1406" s="106" t="s">
        <v>2426</v>
      </c>
      <c r="G1406" s="96">
        <v>3534600.06</v>
      </c>
    </row>
    <row r="1407" spans="1:7" x14ac:dyDescent="0.25">
      <c r="A1407" s="104" t="s">
        <v>1185</v>
      </c>
      <c r="G1407" s="96">
        <v>10599263.77</v>
      </c>
    </row>
    <row r="1408" spans="1:7" x14ac:dyDescent="0.25">
      <c r="A1408" s="104"/>
      <c r="G1408" s="96"/>
    </row>
    <row r="1409" spans="1:7" x14ac:dyDescent="0.25">
      <c r="A1409" s="104" t="s">
        <v>930</v>
      </c>
      <c r="G1409" s="96"/>
    </row>
    <row r="1410" spans="1:7" ht="45" x14ac:dyDescent="0.25">
      <c r="A1410" s="107" t="s">
        <v>929</v>
      </c>
      <c r="B1410" s="107"/>
      <c r="C1410" s="107"/>
      <c r="D1410" s="107"/>
      <c r="E1410" s="107"/>
      <c r="F1410" s="107"/>
      <c r="G1410" s="96"/>
    </row>
    <row r="1411" spans="1:7" ht="30" x14ac:dyDescent="0.25">
      <c r="A1411" s="115" t="s">
        <v>928</v>
      </c>
      <c r="B1411" s="104" t="s">
        <v>1249</v>
      </c>
      <c r="C1411" s="120">
        <v>0.66</v>
      </c>
      <c r="D1411" s="120"/>
      <c r="E1411" s="120"/>
      <c r="F1411" s="120"/>
      <c r="G1411" s="96"/>
    </row>
    <row r="1412" spans="1:7" x14ac:dyDescent="0.25">
      <c r="A1412" s="2"/>
      <c r="B1412" s="104"/>
      <c r="C1412" s="114" t="s">
        <v>23</v>
      </c>
      <c r="D1412" s="104" t="s">
        <v>863</v>
      </c>
      <c r="E1412" s="105">
        <v>42669</v>
      </c>
      <c r="F1412" s="106"/>
      <c r="G1412" s="96">
        <v>4692839.71</v>
      </c>
    </row>
    <row r="1413" spans="1:7" x14ac:dyDescent="0.25">
      <c r="A1413" s="2"/>
      <c r="B1413" s="104"/>
      <c r="C1413" s="114" t="s">
        <v>103</v>
      </c>
      <c r="D1413" s="104" t="s">
        <v>863</v>
      </c>
      <c r="E1413" s="105">
        <v>42758</v>
      </c>
      <c r="F1413" s="106" t="s">
        <v>1562</v>
      </c>
      <c r="G1413" s="96">
        <v>1595893.16</v>
      </c>
    </row>
    <row r="1414" spans="1:7" x14ac:dyDescent="0.25">
      <c r="A1414" s="2"/>
      <c r="B1414" s="104"/>
      <c r="C1414" s="114" t="s">
        <v>221</v>
      </c>
      <c r="D1414" s="104" t="s">
        <v>863</v>
      </c>
      <c r="E1414" s="105">
        <v>42758</v>
      </c>
      <c r="F1414" s="106" t="s">
        <v>1972</v>
      </c>
      <c r="G1414" s="96">
        <v>2249942.2200000002</v>
      </c>
    </row>
    <row r="1415" spans="1:7" x14ac:dyDescent="0.25">
      <c r="A1415" s="2"/>
      <c r="B1415" s="104"/>
      <c r="C1415" s="114" t="s">
        <v>55</v>
      </c>
      <c r="D1415" s="104" t="s">
        <v>863</v>
      </c>
      <c r="E1415" s="105">
        <v>42804</v>
      </c>
      <c r="F1415" s="106" t="s">
        <v>2242</v>
      </c>
      <c r="G1415" s="96">
        <v>1849713.91</v>
      </c>
    </row>
    <row r="1416" spans="1:7" x14ac:dyDescent="0.25">
      <c r="A1416" s="2"/>
      <c r="B1416" s="104"/>
      <c r="C1416" s="114" t="s">
        <v>215</v>
      </c>
      <c r="D1416" s="104" t="s">
        <v>863</v>
      </c>
      <c r="E1416" s="105">
        <v>42804</v>
      </c>
      <c r="F1416" s="106" t="s">
        <v>2317</v>
      </c>
      <c r="G1416" s="96">
        <v>1512727.82</v>
      </c>
    </row>
    <row r="1417" spans="1:7" x14ac:dyDescent="0.25">
      <c r="A1417" s="104" t="s">
        <v>1250</v>
      </c>
      <c r="G1417" s="96">
        <v>11901116.82</v>
      </c>
    </row>
    <row r="1418" spans="1:7" x14ac:dyDescent="0.25">
      <c r="A1418" s="104"/>
      <c r="G1418" s="96"/>
    </row>
    <row r="1419" spans="1:7" x14ac:dyDescent="0.25">
      <c r="A1419" s="104" t="s">
        <v>1625</v>
      </c>
      <c r="G1419" s="96"/>
    </row>
    <row r="1420" spans="1:7" ht="30" x14ac:dyDescent="0.25">
      <c r="A1420" s="107" t="s">
        <v>1626</v>
      </c>
      <c r="B1420" s="107"/>
      <c r="C1420" s="107"/>
      <c r="D1420" s="107"/>
      <c r="E1420" s="107"/>
      <c r="F1420" s="107"/>
      <c r="G1420" s="96"/>
    </row>
    <row r="1421" spans="1:7" ht="30" x14ac:dyDescent="0.25">
      <c r="A1421" s="115" t="s">
        <v>2196</v>
      </c>
      <c r="B1421" s="104" t="s">
        <v>1696</v>
      </c>
      <c r="C1421" s="120">
        <v>0</v>
      </c>
      <c r="D1421" s="120"/>
      <c r="E1421" s="120"/>
      <c r="F1421" s="120"/>
      <c r="G1421" s="96"/>
    </row>
    <row r="1422" spans="1:7" x14ac:dyDescent="0.25">
      <c r="A1422" s="2"/>
      <c r="B1422" s="104"/>
      <c r="C1422" s="114" t="s">
        <v>23</v>
      </c>
      <c r="D1422" s="104" t="s">
        <v>863</v>
      </c>
      <c r="E1422" s="105">
        <v>42691</v>
      </c>
      <c r="F1422" s="106"/>
      <c r="G1422" s="96">
        <v>6842339.3899999997</v>
      </c>
    </row>
    <row r="1423" spans="1:7" x14ac:dyDescent="0.25">
      <c r="A1423" s="104" t="s">
        <v>1697</v>
      </c>
      <c r="G1423" s="96">
        <v>6842339.3899999997</v>
      </c>
    </row>
    <row r="1424" spans="1:7" x14ac:dyDescent="0.25">
      <c r="A1424" s="104"/>
      <c r="G1424" s="96"/>
    </row>
    <row r="1425" spans="1:7" x14ac:dyDescent="0.25">
      <c r="A1425" s="104" t="s">
        <v>1244</v>
      </c>
      <c r="G1425" s="96"/>
    </row>
    <row r="1426" spans="1:7" ht="90" x14ac:dyDescent="0.25">
      <c r="A1426" s="107" t="s">
        <v>1245</v>
      </c>
      <c r="B1426" s="107"/>
      <c r="C1426" s="107"/>
      <c r="D1426" s="107"/>
      <c r="E1426" s="107"/>
      <c r="F1426" s="107"/>
      <c r="G1426" s="96"/>
    </row>
    <row r="1427" spans="1:7" x14ac:dyDescent="0.25">
      <c r="A1427" s="115" t="s">
        <v>1243</v>
      </c>
      <c r="B1427" s="104" t="s">
        <v>1251</v>
      </c>
      <c r="C1427" s="120">
        <v>0.18</v>
      </c>
      <c r="D1427" s="120"/>
      <c r="E1427" s="120"/>
      <c r="F1427" s="120"/>
      <c r="G1427" s="96"/>
    </row>
    <row r="1428" spans="1:7" x14ac:dyDescent="0.25">
      <c r="A1428" s="2"/>
      <c r="B1428" s="104"/>
      <c r="C1428" s="114" t="s">
        <v>23</v>
      </c>
      <c r="D1428" s="104" t="s">
        <v>863</v>
      </c>
      <c r="E1428" s="105">
        <v>42682</v>
      </c>
      <c r="F1428" s="106"/>
      <c r="G1428" s="96">
        <v>2017684.58</v>
      </c>
    </row>
    <row r="1429" spans="1:7" x14ac:dyDescent="0.25">
      <c r="A1429" s="2"/>
      <c r="B1429" s="104"/>
      <c r="C1429" s="114" t="s">
        <v>103</v>
      </c>
      <c r="D1429" s="104" t="s">
        <v>774</v>
      </c>
      <c r="E1429" s="105">
        <v>42811</v>
      </c>
      <c r="F1429" s="106" t="s">
        <v>2540</v>
      </c>
      <c r="G1429" s="96">
        <v>701511.41</v>
      </c>
    </row>
    <row r="1430" spans="1:7" x14ac:dyDescent="0.25">
      <c r="A1430" s="2"/>
      <c r="B1430" s="104"/>
      <c r="C1430" s="114" t="s">
        <v>221</v>
      </c>
      <c r="D1430" s="104" t="s">
        <v>774</v>
      </c>
      <c r="E1430" s="105">
        <v>42811</v>
      </c>
      <c r="F1430" s="106" t="s">
        <v>2541</v>
      </c>
      <c r="G1430" s="96">
        <v>152605.96</v>
      </c>
    </row>
    <row r="1431" spans="1:7" x14ac:dyDescent="0.25">
      <c r="A1431" s="104" t="s">
        <v>1252</v>
      </c>
      <c r="G1431" s="96">
        <v>2871801.95</v>
      </c>
    </row>
    <row r="1432" spans="1:7" x14ac:dyDescent="0.25">
      <c r="A1432" s="104"/>
      <c r="G1432" s="96"/>
    </row>
    <row r="1433" spans="1:7" x14ac:dyDescent="0.25">
      <c r="A1433" s="104" t="s">
        <v>937</v>
      </c>
      <c r="G1433" s="96"/>
    </row>
    <row r="1434" spans="1:7" ht="45" x14ac:dyDescent="0.25">
      <c r="A1434" s="107" t="s">
        <v>938</v>
      </c>
      <c r="B1434" s="107"/>
      <c r="C1434" s="107"/>
      <c r="D1434" s="107"/>
      <c r="E1434" s="107"/>
      <c r="F1434" s="107"/>
      <c r="G1434" s="96"/>
    </row>
    <row r="1435" spans="1:7" ht="30" x14ac:dyDescent="0.25">
      <c r="A1435" s="115" t="s">
        <v>932</v>
      </c>
      <c r="B1435" s="104" t="s">
        <v>1186</v>
      </c>
      <c r="C1435" s="120">
        <v>0.13</v>
      </c>
      <c r="D1435" s="120"/>
      <c r="E1435" s="120"/>
      <c r="F1435" s="120"/>
      <c r="G1435" s="96"/>
    </row>
    <row r="1436" spans="1:7" x14ac:dyDescent="0.25">
      <c r="A1436" s="2"/>
      <c r="B1436" s="104"/>
      <c r="C1436" s="114" t="s">
        <v>23</v>
      </c>
      <c r="D1436" s="104" t="s">
        <v>863</v>
      </c>
      <c r="E1436" s="105">
        <v>42677</v>
      </c>
      <c r="F1436" s="106"/>
      <c r="G1436" s="96">
        <v>966976.81</v>
      </c>
    </row>
    <row r="1437" spans="1:7" x14ac:dyDescent="0.25">
      <c r="A1437" s="2"/>
      <c r="B1437" s="104"/>
      <c r="C1437" s="114" t="s">
        <v>103</v>
      </c>
      <c r="D1437" s="104" t="s">
        <v>863</v>
      </c>
      <c r="E1437" s="105">
        <v>42794</v>
      </c>
      <c r="F1437" s="106" t="s">
        <v>2110</v>
      </c>
      <c r="G1437" s="96">
        <v>296721.51</v>
      </c>
    </row>
    <row r="1438" spans="1:7" x14ac:dyDescent="0.25">
      <c r="A1438" s="104" t="s">
        <v>1187</v>
      </c>
      <c r="G1438" s="96">
        <v>1263698.32</v>
      </c>
    </row>
    <row r="1439" spans="1:7" x14ac:dyDescent="0.25">
      <c r="A1439" s="104"/>
      <c r="G1439" s="96"/>
    </row>
    <row r="1440" spans="1:7" x14ac:dyDescent="0.25">
      <c r="A1440" s="104" t="s">
        <v>963</v>
      </c>
      <c r="G1440" s="96"/>
    </row>
    <row r="1441" spans="1:7" ht="45" x14ac:dyDescent="0.25">
      <c r="A1441" s="107" t="s">
        <v>964</v>
      </c>
      <c r="B1441" s="107"/>
      <c r="C1441" s="107"/>
      <c r="D1441" s="107"/>
      <c r="E1441" s="107"/>
      <c r="F1441" s="107"/>
      <c r="G1441" s="96"/>
    </row>
    <row r="1442" spans="1:7" x14ac:dyDescent="0.25">
      <c r="A1442" s="115" t="s">
        <v>898</v>
      </c>
      <c r="B1442" s="104" t="s">
        <v>1188</v>
      </c>
      <c r="C1442" s="120">
        <v>0.25</v>
      </c>
      <c r="D1442" s="120"/>
      <c r="E1442" s="120"/>
      <c r="F1442" s="120"/>
      <c r="G1442" s="96"/>
    </row>
    <row r="1443" spans="1:7" x14ac:dyDescent="0.25">
      <c r="A1443" s="2"/>
      <c r="B1443" s="104"/>
      <c r="C1443" s="114" t="s">
        <v>23</v>
      </c>
      <c r="D1443" s="104" t="s">
        <v>863</v>
      </c>
      <c r="E1443" s="105">
        <v>42677</v>
      </c>
      <c r="F1443" s="106"/>
      <c r="G1443" s="96">
        <v>2427481.33</v>
      </c>
    </row>
    <row r="1444" spans="1:7" x14ac:dyDescent="0.25">
      <c r="A1444" s="2"/>
      <c r="B1444" s="104"/>
      <c r="C1444" s="114" t="s">
        <v>103</v>
      </c>
      <c r="D1444" s="104" t="s">
        <v>864</v>
      </c>
      <c r="E1444" s="105">
        <v>42804</v>
      </c>
      <c r="F1444" s="106" t="s">
        <v>2318</v>
      </c>
      <c r="G1444" s="96">
        <v>628467.32999999996</v>
      </c>
    </row>
    <row r="1445" spans="1:7" x14ac:dyDescent="0.25">
      <c r="A1445" s="2"/>
      <c r="B1445" s="104"/>
      <c r="C1445" s="114" t="s">
        <v>221</v>
      </c>
      <c r="D1445" s="104" t="s">
        <v>864</v>
      </c>
      <c r="E1445" s="105">
        <v>42804</v>
      </c>
      <c r="F1445" s="106" t="s">
        <v>1537</v>
      </c>
      <c r="G1445" s="96">
        <v>586860.05000000005</v>
      </c>
    </row>
    <row r="1446" spans="1:7" x14ac:dyDescent="0.25">
      <c r="A1446" s="2"/>
      <c r="B1446" s="104"/>
      <c r="C1446" s="114" t="s">
        <v>55</v>
      </c>
      <c r="D1446" s="104" t="s">
        <v>866</v>
      </c>
      <c r="E1446" s="105">
        <v>42810</v>
      </c>
      <c r="F1446" s="106" t="s">
        <v>2495</v>
      </c>
      <c r="G1446" s="96">
        <v>201953.76</v>
      </c>
    </row>
    <row r="1447" spans="1:7" x14ac:dyDescent="0.25">
      <c r="A1447" s="104" t="s">
        <v>1189</v>
      </c>
      <c r="G1447" s="96">
        <v>3844762.47</v>
      </c>
    </row>
    <row r="1448" spans="1:7" x14ac:dyDescent="0.25">
      <c r="A1448" s="104"/>
      <c r="G1448" s="96"/>
    </row>
    <row r="1449" spans="1:7" x14ac:dyDescent="0.25">
      <c r="A1449" s="104" t="s">
        <v>1814</v>
      </c>
      <c r="G1449" s="96"/>
    </row>
    <row r="1450" spans="1:7" ht="60" x14ac:dyDescent="0.25">
      <c r="A1450" s="107" t="s">
        <v>1815</v>
      </c>
      <c r="B1450" s="107"/>
      <c r="C1450" s="107"/>
      <c r="D1450" s="107"/>
      <c r="E1450" s="107"/>
      <c r="F1450" s="107"/>
      <c r="G1450" s="96"/>
    </row>
    <row r="1451" spans="1:7" x14ac:dyDescent="0.25">
      <c r="A1451" s="115" t="s">
        <v>75</v>
      </c>
      <c r="B1451" s="104" t="s">
        <v>1835</v>
      </c>
      <c r="C1451" s="120">
        <v>0</v>
      </c>
      <c r="D1451" s="120"/>
      <c r="E1451" s="120"/>
      <c r="F1451" s="120"/>
      <c r="G1451" s="96"/>
    </row>
    <row r="1452" spans="1:7" x14ac:dyDescent="0.25">
      <c r="A1452" s="2"/>
      <c r="B1452" s="104"/>
      <c r="C1452" s="114" t="s">
        <v>23</v>
      </c>
      <c r="D1452" s="104" t="s">
        <v>863</v>
      </c>
      <c r="E1452" s="105">
        <v>42702</v>
      </c>
      <c r="F1452" s="106"/>
      <c r="G1452" s="96">
        <v>1856865.77</v>
      </c>
    </row>
    <row r="1453" spans="1:7" x14ac:dyDescent="0.25">
      <c r="A1453" s="104" t="s">
        <v>1836</v>
      </c>
      <c r="G1453" s="96">
        <v>1856865.77</v>
      </c>
    </row>
    <row r="1454" spans="1:7" x14ac:dyDescent="0.25">
      <c r="A1454" s="104"/>
      <c r="G1454" s="96"/>
    </row>
    <row r="1455" spans="1:7" x14ac:dyDescent="0.25">
      <c r="A1455" s="104" t="s">
        <v>1731</v>
      </c>
      <c r="G1455" s="96"/>
    </row>
    <row r="1456" spans="1:7" ht="45" x14ac:dyDescent="0.25">
      <c r="A1456" s="107" t="s">
        <v>1730</v>
      </c>
      <c r="B1456" s="107"/>
      <c r="C1456" s="107"/>
      <c r="D1456" s="107"/>
      <c r="E1456" s="107"/>
      <c r="F1456" s="107"/>
      <c r="G1456" s="96"/>
    </row>
    <row r="1457" spans="1:7" ht="30" x14ac:dyDescent="0.25">
      <c r="A1457" s="115" t="s">
        <v>66</v>
      </c>
      <c r="B1457" s="104" t="s">
        <v>1763</v>
      </c>
      <c r="C1457" s="120">
        <v>0.1</v>
      </c>
      <c r="D1457" s="120"/>
      <c r="E1457" s="120"/>
      <c r="F1457" s="120"/>
      <c r="G1457" s="96"/>
    </row>
    <row r="1458" spans="1:7" x14ac:dyDescent="0.25">
      <c r="A1458" s="2"/>
      <c r="B1458" s="104"/>
      <c r="C1458" s="114" t="s">
        <v>23</v>
      </c>
      <c r="D1458" s="104" t="s">
        <v>863</v>
      </c>
      <c r="E1458" s="105">
        <v>42699</v>
      </c>
      <c r="F1458" s="106"/>
      <c r="G1458" s="96">
        <v>1933992.4</v>
      </c>
    </row>
    <row r="1459" spans="1:7" x14ac:dyDescent="0.25">
      <c r="A1459" s="2"/>
      <c r="B1459" s="104"/>
      <c r="C1459" s="114" t="s">
        <v>103</v>
      </c>
      <c r="D1459" s="104" t="s">
        <v>863</v>
      </c>
      <c r="E1459" s="105">
        <v>42804</v>
      </c>
      <c r="F1459" s="106" t="s">
        <v>1542</v>
      </c>
      <c r="G1459" s="96">
        <v>426500.39</v>
      </c>
    </row>
    <row r="1460" spans="1:7" x14ac:dyDescent="0.25">
      <c r="A1460" s="104" t="s">
        <v>1764</v>
      </c>
      <c r="G1460" s="96">
        <v>2360492.79</v>
      </c>
    </row>
    <row r="1461" spans="1:7" x14ac:dyDescent="0.25">
      <c r="A1461" s="104"/>
      <c r="G1461" s="96"/>
    </row>
    <row r="1462" spans="1:7" x14ac:dyDescent="0.25">
      <c r="A1462" s="104" t="s">
        <v>907</v>
      </c>
      <c r="G1462" s="96"/>
    </row>
    <row r="1463" spans="1:7" ht="60" x14ac:dyDescent="0.25">
      <c r="A1463" s="107" t="s">
        <v>904</v>
      </c>
      <c r="B1463" s="107"/>
      <c r="C1463" s="107"/>
      <c r="D1463" s="107"/>
      <c r="E1463" s="107"/>
      <c r="F1463" s="107"/>
      <c r="G1463" s="96"/>
    </row>
    <row r="1464" spans="1:7" ht="30" x14ac:dyDescent="0.25">
      <c r="A1464" s="115" t="s">
        <v>906</v>
      </c>
      <c r="B1464" s="104" t="s">
        <v>1553</v>
      </c>
      <c r="C1464" s="120">
        <v>0.57999999999999996</v>
      </c>
      <c r="D1464" s="120"/>
      <c r="E1464" s="120"/>
      <c r="F1464" s="120"/>
      <c r="G1464" s="96"/>
    </row>
    <row r="1465" spans="1:7" x14ac:dyDescent="0.25">
      <c r="A1465" s="2"/>
      <c r="B1465" s="104"/>
      <c r="C1465" s="114" t="s">
        <v>23</v>
      </c>
      <c r="D1465" s="104" t="s">
        <v>863</v>
      </c>
      <c r="E1465" s="105">
        <v>42656</v>
      </c>
      <c r="F1465" s="106"/>
      <c r="G1465" s="96">
        <v>1193700.27</v>
      </c>
    </row>
    <row r="1466" spans="1:7" x14ac:dyDescent="0.25">
      <c r="A1466" s="2"/>
      <c r="B1466" s="104"/>
      <c r="C1466" s="114" t="s">
        <v>103</v>
      </c>
      <c r="D1466" s="104" t="s">
        <v>863</v>
      </c>
      <c r="E1466" s="105">
        <v>42761</v>
      </c>
      <c r="F1466" s="106" t="s">
        <v>1973</v>
      </c>
      <c r="G1466" s="96">
        <v>624106.11</v>
      </c>
    </row>
    <row r="1467" spans="1:7" x14ac:dyDescent="0.25">
      <c r="A1467" s="2"/>
      <c r="B1467" s="104"/>
      <c r="C1467" s="114" t="s">
        <v>221</v>
      </c>
      <c r="D1467" s="104" t="s">
        <v>863</v>
      </c>
      <c r="E1467" s="105">
        <v>42804</v>
      </c>
      <c r="F1467" s="106" t="s">
        <v>2245</v>
      </c>
      <c r="G1467" s="96">
        <v>990786.64</v>
      </c>
    </row>
    <row r="1468" spans="1:7" x14ac:dyDescent="0.25">
      <c r="A1468" s="104" t="s">
        <v>1554</v>
      </c>
      <c r="G1468" s="96">
        <v>2808593.02</v>
      </c>
    </row>
    <row r="1469" spans="1:7" x14ac:dyDescent="0.25">
      <c r="A1469" s="104"/>
      <c r="G1469" s="96"/>
    </row>
    <row r="1470" spans="1:7" x14ac:dyDescent="0.25">
      <c r="A1470" s="104" t="s">
        <v>919</v>
      </c>
      <c r="G1470" s="96"/>
    </row>
    <row r="1471" spans="1:7" ht="45" x14ac:dyDescent="0.25">
      <c r="A1471" s="107" t="s">
        <v>918</v>
      </c>
      <c r="B1471" s="107"/>
      <c r="C1471" s="107"/>
      <c r="D1471" s="107"/>
      <c r="E1471" s="107"/>
      <c r="F1471" s="107"/>
      <c r="G1471" s="96"/>
    </row>
    <row r="1472" spans="1:7" x14ac:dyDescent="0.25">
      <c r="A1472" s="115" t="s">
        <v>917</v>
      </c>
      <c r="B1472" s="104" t="s">
        <v>1555</v>
      </c>
      <c r="C1472" s="120">
        <v>0.94</v>
      </c>
      <c r="D1472" s="120"/>
      <c r="E1472" s="120"/>
      <c r="F1472" s="120"/>
      <c r="G1472" s="96"/>
    </row>
    <row r="1473" spans="1:7" x14ac:dyDescent="0.25">
      <c r="A1473" s="2"/>
      <c r="B1473" s="104"/>
      <c r="C1473" s="114" t="s">
        <v>23</v>
      </c>
      <c r="D1473" s="104" t="s">
        <v>863</v>
      </c>
      <c r="E1473" s="105">
        <v>42657</v>
      </c>
      <c r="F1473" s="106"/>
      <c r="G1473" s="96">
        <v>567253.29</v>
      </c>
    </row>
    <row r="1474" spans="1:7" x14ac:dyDescent="0.25">
      <c r="A1474" s="2"/>
      <c r="B1474" s="104"/>
      <c r="C1474" s="114" t="s">
        <v>103</v>
      </c>
      <c r="D1474" s="104" t="s">
        <v>863</v>
      </c>
      <c r="E1474" s="105">
        <v>42733</v>
      </c>
      <c r="F1474" s="106" t="s">
        <v>1850</v>
      </c>
      <c r="G1474" s="96">
        <v>716524.72</v>
      </c>
    </row>
    <row r="1475" spans="1:7" x14ac:dyDescent="0.25">
      <c r="A1475" s="2"/>
      <c r="B1475" s="104"/>
      <c r="C1475" s="114" t="s">
        <v>221</v>
      </c>
      <c r="D1475" s="104" t="s">
        <v>863</v>
      </c>
      <c r="E1475" s="105">
        <v>42804</v>
      </c>
      <c r="F1475" s="106" t="s">
        <v>1974</v>
      </c>
      <c r="G1475" s="96">
        <v>66195.56</v>
      </c>
    </row>
    <row r="1476" spans="1:7" x14ac:dyDescent="0.25">
      <c r="A1476" s="2"/>
      <c r="B1476" s="104"/>
      <c r="C1476" s="114" t="s">
        <v>55</v>
      </c>
      <c r="D1476" s="104" t="s">
        <v>863</v>
      </c>
      <c r="E1476" s="105">
        <v>42804</v>
      </c>
      <c r="F1476" s="106" t="s">
        <v>2320</v>
      </c>
      <c r="G1476" s="96">
        <v>449494.31</v>
      </c>
    </row>
    <row r="1477" spans="1:7" x14ac:dyDescent="0.25">
      <c r="A1477" s="104" t="s">
        <v>1556</v>
      </c>
      <c r="G1477" s="96">
        <v>1799467.88</v>
      </c>
    </row>
    <row r="1478" spans="1:7" x14ac:dyDescent="0.25">
      <c r="A1478" s="104"/>
      <c r="G1478" s="96"/>
    </row>
    <row r="1479" spans="1:7" x14ac:dyDescent="0.25">
      <c r="A1479" s="104" t="s">
        <v>924</v>
      </c>
      <c r="G1479" s="96"/>
    </row>
    <row r="1480" spans="1:7" ht="60" x14ac:dyDescent="0.25">
      <c r="A1480" s="107" t="s">
        <v>923</v>
      </c>
      <c r="B1480" s="107"/>
      <c r="C1480" s="107"/>
      <c r="D1480" s="107"/>
      <c r="E1480" s="107"/>
      <c r="F1480" s="107"/>
      <c r="G1480" s="96"/>
    </row>
    <row r="1481" spans="1:7" x14ac:dyDescent="0.25">
      <c r="A1481" s="115" t="s">
        <v>917</v>
      </c>
      <c r="B1481" s="104" t="s">
        <v>1557</v>
      </c>
      <c r="C1481" s="120">
        <v>0.81</v>
      </c>
      <c r="D1481" s="120"/>
      <c r="E1481" s="120"/>
      <c r="F1481" s="120"/>
      <c r="G1481" s="96"/>
    </row>
    <row r="1482" spans="1:7" x14ac:dyDescent="0.25">
      <c r="A1482" s="2"/>
      <c r="B1482" s="104"/>
      <c r="C1482" s="114" t="s">
        <v>23</v>
      </c>
      <c r="D1482" s="104" t="s">
        <v>863</v>
      </c>
      <c r="E1482" s="105">
        <v>42657</v>
      </c>
      <c r="F1482" s="106"/>
      <c r="G1482" s="96">
        <v>778777.36</v>
      </c>
    </row>
    <row r="1483" spans="1:7" x14ac:dyDescent="0.25">
      <c r="A1483" s="2"/>
      <c r="B1483" s="104"/>
      <c r="C1483" s="114" t="s">
        <v>103</v>
      </c>
      <c r="D1483" s="104" t="s">
        <v>863</v>
      </c>
      <c r="E1483" s="105">
        <v>42734</v>
      </c>
      <c r="F1483" s="106" t="s">
        <v>1851</v>
      </c>
      <c r="G1483" s="96">
        <v>58744.14</v>
      </c>
    </row>
    <row r="1484" spans="1:7" x14ac:dyDescent="0.25">
      <c r="A1484" s="2"/>
      <c r="B1484" s="104"/>
      <c r="C1484" s="114" t="s">
        <v>221</v>
      </c>
      <c r="D1484" s="104" t="s">
        <v>863</v>
      </c>
      <c r="E1484" s="105">
        <v>42733</v>
      </c>
      <c r="F1484" s="106" t="s">
        <v>1975</v>
      </c>
      <c r="G1484" s="96">
        <v>780334.55</v>
      </c>
    </row>
    <row r="1485" spans="1:7" x14ac:dyDescent="0.25">
      <c r="A1485" s="2"/>
      <c r="B1485" s="104"/>
      <c r="C1485" s="114" t="s">
        <v>55</v>
      </c>
      <c r="D1485" s="104" t="s">
        <v>863</v>
      </c>
      <c r="E1485" s="105">
        <v>42804</v>
      </c>
      <c r="F1485" s="106" t="s">
        <v>2322</v>
      </c>
      <c r="G1485" s="96">
        <v>628818.52</v>
      </c>
    </row>
    <row r="1486" spans="1:7" x14ac:dyDescent="0.25">
      <c r="A1486" s="104" t="s">
        <v>1558</v>
      </c>
      <c r="G1486" s="96">
        <v>2246674.5699999998</v>
      </c>
    </row>
    <row r="1487" spans="1:7" x14ac:dyDescent="0.25">
      <c r="A1487" s="104"/>
      <c r="G1487" s="96"/>
    </row>
    <row r="1488" spans="1:7" x14ac:dyDescent="0.25">
      <c r="A1488" s="104" t="s">
        <v>900</v>
      </c>
      <c r="G1488" s="96"/>
    </row>
    <row r="1489" spans="1:7" ht="45" x14ac:dyDescent="0.25">
      <c r="A1489" s="107" t="s">
        <v>899</v>
      </c>
      <c r="B1489" s="107"/>
      <c r="C1489" s="107"/>
      <c r="D1489" s="107"/>
      <c r="E1489" s="107"/>
      <c r="F1489" s="107"/>
      <c r="G1489" s="96"/>
    </row>
    <row r="1490" spans="1:7" x14ac:dyDescent="0.25">
      <c r="A1490" s="115" t="s">
        <v>898</v>
      </c>
      <c r="B1490" s="104" t="s">
        <v>1190</v>
      </c>
      <c r="C1490" s="120">
        <v>0.97</v>
      </c>
      <c r="D1490" s="120"/>
      <c r="E1490" s="120"/>
      <c r="F1490" s="120"/>
      <c r="G1490" s="96"/>
    </row>
    <row r="1491" spans="1:7" x14ac:dyDescent="0.25">
      <c r="A1491" s="2"/>
      <c r="B1491" s="104"/>
      <c r="C1491" s="114" t="s">
        <v>23</v>
      </c>
      <c r="D1491" s="104" t="s">
        <v>863</v>
      </c>
      <c r="E1491" s="105">
        <v>42677</v>
      </c>
      <c r="F1491" s="106"/>
      <c r="G1491" s="96">
        <v>255474.41</v>
      </c>
    </row>
    <row r="1492" spans="1:7" x14ac:dyDescent="0.25">
      <c r="A1492" s="2"/>
      <c r="B1492" s="104"/>
      <c r="C1492" s="114" t="s">
        <v>103</v>
      </c>
      <c r="D1492" s="104" t="s">
        <v>863</v>
      </c>
      <c r="E1492" s="105">
        <v>42794</v>
      </c>
      <c r="F1492" s="106" t="s">
        <v>2246</v>
      </c>
      <c r="G1492" s="96">
        <v>206712.41</v>
      </c>
    </row>
    <row r="1493" spans="1:7" x14ac:dyDescent="0.25">
      <c r="A1493" s="2"/>
      <c r="B1493" s="104"/>
      <c r="C1493" s="114" t="s">
        <v>221</v>
      </c>
      <c r="D1493" s="104" t="s">
        <v>863</v>
      </c>
      <c r="E1493" s="105">
        <v>42794</v>
      </c>
      <c r="F1493" s="106" t="s">
        <v>2247</v>
      </c>
      <c r="G1493" s="96">
        <v>355610.21</v>
      </c>
    </row>
    <row r="1494" spans="1:7" x14ac:dyDescent="0.25">
      <c r="A1494" s="2"/>
      <c r="B1494" s="104"/>
      <c r="C1494" s="114" t="s">
        <v>55</v>
      </c>
      <c r="D1494" s="104" t="s">
        <v>863</v>
      </c>
      <c r="E1494" s="105">
        <v>42794</v>
      </c>
      <c r="F1494" s="106" t="s">
        <v>2349</v>
      </c>
      <c r="G1494" s="96">
        <v>6573.89</v>
      </c>
    </row>
    <row r="1495" spans="1:7" x14ac:dyDescent="0.25">
      <c r="A1495" s="104" t="s">
        <v>1191</v>
      </c>
      <c r="G1495" s="96">
        <v>824370.92</v>
      </c>
    </row>
    <row r="1496" spans="1:7" x14ac:dyDescent="0.25">
      <c r="A1496" s="104"/>
      <c r="G1496" s="96"/>
    </row>
    <row r="1497" spans="1:7" x14ac:dyDescent="0.25">
      <c r="A1497" s="104" t="s">
        <v>1209</v>
      </c>
      <c r="G1497" s="96"/>
    </row>
    <row r="1498" spans="1:7" ht="45" x14ac:dyDescent="0.25">
      <c r="A1498" s="107" t="s">
        <v>1208</v>
      </c>
      <c r="B1498" s="107"/>
      <c r="C1498" s="107"/>
      <c r="D1498" s="107"/>
      <c r="E1498" s="107"/>
      <c r="F1498" s="107"/>
      <c r="G1498" s="96"/>
    </row>
    <row r="1499" spans="1:7" x14ac:dyDescent="0.25">
      <c r="A1499" s="115" t="s">
        <v>1207</v>
      </c>
      <c r="B1499" s="104" t="s">
        <v>1572</v>
      </c>
      <c r="C1499" s="120">
        <v>0.52</v>
      </c>
      <c r="D1499" s="120"/>
      <c r="E1499" s="120"/>
      <c r="F1499" s="120"/>
      <c r="G1499" s="96"/>
    </row>
    <row r="1500" spans="1:7" x14ac:dyDescent="0.25">
      <c r="A1500" s="2"/>
      <c r="B1500" s="104"/>
      <c r="C1500" s="114" t="s">
        <v>23</v>
      </c>
      <c r="D1500" s="104" t="s">
        <v>863</v>
      </c>
      <c r="E1500" s="105">
        <v>42682</v>
      </c>
      <c r="F1500" s="106"/>
      <c r="G1500" s="96">
        <v>539992.07999999996</v>
      </c>
    </row>
    <row r="1501" spans="1:7" x14ac:dyDescent="0.25">
      <c r="A1501" s="2"/>
      <c r="B1501" s="104"/>
      <c r="C1501" s="114" t="s">
        <v>103</v>
      </c>
      <c r="D1501" s="104" t="s">
        <v>863</v>
      </c>
      <c r="E1501" s="105">
        <v>42789</v>
      </c>
      <c r="F1501" s="106" t="s">
        <v>2112</v>
      </c>
      <c r="G1501" s="96">
        <v>227055.94</v>
      </c>
    </row>
    <row r="1502" spans="1:7" x14ac:dyDescent="0.25">
      <c r="A1502" s="2"/>
      <c r="B1502" s="104"/>
      <c r="C1502" s="114" t="s">
        <v>221</v>
      </c>
      <c r="D1502" s="104" t="s">
        <v>863</v>
      </c>
      <c r="E1502" s="105">
        <v>42804</v>
      </c>
      <c r="F1502" s="106" t="s">
        <v>2113</v>
      </c>
      <c r="G1502" s="96">
        <v>419420.21</v>
      </c>
    </row>
    <row r="1503" spans="1:7" x14ac:dyDescent="0.25">
      <c r="A1503" s="104" t="s">
        <v>1573</v>
      </c>
      <c r="G1503" s="96">
        <v>1186468.23</v>
      </c>
    </row>
    <row r="1504" spans="1:7" x14ac:dyDescent="0.25">
      <c r="A1504" s="104"/>
      <c r="G1504" s="96"/>
    </row>
    <row r="1505" spans="1:7" x14ac:dyDescent="0.25">
      <c r="A1505" s="104" t="s">
        <v>972</v>
      </c>
      <c r="G1505" s="96"/>
    </row>
    <row r="1506" spans="1:7" ht="45" x14ac:dyDescent="0.25">
      <c r="A1506" s="107" t="s">
        <v>971</v>
      </c>
      <c r="B1506" s="107"/>
      <c r="C1506" s="107"/>
      <c r="D1506" s="107"/>
      <c r="E1506" s="107"/>
      <c r="F1506" s="107"/>
      <c r="G1506" s="96"/>
    </row>
    <row r="1507" spans="1:7" x14ac:dyDescent="0.25">
      <c r="A1507" s="115" t="s">
        <v>968</v>
      </c>
      <c r="B1507" s="104" t="s">
        <v>1192</v>
      </c>
      <c r="C1507" s="120">
        <v>0.08</v>
      </c>
      <c r="D1507" s="120"/>
      <c r="E1507" s="120"/>
      <c r="F1507" s="120"/>
      <c r="G1507" s="96"/>
    </row>
    <row r="1508" spans="1:7" x14ac:dyDescent="0.25">
      <c r="A1508" s="2"/>
      <c r="B1508" s="104"/>
      <c r="C1508" s="114" t="s">
        <v>23</v>
      </c>
      <c r="D1508" s="104" t="s">
        <v>863</v>
      </c>
      <c r="E1508" s="105">
        <v>42689</v>
      </c>
      <c r="F1508" s="106"/>
      <c r="G1508" s="96">
        <v>944937.76</v>
      </c>
    </row>
    <row r="1509" spans="1:7" x14ac:dyDescent="0.25">
      <c r="A1509" s="2"/>
      <c r="B1509" s="104"/>
      <c r="C1509" s="114" t="s">
        <v>103</v>
      </c>
      <c r="D1509" s="104" t="s">
        <v>866</v>
      </c>
      <c r="E1509" s="105">
        <v>42803</v>
      </c>
      <c r="F1509" s="106" t="s">
        <v>2453</v>
      </c>
      <c r="G1509" s="96">
        <v>101407.23</v>
      </c>
    </row>
    <row r="1510" spans="1:7" x14ac:dyDescent="0.25">
      <c r="A1510" s="2"/>
      <c r="B1510" s="104"/>
      <c r="C1510" s="114" t="s">
        <v>221</v>
      </c>
      <c r="D1510" s="104" t="s">
        <v>866</v>
      </c>
      <c r="E1510" s="105">
        <v>42810</v>
      </c>
      <c r="F1510" s="106" t="s">
        <v>1794</v>
      </c>
      <c r="G1510" s="96">
        <v>82171.039999999994</v>
      </c>
    </row>
    <row r="1511" spans="1:7" x14ac:dyDescent="0.25">
      <c r="A1511" s="104" t="s">
        <v>1193</v>
      </c>
      <c r="G1511" s="96">
        <v>1128516.03</v>
      </c>
    </row>
    <row r="1512" spans="1:7" x14ac:dyDescent="0.25">
      <c r="A1512" s="104"/>
      <c r="G1512" s="96"/>
    </row>
    <row r="1513" spans="1:7" x14ac:dyDescent="0.25">
      <c r="A1513" s="104" t="s">
        <v>986</v>
      </c>
      <c r="G1513" s="96"/>
    </row>
    <row r="1514" spans="1:7" ht="45" x14ac:dyDescent="0.25">
      <c r="A1514" s="107" t="s">
        <v>985</v>
      </c>
      <c r="B1514" s="107"/>
      <c r="C1514" s="107"/>
      <c r="D1514" s="107"/>
      <c r="E1514" s="107"/>
      <c r="F1514" s="107"/>
      <c r="G1514" s="96"/>
    </row>
    <row r="1515" spans="1:7" x14ac:dyDescent="0.25">
      <c r="A1515" s="115" t="s">
        <v>984</v>
      </c>
      <c r="B1515" s="104" t="s">
        <v>1194</v>
      </c>
      <c r="C1515" s="120">
        <v>0.32</v>
      </c>
      <c r="D1515" s="120"/>
      <c r="E1515" s="120"/>
      <c r="F1515" s="120"/>
      <c r="G1515" s="96"/>
    </row>
    <row r="1516" spans="1:7" x14ac:dyDescent="0.25">
      <c r="A1516" s="2"/>
      <c r="B1516" s="104"/>
      <c r="C1516" s="114" t="s">
        <v>103</v>
      </c>
      <c r="D1516" s="104" t="s">
        <v>863</v>
      </c>
      <c r="E1516" s="105">
        <v>42804</v>
      </c>
      <c r="F1516" s="106" t="s">
        <v>2323</v>
      </c>
      <c r="G1516" s="96">
        <v>1809497.2</v>
      </c>
    </row>
    <row r="1517" spans="1:7" x14ac:dyDescent="0.25">
      <c r="A1517" s="2"/>
      <c r="B1517" s="104"/>
      <c r="C1517" s="114" t="s">
        <v>55</v>
      </c>
      <c r="D1517" s="104" t="s">
        <v>774</v>
      </c>
      <c r="E1517" s="105">
        <v>42811</v>
      </c>
      <c r="F1517" s="106" t="s">
        <v>1516</v>
      </c>
      <c r="G1517" s="96">
        <v>311312.87</v>
      </c>
    </row>
    <row r="1518" spans="1:7" ht="45" x14ac:dyDescent="0.25">
      <c r="A1518" s="107" t="s">
        <v>990</v>
      </c>
      <c r="B1518" s="107"/>
      <c r="C1518" s="107"/>
      <c r="D1518" s="107"/>
      <c r="E1518" s="107"/>
      <c r="F1518" s="107"/>
      <c r="G1518" s="96"/>
    </row>
    <row r="1519" spans="1:7" x14ac:dyDescent="0.25">
      <c r="A1519" s="115" t="s">
        <v>984</v>
      </c>
      <c r="B1519" s="104" t="s">
        <v>1194</v>
      </c>
      <c r="C1519" s="120">
        <v>0.32</v>
      </c>
      <c r="D1519" s="120"/>
      <c r="E1519" s="120"/>
      <c r="F1519" s="120"/>
      <c r="G1519" s="96"/>
    </row>
    <row r="1520" spans="1:7" x14ac:dyDescent="0.25">
      <c r="A1520" s="2"/>
      <c r="B1520" s="104"/>
      <c r="C1520" s="114" t="s">
        <v>23</v>
      </c>
      <c r="D1520" s="104" t="s">
        <v>863</v>
      </c>
      <c r="E1520" s="105">
        <v>42690</v>
      </c>
      <c r="F1520" s="106"/>
      <c r="G1520" s="96">
        <v>2850353.68</v>
      </c>
    </row>
    <row r="1521" spans="1:7" x14ac:dyDescent="0.25">
      <c r="A1521" s="104" t="s">
        <v>1195</v>
      </c>
      <c r="G1521" s="96">
        <v>4971163.75</v>
      </c>
    </row>
    <row r="1522" spans="1:7" x14ac:dyDescent="0.25">
      <c r="A1522" s="104"/>
      <c r="G1522" s="96"/>
    </row>
    <row r="1523" spans="1:7" x14ac:dyDescent="0.25">
      <c r="A1523" s="104" t="s">
        <v>1480</v>
      </c>
      <c r="G1523" s="96"/>
    </row>
    <row r="1524" spans="1:7" ht="30" x14ac:dyDescent="0.25">
      <c r="A1524" s="107" t="s">
        <v>1479</v>
      </c>
      <c r="B1524" s="107"/>
      <c r="C1524" s="107"/>
      <c r="D1524" s="107"/>
      <c r="E1524" s="107"/>
      <c r="F1524" s="107"/>
      <c r="G1524" s="96"/>
    </row>
    <row r="1525" spans="1:7" ht="30" x14ac:dyDescent="0.25">
      <c r="A1525" s="115" t="s">
        <v>1478</v>
      </c>
      <c r="B1525" s="104" t="s">
        <v>1574</v>
      </c>
      <c r="C1525" s="120">
        <v>0.43</v>
      </c>
      <c r="D1525" s="120"/>
      <c r="E1525" s="120"/>
      <c r="F1525" s="120"/>
      <c r="G1525" s="96"/>
    </row>
    <row r="1526" spans="1:7" x14ac:dyDescent="0.25">
      <c r="A1526" s="2"/>
      <c r="B1526" s="104"/>
      <c r="C1526" s="114" t="s">
        <v>23</v>
      </c>
      <c r="D1526" s="104" t="s">
        <v>863</v>
      </c>
      <c r="E1526" s="105">
        <v>42689</v>
      </c>
      <c r="F1526" s="106"/>
      <c r="G1526" s="96">
        <v>5489984.54</v>
      </c>
    </row>
    <row r="1527" spans="1:7" x14ac:dyDescent="0.25">
      <c r="A1527" s="2"/>
      <c r="B1527" s="104"/>
      <c r="C1527" s="114" t="s">
        <v>103</v>
      </c>
      <c r="D1527" s="104" t="s">
        <v>863</v>
      </c>
      <c r="E1527" s="105">
        <v>42789</v>
      </c>
      <c r="F1527" s="106" t="s">
        <v>1973</v>
      </c>
      <c r="G1527" s="96">
        <v>2871156.71</v>
      </c>
    </row>
    <row r="1528" spans="1:7" x14ac:dyDescent="0.25">
      <c r="A1528" s="2"/>
      <c r="B1528" s="104"/>
      <c r="C1528" s="114" t="s">
        <v>221</v>
      </c>
      <c r="D1528" s="104" t="s">
        <v>863</v>
      </c>
      <c r="E1528" s="105">
        <v>42789</v>
      </c>
      <c r="F1528" s="106" t="s">
        <v>2248</v>
      </c>
      <c r="G1528" s="96">
        <v>1259909.6100000001</v>
      </c>
    </row>
    <row r="1529" spans="1:7" x14ac:dyDescent="0.25">
      <c r="A1529" s="2"/>
      <c r="B1529" s="104"/>
      <c r="C1529" s="114" t="s">
        <v>55</v>
      </c>
      <c r="D1529" s="104" t="s">
        <v>866</v>
      </c>
      <c r="E1529" s="105">
        <v>42810</v>
      </c>
      <c r="F1529" s="106" t="s">
        <v>2395</v>
      </c>
      <c r="G1529" s="96">
        <v>1313248.6200000001</v>
      </c>
    </row>
    <row r="1530" spans="1:7" x14ac:dyDescent="0.25">
      <c r="A1530" s="104" t="s">
        <v>1575</v>
      </c>
      <c r="G1530" s="96">
        <v>10934299.48</v>
      </c>
    </row>
    <row r="1531" spans="1:7" x14ac:dyDescent="0.25">
      <c r="A1531" s="104"/>
      <c r="G1531" s="96"/>
    </row>
    <row r="1532" spans="1:7" x14ac:dyDescent="0.25">
      <c r="A1532" s="104" t="s">
        <v>934</v>
      </c>
      <c r="G1532" s="96"/>
    </row>
    <row r="1533" spans="1:7" ht="45" x14ac:dyDescent="0.25">
      <c r="A1533" s="107" t="s">
        <v>933</v>
      </c>
      <c r="B1533" s="107"/>
      <c r="C1533" s="107"/>
      <c r="D1533" s="107"/>
      <c r="E1533" s="107"/>
      <c r="F1533" s="107"/>
      <c r="G1533" s="96"/>
    </row>
    <row r="1534" spans="1:7" ht="30" x14ac:dyDescent="0.25">
      <c r="A1534" s="115" t="s">
        <v>932</v>
      </c>
      <c r="B1534" s="104" t="s">
        <v>1196</v>
      </c>
      <c r="C1534" s="120">
        <v>1</v>
      </c>
      <c r="D1534" s="120"/>
      <c r="E1534" s="120"/>
      <c r="F1534" s="120"/>
      <c r="G1534" s="96"/>
    </row>
    <row r="1535" spans="1:7" x14ac:dyDescent="0.25">
      <c r="A1535" s="2"/>
      <c r="B1535" s="104"/>
      <c r="C1535" s="114" t="s">
        <v>23</v>
      </c>
      <c r="D1535" s="104" t="s">
        <v>863</v>
      </c>
      <c r="E1535" s="105">
        <v>42678</v>
      </c>
      <c r="F1535" s="106"/>
      <c r="G1535" s="96">
        <v>593014.32999999996</v>
      </c>
    </row>
    <row r="1536" spans="1:7" x14ac:dyDescent="0.25">
      <c r="A1536" s="2"/>
      <c r="B1536" s="104"/>
      <c r="C1536" s="114" t="s">
        <v>103</v>
      </c>
      <c r="D1536" s="104" t="s">
        <v>863</v>
      </c>
      <c r="E1536" s="105">
        <v>42804</v>
      </c>
      <c r="F1536" s="106" t="s">
        <v>2114</v>
      </c>
      <c r="G1536" s="96">
        <v>371310.93</v>
      </c>
    </row>
    <row r="1537" spans="1:7" x14ac:dyDescent="0.25">
      <c r="A1537" s="2"/>
      <c r="B1537" s="104"/>
      <c r="C1537" s="114" t="s">
        <v>221</v>
      </c>
      <c r="D1537" s="104" t="s">
        <v>774</v>
      </c>
      <c r="E1537" s="105">
        <v>42811</v>
      </c>
      <c r="F1537" s="106" t="s">
        <v>2543</v>
      </c>
      <c r="G1537" s="96">
        <v>1003868.85</v>
      </c>
    </row>
    <row r="1538" spans="1:7" x14ac:dyDescent="0.25">
      <c r="A1538" s="104" t="s">
        <v>1197</v>
      </c>
      <c r="G1538" s="96">
        <v>1968194.11</v>
      </c>
    </row>
    <row r="1539" spans="1:7" x14ac:dyDescent="0.25">
      <c r="A1539" s="104"/>
      <c r="G1539" s="96"/>
    </row>
    <row r="1540" spans="1:7" x14ac:dyDescent="0.25">
      <c r="A1540" s="104" t="s">
        <v>1235</v>
      </c>
      <c r="G1540" s="96"/>
    </row>
    <row r="1541" spans="1:7" ht="60" x14ac:dyDescent="0.25">
      <c r="A1541" s="107" t="s">
        <v>1234</v>
      </c>
      <c r="B1541" s="107"/>
      <c r="C1541" s="107"/>
      <c r="D1541" s="107"/>
      <c r="E1541" s="107"/>
      <c r="F1541" s="107"/>
      <c r="G1541" s="96"/>
    </row>
    <row r="1542" spans="1:7" ht="30" x14ac:dyDescent="0.25">
      <c r="A1542" s="115" t="s">
        <v>1233</v>
      </c>
      <c r="B1542" s="104" t="s">
        <v>1576</v>
      </c>
      <c r="C1542" s="120">
        <v>0.49</v>
      </c>
      <c r="D1542" s="120"/>
      <c r="E1542" s="120"/>
      <c r="F1542" s="120"/>
      <c r="G1542" s="96"/>
    </row>
    <row r="1543" spans="1:7" x14ac:dyDescent="0.25">
      <c r="A1543" s="2"/>
      <c r="B1543" s="104"/>
      <c r="C1543" s="114" t="s">
        <v>23</v>
      </c>
      <c r="D1543" s="104" t="s">
        <v>863</v>
      </c>
      <c r="E1543" s="105">
        <v>42682</v>
      </c>
      <c r="F1543" s="106"/>
      <c r="G1543" s="96">
        <v>2638656.67</v>
      </c>
    </row>
    <row r="1544" spans="1:7" x14ac:dyDescent="0.25">
      <c r="A1544" s="2"/>
      <c r="B1544" s="104"/>
      <c r="C1544" s="114" t="s">
        <v>103</v>
      </c>
      <c r="D1544" s="104" t="s">
        <v>863</v>
      </c>
      <c r="E1544" s="105">
        <v>42759</v>
      </c>
      <c r="F1544" s="106" t="s">
        <v>1019</v>
      </c>
      <c r="G1544" s="96">
        <v>382566.85</v>
      </c>
    </row>
    <row r="1545" spans="1:7" x14ac:dyDescent="0.25">
      <c r="A1545" s="2"/>
      <c r="B1545" s="104"/>
      <c r="C1545" s="114" t="s">
        <v>221</v>
      </c>
      <c r="D1545" s="104" t="s">
        <v>864</v>
      </c>
      <c r="E1545" s="105">
        <v>42802</v>
      </c>
      <c r="F1545" s="106" t="s">
        <v>1941</v>
      </c>
      <c r="G1545" s="96">
        <v>347949.06</v>
      </c>
    </row>
    <row r="1546" spans="1:7" x14ac:dyDescent="0.25">
      <c r="A1546" s="2"/>
      <c r="B1546" s="104"/>
      <c r="C1546" s="114" t="s">
        <v>55</v>
      </c>
      <c r="D1546" s="104" t="s">
        <v>863</v>
      </c>
      <c r="E1546" s="105">
        <v>42803</v>
      </c>
      <c r="F1546" s="106" t="s">
        <v>2455</v>
      </c>
      <c r="G1546" s="96">
        <v>2254226.27</v>
      </c>
    </row>
    <row r="1547" spans="1:7" x14ac:dyDescent="0.25">
      <c r="A1547" s="104" t="s">
        <v>1577</v>
      </c>
      <c r="G1547" s="96">
        <v>5623398.8499999996</v>
      </c>
    </row>
    <row r="1548" spans="1:7" x14ac:dyDescent="0.25">
      <c r="A1548" s="104"/>
      <c r="G1548" s="96"/>
    </row>
    <row r="1549" spans="1:7" x14ac:dyDescent="0.25">
      <c r="A1549" s="104" t="s">
        <v>1476</v>
      </c>
      <c r="G1549" s="96"/>
    </row>
    <row r="1550" spans="1:7" ht="45" x14ac:dyDescent="0.25">
      <c r="A1550" s="107" t="s">
        <v>1473</v>
      </c>
      <c r="B1550" s="107"/>
      <c r="C1550" s="107"/>
      <c r="D1550" s="107"/>
      <c r="E1550" s="107"/>
      <c r="F1550" s="107"/>
      <c r="G1550" s="96"/>
    </row>
    <row r="1551" spans="1:7" x14ac:dyDescent="0.25">
      <c r="A1551" s="115" t="s">
        <v>58</v>
      </c>
      <c r="B1551" s="104" t="s">
        <v>1578</v>
      </c>
      <c r="C1551" s="120">
        <v>0.05</v>
      </c>
      <c r="D1551" s="120"/>
      <c r="E1551" s="120"/>
      <c r="F1551" s="120"/>
      <c r="G1551" s="96"/>
    </row>
    <row r="1552" spans="1:7" x14ac:dyDescent="0.25">
      <c r="A1552" s="2"/>
      <c r="B1552" s="104"/>
      <c r="C1552" s="114" t="s">
        <v>23</v>
      </c>
      <c r="D1552" s="104" t="s">
        <v>863</v>
      </c>
      <c r="E1552" s="105">
        <v>42682</v>
      </c>
      <c r="F1552" s="106"/>
      <c r="G1552" s="96">
        <v>9688238.9499999993</v>
      </c>
    </row>
    <row r="1553" spans="1:7" x14ac:dyDescent="0.25">
      <c r="A1553" s="2"/>
      <c r="B1553" s="104"/>
      <c r="C1553" s="114" t="s">
        <v>103</v>
      </c>
      <c r="D1553" s="104" t="s">
        <v>774</v>
      </c>
      <c r="E1553" s="105">
        <v>42811</v>
      </c>
      <c r="F1553" s="106" t="s">
        <v>2545</v>
      </c>
      <c r="G1553" s="96">
        <v>1212218.3999999999</v>
      </c>
    </row>
    <row r="1554" spans="1:7" x14ac:dyDescent="0.25">
      <c r="A1554" s="104" t="s">
        <v>1579</v>
      </c>
      <c r="G1554" s="96">
        <v>10900457.35</v>
      </c>
    </row>
    <row r="1555" spans="1:7" x14ac:dyDescent="0.25">
      <c r="A1555" s="104"/>
      <c r="G1555" s="96"/>
    </row>
    <row r="1556" spans="1:7" x14ac:dyDescent="0.25">
      <c r="A1556" s="104" t="s">
        <v>1923</v>
      </c>
      <c r="G1556" s="96"/>
    </row>
    <row r="1557" spans="1:7" ht="60" x14ac:dyDescent="0.25">
      <c r="A1557" s="107" t="s">
        <v>1927</v>
      </c>
      <c r="B1557" s="107"/>
      <c r="C1557" s="107"/>
      <c r="D1557" s="107"/>
      <c r="E1557" s="107"/>
      <c r="F1557" s="107"/>
      <c r="G1557" s="96"/>
    </row>
    <row r="1558" spans="1:7" x14ac:dyDescent="0.25">
      <c r="A1558" s="115" t="s">
        <v>1926</v>
      </c>
      <c r="B1558" s="104" t="s">
        <v>1991</v>
      </c>
      <c r="C1558" s="120">
        <v>0.75</v>
      </c>
      <c r="D1558" s="120"/>
      <c r="E1558" s="120"/>
      <c r="F1558" s="120"/>
      <c r="G1558" s="96"/>
    </row>
    <row r="1559" spans="1:7" x14ac:dyDescent="0.25">
      <c r="A1559" s="2"/>
      <c r="B1559" s="104"/>
      <c r="C1559" s="114" t="s">
        <v>103</v>
      </c>
      <c r="D1559" s="104" t="s">
        <v>863</v>
      </c>
      <c r="E1559" s="105">
        <v>42733</v>
      </c>
      <c r="F1559" s="106" t="s">
        <v>1078</v>
      </c>
      <c r="G1559" s="96">
        <v>88351.52</v>
      </c>
    </row>
    <row r="1560" spans="1:7" x14ac:dyDescent="0.25">
      <c r="A1560" s="2"/>
      <c r="B1560" s="104"/>
      <c r="C1560" s="114" t="s">
        <v>221</v>
      </c>
      <c r="D1560" s="104" t="s">
        <v>863</v>
      </c>
      <c r="E1560" s="105">
        <v>42760</v>
      </c>
      <c r="F1560" s="106" t="s">
        <v>1078</v>
      </c>
      <c r="G1560" s="96">
        <v>88351.52</v>
      </c>
    </row>
    <row r="1561" spans="1:7" x14ac:dyDescent="0.25">
      <c r="A1561" s="2"/>
      <c r="B1561" s="104"/>
      <c r="C1561" s="114" t="s">
        <v>55</v>
      </c>
      <c r="D1561" s="104" t="s">
        <v>2476</v>
      </c>
      <c r="E1561" s="105">
        <v>42800</v>
      </c>
      <c r="F1561" s="106" t="s">
        <v>1078</v>
      </c>
      <c r="G1561" s="96">
        <v>88351.52</v>
      </c>
    </row>
    <row r="1562" spans="1:7" x14ac:dyDescent="0.25">
      <c r="A1562" s="104" t="s">
        <v>1992</v>
      </c>
      <c r="G1562" s="96">
        <v>265054.56</v>
      </c>
    </row>
    <row r="1563" spans="1:7" x14ac:dyDescent="0.25">
      <c r="A1563" s="104"/>
      <c r="G1563" s="96"/>
    </row>
    <row r="1564" spans="1:7" x14ac:dyDescent="0.25">
      <c r="A1564" s="104" t="s">
        <v>1914</v>
      </c>
      <c r="G1564" s="96"/>
    </row>
    <row r="1565" spans="1:7" ht="75" x14ac:dyDescent="0.25">
      <c r="A1565" s="107" t="s">
        <v>1921</v>
      </c>
      <c r="B1565" s="107"/>
      <c r="C1565" s="107"/>
      <c r="D1565" s="107"/>
      <c r="E1565" s="107"/>
      <c r="F1565" s="107"/>
      <c r="G1565" s="96"/>
    </row>
    <row r="1566" spans="1:7" x14ac:dyDescent="0.25">
      <c r="A1566" s="115" t="s">
        <v>796</v>
      </c>
      <c r="B1566" s="104" t="s">
        <v>1993</v>
      </c>
      <c r="C1566" s="120">
        <v>0.75</v>
      </c>
      <c r="D1566" s="120"/>
      <c r="E1566" s="120"/>
      <c r="F1566" s="120"/>
      <c r="G1566" s="96"/>
    </row>
    <row r="1567" spans="1:7" x14ac:dyDescent="0.25">
      <c r="A1567" s="2"/>
      <c r="B1567" s="104"/>
      <c r="C1567" s="114" t="s">
        <v>103</v>
      </c>
      <c r="D1567" s="104" t="s">
        <v>863</v>
      </c>
      <c r="E1567" s="105">
        <v>42733</v>
      </c>
      <c r="F1567" s="106" t="s">
        <v>1078</v>
      </c>
      <c r="G1567" s="96">
        <v>124489.16</v>
      </c>
    </row>
    <row r="1568" spans="1:7" x14ac:dyDescent="0.25">
      <c r="A1568" s="2"/>
      <c r="B1568" s="104"/>
      <c r="C1568" s="114" t="s">
        <v>221</v>
      </c>
      <c r="D1568" s="104" t="s">
        <v>863</v>
      </c>
      <c r="E1568" s="105">
        <v>42733</v>
      </c>
      <c r="F1568" s="106" t="s">
        <v>1078</v>
      </c>
      <c r="G1568" s="96">
        <v>124489.16</v>
      </c>
    </row>
    <row r="1569" spans="1:7" x14ac:dyDescent="0.25">
      <c r="A1569" s="2"/>
      <c r="B1569" s="104"/>
      <c r="C1569" s="114" t="s">
        <v>55</v>
      </c>
      <c r="D1569" s="104" t="s">
        <v>2476</v>
      </c>
      <c r="E1569" s="105">
        <v>42800</v>
      </c>
      <c r="F1569" s="106" t="s">
        <v>1078</v>
      </c>
      <c r="G1569" s="96">
        <v>124489.16</v>
      </c>
    </row>
    <row r="1570" spans="1:7" x14ac:dyDescent="0.25">
      <c r="A1570" s="104" t="s">
        <v>1994</v>
      </c>
      <c r="G1570" s="96">
        <v>373467.48</v>
      </c>
    </row>
    <row r="1571" spans="1:7" x14ac:dyDescent="0.25">
      <c r="A1571" s="104"/>
      <c r="G1571" s="96"/>
    </row>
    <row r="1572" spans="1:7" x14ac:dyDescent="0.25">
      <c r="A1572" s="104" t="s">
        <v>1924</v>
      </c>
      <c r="G1572" s="96"/>
    </row>
    <row r="1573" spans="1:7" ht="60" x14ac:dyDescent="0.25">
      <c r="A1573" s="107" t="s">
        <v>1925</v>
      </c>
      <c r="B1573" s="107"/>
      <c r="C1573" s="107"/>
      <c r="D1573" s="107"/>
      <c r="E1573" s="107"/>
      <c r="F1573" s="107"/>
      <c r="G1573" s="96"/>
    </row>
    <row r="1574" spans="1:7" x14ac:dyDescent="0.25">
      <c r="A1574" s="115" t="s">
        <v>1926</v>
      </c>
      <c r="B1574" s="104" t="s">
        <v>1995</v>
      </c>
      <c r="C1574" s="120">
        <v>0.75</v>
      </c>
      <c r="D1574" s="120"/>
      <c r="E1574" s="120"/>
      <c r="F1574" s="120"/>
      <c r="G1574" s="96"/>
    </row>
    <row r="1575" spans="1:7" x14ac:dyDescent="0.25">
      <c r="A1575" s="2"/>
      <c r="B1575" s="104"/>
      <c r="C1575" s="114" t="s">
        <v>103</v>
      </c>
      <c r="D1575" s="104" t="s">
        <v>866</v>
      </c>
      <c r="E1575" s="105">
        <v>42797</v>
      </c>
      <c r="F1575" s="106" t="s">
        <v>1078</v>
      </c>
      <c r="G1575" s="96">
        <v>99906.83</v>
      </c>
    </row>
    <row r="1576" spans="1:7" x14ac:dyDescent="0.25">
      <c r="A1576" s="2"/>
      <c r="B1576" s="104"/>
      <c r="C1576" s="114" t="s">
        <v>221</v>
      </c>
      <c r="D1576" s="104" t="s">
        <v>863</v>
      </c>
      <c r="E1576" s="105">
        <v>42734</v>
      </c>
      <c r="F1576" s="106" t="s">
        <v>1078</v>
      </c>
      <c r="G1576" s="96">
        <v>99906.83</v>
      </c>
    </row>
    <row r="1577" spans="1:7" x14ac:dyDescent="0.25">
      <c r="A1577" s="2"/>
      <c r="B1577" s="104"/>
      <c r="C1577" s="114" t="s">
        <v>55</v>
      </c>
      <c r="D1577" s="104" t="s">
        <v>2476</v>
      </c>
      <c r="E1577" s="105">
        <v>42800</v>
      </c>
      <c r="F1577" s="106" t="s">
        <v>1078</v>
      </c>
      <c r="G1577" s="96">
        <v>99906.83</v>
      </c>
    </row>
    <row r="1578" spans="1:7" x14ac:dyDescent="0.25">
      <c r="A1578" s="104" t="s">
        <v>1996</v>
      </c>
      <c r="G1578" s="96">
        <v>299720.49</v>
      </c>
    </row>
    <row r="1579" spans="1:7" x14ac:dyDescent="0.25">
      <c r="A1579" s="104"/>
      <c r="G1579" s="96"/>
    </row>
    <row r="1580" spans="1:7" x14ac:dyDescent="0.25">
      <c r="A1580" s="104" t="s">
        <v>1916</v>
      </c>
      <c r="G1580" s="96"/>
    </row>
    <row r="1581" spans="1:7" ht="60" x14ac:dyDescent="0.25">
      <c r="A1581" s="107" t="s">
        <v>1917</v>
      </c>
      <c r="B1581" s="107"/>
      <c r="C1581" s="107"/>
      <c r="D1581" s="107"/>
      <c r="E1581" s="107"/>
      <c r="F1581" s="107"/>
      <c r="G1581" s="96"/>
    </row>
    <row r="1582" spans="1:7" x14ac:dyDescent="0.25">
      <c r="A1582" s="115" t="s">
        <v>796</v>
      </c>
      <c r="B1582" s="104" t="s">
        <v>1997</v>
      </c>
      <c r="C1582" s="120">
        <v>1</v>
      </c>
      <c r="D1582" s="120"/>
      <c r="E1582" s="120"/>
      <c r="F1582" s="120"/>
      <c r="G1582" s="96"/>
    </row>
    <row r="1583" spans="1:7" x14ac:dyDescent="0.25">
      <c r="A1583" s="2"/>
      <c r="B1583" s="104"/>
      <c r="C1583" s="114" t="s">
        <v>103</v>
      </c>
      <c r="D1583" s="104" t="s">
        <v>863</v>
      </c>
      <c r="E1583" s="105">
        <v>42734</v>
      </c>
      <c r="F1583" s="106" t="s">
        <v>1078</v>
      </c>
      <c r="G1583" s="96">
        <v>91052.66</v>
      </c>
    </row>
    <row r="1584" spans="1:7" x14ac:dyDescent="0.25">
      <c r="A1584" s="2"/>
      <c r="B1584" s="104"/>
      <c r="C1584" s="114" t="s">
        <v>221</v>
      </c>
      <c r="D1584" s="104" t="s">
        <v>2476</v>
      </c>
      <c r="E1584" s="105">
        <v>42810</v>
      </c>
      <c r="F1584" s="106" t="s">
        <v>1078</v>
      </c>
      <c r="G1584" s="96">
        <v>91052.66</v>
      </c>
    </row>
    <row r="1585" spans="1:7" x14ac:dyDescent="0.25">
      <c r="A1585" s="2"/>
      <c r="B1585" s="104"/>
      <c r="C1585" s="114" t="s">
        <v>55</v>
      </c>
      <c r="D1585" s="104" t="s">
        <v>2476</v>
      </c>
      <c r="E1585" s="105">
        <v>42809</v>
      </c>
      <c r="F1585" s="106" t="s">
        <v>1078</v>
      </c>
      <c r="G1585" s="96">
        <v>91052.66</v>
      </c>
    </row>
    <row r="1586" spans="1:7" x14ac:dyDescent="0.25">
      <c r="A1586" s="2"/>
      <c r="B1586" s="104"/>
      <c r="C1586" s="114" t="s">
        <v>215</v>
      </c>
      <c r="D1586" s="104" t="s">
        <v>774</v>
      </c>
      <c r="E1586" s="105">
        <v>42811</v>
      </c>
      <c r="F1586" s="106" t="s">
        <v>1078</v>
      </c>
      <c r="G1586" s="96">
        <v>91052.66</v>
      </c>
    </row>
    <row r="1587" spans="1:7" x14ac:dyDescent="0.25">
      <c r="A1587" s="104" t="s">
        <v>1998</v>
      </c>
      <c r="G1587" s="96">
        <v>364210.64</v>
      </c>
    </row>
    <row r="1588" spans="1:7" x14ac:dyDescent="0.25">
      <c r="A1588" s="104"/>
      <c r="G1588" s="96"/>
    </row>
    <row r="1589" spans="1:7" x14ac:dyDescent="0.25">
      <c r="A1589" s="104" t="s">
        <v>959</v>
      </c>
      <c r="G1589" s="96"/>
    </row>
    <row r="1590" spans="1:7" ht="30" x14ac:dyDescent="0.25">
      <c r="A1590" s="107" t="s">
        <v>958</v>
      </c>
      <c r="B1590" s="107"/>
      <c r="C1590" s="107"/>
      <c r="D1590" s="107"/>
      <c r="E1590" s="107"/>
      <c r="F1590" s="107"/>
      <c r="G1590" s="96"/>
    </row>
    <row r="1591" spans="1:7" x14ac:dyDescent="0.25">
      <c r="A1591" s="115" t="s">
        <v>961</v>
      </c>
      <c r="B1591" s="104" t="s">
        <v>1198</v>
      </c>
      <c r="C1591" s="120">
        <v>1</v>
      </c>
      <c r="D1591" s="120"/>
      <c r="E1591" s="120"/>
      <c r="F1591" s="120"/>
      <c r="G1591" s="96"/>
    </row>
    <row r="1592" spans="1:7" x14ac:dyDescent="0.25">
      <c r="A1592" s="2"/>
      <c r="B1592" s="104"/>
      <c r="C1592" s="114" t="s">
        <v>23</v>
      </c>
      <c r="D1592" s="104" t="s">
        <v>863</v>
      </c>
      <c r="E1592" s="105">
        <v>42678</v>
      </c>
      <c r="F1592" s="106"/>
      <c r="G1592" s="96">
        <v>258335.67</v>
      </c>
    </row>
    <row r="1593" spans="1:7" x14ac:dyDescent="0.25">
      <c r="A1593" s="2"/>
      <c r="B1593" s="104"/>
      <c r="C1593" s="114" t="s">
        <v>103</v>
      </c>
      <c r="D1593" s="104" t="s">
        <v>863</v>
      </c>
      <c r="E1593" s="105">
        <v>42794</v>
      </c>
      <c r="F1593" s="106" t="s">
        <v>2249</v>
      </c>
      <c r="G1593" s="96">
        <v>24419.24</v>
      </c>
    </row>
    <row r="1594" spans="1:7" x14ac:dyDescent="0.25">
      <c r="A1594" s="2"/>
      <c r="B1594" s="104"/>
      <c r="C1594" s="114" t="s">
        <v>221</v>
      </c>
      <c r="D1594" s="104" t="s">
        <v>863</v>
      </c>
      <c r="E1594" s="105">
        <v>42794</v>
      </c>
      <c r="F1594" s="106" t="s">
        <v>2250</v>
      </c>
      <c r="G1594" s="96">
        <v>574652.28</v>
      </c>
    </row>
    <row r="1595" spans="1:7" x14ac:dyDescent="0.25">
      <c r="A1595" s="104" t="s">
        <v>1199</v>
      </c>
      <c r="G1595" s="96">
        <v>857407.19</v>
      </c>
    </row>
    <row r="1596" spans="1:7" x14ac:dyDescent="0.25">
      <c r="A1596" s="104"/>
      <c r="G1596" s="96"/>
    </row>
    <row r="1597" spans="1:7" x14ac:dyDescent="0.25">
      <c r="A1597" s="104" t="s">
        <v>1868</v>
      </c>
      <c r="G1597" s="96"/>
    </row>
    <row r="1598" spans="1:7" ht="60" x14ac:dyDescent="0.25">
      <c r="A1598" s="107" t="s">
        <v>1867</v>
      </c>
      <c r="B1598" s="107"/>
      <c r="C1598" s="107"/>
      <c r="D1598" s="107"/>
      <c r="E1598" s="107"/>
      <c r="F1598" s="107"/>
      <c r="G1598" s="96"/>
    </row>
    <row r="1599" spans="1:7" ht="30" x14ac:dyDescent="0.25">
      <c r="A1599" s="115" t="s">
        <v>632</v>
      </c>
      <c r="B1599" s="104" t="s">
        <v>1909</v>
      </c>
      <c r="C1599" s="120">
        <v>1</v>
      </c>
      <c r="D1599" s="120"/>
      <c r="E1599" s="120"/>
      <c r="F1599" s="120"/>
      <c r="G1599" s="96"/>
    </row>
    <row r="1600" spans="1:7" x14ac:dyDescent="0.25">
      <c r="A1600" s="2"/>
      <c r="B1600" s="104"/>
      <c r="C1600" s="114" t="s">
        <v>23</v>
      </c>
      <c r="D1600" s="104" t="s">
        <v>863</v>
      </c>
      <c r="E1600" s="105">
        <v>42725</v>
      </c>
      <c r="F1600" s="106"/>
      <c r="G1600" s="96">
        <v>117889.71</v>
      </c>
    </row>
    <row r="1601" spans="1:7" x14ac:dyDescent="0.25">
      <c r="A1601" s="2"/>
      <c r="B1601" s="104"/>
      <c r="C1601" s="114" t="s">
        <v>103</v>
      </c>
      <c r="D1601" s="104" t="s">
        <v>863</v>
      </c>
      <c r="E1601" s="105">
        <v>42794</v>
      </c>
      <c r="F1601" s="106" t="s">
        <v>1324</v>
      </c>
      <c r="G1601" s="96">
        <v>273382.17</v>
      </c>
    </row>
    <row r="1602" spans="1:7" x14ac:dyDescent="0.25">
      <c r="A1602" s="104" t="s">
        <v>1910</v>
      </c>
      <c r="G1602" s="96">
        <v>391271.88</v>
      </c>
    </row>
    <row r="1603" spans="1:7" x14ac:dyDescent="0.25">
      <c r="A1603" s="104"/>
      <c r="G1603" s="96"/>
    </row>
    <row r="1604" spans="1:7" x14ac:dyDescent="0.25">
      <c r="A1604" s="104" t="s">
        <v>1219</v>
      </c>
      <c r="G1604" s="96"/>
    </row>
    <row r="1605" spans="1:7" ht="60" x14ac:dyDescent="0.25">
      <c r="A1605" s="107" t="s">
        <v>1218</v>
      </c>
      <c r="B1605" s="107"/>
      <c r="C1605" s="107"/>
      <c r="D1605" s="107"/>
      <c r="E1605" s="107"/>
      <c r="F1605" s="107"/>
      <c r="G1605" s="96"/>
    </row>
    <row r="1606" spans="1:7" x14ac:dyDescent="0.25">
      <c r="A1606" s="115" t="s">
        <v>1217</v>
      </c>
      <c r="B1606" s="104" t="s">
        <v>1580</v>
      </c>
      <c r="C1606" s="120">
        <v>1</v>
      </c>
      <c r="D1606" s="120"/>
      <c r="E1606" s="120"/>
      <c r="F1606" s="120"/>
      <c r="G1606" s="96"/>
    </row>
    <row r="1607" spans="1:7" x14ac:dyDescent="0.25">
      <c r="A1607" s="2"/>
      <c r="B1607" s="104"/>
      <c r="C1607" s="114" t="s">
        <v>23</v>
      </c>
      <c r="D1607" s="104" t="s">
        <v>863</v>
      </c>
      <c r="E1607" s="105">
        <v>42682</v>
      </c>
      <c r="F1607" s="106"/>
      <c r="G1607" s="96">
        <v>187996.91</v>
      </c>
    </row>
    <row r="1608" spans="1:7" x14ac:dyDescent="0.25">
      <c r="A1608" s="2"/>
      <c r="B1608" s="104"/>
      <c r="C1608" s="114" t="s">
        <v>103</v>
      </c>
      <c r="D1608" s="104" t="s">
        <v>863</v>
      </c>
      <c r="E1608" s="105">
        <v>42794</v>
      </c>
      <c r="F1608" s="106" t="s">
        <v>2370</v>
      </c>
      <c r="G1608" s="96">
        <v>270199.24</v>
      </c>
    </row>
    <row r="1609" spans="1:7" x14ac:dyDescent="0.25">
      <c r="A1609" s="2"/>
      <c r="B1609" s="104"/>
      <c r="C1609" s="114" t="s">
        <v>221</v>
      </c>
      <c r="D1609" s="104" t="s">
        <v>863</v>
      </c>
      <c r="E1609" s="105">
        <v>42794</v>
      </c>
      <c r="F1609" s="106" t="s">
        <v>2371</v>
      </c>
      <c r="G1609" s="96">
        <v>165259.37</v>
      </c>
    </row>
    <row r="1610" spans="1:7" x14ac:dyDescent="0.25">
      <c r="A1610" s="104" t="s">
        <v>1581</v>
      </c>
      <c r="G1610" s="96">
        <v>623455.52</v>
      </c>
    </row>
    <row r="1611" spans="1:7" x14ac:dyDescent="0.25">
      <c r="A1611" s="104"/>
      <c r="G1611" s="96"/>
    </row>
    <row r="1612" spans="1:7" x14ac:dyDescent="0.25">
      <c r="A1612" s="104" t="s">
        <v>1222</v>
      </c>
      <c r="G1612" s="96"/>
    </row>
    <row r="1613" spans="1:7" ht="45" x14ac:dyDescent="0.25">
      <c r="A1613" s="107" t="s">
        <v>1225</v>
      </c>
      <c r="B1613" s="107"/>
      <c r="C1613" s="107"/>
      <c r="D1613" s="107"/>
      <c r="E1613" s="107"/>
      <c r="F1613" s="107"/>
      <c r="G1613" s="96"/>
    </row>
    <row r="1614" spans="1:7" x14ac:dyDescent="0.25">
      <c r="A1614" s="115" t="s">
        <v>1224</v>
      </c>
      <c r="B1614" s="104" t="s">
        <v>1674</v>
      </c>
      <c r="C1614" s="120">
        <v>0.12</v>
      </c>
      <c r="D1614" s="120"/>
      <c r="E1614" s="120"/>
      <c r="F1614" s="120"/>
      <c r="G1614" s="96"/>
    </row>
    <row r="1615" spans="1:7" x14ac:dyDescent="0.25">
      <c r="A1615" s="2"/>
      <c r="B1615" s="104"/>
      <c r="C1615" s="114" t="s">
        <v>23</v>
      </c>
      <c r="D1615" s="104" t="s">
        <v>863</v>
      </c>
      <c r="E1615" s="105">
        <v>42702</v>
      </c>
      <c r="F1615" s="106"/>
      <c r="G1615" s="96">
        <v>689987.19</v>
      </c>
    </row>
    <row r="1616" spans="1:7" x14ac:dyDescent="0.25">
      <c r="A1616" s="2"/>
      <c r="B1616" s="104"/>
      <c r="C1616" s="114" t="s">
        <v>103</v>
      </c>
      <c r="D1616" s="104" t="s">
        <v>863</v>
      </c>
      <c r="E1616" s="105">
        <v>42810</v>
      </c>
      <c r="F1616" s="106" t="s">
        <v>2428</v>
      </c>
      <c r="G1616" s="96">
        <v>199839.71</v>
      </c>
    </row>
    <row r="1617" spans="1:7" x14ac:dyDescent="0.25">
      <c r="A1617" s="104" t="s">
        <v>1675</v>
      </c>
      <c r="G1617" s="96">
        <v>889826.9</v>
      </c>
    </row>
    <row r="1618" spans="1:7" x14ac:dyDescent="0.25">
      <c r="A1618" s="104"/>
      <c r="G1618" s="96"/>
    </row>
    <row r="1619" spans="1:7" x14ac:dyDescent="0.25">
      <c r="A1619" s="104" t="s">
        <v>981</v>
      </c>
      <c r="G1619" s="96"/>
    </row>
    <row r="1620" spans="1:7" ht="45" x14ac:dyDescent="0.25">
      <c r="A1620" s="107" t="s">
        <v>979</v>
      </c>
      <c r="B1620" s="107"/>
      <c r="C1620" s="107"/>
      <c r="D1620" s="107"/>
      <c r="E1620" s="107"/>
      <c r="F1620" s="107"/>
      <c r="G1620" s="96"/>
    </row>
    <row r="1621" spans="1:7" x14ac:dyDescent="0.25">
      <c r="A1621" s="115" t="s">
        <v>980</v>
      </c>
      <c r="B1621" s="104" t="s">
        <v>1200</v>
      </c>
      <c r="C1621" s="120">
        <v>0.6</v>
      </c>
      <c r="D1621" s="120"/>
      <c r="E1621" s="120"/>
      <c r="F1621" s="120"/>
      <c r="G1621" s="96"/>
    </row>
    <row r="1622" spans="1:7" x14ac:dyDescent="0.25">
      <c r="A1622" s="2"/>
      <c r="B1622" s="104"/>
      <c r="C1622" s="114" t="s">
        <v>23</v>
      </c>
      <c r="D1622" s="104" t="s">
        <v>863</v>
      </c>
      <c r="E1622" s="105">
        <v>42678</v>
      </c>
      <c r="F1622" s="106"/>
      <c r="G1622" s="96">
        <v>591569.84</v>
      </c>
    </row>
    <row r="1623" spans="1:7" x14ac:dyDescent="0.25">
      <c r="A1623" s="2"/>
      <c r="B1623" s="104"/>
      <c r="C1623" s="114" t="s">
        <v>103</v>
      </c>
      <c r="D1623" s="104" t="s">
        <v>863</v>
      </c>
      <c r="E1623" s="105">
        <v>42734</v>
      </c>
      <c r="F1623" s="106" t="s">
        <v>2115</v>
      </c>
      <c r="G1623" s="96">
        <v>321134.87</v>
      </c>
    </row>
    <row r="1624" spans="1:7" x14ac:dyDescent="0.25">
      <c r="A1624" s="2"/>
      <c r="B1624" s="104"/>
      <c r="C1624" s="114" t="s">
        <v>221</v>
      </c>
      <c r="D1624" s="104" t="s">
        <v>863</v>
      </c>
      <c r="E1624" s="105">
        <v>42734</v>
      </c>
      <c r="F1624" s="106" t="s">
        <v>2116</v>
      </c>
      <c r="G1624" s="96">
        <v>136979.54</v>
      </c>
    </row>
    <row r="1625" spans="1:7" x14ac:dyDescent="0.25">
      <c r="A1625" s="2"/>
      <c r="B1625" s="104"/>
      <c r="C1625" s="114" t="s">
        <v>55</v>
      </c>
      <c r="D1625" s="104" t="s">
        <v>865</v>
      </c>
      <c r="E1625" s="105">
        <v>42810</v>
      </c>
      <c r="F1625" s="106" t="s">
        <v>2378</v>
      </c>
      <c r="G1625" s="96">
        <v>366297.47</v>
      </c>
    </row>
    <row r="1626" spans="1:7" x14ac:dyDescent="0.25">
      <c r="A1626" s="104" t="s">
        <v>1201</v>
      </c>
      <c r="G1626" s="96">
        <v>1415981.72</v>
      </c>
    </row>
    <row r="1627" spans="1:7" x14ac:dyDescent="0.25">
      <c r="A1627" s="104"/>
      <c r="G1627" s="96"/>
    </row>
    <row r="1628" spans="1:7" x14ac:dyDescent="0.25">
      <c r="A1628" s="104" t="s">
        <v>1652</v>
      </c>
      <c r="G1628" s="96"/>
    </row>
    <row r="1629" spans="1:7" ht="45" x14ac:dyDescent="0.25">
      <c r="A1629" s="107" t="s">
        <v>1653</v>
      </c>
      <c r="B1629" s="107"/>
      <c r="C1629" s="107"/>
      <c r="D1629" s="107"/>
      <c r="E1629" s="107"/>
      <c r="F1629" s="107"/>
      <c r="G1629" s="96"/>
    </row>
    <row r="1630" spans="1:7" ht="30" x14ac:dyDescent="0.25">
      <c r="A1630" s="115" t="s">
        <v>632</v>
      </c>
      <c r="B1630" s="104" t="s">
        <v>1698</v>
      </c>
      <c r="C1630" s="120">
        <v>0.14000000000000001</v>
      </c>
      <c r="D1630" s="120"/>
      <c r="E1630" s="120"/>
      <c r="F1630" s="120"/>
      <c r="G1630" s="96"/>
    </row>
    <row r="1631" spans="1:7" x14ac:dyDescent="0.25">
      <c r="A1631" s="2"/>
      <c r="B1631" s="104"/>
      <c r="C1631" s="114" t="s">
        <v>23</v>
      </c>
      <c r="D1631" s="104" t="s">
        <v>863</v>
      </c>
      <c r="E1631" s="105">
        <v>42691</v>
      </c>
      <c r="F1631" s="106"/>
      <c r="G1631" s="96">
        <v>2848304.38</v>
      </c>
    </row>
    <row r="1632" spans="1:7" x14ac:dyDescent="0.25">
      <c r="A1632" s="2"/>
      <c r="B1632" s="104"/>
      <c r="C1632" s="114" t="s">
        <v>103</v>
      </c>
      <c r="D1632" s="104" t="s">
        <v>863</v>
      </c>
      <c r="E1632" s="105">
        <v>42794</v>
      </c>
      <c r="F1632" s="106" t="s">
        <v>2251</v>
      </c>
      <c r="G1632" s="96">
        <v>59345.24</v>
      </c>
    </row>
    <row r="1633" spans="1:7" x14ac:dyDescent="0.25">
      <c r="A1633" s="2"/>
      <c r="B1633" s="104"/>
      <c r="C1633" s="114" t="s">
        <v>221</v>
      </c>
      <c r="D1633" s="104" t="s">
        <v>865</v>
      </c>
      <c r="E1633" s="105">
        <v>42808</v>
      </c>
      <c r="F1633" s="106" t="s">
        <v>2380</v>
      </c>
      <c r="G1633" s="96">
        <v>844774.45</v>
      </c>
    </row>
    <row r="1634" spans="1:7" x14ac:dyDescent="0.25">
      <c r="A1634" s="104" t="s">
        <v>1699</v>
      </c>
      <c r="G1634" s="96">
        <v>3752424.07</v>
      </c>
    </row>
    <row r="1635" spans="1:7" x14ac:dyDescent="0.25">
      <c r="A1635" s="104"/>
      <c r="G1635" s="96"/>
    </row>
    <row r="1636" spans="1:7" x14ac:dyDescent="0.25">
      <c r="A1636" s="104" t="s">
        <v>997</v>
      </c>
      <c r="G1636" s="96"/>
    </row>
    <row r="1637" spans="1:7" ht="30" x14ac:dyDescent="0.25">
      <c r="A1637" s="107" t="s">
        <v>996</v>
      </c>
      <c r="B1637" s="107"/>
      <c r="C1637" s="107"/>
      <c r="D1637" s="107"/>
      <c r="E1637" s="107"/>
      <c r="F1637" s="107"/>
      <c r="G1637" s="96"/>
    </row>
    <row r="1638" spans="1:7" x14ac:dyDescent="0.25">
      <c r="A1638" s="115" t="s">
        <v>1000</v>
      </c>
      <c r="B1638" s="104" t="s">
        <v>1202</v>
      </c>
      <c r="C1638" s="120">
        <v>1</v>
      </c>
      <c r="D1638" s="120"/>
      <c r="E1638" s="120"/>
      <c r="F1638" s="120"/>
      <c r="G1638" s="96"/>
    </row>
    <row r="1639" spans="1:7" x14ac:dyDescent="0.25">
      <c r="A1639" s="2"/>
      <c r="B1639" s="104"/>
      <c r="C1639" s="114" t="s">
        <v>23</v>
      </c>
      <c r="D1639" s="104" t="s">
        <v>863</v>
      </c>
      <c r="E1639" s="105">
        <v>42682</v>
      </c>
      <c r="F1639" s="106"/>
      <c r="G1639" s="96">
        <v>359981.96</v>
      </c>
    </row>
    <row r="1640" spans="1:7" x14ac:dyDescent="0.25">
      <c r="A1640" s="2"/>
      <c r="B1640" s="104"/>
      <c r="C1640" s="114" t="s">
        <v>103</v>
      </c>
      <c r="D1640" s="104" t="s">
        <v>863</v>
      </c>
      <c r="E1640" s="105">
        <v>42759</v>
      </c>
      <c r="F1640" s="106" t="s">
        <v>2117</v>
      </c>
      <c r="G1640" s="96">
        <v>334391.43</v>
      </c>
    </row>
    <row r="1641" spans="1:7" x14ac:dyDescent="0.25">
      <c r="A1641" s="2"/>
      <c r="B1641" s="104"/>
      <c r="C1641" s="114" t="s">
        <v>221</v>
      </c>
      <c r="D1641" s="104" t="s">
        <v>863</v>
      </c>
      <c r="E1641" s="105">
        <v>42804</v>
      </c>
      <c r="F1641" s="106" t="s">
        <v>2118</v>
      </c>
      <c r="G1641" s="96">
        <v>339156.71</v>
      </c>
    </row>
    <row r="1642" spans="1:7" x14ac:dyDescent="0.25">
      <c r="A1642" s="2"/>
      <c r="B1642" s="104"/>
      <c r="C1642" s="114" t="s">
        <v>55</v>
      </c>
      <c r="D1642" s="104" t="s">
        <v>866</v>
      </c>
      <c r="E1642" s="105">
        <v>42810</v>
      </c>
      <c r="F1642" s="106" t="s">
        <v>2497</v>
      </c>
      <c r="G1642" s="96">
        <v>161237.64000000001</v>
      </c>
    </row>
    <row r="1643" spans="1:7" x14ac:dyDescent="0.25">
      <c r="A1643" s="104" t="s">
        <v>1203</v>
      </c>
      <c r="G1643" s="96">
        <v>1194767.74</v>
      </c>
    </row>
    <row r="1644" spans="1:7" x14ac:dyDescent="0.25">
      <c r="A1644" s="104"/>
      <c r="G1644" s="96"/>
    </row>
    <row r="1645" spans="1:7" x14ac:dyDescent="0.25">
      <c r="A1645" s="104" t="s">
        <v>1457</v>
      </c>
      <c r="G1645" s="96"/>
    </row>
    <row r="1646" spans="1:7" ht="30" x14ac:dyDescent="0.25">
      <c r="A1646" s="107" t="s">
        <v>1459</v>
      </c>
      <c r="B1646" s="107"/>
      <c r="C1646" s="107"/>
      <c r="D1646" s="107"/>
      <c r="E1646" s="107"/>
      <c r="F1646" s="107"/>
      <c r="G1646" s="96"/>
    </row>
    <row r="1647" spans="1:7" x14ac:dyDescent="0.25">
      <c r="A1647" s="115" t="s">
        <v>1461</v>
      </c>
      <c r="B1647" s="104" t="s">
        <v>1582</v>
      </c>
      <c r="C1647" s="120">
        <v>0.5</v>
      </c>
      <c r="D1647" s="120"/>
      <c r="E1647" s="120"/>
      <c r="F1647" s="120"/>
      <c r="G1647" s="96"/>
    </row>
    <row r="1648" spans="1:7" x14ac:dyDescent="0.25">
      <c r="A1648" s="2"/>
      <c r="B1648" s="104"/>
      <c r="C1648" s="114" t="s">
        <v>23</v>
      </c>
      <c r="D1648" s="104" t="s">
        <v>863</v>
      </c>
      <c r="E1648" s="105">
        <v>42692</v>
      </c>
      <c r="F1648" s="106"/>
      <c r="G1648" s="96">
        <v>486489.02</v>
      </c>
    </row>
    <row r="1649" spans="1:7" x14ac:dyDescent="0.25">
      <c r="A1649" s="2"/>
      <c r="B1649" s="104"/>
      <c r="C1649" s="114" t="s">
        <v>103</v>
      </c>
      <c r="D1649" s="104" t="s">
        <v>863</v>
      </c>
      <c r="E1649" s="105">
        <v>42804</v>
      </c>
      <c r="F1649" s="106" t="s">
        <v>2347</v>
      </c>
      <c r="G1649" s="96">
        <v>103562.74</v>
      </c>
    </row>
    <row r="1650" spans="1:7" x14ac:dyDescent="0.25">
      <c r="A1650" s="2"/>
      <c r="B1650" s="104"/>
      <c r="C1650" s="114" t="s">
        <v>221</v>
      </c>
      <c r="D1650" s="104" t="s">
        <v>863</v>
      </c>
      <c r="E1650" s="105">
        <v>42810</v>
      </c>
      <c r="F1650" s="106" t="s">
        <v>2396</v>
      </c>
      <c r="G1650" s="96">
        <v>239253.18</v>
      </c>
    </row>
    <row r="1651" spans="1:7" x14ac:dyDescent="0.25">
      <c r="A1651" s="2"/>
      <c r="B1651" s="104"/>
      <c r="C1651" s="114" t="s">
        <v>55</v>
      </c>
      <c r="D1651" s="104" t="s">
        <v>774</v>
      </c>
      <c r="E1651" s="105">
        <v>42811</v>
      </c>
      <c r="F1651" s="106" t="s">
        <v>2547</v>
      </c>
      <c r="G1651" s="96">
        <v>224386.74</v>
      </c>
    </row>
    <row r="1652" spans="1:7" x14ac:dyDescent="0.25">
      <c r="A1652" s="104" t="s">
        <v>1583</v>
      </c>
      <c r="G1652" s="96">
        <v>1053691.68</v>
      </c>
    </row>
    <row r="1653" spans="1:7" x14ac:dyDescent="0.25">
      <c r="A1653" s="104"/>
      <c r="G1653" s="96"/>
    </row>
    <row r="1654" spans="1:7" x14ac:dyDescent="0.25">
      <c r="A1654" s="104" t="s">
        <v>1467</v>
      </c>
      <c r="G1654" s="96"/>
    </row>
    <row r="1655" spans="1:7" ht="45" x14ac:dyDescent="0.25">
      <c r="A1655" s="107" t="s">
        <v>1468</v>
      </c>
      <c r="B1655" s="107"/>
      <c r="C1655" s="107"/>
      <c r="D1655" s="107"/>
      <c r="E1655" s="107"/>
      <c r="F1655" s="107"/>
      <c r="G1655" s="96"/>
    </row>
    <row r="1656" spans="1:7" ht="30" x14ac:dyDescent="0.25">
      <c r="A1656" s="115" t="s">
        <v>1469</v>
      </c>
      <c r="B1656" s="104" t="s">
        <v>1584</v>
      </c>
      <c r="C1656" s="120">
        <v>0.06</v>
      </c>
      <c r="D1656" s="120"/>
      <c r="E1656" s="120"/>
      <c r="F1656" s="120"/>
      <c r="G1656" s="96"/>
    </row>
    <row r="1657" spans="1:7" x14ac:dyDescent="0.25">
      <c r="A1657" s="2"/>
      <c r="B1657" s="104"/>
      <c r="C1657" s="114" t="s">
        <v>23</v>
      </c>
      <c r="D1657" s="104" t="s">
        <v>863</v>
      </c>
      <c r="E1657" s="105">
        <v>42691</v>
      </c>
      <c r="F1657" s="106"/>
      <c r="G1657" s="96">
        <v>1172900.8</v>
      </c>
    </row>
    <row r="1658" spans="1:7" x14ac:dyDescent="0.25">
      <c r="A1658" s="2"/>
      <c r="B1658" s="104"/>
      <c r="C1658" s="114" t="s">
        <v>103</v>
      </c>
      <c r="D1658" s="104" t="s">
        <v>865</v>
      </c>
      <c r="E1658" s="105">
        <v>42810</v>
      </c>
      <c r="F1658" s="106" t="s">
        <v>2120</v>
      </c>
      <c r="G1658" s="96">
        <v>167947.77</v>
      </c>
    </row>
    <row r="1659" spans="1:7" x14ac:dyDescent="0.25">
      <c r="A1659" s="104" t="s">
        <v>1585</v>
      </c>
      <c r="G1659" s="96">
        <v>1340848.57</v>
      </c>
    </row>
    <row r="1660" spans="1:7" x14ac:dyDescent="0.25">
      <c r="A1660" s="104"/>
      <c r="G1660" s="96"/>
    </row>
    <row r="1661" spans="1:7" x14ac:dyDescent="0.25">
      <c r="A1661" s="104" t="s">
        <v>1214</v>
      </c>
      <c r="G1661" s="96"/>
    </row>
    <row r="1662" spans="1:7" ht="60" x14ac:dyDescent="0.25">
      <c r="A1662" s="107" t="s">
        <v>1213</v>
      </c>
      <c r="B1662" s="107"/>
      <c r="C1662" s="107"/>
      <c r="D1662" s="107"/>
      <c r="E1662" s="107"/>
      <c r="F1662" s="107"/>
      <c r="G1662" s="96"/>
    </row>
    <row r="1663" spans="1:7" x14ac:dyDescent="0.25">
      <c r="A1663" s="115" t="s">
        <v>961</v>
      </c>
      <c r="B1663" s="104" t="s">
        <v>1253</v>
      </c>
      <c r="C1663" s="120">
        <v>0.89</v>
      </c>
      <c r="D1663" s="120"/>
      <c r="E1663" s="120"/>
      <c r="F1663" s="120"/>
      <c r="G1663" s="96"/>
    </row>
    <row r="1664" spans="1:7" x14ac:dyDescent="0.25">
      <c r="A1664" s="2"/>
      <c r="B1664" s="104"/>
      <c r="C1664" s="114" t="s">
        <v>23</v>
      </c>
      <c r="D1664" s="104" t="s">
        <v>863</v>
      </c>
      <c r="E1664" s="105">
        <v>42682</v>
      </c>
      <c r="F1664" s="106"/>
      <c r="G1664" s="96">
        <v>376838.32</v>
      </c>
    </row>
    <row r="1665" spans="1:7" x14ac:dyDescent="0.25">
      <c r="A1665" s="2"/>
      <c r="B1665" s="104"/>
      <c r="C1665" s="114" t="s">
        <v>103</v>
      </c>
      <c r="D1665" s="104" t="s">
        <v>863</v>
      </c>
      <c r="E1665" s="105">
        <v>42734</v>
      </c>
      <c r="F1665" s="106" t="s">
        <v>1535</v>
      </c>
      <c r="G1665" s="96">
        <v>104536.47</v>
      </c>
    </row>
    <row r="1666" spans="1:7" x14ac:dyDescent="0.25">
      <c r="A1666" s="2"/>
      <c r="B1666" s="104"/>
      <c r="C1666" s="114" t="s">
        <v>221</v>
      </c>
      <c r="D1666" s="104" t="s">
        <v>863</v>
      </c>
      <c r="E1666" s="105">
        <v>42734</v>
      </c>
      <c r="F1666" s="106" t="s">
        <v>2121</v>
      </c>
      <c r="G1666" s="96">
        <v>381574.22</v>
      </c>
    </row>
    <row r="1667" spans="1:7" x14ac:dyDescent="0.25">
      <c r="A1667" s="2"/>
      <c r="B1667" s="104"/>
      <c r="C1667" s="114" t="s">
        <v>55</v>
      </c>
      <c r="D1667" s="104" t="s">
        <v>863</v>
      </c>
      <c r="E1667" s="105">
        <v>42794</v>
      </c>
      <c r="F1667" s="106" t="s">
        <v>1122</v>
      </c>
      <c r="G1667" s="96">
        <v>249611.3</v>
      </c>
    </row>
    <row r="1668" spans="1:7" x14ac:dyDescent="0.25">
      <c r="A1668" s="104" t="s">
        <v>1254</v>
      </c>
      <c r="G1668" s="96">
        <v>1112560.31</v>
      </c>
    </row>
    <row r="1669" spans="1:7" x14ac:dyDescent="0.25">
      <c r="A1669" s="104"/>
      <c r="G1669" s="96"/>
    </row>
    <row r="1670" spans="1:7" x14ac:dyDescent="0.25">
      <c r="A1670" s="104" t="s">
        <v>1483</v>
      </c>
      <c r="G1670" s="96"/>
    </row>
    <row r="1671" spans="1:7" ht="30" x14ac:dyDescent="0.25">
      <c r="A1671" s="107" t="s">
        <v>1484</v>
      </c>
      <c r="B1671" s="107"/>
      <c r="C1671" s="107"/>
      <c r="D1671" s="107"/>
      <c r="E1671" s="107"/>
      <c r="F1671" s="107"/>
      <c r="G1671" s="96"/>
    </row>
    <row r="1672" spans="1:7" x14ac:dyDescent="0.25">
      <c r="A1672" s="115" t="s">
        <v>1463</v>
      </c>
      <c r="B1672" s="104" t="s">
        <v>1586</v>
      </c>
      <c r="C1672" s="120">
        <v>0.48</v>
      </c>
      <c r="D1672" s="120"/>
      <c r="E1672" s="120"/>
      <c r="F1672" s="120"/>
      <c r="G1672" s="96"/>
    </row>
    <row r="1673" spans="1:7" x14ac:dyDescent="0.25">
      <c r="A1673" s="2"/>
      <c r="B1673" s="104"/>
      <c r="C1673" s="114" t="s">
        <v>23</v>
      </c>
      <c r="D1673" s="104" t="s">
        <v>863</v>
      </c>
      <c r="E1673" s="105">
        <v>42685</v>
      </c>
      <c r="F1673" s="106"/>
      <c r="G1673" s="96">
        <v>817797.34</v>
      </c>
    </row>
    <row r="1674" spans="1:7" x14ac:dyDescent="0.25">
      <c r="A1674" s="2"/>
      <c r="B1674" s="104"/>
      <c r="C1674" s="114" t="s">
        <v>103</v>
      </c>
      <c r="D1674" s="104" t="s">
        <v>863</v>
      </c>
      <c r="E1674" s="105">
        <v>42804</v>
      </c>
      <c r="F1674" s="106" t="s">
        <v>2253</v>
      </c>
      <c r="G1674" s="96">
        <v>901189.51</v>
      </c>
    </row>
    <row r="1675" spans="1:7" x14ac:dyDescent="0.25">
      <c r="A1675" s="104" t="s">
        <v>1587</v>
      </c>
      <c r="G1675" s="96">
        <v>1718986.85</v>
      </c>
    </row>
    <row r="1676" spans="1:7" x14ac:dyDescent="0.25">
      <c r="A1676" s="104"/>
      <c r="G1676" s="96"/>
    </row>
    <row r="1677" spans="1:7" x14ac:dyDescent="0.25">
      <c r="A1677" s="104" t="s">
        <v>1004</v>
      </c>
      <c r="G1677" s="96"/>
    </row>
    <row r="1678" spans="1:7" ht="45" x14ac:dyDescent="0.25">
      <c r="A1678" s="107" t="s">
        <v>1002</v>
      </c>
      <c r="B1678" s="107"/>
      <c r="C1678" s="107"/>
      <c r="D1678" s="107"/>
      <c r="E1678" s="107"/>
      <c r="F1678" s="107"/>
      <c r="G1678" s="96"/>
    </row>
    <row r="1679" spans="1:7" ht="30" x14ac:dyDescent="0.25">
      <c r="A1679" s="115" t="s">
        <v>1003</v>
      </c>
      <c r="B1679" s="104" t="s">
        <v>1204</v>
      </c>
      <c r="C1679" s="120">
        <v>0.65</v>
      </c>
      <c r="D1679" s="120"/>
      <c r="E1679" s="120"/>
      <c r="F1679" s="120"/>
      <c r="G1679" s="96"/>
    </row>
    <row r="1680" spans="1:7" x14ac:dyDescent="0.25">
      <c r="A1680" s="2"/>
      <c r="B1680" s="104"/>
      <c r="C1680" s="114" t="s">
        <v>23</v>
      </c>
      <c r="D1680" s="104" t="s">
        <v>863</v>
      </c>
      <c r="E1680" s="105">
        <v>42683</v>
      </c>
      <c r="F1680" s="106"/>
      <c r="G1680" s="96">
        <v>569861.04</v>
      </c>
    </row>
    <row r="1681" spans="1:7" x14ac:dyDescent="0.25">
      <c r="A1681" s="2"/>
      <c r="B1681" s="104"/>
      <c r="C1681" s="114" t="s">
        <v>103</v>
      </c>
      <c r="D1681" s="104" t="s">
        <v>863</v>
      </c>
      <c r="E1681" s="105">
        <v>42810</v>
      </c>
      <c r="F1681" s="106" t="s">
        <v>2122</v>
      </c>
      <c r="G1681" s="96">
        <v>342680.9</v>
      </c>
    </row>
    <row r="1682" spans="1:7" x14ac:dyDescent="0.25">
      <c r="A1682" s="2"/>
      <c r="B1682" s="104"/>
      <c r="C1682" s="114" t="s">
        <v>221</v>
      </c>
      <c r="D1682" s="104" t="s">
        <v>866</v>
      </c>
      <c r="E1682" s="105">
        <v>42801</v>
      </c>
      <c r="F1682" s="106" t="s">
        <v>2382</v>
      </c>
      <c r="G1682" s="96">
        <v>520548.2</v>
      </c>
    </row>
    <row r="1683" spans="1:7" x14ac:dyDescent="0.25">
      <c r="A1683" s="104" t="s">
        <v>1205</v>
      </c>
      <c r="G1683" s="96">
        <v>1433090.14</v>
      </c>
    </row>
    <row r="1684" spans="1:7" x14ac:dyDescent="0.25">
      <c r="A1684" s="104"/>
      <c r="G1684" s="96"/>
    </row>
    <row r="1685" spans="1:7" x14ac:dyDescent="0.25">
      <c r="A1685" s="104" t="s">
        <v>1614</v>
      </c>
      <c r="G1685" s="96"/>
    </row>
    <row r="1686" spans="1:7" ht="45" x14ac:dyDescent="0.25">
      <c r="A1686" s="107" t="s">
        <v>1613</v>
      </c>
      <c r="B1686" s="107"/>
      <c r="C1686" s="107"/>
      <c r="D1686" s="107"/>
      <c r="E1686" s="107"/>
      <c r="F1686" s="107"/>
      <c r="G1686" s="96"/>
    </row>
    <row r="1687" spans="1:7" x14ac:dyDescent="0.25">
      <c r="A1687" s="115" t="s">
        <v>1615</v>
      </c>
      <c r="B1687" s="104" t="s">
        <v>1700</v>
      </c>
      <c r="C1687" s="120">
        <v>0.28000000000000003</v>
      </c>
      <c r="D1687" s="120"/>
      <c r="E1687" s="120"/>
      <c r="F1687" s="120"/>
      <c r="G1687" s="96"/>
    </row>
    <row r="1688" spans="1:7" x14ac:dyDescent="0.25">
      <c r="A1688" s="2"/>
      <c r="B1688" s="104"/>
      <c r="C1688" s="114" t="s">
        <v>23</v>
      </c>
      <c r="D1688" s="104" t="s">
        <v>863</v>
      </c>
      <c r="E1688" s="105">
        <v>42696</v>
      </c>
      <c r="F1688" s="106"/>
      <c r="G1688" s="96">
        <v>535840.96</v>
      </c>
    </row>
    <row r="1689" spans="1:7" x14ac:dyDescent="0.25">
      <c r="A1689" s="2"/>
      <c r="B1689" s="104"/>
      <c r="C1689" s="114" t="s">
        <v>103</v>
      </c>
      <c r="D1689" s="104" t="s">
        <v>863</v>
      </c>
      <c r="E1689" s="105">
        <v>42804</v>
      </c>
      <c r="F1689" s="106" t="s">
        <v>2124</v>
      </c>
      <c r="G1689" s="96">
        <v>355982.38</v>
      </c>
    </row>
    <row r="1690" spans="1:7" x14ac:dyDescent="0.25">
      <c r="A1690" s="104" t="s">
        <v>1701</v>
      </c>
      <c r="G1690" s="96">
        <v>891823.34</v>
      </c>
    </row>
    <row r="1691" spans="1:7" x14ac:dyDescent="0.25">
      <c r="A1691" s="104"/>
      <c r="G1691" s="96"/>
    </row>
    <row r="1692" spans="1:7" x14ac:dyDescent="0.25">
      <c r="A1692" s="104" t="s">
        <v>1462</v>
      </c>
      <c r="G1692" s="96"/>
    </row>
    <row r="1693" spans="1:7" ht="30" x14ac:dyDescent="0.25">
      <c r="A1693" s="107" t="s">
        <v>2195</v>
      </c>
      <c r="B1693" s="107"/>
      <c r="C1693" s="107"/>
      <c r="D1693" s="107"/>
      <c r="E1693" s="107"/>
      <c r="F1693" s="107"/>
      <c r="G1693" s="96"/>
    </row>
    <row r="1694" spans="1:7" x14ac:dyDescent="0.25">
      <c r="A1694" s="115" t="s">
        <v>1463</v>
      </c>
      <c r="B1694" s="104" t="s">
        <v>1588</v>
      </c>
      <c r="C1694" s="120">
        <v>0.65</v>
      </c>
      <c r="D1694" s="120"/>
      <c r="E1694" s="120"/>
      <c r="F1694" s="120"/>
      <c r="G1694" s="96"/>
    </row>
    <row r="1695" spans="1:7" x14ac:dyDescent="0.25">
      <c r="A1695" s="2"/>
      <c r="B1695" s="104"/>
      <c r="C1695" s="114" t="s">
        <v>23</v>
      </c>
      <c r="D1695" s="104" t="s">
        <v>863</v>
      </c>
      <c r="E1695" s="105">
        <v>42685</v>
      </c>
      <c r="F1695" s="106"/>
      <c r="G1695" s="96">
        <v>869995.25</v>
      </c>
    </row>
    <row r="1696" spans="1:7" x14ac:dyDescent="0.25">
      <c r="A1696" s="2"/>
      <c r="B1696" s="104"/>
      <c r="C1696" s="114" t="s">
        <v>103</v>
      </c>
      <c r="D1696" s="104" t="s">
        <v>863</v>
      </c>
      <c r="E1696" s="105">
        <v>42804</v>
      </c>
      <c r="F1696" s="106" t="s">
        <v>2255</v>
      </c>
      <c r="G1696" s="96">
        <v>1304234.9099999999</v>
      </c>
    </row>
    <row r="1697" spans="1:7" x14ac:dyDescent="0.25">
      <c r="A1697" s="104" t="s">
        <v>1589</v>
      </c>
      <c r="G1697" s="96">
        <v>2174230.16</v>
      </c>
    </row>
    <row r="1698" spans="1:7" x14ac:dyDescent="0.25">
      <c r="A1698" s="104"/>
      <c r="G1698" s="96"/>
    </row>
    <row r="1699" spans="1:7" x14ac:dyDescent="0.25">
      <c r="A1699" s="104" t="s">
        <v>1016</v>
      </c>
      <c r="G1699" s="96"/>
    </row>
    <row r="1700" spans="1:7" ht="30" x14ac:dyDescent="0.25">
      <c r="A1700" s="107" t="s">
        <v>1015</v>
      </c>
      <c r="B1700" s="107"/>
      <c r="C1700" s="107"/>
      <c r="D1700" s="107"/>
      <c r="E1700" s="107"/>
      <c r="F1700" s="107"/>
      <c r="G1700" s="96"/>
    </row>
    <row r="1701" spans="1:7" x14ac:dyDescent="0.25">
      <c r="A1701" s="115" t="s">
        <v>1000</v>
      </c>
      <c r="B1701" s="104" t="s">
        <v>1255</v>
      </c>
      <c r="C1701" s="120">
        <v>0.8</v>
      </c>
      <c r="D1701" s="120"/>
      <c r="E1701" s="120"/>
      <c r="F1701" s="120"/>
      <c r="G1701" s="96"/>
    </row>
    <row r="1702" spans="1:7" x14ac:dyDescent="0.25">
      <c r="A1702" s="2"/>
      <c r="B1702" s="104"/>
      <c r="C1702" s="114" t="s">
        <v>23</v>
      </c>
      <c r="D1702" s="104" t="s">
        <v>863</v>
      </c>
      <c r="E1702" s="105">
        <v>42677</v>
      </c>
      <c r="F1702" s="106"/>
      <c r="G1702" s="96">
        <v>160216.46</v>
      </c>
    </row>
    <row r="1703" spans="1:7" x14ac:dyDescent="0.25">
      <c r="A1703" s="2"/>
      <c r="B1703" s="104"/>
      <c r="C1703" s="114" t="s">
        <v>103</v>
      </c>
      <c r="D1703" s="104" t="s">
        <v>863</v>
      </c>
      <c r="E1703" s="105">
        <v>42759</v>
      </c>
      <c r="F1703" s="106" t="s">
        <v>2126</v>
      </c>
      <c r="G1703" s="96">
        <v>149307.79999999999</v>
      </c>
    </row>
    <row r="1704" spans="1:7" x14ac:dyDescent="0.25">
      <c r="A1704" s="2"/>
      <c r="B1704" s="104"/>
      <c r="C1704" s="114" t="s">
        <v>221</v>
      </c>
      <c r="D1704" s="104" t="s">
        <v>863</v>
      </c>
      <c r="E1704" s="105">
        <v>42759</v>
      </c>
      <c r="F1704" s="106" t="s">
        <v>2127</v>
      </c>
      <c r="G1704" s="96">
        <v>148877.97</v>
      </c>
    </row>
    <row r="1705" spans="1:7" x14ac:dyDescent="0.25">
      <c r="A1705" s="104" t="s">
        <v>1206</v>
      </c>
      <c r="G1705" s="96">
        <v>458402.23</v>
      </c>
    </row>
    <row r="1706" spans="1:7" x14ac:dyDescent="0.25">
      <c r="A1706" s="104"/>
      <c r="G1706" s="96"/>
    </row>
    <row r="1707" spans="1:7" x14ac:dyDescent="0.25">
      <c r="A1707" s="104" t="s">
        <v>1608</v>
      </c>
      <c r="G1707" s="96"/>
    </row>
    <row r="1708" spans="1:7" ht="45" x14ac:dyDescent="0.25">
      <c r="A1708" s="107" t="s">
        <v>1609</v>
      </c>
      <c r="B1708" s="107"/>
      <c r="C1708" s="107"/>
      <c r="D1708" s="107"/>
      <c r="E1708" s="107"/>
      <c r="F1708" s="107"/>
      <c r="G1708" s="96"/>
    </row>
    <row r="1709" spans="1:7" ht="30" x14ac:dyDescent="0.25">
      <c r="A1709" s="115" t="s">
        <v>953</v>
      </c>
      <c r="B1709" s="104" t="s">
        <v>1702</v>
      </c>
      <c r="C1709" s="120">
        <v>0.43</v>
      </c>
      <c r="D1709" s="120"/>
      <c r="E1709" s="120"/>
      <c r="F1709" s="120"/>
      <c r="G1709" s="96"/>
    </row>
    <row r="1710" spans="1:7" x14ac:dyDescent="0.25">
      <c r="A1710" s="2"/>
      <c r="B1710" s="104"/>
      <c r="C1710" s="114" t="s">
        <v>23</v>
      </c>
      <c r="D1710" s="104" t="s">
        <v>863</v>
      </c>
      <c r="E1710" s="105">
        <v>42691</v>
      </c>
      <c r="F1710" s="106"/>
      <c r="G1710" s="96">
        <v>2534818.06</v>
      </c>
    </row>
    <row r="1711" spans="1:7" x14ac:dyDescent="0.25">
      <c r="A1711" s="2"/>
      <c r="B1711" s="104"/>
      <c r="C1711" s="114" t="s">
        <v>103</v>
      </c>
      <c r="D1711" s="104" t="s">
        <v>863</v>
      </c>
      <c r="E1711" s="105">
        <v>42732</v>
      </c>
      <c r="F1711" s="106" t="s">
        <v>1976</v>
      </c>
      <c r="G1711" s="96">
        <v>1183401.5</v>
      </c>
    </row>
    <row r="1712" spans="1:7" x14ac:dyDescent="0.25">
      <c r="A1712" s="2"/>
      <c r="B1712" s="104"/>
      <c r="C1712" s="114" t="s">
        <v>221</v>
      </c>
      <c r="D1712" s="104" t="s">
        <v>864</v>
      </c>
      <c r="E1712" s="105">
        <v>42811</v>
      </c>
      <c r="F1712" s="106" t="s">
        <v>2398</v>
      </c>
      <c r="G1712" s="96">
        <v>235022.25</v>
      </c>
    </row>
    <row r="1713" spans="1:7" x14ac:dyDescent="0.25">
      <c r="A1713" s="2"/>
      <c r="B1713" s="104"/>
      <c r="C1713" s="114" t="s">
        <v>55</v>
      </c>
      <c r="D1713" s="104" t="s">
        <v>863</v>
      </c>
      <c r="E1713" s="105">
        <v>42810</v>
      </c>
      <c r="F1713" s="106" t="s">
        <v>2399</v>
      </c>
      <c r="G1713" s="96">
        <v>1088016.8700000001</v>
      </c>
    </row>
    <row r="1714" spans="1:7" x14ac:dyDescent="0.25">
      <c r="A1714" s="104" t="s">
        <v>1703</v>
      </c>
      <c r="G1714" s="96">
        <v>5041258.68</v>
      </c>
    </row>
    <row r="1715" spans="1:7" x14ac:dyDescent="0.25">
      <c r="A1715" s="104"/>
      <c r="G1715" s="96"/>
    </row>
    <row r="1716" spans="1:7" x14ac:dyDescent="0.25">
      <c r="A1716" s="104" t="s">
        <v>1488</v>
      </c>
      <c r="G1716" s="96"/>
    </row>
    <row r="1717" spans="1:7" ht="45" x14ac:dyDescent="0.25">
      <c r="A1717" s="107" t="s">
        <v>1487</v>
      </c>
      <c r="B1717" s="107"/>
      <c r="C1717" s="107"/>
      <c r="D1717" s="107"/>
      <c r="E1717" s="107"/>
      <c r="F1717" s="107"/>
      <c r="G1717" s="96"/>
    </row>
    <row r="1718" spans="1:7" x14ac:dyDescent="0.25">
      <c r="A1718" s="115" t="s">
        <v>1449</v>
      </c>
      <c r="B1718" s="104" t="s">
        <v>1590</v>
      </c>
      <c r="C1718" s="120">
        <v>1</v>
      </c>
      <c r="D1718" s="120"/>
      <c r="E1718" s="120"/>
      <c r="F1718" s="120"/>
      <c r="G1718" s="96"/>
    </row>
    <row r="1719" spans="1:7" x14ac:dyDescent="0.25">
      <c r="A1719" s="2"/>
      <c r="B1719" s="104"/>
      <c r="C1719" s="114" t="s">
        <v>23</v>
      </c>
      <c r="D1719" s="104" t="s">
        <v>863</v>
      </c>
      <c r="E1719" s="105">
        <v>42690</v>
      </c>
      <c r="F1719" s="106"/>
      <c r="G1719" s="96">
        <v>574927.31999999995</v>
      </c>
    </row>
    <row r="1720" spans="1:7" x14ac:dyDescent="0.25">
      <c r="A1720" s="2"/>
      <c r="B1720" s="104"/>
      <c r="C1720" s="114" t="s">
        <v>103</v>
      </c>
      <c r="D1720" s="104" t="s">
        <v>863</v>
      </c>
      <c r="E1720" s="105">
        <v>42794</v>
      </c>
      <c r="F1720" s="106" t="s">
        <v>2128</v>
      </c>
      <c r="G1720" s="96">
        <v>140940.14000000001</v>
      </c>
    </row>
    <row r="1721" spans="1:7" x14ac:dyDescent="0.25">
      <c r="A1721" s="2"/>
      <c r="B1721" s="104"/>
      <c r="C1721" s="114" t="s">
        <v>221</v>
      </c>
      <c r="D1721" s="104" t="s">
        <v>863</v>
      </c>
      <c r="E1721" s="105">
        <v>42794</v>
      </c>
      <c r="F1721" s="106" t="s">
        <v>2351</v>
      </c>
      <c r="G1721" s="96">
        <v>705812.32</v>
      </c>
    </row>
    <row r="1722" spans="1:7" x14ac:dyDescent="0.25">
      <c r="A1722" s="2"/>
      <c r="B1722" s="104"/>
      <c r="C1722" s="114" t="s">
        <v>55</v>
      </c>
      <c r="D1722" s="104" t="s">
        <v>863</v>
      </c>
      <c r="E1722" s="105">
        <v>42794</v>
      </c>
      <c r="F1722" s="106" t="s">
        <v>2352</v>
      </c>
      <c r="G1722" s="96">
        <v>486484.16</v>
      </c>
    </row>
    <row r="1723" spans="1:7" x14ac:dyDescent="0.25">
      <c r="A1723" s="104" t="s">
        <v>1591</v>
      </c>
      <c r="G1723" s="96">
        <v>1908163.94</v>
      </c>
    </row>
    <row r="1724" spans="1:7" x14ac:dyDescent="0.25">
      <c r="A1724" s="104"/>
      <c r="G1724" s="96"/>
    </row>
    <row r="1725" spans="1:7" x14ac:dyDescent="0.25">
      <c r="A1725" s="104" t="s">
        <v>1446</v>
      </c>
      <c r="G1725" s="96"/>
    </row>
    <row r="1726" spans="1:7" ht="45" x14ac:dyDescent="0.25">
      <c r="A1726" s="107" t="s">
        <v>1448</v>
      </c>
      <c r="B1726" s="107"/>
      <c r="C1726" s="107"/>
      <c r="D1726" s="107"/>
      <c r="E1726" s="107"/>
      <c r="F1726" s="107"/>
      <c r="G1726" s="96"/>
    </row>
    <row r="1727" spans="1:7" x14ac:dyDescent="0.25">
      <c r="A1727" s="115" t="s">
        <v>1449</v>
      </c>
      <c r="B1727" s="104" t="s">
        <v>1769</v>
      </c>
      <c r="C1727" s="120">
        <v>0.18</v>
      </c>
      <c r="D1727" s="120"/>
      <c r="E1727" s="120"/>
      <c r="F1727" s="120"/>
      <c r="G1727" s="96"/>
    </row>
    <row r="1728" spans="1:7" x14ac:dyDescent="0.25">
      <c r="A1728" s="2"/>
      <c r="B1728" s="104"/>
      <c r="C1728" s="114" t="s">
        <v>23</v>
      </c>
      <c r="D1728" s="104" t="s">
        <v>863</v>
      </c>
      <c r="E1728" s="105">
        <v>42690</v>
      </c>
      <c r="F1728" s="106"/>
      <c r="G1728" s="96">
        <v>477160.22</v>
      </c>
    </row>
    <row r="1729" spans="1:7" x14ac:dyDescent="0.25">
      <c r="A1729" s="2"/>
      <c r="B1729" s="104"/>
      <c r="C1729" s="114" t="s">
        <v>103</v>
      </c>
      <c r="D1729" s="104" t="s">
        <v>863</v>
      </c>
      <c r="E1729" s="105">
        <v>42804</v>
      </c>
      <c r="F1729" s="106" t="s">
        <v>2130</v>
      </c>
      <c r="G1729" s="96">
        <v>197538.23</v>
      </c>
    </row>
    <row r="1730" spans="1:7" x14ac:dyDescent="0.25">
      <c r="A1730" s="104" t="s">
        <v>1592</v>
      </c>
      <c r="G1730" s="96">
        <v>674698.45</v>
      </c>
    </row>
    <row r="1731" spans="1:7" x14ac:dyDescent="0.25">
      <c r="A1731" s="104"/>
      <c r="G1731" s="96"/>
    </row>
    <row r="1732" spans="1:7" x14ac:dyDescent="0.25">
      <c r="A1732" s="104" t="s">
        <v>1663</v>
      </c>
      <c r="G1732" s="96"/>
    </row>
    <row r="1733" spans="1:7" ht="45" x14ac:dyDescent="0.25">
      <c r="A1733" s="107" t="s">
        <v>1664</v>
      </c>
      <c r="B1733" s="107"/>
      <c r="C1733" s="107"/>
      <c r="D1733" s="107"/>
      <c r="E1733" s="107"/>
      <c r="F1733" s="107"/>
      <c r="G1733" s="96"/>
    </row>
    <row r="1734" spans="1:7" x14ac:dyDescent="0.25">
      <c r="A1734" s="115" t="s">
        <v>1665</v>
      </c>
      <c r="B1734" s="104" t="s">
        <v>1704</v>
      </c>
      <c r="C1734" s="120">
        <v>1</v>
      </c>
      <c r="D1734" s="120"/>
      <c r="E1734" s="120"/>
      <c r="F1734" s="120"/>
      <c r="G1734" s="96"/>
    </row>
    <row r="1735" spans="1:7" x14ac:dyDescent="0.25">
      <c r="A1735" s="2"/>
      <c r="B1735" s="104"/>
      <c r="C1735" s="114" t="s">
        <v>23</v>
      </c>
      <c r="D1735" s="104" t="s">
        <v>863</v>
      </c>
      <c r="E1735" s="105">
        <v>42696</v>
      </c>
      <c r="F1735" s="106"/>
      <c r="G1735" s="96">
        <v>856597.37</v>
      </c>
    </row>
    <row r="1736" spans="1:7" x14ac:dyDescent="0.25">
      <c r="A1736" s="2"/>
      <c r="B1736" s="104"/>
      <c r="C1736" s="114" t="s">
        <v>103</v>
      </c>
      <c r="D1736" s="104" t="s">
        <v>866</v>
      </c>
      <c r="E1736" s="105">
        <v>42801</v>
      </c>
      <c r="F1736" s="106" t="s">
        <v>1335</v>
      </c>
      <c r="G1736" s="96">
        <v>142255.07999999999</v>
      </c>
    </row>
    <row r="1737" spans="1:7" x14ac:dyDescent="0.25">
      <c r="A1737" s="2"/>
      <c r="B1737" s="104"/>
      <c r="C1737" s="114" t="s">
        <v>221</v>
      </c>
      <c r="D1737" s="104" t="s">
        <v>866</v>
      </c>
      <c r="E1737" s="105">
        <v>42801</v>
      </c>
      <c r="F1737" s="106" t="s">
        <v>2429</v>
      </c>
      <c r="G1737" s="96">
        <v>971932.15</v>
      </c>
    </row>
    <row r="1738" spans="1:7" x14ac:dyDescent="0.25">
      <c r="A1738" s="2"/>
      <c r="B1738" s="104"/>
      <c r="C1738" s="114" t="s">
        <v>55</v>
      </c>
      <c r="D1738" s="104" t="s">
        <v>774</v>
      </c>
      <c r="E1738" s="105">
        <v>42810</v>
      </c>
      <c r="F1738" s="106" t="s">
        <v>2523</v>
      </c>
      <c r="G1738" s="96">
        <v>637860.43999999994</v>
      </c>
    </row>
    <row r="1739" spans="1:7" x14ac:dyDescent="0.25">
      <c r="A1739" s="2"/>
      <c r="B1739" s="104"/>
      <c r="C1739" s="114" t="s">
        <v>215</v>
      </c>
      <c r="D1739" s="104" t="s">
        <v>774</v>
      </c>
      <c r="E1739" s="105">
        <v>42810</v>
      </c>
      <c r="F1739" s="106" t="s">
        <v>2524</v>
      </c>
      <c r="G1739" s="96">
        <v>234372.09</v>
      </c>
    </row>
    <row r="1740" spans="1:7" x14ac:dyDescent="0.25">
      <c r="A1740" s="104" t="s">
        <v>1705</v>
      </c>
      <c r="G1740" s="96">
        <v>2843017.13</v>
      </c>
    </row>
    <row r="1741" spans="1:7" x14ac:dyDescent="0.25">
      <c r="A1741" s="104"/>
      <c r="G1741" s="96"/>
    </row>
    <row r="1742" spans="1:7" x14ac:dyDescent="0.25">
      <c r="A1742" s="104" t="s">
        <v>1453</v>
      </c>
      <c r="G1742" s="96"/>
    </row>
    <row r="1743" spans="1:7" ht="45" x14ac:dyDescent="0.25">
      <c r="A1743" s="107" t="s">
        <v>1452</v>
      </c>
      <c r="B1743" s="107"/>
      <c r="C1743" s="107"/>
      <c r="D1743" s="107"/>
      <c r="E1743" s="107"/>
      <c r="F1743" s="107"/>
      <c r="G1743" s="96"/>
    </row>
    <row r="1744" spans="1:7" x14ac:dyDescent="0.25">
      <c r="A1744" s="115" t="s">
        <v>1449</v>
      </c>
      <c r="B1744" s="104" t="s">
        <v>1593</v>
      </c>
      <c r="C1744" s="120">
        <v>1</v>
      </c>
      <c r="D1744" s="120"/>
      <c r="E1744" s="120"/>
      <c r="F1744" s="120"/>
      <c r="G1744" s="96"/>
    </row>
    <row r="1745" spans="1:7" x14ac:dyDescent="0.25">
      <c r="A1745" s="2"/>
      <c r="B1745" s="104"/>
      <c r="C1745" s="114" t="s">
        <v>23</v>
      </c>
      <c r="D1745" s="104" t="s">
        <v>863</v>
      </c>
      <c r="E1745" s="105">
        <v>42690</v>
      </c>
      <c r="F1745" s="106"/>
      <c r="G1745" s="96">
        <v>395485.32</v>
      </c>
    </row>
    <row r="1746" spans="1:7" x14ac:dyDescent="0.25">
      <c r="A1746" s="2"/>
      <c r="B1746" s="104"/>
      <c r="C1746" s="114" t="s">
        <v>103</v>
      </c>
      <c r="D1746" s="104" t="s">
        <v>863</v>
      </c>
      <c r="E1746" s="105">
        <v>42794</v>
      </c>
      <c r="F1746" s="106" t="s">
        <v>1544</v>
      </c>
      <c r="G1746" s="96">
        <v>94861.86</v>
      </c>
    </row>
    <row r="1747" spans="1:7" x14ac:dyDescent="0.25">
      <c r="A1747" s="2"/>
      <c r="B1747" s="104"/>
      <c r="C1747" s="114" t="s">
        <v>221</v>
      </c>
      <c r="D1747" s="104" t="s">
        <v>863</v>
      </c>
      <c r="E1747" s="105">
        <v>42794</v>
      </c>
      <c r="F1747" s="106" t="s">
        <v>2353</v>
      </c>
      <c r="G1747" s="96">
        <v>485819.04</v>
      </c>
    </row>
    <row r="1748" spans="1:7" x14ac:dyDescent="0.25">
      <c r="A1748" s="2"/>
      <c r="B1748" s="104"/>
      <c r="C1748" s="114" t="s">
        <v>55</v>
      </c>
      <c r="D1748" s="104" t="s">
        <v>863</v>
      </c>
      <c r="E1748" s="105">
        <v>42794</v>
      </c>
      <c r="F1748" s="106" t="s">
        <v>2354</v>
      </c>
      <c r="G1748" s="96">
        <v>336435.92</v>
      </c>
    </row>
    <row r="1749" spans="1:7" x14ac:dyDescent="0.25">
      <c r="A1749" s="104" t="s">
        <v>1594</v>
      </c>
      <c r="G1749" s="96">
        <v>1312602.1399999999</v>
      </c>
    </row>
    <row r="1750" spans="1:7" x14ac:dyDescent="0.25">
      <c r="A1750" s="104"/>
      <c r="G1750" s="96"/>
    </row>
    <row r="1751" spans="1:7" x14ac:dyDescent="0.25">
      <c r="A1751" s="104" t="s">
        <v>1602</v>
      </c>
      <c r="G1751" s="96"/>
    </row>
    <row r="1752" spans="1:7" ht="45" x14ac:dyDescent="0.25">
      <c r="A1752" s="107" t="s">
        <v>1603</v>
      </c>
      <c r="B1752" s="107"/>
      <c r="C1752" s="107"/>
      <c r="D1752" s="107"/>
      <c r="E1752" s="107"/>
      <c r="F1752" s="107"/>
      <c r="G1752" s="96"/>
    </row>
    <row r="1753" spans="1:7" ht="30" x14ac:dyDescent="0.25">
      <c r="A1753" s="115" t="s">
        <v>1604</v>
      </c>
      <c r="B1753" s="104" t="s">
        <v>1706</v>
      </c>
      <c r="C1753" s="120">
        <v>0.21</v>
      </c>
      <c r="D1753" s="120"/>
      <c r="E1753" s="120"/>
      <c r="F1753" s="120"/>
      <c r="G1753" s="96"/>
    </row>
    <row r="1754" spans="1:7" x14ac:dyDescent="0.25">
      <c r="A1754" s="2"/>
      <c r="B1754" s="104"/>
      <c r="C1754" s="114" t="s">
        <v>23</v>
      </c>
      <c r="D1754" s="104" t="s">
        <v>863</v>
      </c>
      <c r="E1754" s="105">
        <v>42685</v>
      </c>
      <c r="F1754" s="106"/>
      <c r="G1754" s="96">
        <v>1017771.87</v>
      </c>
    </row>
    <row r="1755" spans="1:7" x14ac:dyDescent="0.25">
      <c r="A1755" s="2"/>
      <c r="B1755" s="104"/>
      <c r="C1755" s="114" t="s">
        <v>103</v>
      </c>
      <c r="D1755" s="104" t="s">
        <v>866</v>
      </c>
      <c r="E1755" s="105">
        <v>42811</v>
      </c>
      <c r="F1755" s="106" t="s">
        <v>2526</v>
      </c>
      <c r="G1755" s="96">
        <v>485891.4</v>
      </c>
    </row>
    <row r="1756" spans="1:7" x14ac:dyDescent="0.25">
      <c r="A1756" s="104" t="s">
        <v>1707</v>
      </c>
      <c r="G1756" s="96">
        <v>1503663.27</v>
      </c>
    </row>
    <row r="1757" spans="1:7" x14ac:dyDescent="0.25">
      <c r="A1757" s="104"/>
      <c r="G1757" s="96"/>
    </row>
    <row r="1758" spans="1:7" x14ac:dyDescent="0.25">
      <c r="A1758" s="104" t="s">
        <v>1240</v>
      </c>
      <c r="G1758" s="96"/>
    </row>
    <row r="1759" spans="1:7" ht="60" x14ac:dyDescent="0.25">
      <c r="A1759" s="107" t="s">
        <v>1239</v>
      </c>
      <c r="B1759" s="107"/>
      <c r="C1759" s="107"/>
      <c r="D1759" s="107"/>
      <c r="E1759" s="107"/>
      <c r="F1759" s="107"/>
      <c r="G1759" s="96"/>
    </row>
    <row r="1760" spans="1:7" x14ac:dyDescent="0.25">
      <c r="A1760" s="115" t="s">
        <v>1207</v>
      </c>
      <c r="B1760" s="104" t="s">
        <v>1595</v>
      </c>
      <c r="C1760" s="120">
        <v>0.85</v>
      </c>
      <c r="D1760" s="120"/>
      <c r="E1760" s="120"/>
      <c r="F1760" s="120"/>
      <c r="G1760" s="96"/>
    </row>
    <row r="1761" spans="1:7" x14ac:dyDescent="0.25">
      <c r="A1761" s="2"/>
      <c r="B1761" s="104"/>
      <c r="C1761" s="114" t="s">
        <v>23</v>
      </c>
      <c r="D1761" s="104" t="s">
        <v>863</v>
      </c>
      <c r="E1761" s="105">
        <v>42682</v>
      </c>
      <c r="F1761" s="106"/>
      <c r="G1761" s="96">
        <v>599399.5</v>
      </c>
    </row>
    <row r="1762" spans="1:7" x14ac:dyDescent="0.25">
      <c r="A1762" s="2"/>
      <c r="B1762" s="104"/>
      <c r="C1762" s="114" t="s">
        <v>103</v>
      </c>
      <c r="D1762" s="104" t="s">
        <v>863</v>
      </c>
      <c r="E1762" s="105">
        <v>42804</v>
      </c>
      <c r="F1762" s="106" t="s">
        <v>2324</v>
      </c>
      <c r="G1762" s="96">
        <v>718178.25</v>
      </c>
    </row>
    <row r="1763" spans="1:7" x14ac:dyDescent="0.25">
      <c r="A1763" s="2"/>
      <c r="B1763" s="104"/>
      <c r="C1763" s="114" t="s">
        <v>221</v>
      </c>
      <c r="D1763" s="104" t="s">
        <v>863</v>
      </c>
      <c r="E1763" s="105">
        <v>42810</v>
      </c>
      <c r="F1763" s="106" t="s">
        <v>2431</v>
      </c>
      <c r="G1763" s="96">
        <v>379980.47</v>
      </c>
    </row>
    <row r="1764" spans="1:7" x14ac:dyDescent="0.25">
      <c r="A1764" s="104" t="s">
        <v>1596</v>
      </c>
      <c r="G1764" s="96">
        <v>1697558.22</v>
      </c>
    </row>
    <row r="1765" spans="1:7" x14ac:dyDescent="0.25">
      <c r="A1765" s="104"/>
      <c r="G1765" s="96"/>
    </row>
    <row r="1766" spans="1:7" x14ac:dyDescent="0.25">
      <c r="A1766" s="104" t="s">
        <v>1719</v>
      </c>
      <c r="G1766" s="96"/>
    </row>
    <row r="1767" spans="1:7" ht="45" x14ac:dyDescent="0.25">
      <c r="A1767" s="107" t="s">
        <v>1720</v>
      </c>
      <c r="B1767" s="107"/>
      <c r="C1767" s="107"/>
      <c r="D1767" s="107"/>
      <c r="E1767" s="107"/>
      <c r="F1767" s="107"/>
      <c r="G1767" s="96"/>
    </row>
    <row r="1768" spans="1:7" x14ac:dyDescent="0.25">
      <c r="A1768" s="115" t="s">
        <v>1721</v>
      </c>
      <c r="B1768" s="104" t="s">
        <v>1765</v>
      </c>
      <c r="C1768" s="120">
        <v>0.95</v>
      </c>
      <c r="D1768" s="120"/>
      <c r="E1768" s="120"/>
      <c r="F1768" s="120"/>
      <c r="G1768" s="96"/>
    </row>
    <row r="1769" spans="1:7" x14ac:dyDescent="0.25">
      <c r="A1769" s="2"/>
      <c r="B1769" s="104"/>
      <c r="C1769" s="114" t="s">
        <v>23</v>
      </c>
      <c r="D1769" s="104" t="s">
        <v>863</v>
      </c>
      <c r="E1769" s="105">
        <v>42705</v>
      </c>
      <c r="F1769" s="106"/>
      <c r="G1769" s="96">
        <v>855320.82</v>
      </c>
    </row>
    <row r="1770" spans="1:7" x14ac:dyDescent="0.25">
      <c r="A1770" s="2"/>
      <c r="B1770" s="104"/>
      <c r="C1770" s="114" t="s">
        <v>103</v>
      </c>
      <c r="D1770" s="104" t="s">
        <v>864</v>
      </c>
      <c r="E1770" s="105">
        <v>42802</v>
      </c>
      <c r="F1770" s="106" t="s">
        <v>2325</v>
      </c>
      <c r="G1770" s="96">
        <v>349894.37</v>
      </c>
    </row>
    <row r="1771" spans="1:7" x14ac:dyDescent="0.25">
      <c r="A1771" s="2"/>
      <c r="B1771" s="104"/>
      <c r="C1771" s="114" t="s">
        <v>221</v>
      </c>
      <c r="D1771" s="104" t="s">
        <v>863</v>
      </c>
      <c r="E1771" s="105">
        <v>42810</v>
      </c>
      <c r="F1771" s="106" t="s">
        <v>2456</v>
      </c>
      <c r="G1771" s="96">
        <v>168064.38</v>
      </c>
    </row>
    <row r="1772" spans="1:7" x14ac:dyDescent="0.25">
      <c r="A1772" s="2"/>
      <c r="B1772" s="104"/>
      <c r="C1772" s="114" t="s">
        <v>55</v>
      </c>
      <c r="D1772" s="104" t="s">
        <v>863</v>
      </c>
      <c r="E1772" s="105">
        <v>42810</v>
      </c>
      <c r="F1772" s="106" t="s">
        <v>2457</v>
      </c>
      <c r="G1772" s="96">
        <v>657317.11</v>
      </c>
    </row>
    <row r="1773" spans="1:7" x14ac:dyDescent="0.25">
      <c r="A1773" s="2"/>
      <c r="B1773" s="104"/>
      <c r="C1773" s="114" t="s">
        <v>215</v>
      </c>
      <c r="D1773" s="104" t="s">
        <v>866</v>
      </c>
      <c r="E1773" s="105">
        <v>42811</v>
      </c>
      <c r="F1773" s="106" t="s">
        <v>2528</v>
      </c>
      <c r="G1773" s="96">
        <v>709294.63</v>
      </c>
    </row>
    <row r="1774" spans="1:7" x14ac:dyDescent="0.25">
      <c r="A1774" s="104" t="s">
        <v>1766</v>
      </c>
      <c r="G1774" s="96">
        <v>2739891.31</v>
      </c>
    </row>
    <row r="1775" spans="1:7" x14ac:dyDescent="0.25">
      <c r="A1775" s="104"/>
      <c r="G1775" s="96"/>
    </row>
    <row r="1776" spans="1:7" x14ac:dyDescent="0.25">
      <c r="A1776" s="104" t="s">
        <v>1638</v>
      </c>
      <c r="G1776" s="96"/>
    </row>
    <row r="1777" spans="1:7" ht="45" x14ac:dyDescent="0.25">
      <c r="A1777" s="107" t="s">
        <v>1640</v>
      </c>
      <c r="B1777" s="107"/>
      <c r="C1777" s="107"/>
      <c r="D1777" s="107"/>
      <c r="E1777" s="107"/>
      <c r="F1777" s="107"/>
      <c r="G1777" s="96"/>
    </row>
    <row r="1778" spans="1:7" x14ac:dyDescent="0.25">
      <c r="A1778" s="115" t="s">
        <v>1639</v>
      </c>
      <c r="B1778" s="104" t="s">
        <v>1708</v>
      </c>
      <c r="C1778" s="120">
        <v>1</v>
      </c>
      <c r="D1778" s="120"/>
      <c r="E1778" s="120"/>
      <c r="F1778" s="120"/>
      <c r="G1778" s="96"/>
    </row>
    <row r="1779" spans="1:7" x14ac:dyDescent="0.25">
      <c r="A1779" s="2"/>
      <c r="B1779" s="104"/>
      <c r="C1779" s="114" t="s">
        <v>23</v>
      </c>
      <c r="D1779" s="104" t="s">
        <v>863</v>
      </c>
      <c r="E1779" s="105">
        <v>42691</v>
      </c>
      <c r="F1779" s="106"/>
      <c r="G1779" s="96">
        <v>782731.18</v>
      </c>
    </row>
    <row r="1780" spans="1:7" x14ac:dyDescent="0.25">
      <c r="A1780" s="2"/>
      <c r="B1780" s="104"/>
      <c r="C1780" s="114" t="s">
        <v>103</v>
      </c>
      <c r="D1780" s="104" t="s">
        <v>863</v>
      </c>
      <c r="E1780" s="105">
        <v>42758</v>
      </c>
      <c r="F1780" s="106" t="s">
        <v>1977</v>
      </c>
      <c r="G1780" s="96">
        <v>126062.18</v>
      </c>
    </row>
    <row r="1781" spans="1:7" x14ac:dyDescent="0.25">
      <c r="A1781" s="2"/>
      <c r="B1781" s="104"/>
      <c r="C1781" s="114" t="s">
        <v>221</v>
      </c>
      <c r="D1781" s="104" t="s">
        <v>863</v>
      </c>
      <c r="E1781" s="105">
        <v>42804</v>
      </c>
      <c r="F1781" s="106" t="s">
        <v>2256</v>
      </c>
      <c r="G1781" s="96">
        <v>862190.24</v>
      </c>
    </row>
    <row r="1782" spans="1:7" x14ac:dyDescent="0.25">
      <c r="A1782" s="2"/>
      <c r="B1782" s="104"/>
      <c r="C1782" s="114" t="s">
        <v>55</v>
      </c>
      <c r="D1782" s="104" t="s">
        <v>863</v>
      </c>
      <c r="E1782" s="105">
        <v>42804</v>
      </c>
      <c r="F1782" s="106" t="s">
        <v>2257</v>
      </c>
      <c r="G1782" s="96">
        <v>826701.19</v>
      </c>
    </row>
    <row r="1783" spans="1:7" x14ac:dyDescent="0.25">
      <c r="A1783" s="104" t="s">
        <v>1709</v>
      </c>
      <c r="G1783" s="96">
        <v>2597684.79</v>
      </c>
    </row>
    <row r="1784" spans="1:7" x14ac:dyDescent="0.25">
      <c r="A1784" s="104"/>
      <c r="G1784" s="96"/>
    </row>
    <row r="1785" spans="1:7" x14ac:dyDescent="0.25">
      <c r="A1785" s="104" t="s">
        <v>1442</v>
      </c>
      <c r="G1785" s="96"/>
    </row>
    <row r="1786" spans="1:7" ht="45" x14ac:dyDescent="0.25">
      <c r="A1786" s="107" t="s">
        <v>1441</v>
      </c>
      <c r="B1786" s="107"/>
      <c r="C1786" s="107"/>
      <c r="D1786" s="107"/>
      <c r="E1786" s="107"/>
      <c r="F1786" s="107"/>
      <c r="G1786" s="96"/>
    </row>
    <row r="1787" spans="1:7" ht="30" x14ac:dyDescent="0.25">
      <c r="A1787" s="115" t="s">
        <v>1440</v>
      </c>
      <c r="B1787" s="104" t="s">
        <v>1597</v>
      </c>
      <c r="C1787" s="120">
        <v>1</v>
      </c>
      <c r="D1787" s="120"/>
      <c r="E1787" s="120"/>
      <c r="F1787" s="120"/>
      <c r="G1787" s="96"/>
    </row>
    <row r="1788" spans="1:7" x14ac:dyDescent="0.25">
      <c r="A1788" s="2"/>
      <c r="B1788" s="104"/>
      <c r="C1788" s="114" t="s">
        <v>23</v>
      </c>
      <c r="D1788" s="104" t="s">
        <v>863</v>
      </c>
      <c r="E1788" s="105">
        <v>42683</v>
      </c>
      <c r="F1788" s="106"/>
      <c r="G1788" s="96">
        <v>590694.77</v>
      </c>
    </row>
    <row r="1789" spans="1:7" x14ac:dyDescent="0.25">
      <c r="A1789" s="2"/>
      <c r="B1789" s="104"/>
      <c r="C1789" s="114" t="s">
        <v>103</v>
      </c>
      <c r="D1789" s="104" t="s">
        <v>863</v>
      </c>
      <c r="E1789" s="105">
        <v>42794</v>
      </c>
      <c r="F1789" s="106" t="s">
        <v>2311</v>
      </c>
      <c r="G1789" s="96">
        <v>97480.77</v>
      </c>
    </row>
    <row r="1790" spans="1:7" x14ac:dyDescent="0.25">
      <c r="A1790" s="2"/>
      <c r="B1790" s="104"/>
      <c r="C1790" s="114" t="s">
        <v>221</v>
      </c>
      <c r="D1790" s="104" t="s">
        <v>863</v>
      </c>
      <c r="E1790" s="105">
        <v>42794</v>
      </c>
      <c r="F1790" s="106" t="s">
        <v>2372</v>
      </c>
      <c r="G1790" s="96">
        <v>103126.09</v>
      </c>
    </row>
    <row r="1791" spans="1:7" x14ac:dyDescent="0.25">
      <c r="A1791" s="2"/>
      <c r="B1791" s="104"/>
      <c r="C1791" s="114" t="s">
        <v>55</v>
      </c>
      <c r="D1791" s="104" t="s">
        <v>863</v>
      </c>
      <c r="E1791" s="105">
        <v>42794</v>
      </c>
      <c r="F1791" s="106" t="s">
        <v>2373</v>
      </c>
      <c r="G1791" s="96">
        <v>1006137.06</v>
      </c>
    </row>
    <row r="1792" spans="1:7" x14ac:dyDescent="0.25">
      <c r="A1792" s="2"/>
      <c r="B1792" s="104"/>
      <c r="C1792" s="114" t="s">
        <v>215</v>
      </c>
      <c r="D1792" s="104" t="s">
        <v>863</v>
      </c>
      <c r="E1792" s="105">
        <v>42794</v>
      </c>
      <c r="F1792" s="106" t="s">
        <v>2374</v>
      </c>
      <c r="G1792" s="96">
        <v>163056.87</v>
      </c>
    </row>
    <row r="1793" spans="1:7" x14ac:dyDescent="0.25">
      <c r="A1793" s="104" t="s">
        <v>1598</v>
      </c>
      <c r="G1793" s="96">
        <v>1960495.56</v>
      </c>
    </row>
    <row r="1794" spans="1:7" x14ac:dyDescent="0.25">
      <c r="A1794" s="104"/>
      <c r="G1794" s="96"/>
    </row>
    <row r="1795" spans="1:7" x14ac:dyDescent="0.25">
      <c r="A1795" s="104" t="s">
        <v>1740</v>
      </c>
      <c r="G1795" s="96"/>
    </row>
    <row r="1796" spans="1:7" ht="45" x14ac:dyDescent="0.25">
      <c r="A1796" s="107" t="s">
        <v>1741</v>
      </c>
      <c r="B1796" s="107"/>
      <c r="C1796" s="107"/>
      <c r="D1796" s="107"/>
      <c r="E1796" s="107"/>
      <c r="F1796" s="107"/>
      <c r="G1796" s="96"/>
    </row>
    <row r="1797" spans="1:7" ht="30" x14ac:dyDescent="0.25">
      <c r="A1797" s="115" t="s">
        <v>1742</v>
      </c>
      <c r="B1797" s="104" t="s">
        <v>1767</v>
      </c>
      <c r="C1797" s="120">
        <v>7.0000000000000007E-2</v>
      </c>
      <c r="D1797" s="120"/>
      <c r="E1797" s="120"/>
      <c r="F1797" s="120"/>
      <c r="G1797" s="96"/>
    </row>
    <row r="1798" spans="1:7" x14ac:dyDescent="0.25">
      <c r="A1798" s="2"/>
      <c r="B1798" s="104"/>
      <c r="C1798" s="114" t="s">
        <v>23</v>
      </c>
      <c r="D1798" s="104" t="s">
        <v>863</v>
      </c>
      <c r="E1798" s="105">
        <v>42705</v>
      </c>
      <c r="F1798" s="106"/>
      <c r="G1798" s="96">
        <v>1703853.3</v>
      </c>
    </row>
    <row r="1799" spans="1:7" x14ac:dyDescent="0.25">
      <c r="A1799" s="2"/>
      <c r="B1799" s="104"/>
      <c r="C1799" s="114" t="s">
        <v>103</v>
      </c>
      <c r="D1799" s="104" t="s">
        <v>863</v>
      </c>
      <c r="E1799" s="105">
        <v>42810</v>
      </c>
      <c r="F1799" s="106" t="s">
        <v>2459</v>
      </c>
      <c r="G1799" s="96">
        <v>21786.35</v>
      </c>
    </row>
    <row r="1800" spans="1:7" x14ac:dyDescent="0.25">
      <c r="A1800" s="2"/>
      <c r="B1800" s="104"/>
      <c r="C1800" s="114" t="s">
        <v>221</v>
      </c>
      <c r="D1800" s="104" t="s">
        <v>863</v>
      </c>
      <c r="E1800" s="105">
        <v>42810</v>
      </c>
      <c r="F1800" s="106" t="s">
        <v>2460</v>
      </c>
      <c r="G1800" s="96">
        <v>244917.95</v>
      </c>
    </row>
    <row r="1801" spans="1:7" x14ac:dyDescent="0.25">
      <c r="A1801" s="104" t="s">
        <v>1768</v>
      </c>
      <c r="G1801" s="96">
        <v>1970557.6</v>
      </c>
    </row>
    <row r="1802" spans="1:7" x14ac:dyDescent="0.25">
      <c r="A1802" s="104"/>
      <c r="G1802" s="96"/>
    </row>
    <row r="1803" spans="1:7" x14ac:dyDescent="0.25">
      <c r="A1803" s="104" t="s">
        <v>1809</v>
      </c>
      <c r="G1803" s="96"/>
    </row>
    <row r="1804" spans="1:7" ht="45" x14ac:dyDescent="0.25">
      <c r="A1804" s="107" t="s">
        <v>1811</v>
      </c>
      <c r="B1804" s="107"/>
      <c r="C1804" s="107"/>
      <c r="D1804" s="107"/>
      <c r="E1804" s="107"/>
      <c r="F1804" s="107"/>
      <c r="G1804" s="96"/>
    </row>
    <row r="1805" spans="1:7" ht="30" x14ac:dyDescent="0.25">
      <c r="A1805" s="115" t="s">
        <v>1810</v>
      </c>
      <c r="B1805" s="104" t="s">
        <v>1837</v>
      </c>
      <c r="C1805" s="120">
        <v>0.21</v>
      </c>
      <c r="D1805" s="120"/>
      <c r="E1805" s="120"/>
      <c r="F1805" s="120"/>
      <c r="G1805" s="96"/>
    </row>
    <row r="1806" spans="1:7" x14ac:dyDescent="0.25">
      <c r="A1806" s="2"/>
      <c r="B1806" s="104"/>
      <c r="C1806" s="114" t="s">
        <v>23</v>
      </c>
      <c r="D1806" s="104" t="s">
        <v>863</v>
      </c>
      <c r="E1806" s="105">
        <v>42699</v>
      </c>
      <c r="F1806" s="106"/>
      <c r="G1806" s="96">
        <v>1006221.44</v>
      </c>
    </row>
    <row r="1807" spans="1:7" x14ac:dyDescent="0.25">
      <c r="A1807" s="2"/>
      <c r="B1807" s="104"/>
      <c r="C1807" s="114" t="s">
        <v>103</v>
      </c>
      <c r="D1807" s="104" t="s">
        <v>863</v>
      </c>
      <c r="E1807" s="105">
        <v>42810</v>
      </c>
      <c r="F1807" s="106" t="s">
        <v>1412</v>
      </c>
      <c r="G1807" s="96">
        <v>62919.94</v>
      </c>
    </row>
    <row r="1808" spans="1:7" x14ac:dyDescent="0.25">
      <c r="A1808" s="2"/>
      <c r="B1808" s="104"/>
      <c r="C1808" s="114" t="s">
        <v>221</v>
      </c>
      <c r="D1808" s="104" t="s">
        <v>863</v>
      </c>
      <c r="E1808" s="105">
        <v>42810</v>
      </c>
      <c r="F1808" s="106" t="s">
        <v>2462</v>
      </c>
      <c r="G1808" s="96">
        <v>424005.66</v>
      </c>
    </row>
    <row r="1809" spans="1:7" x14ac:dyDescent="0.25">
      <c r="A1809" s="104" t="s">
        <v>1838</v>
      </c>
      <c r="G1809" s="96">
        <v>1493147.04</v>
      </c>
    </row>
    <row r="1810" spans="1:7" x14ac:dyDescent="0.25">
      <c r="A1810" s="104"/>
      <c r="G1810" s="96"/>
    </row>
    <row r="1811" spans="1:7" x14ac:dyDescent="0.25">
      <c r="A1811" s="104" t="s">
        <v>1819</v>
      </c>
      <c r="G1811" s="96"/>
    </row>
    <row r="1812" spans="1:7" ht="45" x14ac:dyDescent="0.25">
      <c r="A1812" s="107" t="s">
        <v>1818</v>
      </c>
      <c r="B1812" s="107"/>
      <c r="C1812" s="107"/>
      <c r="D1812" s="107"/>
      <c r="E1812" s="107"/>
      <c r="F1812" s="107"/>
      <c r="G1812" s="96"/>
    </row>
    <row r="1813" spans="1:7" ht="30" x14ac:dyDescent="0.25">
      <c r="A1813" s="115" t="s">
        <v>1820</v>
      </c>
      <c r="B1813" s="104" t="s">
        <v>1839</v>
      </c>
      <c r="C1813" s="120">
        <v>0.26</v>
      </c>
      <c r="D1813" s="120"/>
      <c r="E1813" s="120"/>
      <c r="F1813" s="120"/>
      <c r="G1813" s="96"/>
    </row>
    <row r="1814" spans="1:7" x14ac:dyDescent="0.25">
      <c r="A1814" s="2"/>
      <c r="B1814" s="104"/>
      <c r="C1814" s="114" t="s">
        <v>23</v>
      </c>
      <c r="D1814" s="104" t="s">
        <v>863</v>
      </c>
      <c r="E1814" s="105">
        <v>42705</v>
      </c>
      <c r="F1814" s="106"/>
      <c r="G1814" s="96">
        <v>825701.2</v>
      </c>
    </row>
    <row r="1815" spans="1:7" x14ac:dyDescent="0.25">
      <c r="A1815" s="2"/>
      <c r="B1815" s="104"/>
      <c r="C1815" s="114" t="s">
        <v>103</v>
      </c>
      <c r="D1815" s="104" t="s">
        <v>866</v>
      </c>
      <c r="E1815" s="105">
        <v>42810</v>
      </c>
      <c r="F1815" s="106" t="s">
        <v>2530</v>
      </c>
      <c r="G1815" s="96">
        <v>97632.24</v>
      </c>
    </row>
    <row r="1816" spans="1:7" x14ac:dyDescent="0.25">
      <c r="A1816" s="2"/>
      <c r="B1816" s="104"/>
      <c r="C1816" s="114" t="s">
        <v>221</v>
      </c>
      <c r="D1816" s="104" t="s">
        <v>866</v>
      </c>
      <c r="E1816" s="105">
        <v>42811</v>
      </c>
      <c r="F1816" s="106" t="s">
        <v>2531</v>
      </c>
      <c r="G1816" s="96">
        <v>391574.53</v>
      </c>
    </row>
    <row r="1817" spans="1:7" x14ac:dyDescent="0.25">
      <c r="A1817" s="104" t="s">
        <v>1840</v>
      </c>
      <c r="G1817" s="96">
        <v>1314907.97</v>
      </c>
    </row>
    <row r="1818" spans="1:7" x14ac:dyDescent="0.25">
      <c r="A1818" s="104"/>
      <c r="G1818" s="96"/>
    </row>
    <row r="1819" spans="1:7" x14ac:dyDescent="0.25">
      <c r="A1819" s="104" t="s">
        <v>1872</v>
      </c>
      <c r="G1819" s="96"/>
    </row>
    <row r="1820" spans="1:7" ht="45" x14ac:dyDescent="0.25">
      <c r="A1820" s="107" t="s">
        <v>1871</v>
      </c>
      <c r="B1820" s="107"/>
      <c r="C1820" s="107"/>
      <c r="D1820" s="107"/>
      <c r="E1820" s="107"/>
      <c r="F1820" s="107"/>
      <c r="G1820" s="96"/>
    </row>
    <row r="1821" spans="1:7" ht="30" x14ac:dyDescent="0.25">
      <c r="A1821" s="115" t="s">
        <v>1874</v>
      </c>
      <c r="B1821" s="104" t="s">
        <v>1911</v>
      </c>
      <c r="C1821" s="120">
        <v>0</v>
      </c>
      <c r="D1821" s="120"/>
      <c r="E1821" s="120"/>
      <c r="F1821" s="120"/>
      <c r="G1821" s="96"/>
    </row>
    <row r="1822" spans="1:7" x14ac:dyDescent="0.25">
      <c r="A1822" s="2"/>
      <c r="B1822" s="104"/>
      <c r="C1822" s="114" t="s">
        <v>23</v>
      </c>
      <c r="D1822" s="104" t="s">
        <v>863</v>
      </c>
      <c r="E1822" s="105">
        <v>42731</v>
      </c>
      <c r="F1822" s="106"/>
      <c r="G1822" s="96">
        <v>1688992.35</v>
      </c>
    </row>
    <row r="1823" spans="1:7" x14ac:dyDescent="0.25">
      <c r="A1823" s="104" t="s">
        <v>1912</v>
      </c>
      <c r="G1823" s="96">
        <v>1688992.35</v>
      </c>
    </row>
    <row r="1824" spans="1:7" x14ac:dyDescent="0.25">
      <c r="A1824" s="104"/>
      <c r="G1824" s="96"/>
    </row>
    <row r="1825" spans="1:7" x14ac:dyDescent="0.25">
      <c r="A1825" s="104" t="s">
        <v>1620</v>
      </c>
      <c r="G1825" s="96"/>
    </row>
    <row r="1826" spans="1:7" ht="30" x14ac:dyDescent="0.25">
      <c r="A1826" s="107" t="s">
        <v>1621</v>
      </c>
      <c r="B1826" s="107"/>
      <c r="C1826" s="107"/>
      <c r="D1826" s="107"/>
      <c r="E1826" s="107"/>
      <c r="F1826" s="107"/>
      <c r="G1826" s="96"/>
    </row>
    <row r="1827" spans="1:7" x14ac:dyDescent="0.25">
      <c r="A1827" s="115" t="s">
        <v>1619</v>
      </c>
      <c r="B1827" s="104" t="s">
        <v>1710</v>
      </c>
      <c r="C1827" s="120">
        <v>0.94</v>
      </c>
      <c r="D1827" s="120"/>
      <c r="E1827" s="120"/>
      <c r="F1827" s="120"/>
      <c r="G1827" s="96"/>
    </row>
    <row r="1828" spans="1:7" x14ac:dyDescent="0.25">
      <c r="A1828" s="2"/>
      <c r="B1828" s="104"/>
      <c r="C1828" s="114" t="s">
        <v>23</v>
      </c>
      <c r="D1828" s="104" t="s">
        <v>863</v>
      </c>
      <c r="E1828" s="105">
        <v>42689</v>
      </c>
      <c r="F1828" s="106"/>
      <c r="G1828" s="96">
        <v>1107177.44</v>
      </c>
    </row>
    <row r="1829" spans="1:7" x14ac:dyDescent="0.25">
      <c r="A1829" s="2"/>
      <c r="B1829" s="104"/>
      <c r="C1829" s="114" t="s">
        <v>103</v>
      </c>
      <c r="D1829" s="104" t="s">
        <v>863</v>
      </c>
      <c r="E1829" s="105">
        <v>42804</v>
      </c>
      <c r="F1829" s="106" t="s">
        <v>2258</v>
      </c>
      <c r="G1829" s="96">
        <v>534472.12</v>
      </c>
    </row>
    <row r="1830" spans="1:7" x14ac:dyDescent="0.25">
      <c r="A1830" s="2"/>
      <c r="B1830" s="104"/>
      <c r="C1830" s="114" t="s">
        <v>221</v>
      </c>
      <c r="D1830" s="104" t="s">
        <v>863</v>
      </c>
      <c r="E1830" s="105">
        <v>42804</v>
      </c>
      <c r="F1830" s="106" t="s">
        <v>2327</v>
      </c>
      <c r="G1830" s="96">
        <v>1053304.77</v>
      </c>
    </row>
    <row r="1831" spans="1:7" x14ac:dyDescent="0.25">
      <c r="A1831" s="2"/>
      <c r="B1831" s="104"/>
      <c r="C1831" s="114" t="s">
        <v>55</v>
      </c>
      <c r="D1831" s="104" t="s">
        <v>863</v>
      </c>
      <c r="E1831" s="105">
        <v>42804</v>
      </c>
      <c r="F1831" s="106" t="s">
        <v>2328</v>
      </c>
      <c r="G1831" s="96">
        <v>834184.5</v>
      </c>
    </row>
    <row r="1832" spans="1:7" x14ac:dyDescent="0.25">
      <c r="A1832" s="104" t="s">
        <v>1711</v>
      </c>
      <c r="G1832" s="96">
        <v>3529138.83</v>
      </c>
    </row>
    <row r="1833" spans="1:7" x14ac:dyDescent="0.25">
      <c r="A1833" s="104"/>
      <c r="G1833" s="96"/>
    </row>
    <row r="1834" spans="1:7" x14ac:dyDescent="0.25">
      <c r="A1834" s="104" t="s">
        <v>1656</v>
      </c>
      <c r="G1834" s="96"/>
    </row>
    <row r="1835" spans="1:7" ht="45" x14ac:dyDescent="0.25">
      <c r="A1835" s="107" t="s">
        <v>1658</v>
      </c>
      <c r="B1835" s="107"/>
      <c r="C1835" s="107"/>
      <c r="D1835" s="107"/>
      <c r="E1835" s="107"/>
      <c r="F1835" s="107"/>
      <c r="G1835" s="96"/>
    </row>
    <row r="1836" spans="1:7" x14ac:dyDescent="0.25">
      <c r="A1836" s="115" t="s">
        <v>1659</v>
      </c>
      <c r="B1836" s="104" t="s">
        <v>1712</v>
      </c>
      <c r="C1836" s="120">
        <v>0.37</v>
      </c>
      <c r="D1836" s="120"/>
      <c r="E1836" s="120"/>
      <c r="F1836" s="120"/>
      <c r="G1836" s="96"/>
    </row>
    <row r="1837" spans="1:7" x14ac:dyDescent="0.25">
      <c r="A1837" s="2"/>
      <c r="B1837" s="104"/>
      <c r="C1837" s="114" t="s">
        <v>23</v>
      </c>
      <c r="D1837" s="104" t="s">
        <v>863</v>
      </c>
      <c r="E1837" s="105">
        <v>42692</v>
      </c>
      <c r="F1837" s="106"/>
      <c r="G1837" s="96">
        <v>449909.8</v>
      </c>
    </row>
    <row r="1838" spans="1:7" x14ac:dyDescent="0.25">
      <c r="A1838" s="2"/>
      <c r="B1838" s="104"/>
      <c r="C1838" s="114" t="s">
        <v>103</v>
      </c>
      <c r="D1838" s="104" t="s">
        <v>865</v>
      </c>
      <c r="E1838" s="105">
        <v>42810</v>
      </c>
      <c r="F1838" s="106" t="s">
        <v>2433</v>
      </c>
      <c r="G1838" s="96">
        <v>113928.82</v>
      </c>
    </row>
    <row r="1839" spans="1:7" x14ac:dyDescent="0.25">
      <c r="A1839" s="2"/>
      <c r="B1839" s="104"/>
      <c r="C1839" s="114" t="s">
        <v>221</v>
      </c>
      <c r="D1839" s="104" t="s">
        <v>865</v>
      </c>
      <c r="E1839" s="105">
        <v>42810</v>
      </c>
      <c r="F1839" s="106" t="s">
        <v>1058</v>
      </c>
      <c r="G1839" s="96">
        <v>105202.64</v>
      </c>
    </row>
    <row r="1840" spans="1:7" x14ac:dyDescent="0.25">
      <c r="A1840" s="2"/>
      <c r="B1840" s="104"/>
      <c r="C1840" s="114" t="s">
        <v>55</v>
      </c>
      <c r="D1840" s="104" t="s">
        <v>865</v>
      </c>
      <c r="E1840" s="105">
        <v>42810</v>
      </c>
      <c r="F1840" s="106" t="s">
        <v>2434</v>
      </c>
      <c r="G1840" s="96">
        <v>168015.28</v>
      </c>
    </row>
    <row r="1841" spans="1:7" x14ac:dyDescent="0.25">
      <c r="A1841" s="104" t="s">
        <v>1713</v>
      </c>
      <c r="G1841" s="96">
        <v>837056.54</v>
      </c>
    </row>
    <row r="1842" spans="1:7" x14ac:dyDescent="0.25">
      <c r="A1842" s="104"/>
      <c r="G1842" s="96"/>
    </row>
    <row r="1843" spans="1:7" x14ac:dyDescent="0.25">
      <c r="A1843" s="104" t="s">
        <v>1670</v>
      </c>
      <c r="G1843" s="96"/>
    </row>
    <row r="1844" spans="1:7" ht="45" x14ac:dyDescent="0.25">
      <c r="A1844" s="107" t="s">
        <v>1669</v>
      </c>
      <c r="B1844" s="107"/>
      <c r="C1844" s="107"/>
      <c r="D1844" s="107"/>
      <c r="E1844" s="107"/>
      <c r="F1844" s="107"/>
      <c r="G1844" s="96"/>
    </row>
    <row r="1845" spans="1:7" x14ac:dyDescent="0.25">
      <c r="A1845" s="115" t="s">
        <v>1671</v>
      </c>
      <c r="B1845" s="104" t="s">
        <v>1714</v>
      </c>
      <c r="C1845" s="120">
        <v>0.12</v>
      </c>
      <c r="D1845" s="120"/>
      <c r="E1845" s="120"/>
      <c r="F1845" s="120"/>
      <c r="G1845" s="96"/>
    </row>
    <row r="1846" spans="1:7" x14ac:dyDescent="0.25">
      <c r="A1846" s="2"/>
      <c r="B1846" s="104"/>
      <c r="C1846" s="114" t="s">
        <v>23</v>
      </c>
      <c r="D1846" s="104" t="s">
        <v>863</v>
      </c>
      <c r="E1846" s="105">
        <v>42704</v>
      </c>
      <c r="F1846" s="106"/>
      <c r="G1846" s="96">
        <v>1138742.6200000001</v>
      </c>
    </row>
    <row r="1847" spans="1:7" x14ac:dyDescent="0.25">
      <c r="A1847" s="2"/>
      <c r="B1847" s="104"/>
      <c r="C1847" s="114" t="s">
        <v>103</v>
      </c>
      <c r="D1847" s="104" t="s">
        <v>863</v>
      </c>
      <c r="E1847" s="105">
        <v>42759</v>
      </c>
      <c r="F1847" s="106" t="s">
        <v>2132</v>
      </c>
      <c r="G1847" s="96">
        <v>327394.90000000002</v>
      </c>
    </row>
    <row r="1848" spans="1:7" x14ac:dyDescent="0.25">
      <c r="A1848" s="104" t="s">
        <v>1715</v>
      </c>
      <c r="G1848" s="96">
        <v>1466137.52</v>
      </c>
    </row>
    <row r="1849" spans="1:7" x14ac:dyDescent="0.25">
      <c r="A1849" s="104"/>
      <c r="G1849" s="96"/>
    </row>
    <row r="1850" spans="1:7" x14ac:dyDescent="0.25">
      <c r="A1850" s="104" t="s">
        <v>1770</v>
      </c>
      <c r="G1850" s="96"/>
    </row>
    <row r="1851" spans="1:7" ht="45" x14ac:dyDescent="0.25">
      <c r="A1851" s="107" t="s">
        <v>1772</v>
      </c>
      <c r="B1851" s="107"/>
      <c r="C1851" s="107"/>
      <c r="D1851" s="107"/>
      <c r="E1851" s="107"/>
      <c r="F1851" s="107"/>
      <c r="G1851" s="96"/>
    </row>
    <row r="1852" spans="1:7" ht="30" x14ac:dyDescent="0.25">
      <c r="A1852" s="115" t="s">
        <v>1771</v>
      </c>
      <c r="B1852" s="104" t="s">
        <v>1803</v>
      </c>
      <c r="C1852" s="120">
        <v>0.85</v>
      </c>
      <c r="D1852" s="120"/>
      <c r="E1852" s="120"/>
      <c r="F1852" s="120"/>
      <c r="G1852" s="96"/>
    </row>
    <row r="1853" spans="1:7" x14ac:dyDescent="0.25">
      <c r="A1853" s="2"/>
      <c r="B1853" s="104"/>
      <c r="C1853" s="114" t="s">
        <v>23</v>
      </c>
      <c r="D1853" s="104" t="s">
        <v>863</v>
      </c>
      <c r="E1853" s="105">
        <v>42699</v>
      </c>
      <c r="F1853" s="106"/>
      <c r="G1853" s="96">
        <v>1549584.03</v>
      </c>
    </row>
    <row r="1854" spans="1:7" x14ac:dyDescent="0.25">
      <c r="A1854" s="2"/>
      <c r="B1854" s="104"/>
      <c r="C1854" s="114" t="s">
        <v>103</v>
      </c>
      <c r="D1854" s="104" t="s">
        <v>864</v>
      </c>
      <c r="E1854" s="105">
        <v>42802</v>
      </c>
      <c r="F1854" s="106" t="s">
        <v>1503</v>
      </c>
      <c r="G1854" s="96">
        <v>306152.98</v>
      </c>
    </row>
    <row r="1855" spans="1:7" x14ac:dyDescent="0.25">
      <c r="A1855" s="2"/>
      <c r="B1855" s="104"/>
      <c r="C1855" s="114" t="s">
        <v>221</v>
      </c>
      <c r="D1855" s="104" t="s">
        <v>863</v>
      </c>
      <c r="E1855" s="105">
        <v>42804</v>
      </c>
      <c r="F1855" s="106" t="s">
        <v>2329</v>
      </c>
      <c r="G1855" s="96">
        <v>262727.09000000003</v>
      </c>
    </row>
    <row r="1856" spans="1:7" x14ac:dyDescent="0.25">
      <c r="A1856" s="2"/>
      <c r="B1856" s="104"/>
      <c r="C1856" s="114" t="s">
        <v>55</v>
      </c>
      <c r="D1856" s="104" t="s">
        <v>863</v>
      </c>
      <c r="E1856" s="105">
        <v>42804</v>
      </c>
      <c r="F1856" s="106" t="s">
        <v>2330</v>
      </c>
      <c r="G1856" s="96">
        <v>876185.34</v>
      </c>
    </row>
    <row r="1857" spans="1:7" x14ac:dyDescent="0.25">
      <c r="A1857" s="2"/>
      <c r="B1857" s="104"/>
      <c r="C1857" s="114" t="s">
        <v>215</v>
      </c>
      <c r="D1857" s="104" t="s">
        <v>866</v>
      </c>
      <c r="E1857" s="105">
        <v>42810</v>
      </c>
      <c r="F1857" s="106" t="s">
        <v>2520</v>
      </c>
      <c r="G1857" s="96">
        <v>383339.86</v>
      </c>
    </row>
    <row r="1858" spans="1:7" x14ac:dyDescent="0.25">
      <c r="A1858" s="2"/>
      <c r="B1858" s="104"/>
      <c r="C1858" s="114" t="s">
        <v>15</v>
      </c>
      <c r="D1858" s="104" t="s">
        <v>866</v>
      </c>
      <c r="E1858" s="105">
        <v>42810</v>
      </c>
      <c r="F1858" s="106" t="s">
        <v>2521</v>
      </c>
      <c r="G1858" s="96">
        <v>1241076.5</v>
      </c>
    </row>
    <row r="1859" spans="1:7" x14ac:dyDescent="0.25">
      <c r="A1859" s="104" t="s">
        <v>1804</v>
      </c>
      <c r="G1859" s="96">
        <v>4619065.8</v>
      </c>
    </row>
    <row r="1860" spans="1:7" x14ac:dyDescent="0.25">
      <c r="A1860" s="104"/>
      <c r="G1860" s="96"/>
    </row>
    <row r="1861" spans="1:7" x14ac:dyDescent="0.25">
      <c r="A1861" s="104" t="s">
        <v>1778</v>
      </c>
      <c r="G1861" s="96"/>
    </row>
    <row r="1862" spans="1:7" ht="75" x14ac:dyDescent="0.25">
      <c r="A1862" s="107" t="s">
        <v>1779</v>
      </c>
      <c r="B1862" s="107"/>
      <c r="C1862" s="107"/>
      <c r="D1862" s="107"/>
      <c r="E1862" s="107"/>
      <c r="F1862" s="107"/>
      <c r="G1862" s="96"/>
    </row>
    <row r="1863" spans="1:7" x14ac:dyDescent="0.25">
      <c r="A1863" s="115" t="s">
        <v>898</v>
      </c>
      <c r="B1863" s="104" t="s">
        <v>1805</v>
      </c>
      <c r="C1863" s="120">
        <v>0.33</v>
      </c>
      <c r="D1863" s="120"/>
      <c r="E1863" s="120"/>
      <c r="F1863" s="120"/>
      <c r="G1863" s="96"/>
    </row>
    <row r="1864" spans="1:7" x14ac:dyDescent="0.25">
      <c r="A1864" s="2"/>
      <c r="B1864" s="104"/>
      <c r="C1864" s="114" t="s">
        <v>23</v>
      </c>
      <c r="D1864" s="104" t="s">
        <v>863</v>
      </c>
      <c r="E1864" s="105">
        <v>42710</v>
      </c>
      <c r="F1864" s="106"/>
      <c r="G1864" s="96">
        <v>564432.41</v>
      </c>
    </row>
    <row r="1865" spans="1:7" x14ac:dyDescent="0.25">
      <c r="A1865" s="2"/>
      <c r="B1865" s="104"/>
      <c r="C1865" s="114" t="s">
        <v>103</v>
      </c>
      <c r="D1865" s="104" t="s">
        <v>866</v>
      </c>
      <c r="E1865" s="105">
        <v>42810</v>
      </c>
      <c r="F1865" s="106" t="s">
        <v>2499</v>
      </c>
      <c r="G1865" s="96">
        <v>430361.02</v>
      </c>
    </row>
    <row r="1866" spans="1:7" x14ac:dyDescent="0.25">
      <c r="A1866" s="104" t="s">
        <v>1806</v>
      </c>
      <c r="G1866" s="96">
        <v>994793.43</v>
      </c>
    </row>
    <row r="1867" spans="1:7" x14ac:dyDescent="0.25">
      <c r="A1867" s="104"/>
      <c r="G1867" s="96"/>
    </row>
    <row r="1868" spans="1:7" x14ac:dyDescent="0.25">
      <c r="A1868" s="104" t="s">
        <v>2068</v>
      </c>
      <c r="G1868" s="96"/>
    </row>
    <row r="1869" spans="1:7" ht="45" x14ac:dyDescent="0.25">
      <c r="A1869" s="107" t="s">
        <v>2069</v>
      </c>
      <c r="B1869" s="107"/>
      <c r="C1869" s="107"/>
      <c r="D1869" s="107"/>
      <c r="E1869" s="107"/>
      <c r="F1869" s="107"/>
      <c r="G1869" s="96"/>
    </row>
    <row r="1870" spans="1:7" x14ac:dyDescent="0.25">
      <c r="A1870" s="115" t="s">
        <v>2070</v>
      </c>
      <c r="B1870" s="104" t="s">
        <v>2465</v>
      </c>
      <c r="C1870" s="120">
        <v>0</v>
      </c>
      <c r="D1870" s="120"/>
      <c r="E1870" s="120"/>
      <c r="F1870" s="120"/>
      <c r="G1870" s="96"/>
    </row>
    <row r="1871" spans="1:7" x14ac:dyDescent="0.25">
      <c r="A1871" s="2"/>
      <c r="B1871" s="104"/>
      <c r="C1871" s="114" t="s">
        <v>23</v>
      </c>
      <c r="D1871" s="104" t="s">
        <v>864</v>
      </c>
      <c r="E1871" s="105">
        <v>42810</v>
      </c>
      <c r="F1871" s="106"/>
      <c r="G1871" s="96">
        <v>8587084.0600000005</v>
      </c>
    </row>
    <row r="1872" spans="1:7" x14ac:dyDescent="0.25">
      <c r="A1872" s="104" t="s">
        <v>2466</v>
      </c>
      <c r="G1872" s="96">
        <v>8587084.0600000005</v>
      </c>
    </row>
    <row r="1873" spans="1:7" x14ac:dyDescent="0.25">
      <c r="A1873" s="104"/>
      <c r="G1873" s="96"/>
    </row>
    <row r="1874" spans="1:7" x14ac:dyDescent="0.25">
      <c r="A1874" s="104" t="s">
        <v>2236</v>
      </c>
      <c r="G1874" s="96"/>
    </row>
    <row r="1875" spans="1:7" ht="45" x14ac:dyDescent="0.25">
      <c r="A1875" s="107" t="s">
        <v>2198</v>
      </c>
      <c r="B1875" s="107"/>
      <c r="C1875" s="107"/>
      <c r="D1875" s="107"/>
      <c r="E1875" s="107"/>
      <c r="F1875" s="107"/>
      <c r="G1875" s="96"/>
    </row>
    <row r="1876" spans="1:7" x14ac:dyDescent="0.25">
      <c r="A1876" s="115" t="s">
        <v>391</v>
      </c>
      <c r="B1876" s="104" t="s">
        <v>2415</v>
      </c>
      <c r="C1876" s="120">
        <v>0</v>
      </c>
      <c r="D1876" s="120"/>
      <c r="E1876" s="120"/>
      <c r="F1876" s="120"/>
      <c r="G1876" s="96"/>
    </row>
    <row r="1877" spans="1:7" x14ac:dyDescent="0.25">
      <c r="A1877" s="2"/>
      <c r="B1877" s="104"/>
      <c r="C1877" s="114" t="s">
        <v>23</v>
      </c>
      <c r="D1877" s="104" t="s">
        <v>863</v>
      </c>
      <c r="E1877" s="105">
        <v>42794</v>
      </c>
      <c r="F1877" s="106"/>
      <c r="G1877" s="96">
        <v>4860315.62</v>
      </c>
    </row>
    <row r="1878" spans="1:7" x14ac:dyDescent="0.25">
      <c r="A1878" s="104" t="s">
        <v>2416</v>
      </c>
      <c r="G1878" s="96">
        <v>4860315.62</v>
      </c>
    </row>
    <row r="1879" spans="1:7" x14ac:dyDescent="0.25">
      <c r="A1879" s="104"/>
      <c r="G1879" s="96"/>
    </row>
    <row r="1880" spans="1:7" x14ac:dyDescent="0.25">
      <c r="A1880" s="104" t="s">
        <v>2229</v>
      </c>
      <c r="G1880" s="96"/>
    </row>
    <row r="1881" spans="1:7" ht="45" x14ac:dyDescent="0.25">
      <c r="A1881" s="107" t="s">
        <v>2207</v>
      </c>
      <c r="B1881" s="107"/>
      <c r="C1881" s="107"/>
      <c r="D1881" s="107"/>
      <c r="E1881" s="107"/>
      <c r="F1881" s="107"/>
      <c r="G1881" s="96"/>
    </row>
    <row r="1882" spans="1:7" x14ac:dyDescent="0.25">
      <c r="A1882" s="115" t="s">
        <v>2230</v>
      </c>
      <c r="B1882" s="104" t="s">
        <v>2355</v>
      </c>
      <c r="C1882" s="120">
        <v>0</v>
      </c>
      <c r="D1882" s="120"/>
      <c r="E1882" s="120"/>
      <c r="F1882" s="120"/>
      <c r="G1882" s="96"/>
    </row>
    <row r="1883" spans="1:7" x14ac:dyDescent="0.25">
      <c r="A1883" s="2"/>
      <c r="B1883" s="104"/>
      <c r="C1883" s="114" t="s">
        <v>23</v>
      </c>
      <c r="D1883" s="104" t="s">
        <v>863</v>
      </c>
      <c r="E1883" s="105">
        <v>42795</v>
      </c>
      <c r="F1883" s="106"/>
      <c r="G1883" s="96">
        <v>3737088.94</v>
      </c>
    </row>
    <row r="1884" spans="1:7" x14ac:dyDescent="0.25">
      <c r="A1884" s="104" t="s">
        <v>2356</v>
      </c>
      <c r="G1884" s="96">
        <v>3737088.94</v>
      </c>
    </row>
    <row r="1885" spans="1:7" x14ac:dyDescent="0.25">
      <c r="A1885" s="104"/>
      <c r="G1885" s="96"/>
    </row>
    <row r="1886" spans="1:7" x14ac:dyDescent="0.25">
      <c r="A1886" s="104" t="s">
        <v>2233</v>
      </c>
      <c r="G1886" s="96"/>
    </row>
    <row r="1887" spans="1:7" ht="75" x14ac:dyDescent="0.25">
      <c r="A1887" s="107" t="s">
        <v>2212</v>
      </c>
      <c r="B1887" s="107"/>
      <c r="C1887" s="107"/>
      <c r="D1887" s="107"/>
      <c r="E1887" s="107"/>
      <c r="F1887" s="107"/>
      <c r="G1887" s="96"/>
    </row>
    <row r="1888" spans="1:7" ht="30" x14ac:dyDescent="0.25">
      <c r="A1888" s="115" t="s">
        <v>2234</v>
      </c>
      <c r="B1888" s="104" t="s">
        <v>2357</v>
      </c>
      <c r="C1888" s="120">
        <v>0</v>
      </c>
      <c r="D1888" s="120"/>
      <c r="E1888" s="120"/>
      <c r="F1888" s="120"/>
      <c r="G1888" s="96"/>
    </row>
    <row r="1889" spans="1:7" x14ac:dyDescent="0.25">
      <c r="A1889" s="2"/>
      <c r="B1889" s="104"/>
      <c r="C1889" s="114" t="s">
        <v>23</v>
      </c>
      <c r="D1889" s="104" t="s">
        <v>863</v>
      </c>
      <c r="E1889" s="105">
        <v>42795</v>
      </c>
      <c r="F1889" s="106"/>
      <c r="G1889" s="96">
        <v>2854969.52</v>
      </c>
    </row>
    <row r="1890" spans="1:7" x14ac:dyDescent="0.25">
      <c r="A1890" s="104" t="s">
        <v>2358</v>
      </c>
      <c r="G1890" s="96">
        <v>2854969.52</v>
      </c>
    </row>
    <row r="1891" spans="1:7" x14ac:dyDescent="0.25">
      <c r="A1891" s="104"/>
      <c r="G1891" s="96"/>
    </row>
    <row r="1892" spans="1:7" x14ac:dyDescent="0.25">
      <c r="A1892" s="104" t="s">
        <v>2224</v>
      </c>
      <c r="G1892" s="96"/>
    </row>
    <row r="1893" spans="1:7" ht="75" x14ac:dyDescent="0.25">
      <c r="A1893" s="107" t="s">
        <v>2215</v>
      </c>
      <c r="B1893" s="107"/>
      <c r="C1893" s="107"/>
      <c r="D1893" s="107"/>
      <c r="E1893" s="107"/>
      <c r="F1893" s="107"/>
      <c r="G1893" s="96"/>
    </row>
    <row r="1894" spans="1:7" ht="30" x14ac:dyDescent="0.25">
      <c r="A1894" s="115" t="s">
        <v>873</v>
      </c>
      <c r="B1894" s="104" t="s">
        <v>2359</v>
      </c>
      <c r="C1894" s="120">
        <v>0</v>
      </c>
      <c r="D1894" s="120"/>
      <c r="E1894" s="120"/>
      <c r="F1894" s="120"/>
      <c r="G1894" s="96"/>
    </row>
    <row r="1895" spans="1:7" x14ac:dyDescent="0.25">
      <c r="A1895" s="2"/>
      <c r="B1895" s="104"/>
      <c r="C1895" s="114" t="s">
        <v>23</v>
      </c>
      <c r="D1895" s="104" t="s">
        <v>863</v>
      </c>
      <c r="E1895" s="105">
        <v>42788</v>
      </c>
      <c r="F1895" s="106"/>
      <c r="G1895" s="96">
        <v>8445100.7599999998</v>
      </c>
    </row>
    <row r="1896" spans="1:7" x14ac:dyDescent="0.25">
      <c r="A1896" s="104" t="s">
        <v>2360</v>
      </c>
      <c r="G1896" s="96">
        <v>8445100.7599999998</v>
      </c>
    </row>
    <row r="1897" spans="1:7" x14ac:dyDescent="0.25">
      <c r="A1897" s="104"/>
      <c r="G1897" s="96"/>
    </row>
    <row r="1898" spans="1:7" x14ac:dyDescent="0.25">
      <c r="A1898" s="104" t="s">
        <v>2232</v>
      </c>
      <c r="G1898" s="96"/>
    </row>
    <row r="1899" spans="1:7" ht="75" x14ac:dyDescent="0.25">
      <c r="A1899" s="107" t="s">
        <v>2219</v>
      </c>
      <c r="B1899" s="107"/>
      <c r="C1899" s="107"/>
      <c r="D1899" s="107"/>
      <c r="E1899" s="107"/>
      <c r="F1899" s="107"/>
      <c r="G1899" s="96"/>
    </row>
    <row r="1900" spans="1:7" ht="30" x14ac:dyDescent="0.25">
      <c r="A1900" s="115" t="s">
        <v>779</v>
      </c>
      <c r="B1900" s="104" t="s">
        <v>2383</v>
      </c>
      <c r="C1900" s="120">
        <v>0</v>
      </c>
      <c r="D1900" s="120"/>
      <c r="E1900" s="120"/>
      <c r="F1900" s="120"/>
      <c r="G1900" s="96"/>
    </row>
    <row r="1901" spans="1:7" x14ac:dyDescent="0.25">
      <c r="A1901" s="2"/>
      <c r="B1901" s="104"/>
      <c r="C1901" s="114" t="s">
        <v>23</v>
      </c>
      <c r="D1901" s="104" t="s">
        <v>863</v>
      </c>
      <c r="E1901" s="105">
        <v>42810</v>
      </c>
      <c r="F1901" s="106"/>
      <c r="G1901" s="96">
        <v>335436.14</v>
      </c>
    </row>
    <row r="1902" spans="1:7" x14ac:dyDescent="0.25">
      <c r="A1902" s="104" t="s">
        <v>2384</v>
      </c>
      <c r="G1902" s="96">
        <v>335436.14</v>
      </c>
    </row>
    <row r="1903" spans="1:7" x14ac:dyDescent="0.25">
      <c r="A1903" s="104"/>
      <c r="G1903" s="96"/>
    </row>
    <row r="1904" spans="1:7" x14ac:dyDescent="0.25">
      <c r="A1904" s="104" t="s">
        <v>2223</v>
      </c>
      <c r="G1904" s="96"/>
    </row>
    <row r="1905" spans="1:7" ht="60" x14ac:dyDescent="0.25">
      <c r="A1905" s="107" t="s">
        <v>2217</v>
      </c>
      <c r="B1905" s="107"/>
      <c r="C1905" s="107"/>
      <c r="D1905" s="107"/>
      <c r="E1905" s="107"/>
      <c r="F1905" s="107"/>
      <c r="G1905" s="96"/>
    </row>
    <row r="1906" spans="1:7" x14ac:dyDescent="0.25">
      <c r="A1906" s="115" t="s">
        <v>169</v>
      </c>
      <c r="B1906" s="104" t="s">
        <v>2361</v>
      </c>
      <c r="C1906" s="120">
        <v>0</v>
      </c>
      <c r="D1906" s="120"/>
      <c r="E1906" s="120"/>
      <c r="F1906" s="120"/>
      <c r="G1906" s="96"/>
    </row>
    <row r="1907" spans="1:7" x14ac:dyDescent="0.25">
      <c r="A1907" s="2"/>
      <c r="B1907" s="104"/>
      <c r="C1907" s="114" t="s">
        <v>23</v>
      </c>
      <c r="D1907" s="104" t="s">
        <v>863</v>
      </c>
      <c r="E1907" s="105">
        <v>42794</v>
      </c>
      <c r="F1907" s="106"/>
      <c r="G1907" s="96">
        <v>1947064.74</v>
      </c>
    </row>
    <row r="1908" spans="1:7" x14ac:dyDescent="0.25">
      <c r="A1908" s="104" t="s">
        <v>2362</v>
      </c>
      <c r="G1908" s="96">
        <v>1947064.74</v>
      </c>
    </row>
    <row r="1909" spans="1:7" x14ac:dyDescent="0.25">
      <c r="A1909" s="104"/>
      <c r="G1909" s="96"/>
    </row>
    <row r="1910" spans="1:7" x14ac:dyDescent="0.25">
      <c r="A1910" s="104" t="s">
        <v>2222</v>
      </c>
      <c r="G1910" s="96"/>
    </row>
    <row r="1911" spans="1:7" ht="45" x14ac:dyDescent="0.25">
      <c r="A1911" s="107" t="s">
        <v>2204</v>
      </c>
      <c r="B1911" s="107"/>
      <c r="C1911" s="107"/>
      <c r="D1911" s="107"/>
      <c r="E1911" s="107"/>
      <c r="F1911" s="107"/>
      <c r="G1911" s="96"/>
    </row>
    <row r="1912" spans="1:7" x14ac:dyDescent="0.25">
      <c r="A1912" s="115" t="s">
        <v>898</v>
      </c>
      <c r="B1912" s="104" t="s">
        <v>2363</v>
      </c>
      <c r="C1912" s="120">
        <v>0</v>
      </c>
      <c r="D1912" s="120"/>
      <c r="E1912" s="120"/>
      <c r="F1912" s="120"/>
      <c r="G1912" s="96"/>
    </row>
    <row r="1913" spans="1:7" x14ac:dyDescent="0.25">
      <c r="A1913" s="2"/>
      <c r="B1913" s="104"/>
      <c r="C1913" s="114" t="s">
        <v>23</v>
      </c>
      <c r="D1913" s="104" t="s">
        <v>863</v>
      </c>
      <c r="E1913" s="105">
        <v>42789</v>
      </c>
      <c r="F1913" s="106"/>
      <c r="G1913" s="96">
        <v>1556626.45</v>
      </c>
    </row>
    <row r="1914" spans="1:7" x14ac:dyDescent="0.25">
      <c r="A1914" s="104" t="s">
        <v>2364</v>
      </c>
      <c r="G1914" s="96">
        <v>1556626.45</v>
      </c>
    </row>
    <row r="1915" spans="1:7" x14ac:dyDescent="0.25">
      <c r="A1915" s="104"/>
      <c r="G1915" s="96"/>
    </row>
    <row r="1916" spans="1:7" x14ac:dyDescent="0.25">
      <c r="A1916" s="104" t="s">
        <v>2225</v>
      </c>
      <c r="G1916" s="96"/>
    </row>
    <row r="1917" spans="1:7" ht="45" x14ac:dyDescent="0.25">
      <c r="A1917" s="107" t="s">
        <v>2209</v>
      </c>
      <c r="B1917" s="107"/>
      <c r="C1917" s="107"/>
      <c r="D1917" s="107"/>
      <c r="E1917" s="107"/>
      <c r="F1917" s="107"/>
      <c r="G1917" s="96"/>
    </row>
    <row r="1918" spans="1:7" x14ac:dyDescent="0.25">
      <c r="A1918" s="115" t="s">
        <v>686</v>
      </c>
      <c r="B1918" s="104" t="s">
        <v>2365</v>
      </c>
      <c r="C1918" s="120">
        <v>0</v>
      </c>
      <c r="D1918" s="120"/>
      <c r="E1918" s="120"/>
      <c r="F1918" s="120"/>
      <c r="G1918" s="96"/>
    </row>
    <row r="1919" spans="1:7" x14ac:dyDescent="0.25">
      <c r="A1919" s="2"/>
      <c r="B1919" s="104"/>
      <c r="C1919" s="114" t="s">
        <v>23</v>
      </c>
      <c r="D1919" s="104" t="s">
        <v>863</v>
      </c>
      <c r="E1919" s="105">
        <v>42802</v>
      </c>
      <c r="F1919" s="106"/>
      <c r="G1919" s="96">
        <v>1856050.22</v>
      </c>
    </row>
    <row r="1920" spans="1:7" x14ac:dyDescent="0.25">
      <c r="A1920" s="104" t="s">
        <v>2366</v>
      </c>
      <c r="G1920" s="96">
        <v>1856050.22</v>
      </c>
    </row>
    <row r="1921" spans="1:7" x14ac:dyDescent="0.25">
      <c r="A1921" s="104"/>
      <c r="G1921" s="96"/>
    </row>
    <row r="1922" spans="1:7" x14ac:dyDescent="0.25">
      <c r="A1922" s="104" t="s">
        <v>2228</v>
      </c>
      <c r="G1922" s="96"/>
    </row>
    <row r="1923" spans="1:7" ht="45" x14ac:dyDescent="0.25">
      <c r="A1923" s="107" t="s">
        <v>2226</v>
      </c>
      <c r="B1923" s="107"/>
      <c r="C1923" s="107"/>
      <c r="D1923" s="107"/>
      <c r="E1923" s="107"/>
      <c r="F1923" s="107"/>
      <c r="G1923" s="96"/>
    </row>
    <row r="1924" spans="1:7" ht="30" x14ac:dyDescent="0.25">
      <c r="A1924" s="115" t="s">
        <v>2227</v>
      </c>
      <c r="B1924" s="104" t="s">
        <v>2367</v>
      </c>
      <c r="C1924" s="120">
        <v>0</v>
      </c>
      <c r="D1924" s="120"/>
      <c r="E1924" s="120"/>
      <c r="F1924" s="120"/>
      <c r="G1924" s="96"/>
    </row>
    <row r="1925" spans="1:7" x14ac:dyDescent="0.25">
      <c r="A1925" s="2"/>
      <c r="B1925" s="104"/>
      <c r="C1925" s="114" t="s">
        <v>23</v>
      </c>
      <c r="D1925" s="104" t="s">
        <v>863</v>
      </c>
      <c r="E1925" s="105">
        <v>42795</v>
      </c>
      <c r="F1925" s="106"/>
      <c r="G1925" s="96">
        <v>2157349.83</v>
      </c>
    </row>
    <row r="1926" spans="1:7" x14ac:dyDescent="0.25">
      <c r="A1926" s="104" t="s">
        <v>2368</v>
      </c>
      <c r="G1926" s="96">
        <v>2157349.83</v>
      </c>
    </row>
    <row r="1927" spans="1:7" x14ac:dyDescent="0.25">
      <c r="A1927" s="104"/>
      <c r="G1927" s="96"/>
    </row>
    <row r="1928" spans="1:7" x14ac:dyDescent="0.25">
      <c r="A1928" s="104" t="s">
        <v>2074</v>
      </c>
      <c r="G1928" s="96"/>
    </row>
    <row r="1929" spans="1:7" ht="45" x14ac:dyDescent="0.25">
      <c r="A1929" s="107" t="s">
        <v>2073</v>
      </c>
      <c r="B1929" s="107"/>
      <c r="C1929" s="107"/>
      <c r="D1929" s="107"/>
      <c r="E1929" s="107"/>
      <c r="F1929" s="107"/>
      <c r="G1929" s="96"/>
    </row>
    <row r="1930" spans="1:7" x14ac:dyDescent="0.25">
      <c r="A1930" s="115" t="s">
        <v>2072</v>
      </c>
      <c r="B1930" s="104" t="s">
        <v>2157</v>
      </c>
      <c r="C1930" s="120">
        <v>1</v>
      </c>
      <c r="D1930" s="120"/>
      <c r="E1930" s="120"/>
      <c r="F1930" s="120"/>
      <c r="G1930" s="96"/>
    </row>
    <row r="1931" spans="1:7" x14ac:dyDescent="0.25">
      <c r="A1931" s="2"/>
      <c r="B1931" s="104"/>
      <c r="C1931" s="114" t="s">
        <v>103</v>
      </c>
      <c r="D1931" s="104" t="s">
        <v>863</v>
      </c>
      <c r="E1931" s="105">
        <v>42734</v>
      </c>
      <c r="F1931" s="106" t="s">
        <v>1324</v>
      </c>
      <c r="G1931" s="96">
        <v>635250</v>
      </c>
    </row>
    <row r="1932" spans="1:7" x14ac:dyDescent="0.25">
      <c r="A1932" s="104" t="s">
        <v>2158</v>
      </c>
      <c r="G1932" s="96">
        <v>635250</v>
      </c>
    </row>
    <row r="1933" spans="1:7" x14ac:dyDescent="0.25">
      <c r="A1933" s="104"/>
      <c r="G1933" s="96"/>
    </row>
    <row r="1934" spans="1:7" x14ac:dyDescent="0.25">
      <c r="A1934" s="104" t="s">
        <v>2058</v>
      </c>
      <c r="G1934" s="96"/>
    </row>
    <row r="1935" spans="1:7" ht="60" x14ac:dyDescent="0.25">
      <c r="A1935" s="107" t="s">
        <v>2060</v>
      </c>
      <c r="B1935" s="107"/>
      <c r="C1935" s="107"/>
      <c r="D1935" s="107"/>
      <c r="E1935" s="107"/>
      <c r="F1935" s="107"/>
      <c r="G1935" s="96"/>
    </row>
    <row r="1936" spans="1:7" x14ac:dyDescent="0.25">
      <c r="A1936" s="115" t="s">
        <v>2059</v>
      </c>
      <c r="B1936" s="104" t="s">
        <v>2159</v>
      </c>
      <c r="C1936" s="120">
        <v>1</v>
      </c>
      <c r="D1936" s="120"/>
      <c r="E1936" s="120"/>
      <c r="F1936" s="120"/>
      <c r="G1936" s="96"/>
    </row>
    <row r="1937" spans="1:7" x14ac:dyDescent="0.25">
      <c r="A1937" s="2"/>
      <c r="B1937" s="104"/>
      <c r="C1937" s="114" t="s">
        <v>103</v>
      </c>
      <c r="D1937" s="104" t="s">
        <v>863</v>
      </c>
      <c r="E1937" s="105">
        <v>42734</v>
      </c>
      <c r="F1937" s="106" t="s">
        <v>1324</v>
      </c>
      <c r="G1937" s="96">
        <v>232552.19</v>
      </c>
    </row>
    <row r="1938" spans="1:7" x14ac:dyDescent="0.25">
      <c r="A1938" s="104" t="s">
        <v>2160</v>
      </c>
      <c r="G1938" s="96">
        <v>232552.19</v>
      </c>
    </row>
    <row r="1939" spans="1:7" x14ac:dyDescent="0.25">
      <c r="A1939" s="104"/>
      <c r="G1939" s="96"/>
    </row>
    <row r="1940" spans="1:7" x14ac:dyDescent="0.25">
      <c r="A1940" s="104" t="s">
        <v>800</v>
      </c>
      <c r="G1940" s="96">
        <v>1969371745.8900001</v>
      </c>
    </row>
  </sheetData>
  <printOptions horizontalCentered="1"/>
  <pageMargins left="0.55118110236220474" right="0.55118110236220474" top="1.1023622047244095" bottom="0.62992125984251968" header="0.51181102362204722" footer="0.35433070866141736"/>
  <pageSetup scale="70" fitToHeight="0" orientation="portrait" r:id="rId2"/>
  <headerFooter>
    <oddHeader>&amp;L&amp;G&amp;R&amp;12TRAMITE RECURSO 2016</oddHeader>
    <oddFooter>&amp;R&amp;D</oddFooter>
  </headerFooter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view="pageBreakPreview" zoomScaleNormal="100" zoomScaleSheetLayoutView="100" workbookViewId="0">
      <selection activeCell="D37" sqref="D37"/>
    </sheetView>
  </sheetViews>
  <sheetFormatPr baseColWidth="10" defaultRowHeight="15" x14ac:dyDescent="0.25"/>
  <cols>
    <col min="1" max="1" width="39.85546875" bestFit="1" customWidth="1"/>
    <col min="2" max="2" width="16.85546875" bestFit="1" customWidth="1"/>
    <col min="4" max="4" width="50.85546875" bestFit="1" customWidth="1"/>
    <col min="5" max="5" width="21.140625" bestFit="1" customWidth="1"/>
  </cols>
  <sheetData>
    <row r="1" spans="1:2" x14ac:dyDescent="0.25">
      <c r="A1" s="113"/>
    </row>
    <row r="5" spans="1:2" x14ac:dyDescent="0.25">
      <c r="A5" t="s">
        <v>886</v>
      </c>
      <c r="B5" s="102" t="s">
        <v>887</v>
      </c>
    </row>
    <row r="6" spans="1:2" x14ac:dyDescent="0.25">
      <c r="A6" t="s">
        <v>885</v>
      </c>
      <c r="B6" s="1">
        <f>SUMIFS('SOLICITUD DE PAGO'!P:P,'SOLICITUD DE PAGO'!U:U,"1. S.H. PAGADO")</f>
        <v>2023465257.1800001</v>
      </c>
    </row>
    <row r="7" spans="1:2" x14ac:dyDescent="0.25">
      <c r="A7" t="s">
        <v>884</v>
      </c>
      <c r="B7" s="1">
        <f>SUMIFS('SOLICITUD DE PAGO'!$P:$P,'SOLICITUD DE PAGO'!$U:$U,"2. S.H. PENDIENTE")</f>
        <v>57678988.109999999</v>
      </c>
    </row>
    <row r="8" spans="1:2" x14ac:dyDescent="0.25">
      <c r="A8" t="s">
        <v>883</v>
      </c>
      <c r="B8" s="1">
        <f>SUMIFS('SOLICITUD DE PAGO'!P:P,'SOLICITUD DE PAGO'!U:U,"3. O.P. DGPE")</f>
        <v>56050817.25</v>
      </c>
    </row>
    <row r="9" spans="1:2" x14ac:dyDescent="0.25">
      <c r="A9" t="s">
        <v>882</v>
      </c>
      <c r="B9" s="1">
        <f>SUMIFS('SOLICITUD DE PAGO'!P:P,'SOLICITUD DE PAGO'!U:U,"4. ESPERA FACT.")+SUMIFS('SOLICITUD DE PAGO'!P:P,'SOLICITUD DE PAGO'!U:U,"4.1 DEV. FACT.")+SUMIFS('SOLICITUD DE PAGO'!P:P,'SOLICITUD DE PAGO'!U:U,"4.2 FACT. S/CONV.")</f>
        <v>25326956.510000002</v>
      </c>
    </row>
    <row r="10" spans="1:2" x14ac:dyDescent="0.25">
      <c r="A10" t="s">
        <v>881</v>
      </c>
      <c r="B10" s="1">
        <f>SUMIFS('SOLICITUD DE PAGO'!P:P,'SOLICITUD DE PAGO'!U:U,"5. SOL. PEDIDO")</f>
        <v>38088150.759999998</v>
      </c>
    </row>
    <row r="11" spans="1:2" x14ac:dyDescent="0.25">
      <c r="A11" t="s">
        <v>880</v>
      </c>
      <c r="B11" s="1">
        <f>SUMIFS('SOLICITUD DE PAGO'!P:P,'SOLICITUD DE PAGO'!U:U,"6. DGEO REV.")</f>
        <v>58914.38</v>
      </c>
    </row>
    <row r="12" spans="1:2" x14ac:dyDescent="0.25">
      <c r="A12" t="s">
        <v>879</v>
      </c>
      <c r="B12" s="1">
        <f>SUMIFS('SOLICITUD DE PAGO'!P:P,'SOLICITUD DE PAGO'!U:U,"7. SUP. SIDUR")</f>
        <v>3144373.6</v>
      </c>
    </row>
    <row r="13" spans="1:2" x14ac:dyDescent="0.25">
      <c r="A13" t="s">
        <v>878</v>
      </c>
      <c r="B13" s="1">
        <f>SUMIFS('SOLICITUD DE PAGO'!P:P,'SOLICITUD DE PAGO'!U:U,"8. REV. SUP. EXT.")</f>
        <v>1279368.25</v>
      </c>
    </row>
    <row r="14" spans="1:2" x14ac:dyDescent="0.25">
      <c r="A14" t="s">
        <v>888</v>
      </c>
      <c r="B14" s="103">
        <f>SUBTOTAL(109,RESUMENPAGOS[MONTO NETO])</f>
        <v>2205092826.04</v>
      </c>
    </row>
    <row r="18" spans="1:2" x14ac:dyDescent="0.25">
      <c r="A18" t="s">
        <v>889</v>
      </c>
      <c r="B18" s="102" t="s">
        <v>887</v>
      </c>
    </row>
    <row r="19" spans="1:2" x14ac:dyDescent="0.25">
      <c r="A19" t="s">
        <v>884</v>
      </c>
      <c r="B19" s="1">
        <f>SUMIFS('SOLICITUD DE PAGO'!$P:$P,'SOLICITUD DE PAGO'!$U:$U,"2. S.H. PENDIENTE")</f>
        <v>57678988.109999999</v>
      </c>
    </row>
    <row r="20" spans="1:2" x14ac:dyDescent="0.25">
      <c r="A20" t="s">
        <v>883</v>
      </c>
      <c r="B20" s="1">
        <f>SUMIFS('SOLICITUD DE PAGO'!P:P,'SOLICITUD DE PAGO'!U:U,"3. O.P. DGPE")</f>
        <v>56050817.25</v>
      </c>
    </row>
    <row r="21" spans="1:2" x14ac:dyDescent="0.25">
      <c r="A21" t="s">
        <v>882</v>
      </c>
      <c r="B21" s="1">
        <f>SUMIFS('SOLICITUD DE PAGO'!P:P,'SOLICITUD DE PAGO'!U:U,"4. ESPERA FACT.")+SUMIFS('SOLICITUD DE PAGO'!P:P,'SOLICITUD DE PAGO'!U:U,"4.1 DEV. FACT.")+SUMIFS('SOLICITUD DE PAGO'!P:P,'SOLICITUD DE PAGO'!U:U,"4.2 FACT. S/CONV.")</f>
        <v>25326956.510000002</v>
      </c>
    </row>
    <row r="22" spans="1:2" x14ac:dyDescent="0.25">
      <c r="A22" t="s">
        <v>881</v>
      </c>
      <c r="B22" s="1">
        <f>SUMIFS('SOLICITUD DE PAGO'!P:P,'SOLICITUD DE PAGO'!U:U,"5. SOL. PEDIDO")</f>
        <v>38088150.759999998</v>
      </c>
    </row>
    <row r="23" spans="1:2" x14ac:dyDescent="0.25">
      <c r="A23" t="s">
        <v>880</v>
      </c>
      <c r="B23" s="1">
        <f>SUMIFS('SOLICITUD DE PAGO'!P:P,'SOLICITUD DE PAGO'!U:U,"6. DGEO REV.")</f>
        <v>58914.38</v>
      </c>
    </row>
    <row r="24" spans="1:2" x14ac:dyDescent="0.25">
      <c r="A24" t="s">
        <v>879</v>
      </c>
      <c r="B24" s="1">
        <f>SUMIFS('SOLICITUD DE PAGO'!P:P,'SOLICITUD DE PAGO'!U:U,"7. SUP. SIDUR")</f>
        <v>3144373.6</v>
      </c>
    </row>
    <row r="25" spans="1:2" x14ac:dyDescent="0.25">
      <c r="A25" t="s">
        <v>878</v>
      </c>
      <c r="B25" s="1">
        <f>SUMIFS('SOLICITUD DE PAGO'!P:P,'SOLICITUD DE PAGO'!U:U,"8. REV. SUP. EXT.")</f>
        <v>1279368.25</v>
      </c>
    </row>
    <row r="26" spans="1:2" x14ac:dyDescent="0.25">
      <c r="A26" t="s">
        <v>888</v>
      </c>
      <c r="B26" s="103">
        <f>SUBTOTAL(109,RESUMENPAGOS3[MONTO NETO])</f>
        <v>181627568.86000001</v>
      </c>
    </row>
  </sheetData>
  <printOptions horizontalCentered="1" verticalCentered="1"/>
  <pageMargins left="0.55118110236220474" right="0.55118110236220474" top="0.62992125984251968" bottom="0.55118110236220474" header="0.19685039370078741" footer="0.23622047244094491"/>
  <pageSetup scale="67" fitToHeight="0" orientation="landscape" r:id="rId1"/>
  <headerFooter>
    <oddHeader>&amp;L&amp;G</oddHeader>
  </headerFooter>
  <colBreaks count="1" manualBreakCount="1">
    <brk id="10" max="47" man="1"/>
  </colBreaks>
  <drawing r:id="rId2"/>
  <legacyDrawingHF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3"/>
  <sheetViews>
    <sheetView view="pageBreakPreview" zoomScaleNormal="70" zoomScaleSheetLayoutView="100" workbookViewId="0">
      <selection activeCell="A3" sqref="A3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0.85546875" customWidth="1"/>
    <col min="4" max="4" width="10.42578125" bestFit="1" customWidth="1"/>
    <col min="5" max="5" width="15" bestFit="1" customWidth="1"/>
    <col min="6" max="6" width="10.7109375" bestFit="1" customWidth="1"/>
    <col min="7" max="7" width="16.28515625" bestFit="1" customWidth="1"/>
    <col min="8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8" x14ac:dyDescent="0.25">
      <c r="A3" s="94" t="s">
        <v>3</v>
      </c>
      <c r="B3" s="94" t="s">
        <v>890</v>
      </c>
      <c r="C3" s="94" t="s">
        <v>911</v>
      </c>
      <c r="D3" s="94" t="s">
        <v>1325</v>
      </c>
      <c r="E3" s="94" t="s">
        <v>46</v>
      </c>
      <c r="F3" s="94" t="s">
        <v>47</v>
      </c>
      <c r="G3" s="110" t="s">
        <v>892</v>
      </c>
      <c r="H3" s="102" t="s">
        <v>43</v>
      </c>
    </row>
    <row r="4" spans="1:8" x14ac:dyDescent="0.25">
      <c r="A4" s="104" t="s">
        <v>520</v>
      </c>
      <c r="H4" s="96"/>
    </row>
    <row r="5" spans="1:8" ht="30" x14ac:dyDescent="0.25">
      <c r="A5" s="107" t="s">
        <v>723</v>
      </c>
      <c r="B5" s="107"/>
      <c r="C5" s="107"/>
      <c r="D5" s="107"/>
      <c r="E5" s="107"/>
      <c r="F5" s="107"/>
      <c r="G5" s="107"/>
      <c r="H5" s="96"/>
    </row>
    <row r="6" spans="1:8" x14ac:dyDescent="0.25">
      <c r="A6" s="115" t="s">
        <v>521</v>
      </c>
      <c r="B6" s="104" t="s">
        <v>1326</v>
      </c>
      <c r="C6" s="120">
        <v>1</v>
      </c>
      <c r="D6" s="104" t="s">
        <v>1324</v>
      </c>
      <c r="H6" s="96"/>
    </row>
    <row r="7" spans="1:8" x14ac:dyDescent="0.25">
      <c r="A7" s="2"/>
      <c r="B7" s="104"/>
      <c r="C7" s="120"/>
      <c r="D7" s="114" t="s">
        <v>23</v>
      </c>
      <c r="E7" s="104" t="s">
        <v>863</v>
      </c>
      <c r="F7" s="105">
        <v>42447</v>
      </c>
      <c r="G7" s="106"/>
      <c r="H7" s="96">
        <v>12704756.26</v>
      </c>
    </row>
    <row r="8" spans="1:8" x14ac:dyDescent="0.25">
      <c r="A8" s="2"/>
      <c r="B8" s="104"/>
      <c r="C8" s="120"/>
      <c r="D8" s="114" t="s">
        <v>103</v>
      </c>
      <c r="E8" s="104" t="s">
        <v>863</v>
      </c>
      <c r="F8" s="105">
        <v>42593</v>
      </c>
      <c r="G8" s="106" t="s">
        <v>1327</v>
      </c>
      <c r="H8" s="96">
        <v>6423687.3600000003</v>
      </c>
    </row>
    <row r="9" spans="1:8" x14ac:dyDescent="0.25">
      <c r="A9" s="2"/>
      <c r="B9" s="104"/>
      <c r="C9" s="120"/>
      <c r="D9" s="114" t="s">
        <v>221</v>
      </c>
      <c r="E9" s="104" t="s">
        <v>863</v>
      </c>
      <c r="F9" s="105">
        <v>42632</v>
      </c>
      <c r="G9" s="106" t="s">
        <v>1328</v>
      </c>
      <c r="H9" s="96">
        <v>10895678.42</v>
      </c>
    </row>
    <row r="10" spans="1:8" x14ac:dyDescent="0.25">
      <c r="A10" s="2"/>
      <c r="B10" s="104"/>
      <c r="C10" s="120"/>
      <c r="D10" s="114" t="s">
        <v>55</v>
      </c>
      <c r="E10" s="104" t="s">
        <v>863</v>
      </c>
      <c r="F10" s="105">
        <v>42643</v>
      </c>
      <c r="G10" s="106" t="s">
        <v>1329</v>
      </c>
      <c r="H10" s="96">
        <v>6522085.6699999999</v>
      </c>
    </row>
    <row r="11" spans="1:8" x14ac:dyDescent="0.25">
      <c r="A11" s="2"/>
      <c r="B11" s="104"/>
      <c r="C11" s="120"/>
      <c r="D11" s="114" t="s">
        <v>215</v>
      </c>
      <c r="E11" s="104" t="s">
        <v>863</v>
      </c>
      <c r="F11" s="105">
        <v>42671</v>
      </c>
      <c r="G11" s="106" t="s">
        <v>1330</v>
      </c>
      <c r="H11" s="96">
        <v>5624091.0300000003</v>
      </c>
    </row>
    <row r="12" spans="1:8" x14ac:dyDescent="0.25">
      <c r="A12" s="104" t="s">
        <v>1331</v>
      </c>
      <c r="H12" s="96">
        <v>42170298.740000002</v>
      </c>
    </row>
    <row r="13" spans="1:8" x14ac:dyDescent="0.25">
      <c r="A13" s="104"/>
      <c r="H13" s="96"/>
    </row>
    <row r="14" spans="1:8" x14ac:dyDescent="0.25">
      <c r="A14" s="104" t="s">
        <v>279</v>
      </c>
      <c r="H14" s="96"/>
    </row>
    <row r="15" spans="1:8" ht="45" x14ac:dyDescent="0.25">
      <c r="A15" s="107" t="s">
        <v>281</v>
      </c>
      <c r="B15" s="107"/>
      <c r="C15" s="107"/>
      <c r="D15" s="107"/>
      <c r="E15" s="107"/>
      <c r="F15" s="107"/>
      <c r="G15" s="107"/>
      <c r="H15" s="96"/>
    </row>
    <row r="16" spans="1:8" ht="30" x14ac:dyDescent="0.25">
      <c r="A16" s="115" t="s">
        <v>280</v>
      </c>
      <c r="B16" s="104" t="s">
        <v>1332</v>
      </c>
      <c r="C16" s="120">
        <v>1</v>
      </c>
      <c r="D16" s="104" t="s">
        <v>1324</v>
      </c>
      <c r="H16" s="96"/>
    </row>
    <row r="17" spans="1:8" x14ac:dyDescent="0.25">
      <c r="A17" s="2"/>
      <c r="B17" s="104"/>
      <c r="C17" s="120"/>
      <c r="D17" s="114" t="s">
        <v>23</v>
      </c>
      <c r="E17" s="104" t="s">
        <v>863</v>
      </c>
      <c r="F17" s="105">
        <v>42446</v>
      </c>
      <c r="G17" s="106"/>
      <c r="H17" s="96">
        <v>6894008.0899999999</v>
      </c>
    </row>
    <row r="18" spans="1:8" x14ac:dyDescent="0.25">
      <c r="A18" s="2"/>
      <c r="B18" s="104"/>
      <c r="C18" s="120"/>
      <c r="D18" s="114" t="s">
        <v>103</v>
      </c>
      <c r="E18" s="104" t="s">
        <v>863</v>
      </c>
      <c r="F18" s="105">
        <v>42529</v>
      </c>
      <c r="G18" s="106" t="s">
        <v>1333</v>
      </c>
      <c r="H18" s="96">
        <v>2855242.21</v>
      </c>
    </row>
    <row r="19" spans="1:8" x14ac:dyDescent="0.25">
      <c r="A19" s="2"/>
      <c r="B19" s="104"/>
      <c r="C19" s="120"/>
      <c r="D19" s="114" t="s">
        <v>221</v>
      </c>
      <c r="E19" s="104" t="s">
        <v>863</v>
      </c>
      <c r="F19" s="105">
        <v>42535</v>
      </c>
      <c r="G19" s="106" t="s">
        <v>1334</v>
      </c>
      <c r="H19" s="96">
        <v>1951341.53</v>
      </c>
    </row>
    <row r="20" spans="1:8" x14ac:dyDescent="0.25">
      <c r="A20" s="2"/>
      <c r="B20" s="104"/>
      <c r="C20" s="120"/>
      <c r="D20" s="114" t="s">
        <v>55</v>
      </c>
      <c r="E20" s="104" t="s">
        <v>863</v>
      </c>
      <c r="F20" s="105">
        <v>42532</v>
      </c>
      <c r="G20" s="106" t="s">
        <v>1335</v>
      </c>
      <c r="H20" s="96">
        <v>1144647.57</v>
      </c>
    </row>
    <row r="21" spans="1:8" x14ac:dyDescent="0.25">
      <c r="A21" s="2"/>
      <c r="B21" s="104"/>
      <c r="C21" s="120"/>
      <c r="D21" s="114" t="s">
        <v>215</v>
      </c>
      <c r="E21" s="104" t="s">
        <v>863</v>
      </c>
      <c r="F21" s="105">
        <v>42532</v>
      </c>
      <c r="G21" s="106" t="s">
        <v>1336</v>
      </c>
      <c r="H21" s="96">
        <v>2832919.71</v>
      </c>
    </row>
    <row r="22" spans="1:8" x14ac:dyDescent="0.25">
      <c r="A22" s="2"/>
      <c r="B22" s="104"/>
      <c r="C22" s="120"/>
      <c r="D22" s="114" t="s">
        <v>15</v>
      </c>
      <c r="E22" s="104" t="s">
        <v>863</v>
      </c>
      <c r="F22" s="105">
        <v>42643</v>
      </c>
      <c r="G22" s="106" t="s">
        <v>1020</v>
      </c>
      <c r="H22" s="96">
        <v>2663093.9500000002</v>
      </c>
    </row>
    <row r="23" spans="1:8" x14ac:dyDescent="0.25">
      <c r="A23" s="2"/>
      <c r="B23" s="104"/>
      <c r="C23" s="120"/>
      <c r="D23" s="114" t="s">
        <v>214</v>
      </c>
      <c r="E23" s="104" t="s">
        <v>863</v>
      </c>
      <c r="F23" s="105">
        <v>42632</v>
      </c>
      <c r="G23" s="106" t="s">
        <v>1337</v>
      </c>
      <c r="H23" s="96">
        <v>4147269.59</v>
      </c>
    </row>
    <row r="24" spans="1:8" x14ac:dyDescent="0.25">
      <c r="A24" s="2"/>
      <c r="B24" s="104"/>
      <c r="C24" s="120"/>
      <c r="D24" s="114" t="s">
        <v>218</v>
      </c>
      <c r="E24" s="104" t="s">
        <v>863</v>
      </c>
      <c r="F24" s="105">
        <v>42671</v>
      </c>
      <c r="G24" s="106" t="s">
        <v>1338</v>
      </c>
      <c r="H24" s="96">
        <v>394433.43</v>
      </c>
    </row>
    <row r="25" spans="1:8" x14ac:dyDescent="0.25">
      <c r="A25" s="104" t="s">
        <v>1339</v>
      </c>
      <c r="H25" s="96">
        <v>22882956.079999998</v>
      </c>
    </row>
    <row r="26" spans="1:8" x14ac:dyDescent="0.25">
      <c r="A26" s="104"/>
      <c r="H26" s="96"/>
    </row>
    <row r="27" spans="1:8" x14ac:dyDescent="0.25">
      <c r="A27" s="104" t="s">
        <v>394</v>
      </c>
      <c r="H27" s="96"/>
    </row>
    <row r="28" spans="1:8" ht="45" x14ac:dyDescent="0.25">
      <c r="A28" s="107" t="s">
        <v>395</v>
      </c>
      <c r="B28" s="107"/>
      <c r="C28" s="107"/>
      <c r="D28" s="107"/>
      <c r="E28" s="107"/>
      <c r="F28" s="107"/>
      <c r="G28" s="107"/>
      <c r="H28" s="96"/>
    </row>
    <row r="29" spans="1:8" x14ac:dyDescent="0.25">
      <c r="A29" s="115" t="s">
        <v>396</v>
      </c>
      <c r="B29" s="104" t="s">
        <v>1021</v>
      </c>
      <c r="C29" s="120">
        <v>1</v>
      </c>
      <c r="D29" s="104" t="s">
        <v>1324</v>
      </c>
      <c r="H29" s="96"/>
    </row>
    <row r="30" spans="1:8" x14ac:dyDescent="0.25">
      <c r="A30" s="2"/>
      <c r="B30" s="104"/>
      <c r="C30" s="120"/>
      <c r="D30" s="114" t="s">
        <v>23</v>
      </c>
      <c r="E30" s="104" t="s">
        <v>863</v>
      </c>
      <c r="F30" s="105">
        <v>42445</v>
      </c>
      <c r="G30" s="106"/>
      <c r="H30" s="96">
        <v>7939620</v>
      </c>
    </row>
    <row r="31" spans="1:8" x14ac:dyDescent="0.25">
      <c r="A31" s="2"/>
      <c r="B31" s="104"/>
      <c r="C31" s="120"/>
      <c r="D31" s="114" t="s">
        <v>103</v>
      </c>
      <c r="E31" s="104" t="s">
        <v>863</v>
      </c>
      <c r="F31" s="105">
        <v>42544</v>
      </c>
      <c r="G31" s="106" t="s">
        <v>1340</v>
      </c>
      <c r="H31" s="96">
        <v>2420395.0299999998</v>
      </c>
    </row>
    <row r="32" spans="1:8" x14ac:dyDescent="0.25">
      <c r="A32" s="2"/>
      <c r="B32" s="104"/>
      <c r="C32" s="120"/>
      <c r="D32" s="114" t="s">
        <v>221</v>
      </c>
      <c r="E32" s="104" t="s">
        <v>863</v>
      </c>
      <c r="F32" s="105">
        <v>42593</v>
      </c>
      <c r="G32" s="106" t="s">
        <v>1341</v>
      </c>
      <c r="H32" s="96">
        <v>3637186.88</v>
      </c>
    </row>
    <row r="33" spans="1:8" x14ac:dyDescent="0.25">
      <c r="A33" s="2"/>
      <c r="B33" s="104"/>
      <c r="C33" s="120"/>
      <c r="D33" s="114" t="s">
        <v>55</v>
      </c>
      <c r="E33" s="104" t="s">
        <v>863</v>
      </c>
      <c r="F33" s="105">
        <v>42593</v>
      </c>
      <c r="G33" s="106" t="s">
        <v>1342</v>
      </c>
      <c r="H33" s="96">
        <v>3400327.53</v>
      </c>
    </row>
    <row r="34" spans="1:8" x14ac:dyDescent="0.25">
      <c r="A34" s="2"/>
      <c r="B34" s="104"/>
      <c r="C34" s="120"/>
      <c r="D34" s="114" t="s">
        <v>215</v>
      </c>
      <c r="E34" s="104" t="s">
        <v>863</v>
      </c>
      <c r="F34" s="105">
        <v>42643</v>
      </c>
      <c r="G34" s="106" t="s">
        <v>1343</v>
      </c>
      <c r="H34" s="96">
        <v>1404230.14</v>
      </c>
    </row>
    <row r="35" spans="1:8" x14ac:dyDescent="0.25">
      <c r="A35" s="2"/>
      <c r="B35" s="104"/>
      <c r="C35" s="120"/>
      <c r="D35" s="114" t="s">
        <v>15</v>
      </c>
      <c r="E35" s="104" t="s">
        <v>863</v>
      </c>
      <c r="F35" s="105">
        <v>42656</v>
      </c>
      <c r="G35" s="106" t="s">
        <v>1344</v>
      </c>
      <c r="H35" s="96">
        <v>2663813.81</v>
      </c>
    </row>
    <row r="36" spans="1:8" x14ac:dyDescent="0.25">
      <c r="A36" s="2"/>
      <c r="B36" s="104"/>
      <c r="C36" s="120"/>
      <c r="D36" s="114" t="s">
        <v>214</v>
      </c>
      <c r="E36" s="104" t="s">
        <v>863</v>
      </c>
      <c r="F36" s="105">
        <v>42663</v>
      </c>
      <c r="G36" s="106" t="s">
        <v>1345</v>
      </c>
      <c r="H36" s="96">
        <v>2216003.48</v>
      </c>
    </row>
    <row r="37" spans="1:8" x14ac:dyDescent="0.25">
      <c r="A37" s="2"/>
      <c r="B37" s="104"/>
      <c r="C37" s="120"/>
      <c r="D37" s="114" t="s">
        <v>218</v>
      </c>
      <c r="E37" s="104" t="s">
        <v>863</v>
      </c>
      <c r="F37" s="105">
        <v>42685</v>
      </c>
      <c r="G37" s="106" t="s">
        <v>1022</v>
      </c>
      <c r="H37" s="96">
        <v>1421731.42</v>
      </c>
    </row>
    <row r="38" spans="1:8" x14ac:dyDescent="0.25">
      <c r="A38" s="2"/>
      <c r="B38" s="104"/>
      <c r="C38" s="120"/>
      <c r="D38" s="114" t="s">
        <v>220</v>
      </c>
      <c r="E38" s="104" t="s">
        <v>863</v>
      </c>
      <c r="F38" s="105">
        <v>42712</v>
      </c>
      <c r="G38" s="106" t="s">
        <v>1023</v>
      </c>
      <c r="H38" s="96">
        <v>1022717.89</v>
      </c>
    </row>
    <row r="39" spans="1:8" x14ac:dyDescent="0.25">
      <c r="A39" s="2"/>
      <c r="B39" s="104"/>
      <c r="C39" s="120"/>
      <c r="D39" s="114" t="s">
        <v>748</v>
      </c>
      <c r="E39" s="104" t="s">
        <v>869</v>
      </c>
      <c r="F39" s="105">
        <v>42739</v>
      </c>
      <c r="G39" s="106" t="s">
        <v>1534</v>
      </c>
      <c r="H39" s="96">
        <v>227580.34</v>
      </c>
    </row>
    <row r="40" spans="1:8" x14ac:dyDescent="0.25">
      <c r="A40" s="104" t="s">
        <v>1024</v>
      </c>
      <c r="H40" s="96">
        <v>26353606.52</v>
      </c>
    </row>
    <row r="41" spans="1:8" x14ac:dyDescent="0.25">
      <c r="A41" s="104"/>
      <c r="H41" s="96"/>
    </row>
    <row r="42" spans="1:8" x14ac:dyDescent="0.25">
      <c r="A42" s="104" t="s">
        <v>80</v>
      </c>
      <c r="H42" s="96"/>
    </row>
    <row r="43" spans="1:8" ht="45" x14ac:dyDescent="0.25">
      <c r="A43" s="107" t="s">
        <v>79</v>
      </c>
      <c r="B43" s="107"/>
      <c r="C43" s="107"/>
      <c r="D43" s="107"/>
      <c r="E43" s="107"/>
      <c r="F43" s="107"/>
      <c r="G43" s="107"/>
      <c r="H43" s="96"/>
    </row>
    <row r="44" spans="1:8" x14ac:dyDescent="0.25">
      <c r="A44" s="115" t="s">
        <v>78</v>
      </c>
      <c r="B44" s="104" t="s">
        <v>1346</v>
      </c>
      <c r="C44" s="120">
        <v>1</v>
      </c>
      <c r="D44" s="104" t="s">
        <v>1324</v>
      </c>
      <c r="H44" s="96"/>
    </row>
    <row r="45" spans="1:8" x14ac:dyDescent="0.25">
      <c r="A45" s="2"/>
      <c r="B45" s="104"/>
      <c r="C45" s="120"/>
      <c r="D45" s="114" t="s">
        <v>23</v>
      </c>
      <c r="E45" s="104" t="s">
        <v>863</v>
      </c>
      <c r="F45" s="105">
        <v>42433</v>
      </c>
      <c r="G45" s="106"/>
      <c r="H45" s="96">
        <v>5185100.22</v>
      </c>
    </row>
    <row r="46" spans="1:8" x14ac:dyDescent="0.25">
      <c r="A46" s="2"/>
      <c r="B46" s="104"/>
      <c r="C46" s="120"/>
      <c r="D46" s="114" t="s">
        <v>103</v>
      </c>
      <c r="E46" s="104" t="s">
        <v>863</v>
      </c>
      <c r="F46" s="105">
        <v>42643</v>
      </c>
      <c r="G46" s="106" t="s">
        <v>1347</v>
      </c>
      <c r="H46" s="96">
        <v>196744.13</v>
      </c>
    </row>
    <row r="47" spans="1:8" x14ac:dyDescent="0.25">
      <c r="A47" s="2"/>
      <c r="B47" s="104"/>
      <c r="C47" s="120"/>
      <c r="D47" s="114" t="s">
        <v>221</v>
      </c>
      <c r="E47" s="104" t="s">
        <v>863</v>
      </c>
      <c r="F47" s="105">
        <v>42643</v>
      </c>
      <c r="G47" s="106" t="s">
        <v>1348</v>
      </c>
      <c r="H47" s="96">
        <v>948850.91</v>
      </c>
    </row>
    <row r="48" spans="1:8" x14ac:dyDescent="0.25">
      <c r="A48" s="2"/>
      <c r="B48" s="104"/>
      <c r="C48" s="120"/>
      <c r="D48" s="114" t="s">
        <v>55</v>
      </c>
      <c r="E48" s="104" t="s">
        <v>863</v>
      </c>
      <c r="F48" s="105">
        <v>42643</v>
      </c>
      <c r="G48" s="106" t="s">
        <v>1349</v>
      </c>
      <c r="H48" s="96">
        <v>3783251.02</v>
      </c>
    </row>
    <row r="49" spans="1:8" x14ac:dyDescent="0.25">
      <c r="A49" s="2"/>
      <c r="B49" s="104"/>
      <c r="C49" s="120"/>
      <c r="D49" s="114" t="s">
        <v>215</v>
      </c>
      <c r="E49" s="104" t="s">
        <v>863</v>
      </c>
      <c r="F49" s="105">
        <v>42643</v>
      </c>
      <c r="G49" s="106" t="s">
        <v>1350</v>
      </c>
      <c r="H49" s="96">
        <v>5405903.0800000001</v>
      </c>
    </row>
    <row r="50" spans="1:8" x14ac:dyDescent="0.25">
      <c r="A50" s="2"/>
      <c r="B50" s="104"/>
      <c r="C50" s="120"/>
      <c r="D50" s="114" t="s">
        <v>15</v>
      </c>
      <c r="E50" s="104" t="s">
        <v>863</v>
      </c>
      <c r="F50" s="105">
        <v>42762</v>
      </c>
      <c r="G50" s="106" t="s">
        <v>1351</v>
      </c>
      <c r="H50" s="96">
        <v>1690809.43</v>
      </c>
    </row>
    <row r="51" spans="1:8" x14ac:dyDescent="0.25">
      <c r="A51" s="104" t="s">
        <v>1352</v>
      </c>
      <c r="H51" s="96">
        <v>17210658.789999999</v>
      </c>
    </row>
    <row r="52" spans="1:8" x14ac:dyDescent="0.25">
      <c r="A52" s="104"/>
      <c r="H52" s="96"/>
    </row>
    <row r="53" spans="1:8" x14ac:dyDescent="0.25">
      <c r="A53" s="104" t="s">
        <v>503</v>
      </c>
      <c r="H53" s="96"/>
    </row>
    <row r="54" spans="1:8" x14ac:dyDescent="0.25">
      <c r="A54" s="107" t="s">
        <v>504</v>
      </c>
      <c r="B54" s="107"/>
      <c r="C54" s="107"/>
      <c r="D54" s="107"/>
      <c r="E54" s="107"/>
      <c r="F54" s="107"/>
      <c r="G54" s="107"/>
      <c r="H54" s="96"/>
    </row>
    <row r="55" spans="1:8" x14ac:dyDescent="0.25">
      <c r="A55" s="115" t="s">
        <v>505</v>
      </c>
      <c r="B55" s="104" t="s">
        <v>1427</v>
      </c>
      <c r="C55" s="120">
        <v>1</v>
      </c>
      <c r="D55" s="104" t="s">
        <v>1324</v>
      </c>
      <c r="H55" s="96"/>
    </row>
    <row r="56" spans="1:8" x14ac:dyDescent="0.25">
      <c r="A56" s="2"/>
      <c r="B56" s="104"/>
      <c r="C56" s="120"/>
      <c r="D56" s="114" t="s">
        <v>23</v>
      </c>
      <c r="E56" s="104" t="s">
        <v>863</v>
      </c>
      <c r="F56" s="105">
        <v>42447</v>
      </c>
      <c r="G56" s="106"/>
      <c r="H56" s="96">
        <v>1859975.46</v>
      </c>
    </row>
    <row r="57" spans="1:8" x14ac:dyDescent="0.25">
      <c r="A57" s="2"/>
      <c r="B57" s="104"/>
      <c r="C57" s="120"/>
      <c r="D57" s="114" t="s">
        <v>103</v>
      </c>
      <c r="E57" s="104" t="s">
        <v>863</v>
      </c>
      <c r="F57" s="105">
        <v>42593</v>
      </c>
      <c r="G57" s="106" t="s">
        <v>1428</v>
      </c>
      <c r="H57" s="96">
        <v>445251.39</v>
      </c>
    </row>
    <row r="58" spans="1:8" x14ac:dyDescent="0.25">
      <c r="A58" s="2"/>
      <c r="B58" s="104"/>
      <c r="C58" s="120"/>
      <c r="D58" s="114" t="s">
        <v>221</v>
      </c>
      <c r="E58" s="104" t="s">
        <v>863</v>
      </c>
      <c r="F58" s="105">
        <v>42593</v>
      </c>
      <c r="G58" s="106" t="s">
        <v>1429</v>
      </c>
      <c r="H58" s="96">
        <v>1826925.6</v>
      </c>
    </row>
    <row r="59" spans="1:8" x14ac:dyDescent="0.25">
      <c r="A59" s="2"/>
      <c r="B59" s="104"/>
      <c r="C59" s="120"/>
      <c r="D59" s="114" t="s">
        <v>55</v>
      </c>
      <c r="E59" s="104" t="s">
        <v>863</v>
      </c>
      <c r="F59" s="105">
        <v>42593</v>
      </c>
      <c r="G59" s="106" t="s">
        <v>1430</v>
      </c>
      <c r="H59" s="96">
        <v>1129023.51</v>
      </c>
    </row>
    <row r="60" spans="1:8" x14ac:dyDescent="0.25">
      <c r="A60" s="2"/>
      <c r="B60" s="104"/>
      <c r="C60" s="120"/>
      <c r="D60" s="114" t="s">
        <v>215</v>
      </c>
      <c r="E60" s="104" t="s">
        <v>863</v>
      </c>
      <c r="F60" s="105">
        <v>42671</v>
      </c>
      <c r="G60" s="106" t="s">
        <v>1431</v>
      </c>
      <c r="H60" s="96">
        <v>912552.89</v>
      </c>
    </row>
    <row r="61" spans="1:8" x14ac:dyDescent="0.25">
      <c r="A61" s="2"/>
      <c r="B61" s="104"/>
      <c r="C61" s="120"/>
      <c r="D61" s="114" t="s">
        <v>15</v>
      </c>
      <c r="E61" s="104" t="s">
        <v>863</v>
      </c>
      <c r="F61" s="105">
        <v>42762</v>
      </c>
      <c r="G61" s="106" t="s">
        <v>1432</v>
      </c>
      <c r="H61" s="96">
        <v>554977.92000000004</v>
      </c>
    </row>
    <row r="62" spans="1:8" x14ac:dyDescent="0.25">
      <c r="A62" s="104" t="s">
        <v>1353</v>
      </c>
      <c r="H62" s="96">
        <v>6728706.7699999996</v>
      </c>
    </row>
    <row r="63" spans="1:8" x14ac:dyDescent="0.25">
      <c r="A63" s="104"/>
      <c r="H63" s="96"/>
    </row>
    <row r="64" spans="1:8" x14ac:dyDescent="0.25">
      <c r="A64" s="104" t="s">
        <v>524</v>
      </c>
      <c r="H64" s="96"/>
    </row>
    <row r="65" spans="1:8" ht="45" x14ac:dyDescent="0.25">
      <c r="A65" s="107" t="s">
        <v>726</v>
      </c>
      <c r="B65" s="107"/>
      <c r="C65" s="107"/>
      <c r="D65" s="107"/>
      <c r="E65" s="107"/>
      <c r="F65" s="107"/>
      <c r="G65" s="107"/>
      <c r="H65" s="96"/>
    </row>
    <row r="66" spans="1:8" x14ac:dyDescent="0.25">
      <c r="A66" s="115" t="s">
        <v>325</v>
      </c>
      <c r="B66" s="104" t="s">
        <v>1354</v>
      </c>
      <c r="C66" s="120">
        <v>0.98</v>
      </c>
      <c r="D66" s="104" t="s">
        <v>1950</v>
      </c>
      <c r="H66" s="96"/>
    </row>
    <row r="67" spans="1:8" x14ac:dyDescent="0.25">
      <c r="A67" s="2"/>
      <c r="B67" s="104"/>
      <c r="C67" s="120"/>
      <c r="D67" s="114" t="s">
        <v>23</v>
      </c>
      <c r="E67" s="104" t="s">
        <v>863</v>
      </c>
      <c r="F67" s="105">
        <v>42467</v>
      </c>
      <c r="G67" s="106"/>
      <c r="H67" s="96">
        <v>6886504.4000000004</v>
      </c>
    </row>
    <row r="68" spans="1:8" x14ac:dyDescent="0.25">
      <c r="A68" s="2"/>
      <c r="B68" s="104"/>
      <c r="C68" s="120"/>
      <c r="D68" s="114" t="s">
        <v>103</v>
      </c>
      <c r="E68" s="104" t="s">
        <v>863</v>
      </c>
      <c r="F68" s="105">
        <v>42643</v>
      </c>
      <c r="G68" s="106" t="s">
        <v>1355</v>
      </c>
      <c r="H68" s="96">
        <v>654681.32999999996</v>
      </c>
    </row>
    <row r="69" spans="1:8" x14ac:dyDescent="0.25">
      <c r="A69" s="2"/>
      <c r="B69" s="104"/>
      <c r="C69" s="120"/>
      <c r="D69" s="114" t="s">
        <v>221</v>
      </c>
      <c r="E69" s="104" t="s">
        <v>863</v>
      </c>
      <c r="F69" s="105">
        <v>42643</v>
      </c>
      <c r="G69" s="106" t="s">
        <v>1356</v>
      </c>
      <c r="H69" s="96">
        <v>4298441.7300000004</v>
      </c>
    </row>
    <row r="70" spans="1:8" x14ac:dyDescent="0.25">
      <c r="A70" s="2"/>
      <c r="B70" s="104"/>
      <c r="C70" s="120"/>
      <c r="D70" s="114" t="s">
        <v>55</v>
      </c>
      <c r="E70" s="104" t="s">
        <v>863</v>
      </c>
      <c r="F70" s="105">
        <v>42653</v>
      </c>
      <c r="G70" s="106" t="s">
        <v>1357</v>
      </c>
      <c r="H70" s="96">
        <v>2996534.33</v>
      </c>
    </row>
    <row r="71" spans="1:8" x14ac:dyDescent="0.25">
      <c r="A71" s="2"/>
      <c r="B71" s="104"/>
      <c r="C71" s="120"/>
      <c r="D71" s="114" t="s">
        <v>215</v>
      </c>
      <c r="E71" s="104" t="s">
        <v>863</v>
      </c>
      <c r="F71" s="105">
        <v>42712</v>
      </c>
      <c r="G71" s="106" t="s">
        <v>1677</v>
      </c>
      <c r="H71" s="96">
        <v>2993070.39</v>
      </c>
    </row>
    <row r="72" spans="1:8" x14ac:dyDescent="0.25">
      <c r="A72" s="2"/>
      <c r="B72" s="104"/>
      <c r="C72" s="120"/>
      <c r="D72" s="114" t="s">
        <v>15</v>
      </c>
      <c r="E72" s="104" t="s">
        <v>863</v>
      </c>
      <c r="F72" s="105">
        <v>42762</v>
      </c>
      <c r="G72" s="106" t="s">
        <v>1951</v>
      </c>
      <c r="H72" s="96">
        <v>4729357.1500000004</v>
      </c>
    </row>
    <row r="73" spans="1:8" x14ac:dyDescent="0.25">
      <c r="A73" s="104" t="s">
        <v>1358</v>
      </c>
      <c r="H73" s="96">
        <v>22558589.329999998</v>
      </c>
    </row>
    <row r="74" spans="1:8" x14ac:dyDescent="0.25">
      <c r="A74" s="104"/>
      <c r="H74" s="96"/>
    </row>
    <row r="75" spans="1:8" x14ac:dyDescent="0.25">
      <c r="A75" s="104" t="s">
        <v>532</v>
      </c>
      <c r="H75" s="96"/>
    </row>
    <row r="76" spans="1:8" x14ac:dyDescent="0.25">
      <c r="A76" s="107" t="s">
        <v>718</v>
      </c>
      <c r="B76" s="107"/>
      <c r="C76" s="107"/>
      <c r="D76" s="107"/>
      <c r="E76" s="107"/>
      <c r="F76" s="107"/>
      <c r="G76" s="107"/>
      <c r="H76" s="96"/>
    </row>
    <row r="77" spans="1:8" ht="30" x14ac:dyDescent="0.25">
      <c r="A77" s="115" t="s">
        <v>717</v>
      </c>
      <c r="B77" s="104" t="s">
        <v>1025</v>
      </c>
      <c r="C77" s="120">
        <v>0.99</v>
      </c>
      <c r="D77" s="104" t="s">
        <v>2090</v>
      </c>
      <c r="H77" s="96"/>
    </row>
    <row r="78" spans="1:8" x14ac:dyDescent="0.25">
      <c r="A78" s="2"/>
      <c r="B78" s="104"/>
      <c r="C78" s="120"/>
      <c r="D78" s="114" t="s">
        <v>23</v>
      </c>
      <c r="E78" s="104" t="s">
        <v>863</v>
      </c>
      <c r="F78" s="105">
        <v>42472</v>
      </c>
      <c r="G78" s="106"/>
      <c r="H78" s="96">
        <v>25000002.300000001</v>
      </c>
    </row>
    <row r="79" spans="1:8" x14ac:dyDescent="0.25">
      <c r="A79" s="2"/>
      <c r="B79" s="104"/>
      <c r="C79" s="120"/>
      <c r="D79" s="114" t="s">
        <v>103</v>
      </c>
      <c r="E79" s="104" t="s">
        <v>863</v>
      </c>
      <c r="F79" s="105">
        <v>42632</v>
      </c>
      <c r="G79" s="106" t="s">
        <v>1359</v>
      </c>
      <c r="H79" s="96">
        <v>780685.28</v>
      </c>
    </row>
    <row r="80" spans="1:8" x14ac:dyDescent="0.25">
      <c r="A80" s="2"/>
      <c r="B80" s="104"/>
      <c r="C80" s="120"/>
      <c r="D80" s="114" t="s">
        <v>221</v>
      </c>
      <c r="E80" s="104" t="s">
        <v>863</v>
      </c>
      <c r="F80" s="105">
        <v>42632</v>
      </c>
      <c r="G80" s="106" t="s">
        <v>1360</v>
      </c>
      <c r="H80" s="96">
        <v>3127637.28</v>
      </c>
    </row>
    <row r="81" spans="1:8" x14ac:dyDescent="0.25">
      <c r="A81" s="2"/>
      <c r="B81" s="104"/>
      <c r="C81" s="120"/>
      <c r="D81" s="114" t="s">
        <v>55</v>
      </c>
      <c r="E81" s="104" t="s">
        <v>863</v>
      </c>
      <c r="F81" s="105">
        <v>42643</v>
      </c>
      <c r="G81" s="106" t="s">
        <v>1361</v>
      </c>
      <c r="H81" s="96">
        <v>5095009.83</v>
      </c>
    </row>
    <row r="82" spans="1:8" x14ac:dyDescent="0.25">
      <c r="A82" s="2"/>
      <c r="B82" s="104"/>
      <c r="C82" s="120"/>
      <c r="D82" s="114" t="s">
        <v>215</v>
      </c>
      <c r="E82" s="104" t="s">
        <v>863</v>
      </c>
      <c r="F82" s="105">
        <v>42653</v>
      </c>
      <c r="G82" s="106" t="s">
        <v>1318</v>
      </c>
      <c r="H82" s="96">
        <v>9979542.4499999993</v>
      </c>
    </row>
    <row r="83" spans="1:8" x14ac:dyDescent="0.25">
      <c r="A83" s="2"/>
      <c r="B83" s="104"/>
      <c r="C83" s="120"/>
      <c r="D83" s="114" t="s">
        <v>15</v>
      </c>
      <c r="E83" s="104" t="s">
        <v>863</v>
      </c>
      <c r="F83" s="105">
        <v>42671</v>
      </c>
      <c r="G83" s="106" t="s">
        <v>1067</v>
      </c>
      <c r="H83" s="96">
        <v>4315130.88</v>
      </c>
    </row>
    <row r="84" spans="1:8" x14ac:dyDescent="0.25">
      <c r="A84" s="2"/>
      <c r="B84" s="104"/>
      <c r="C84" s="120"/>
      <c r="D84" s="114" t="s">
        <v>214</v>
      </c>
      <c r="E84" s="104" t="s">
        <v>863</v>
      </c>
      <c r="F84" s="105">
        <v>42685</v>
      </c>
      <c r="G84" s="106" t="s">
        <v>1026</v>
      </c>
      <c r="H84" s="96">
        <v>2240535.35</v>
      </c>
    </row>
    <row r="85" spans="1:8" x14ac:dyDescent="0.25">
      <c r="A85" s="2"/>
      <c r="B85" s="104"/>
      <c r="C85" s="120"/>
      <c r="D85" s="114" t="s">
        <v>218</v>
      </c>
      <c r="E85" s="104" t="s">
        <v>863</v>
      </c>
      <c r="F85" s="105">
        <v>42717</v>
      </c>
      <c r="G85" s="106" t="s">
        <v>1027</v>
      </c>
      <c r="H85" s="96">
        <v>1716260.37</v>
      </c>
    </row>
    <row r="86" spans="1:8" x14ac:dyDescent="0.25">
      <c r="A86" s="2"/>
      <c r="B86" s="104"/>
      <c r="C86" s="120"/>
      <c r="D86" s="114" t="s">
        <v>220</v>
      </c>
      <c r="E86" s="104" t="s">
        <v>863</v>
      </c>
      <c r="F86" s="105">
        <v>42685</v>
      </c>
      <c r="G86" s="106" t="s">
        <v>1028</v>
      </c>
      <c r="H86" s="96">
        <v>12374682.130000001</v>
      </c>
    </row>
    <row r="87" spans="1:8" x14ac:dyDescent="0.25">
      <c r="A87" s="2"/>
      <c r="B87" s="104"/>
      <c r="C87" s="120"/>
      <c r="D87" s="114" t="s">
        <v>748</v>
      </c>
      <c r="E87" s="104" t="s">
        <v>863</v>
      </c>
      <c r="F87" s="105">
        <v>42717</v>
      </c>
      <c r="G87" s="106" t="s">
        <v>1678</v>
      </c>
      <c r="H87" s="96">
        <v>6858712.1500000004</v>
      </c>
    </row>
    <row r="88" spans="1:8" x14ac:dyDescent="0.25">
      <c r="A88" s="2"/>
      <c r="B88" s="104"/>
      <c r="C88" s="120"/>
      <c r="D88" s="114" t="s">
        <v>249</v>
      </c>
      <c r="E88" s="104" t="s">
        <v>863</v>
      </c>
      <c r="F88" s="105">
        <v>42717</v>
      </c>
      <c r="G88" s="106" t="s">
        <v>1679</v>
      </c>
      <c r="H88" s="96">
        <v>5443102.7699999996</v>
      </c>
    </row>
    <row r="89" spans="1:8" x14ac:dyDescent="0.25">
      <c r="A89" s="2"/>
      <c r="B89" s="104"/>
      <c r="C89" s="120"/>
      <c r="D89" s="114" t="s">
        <v>264</v>
      </c>
      <c r="E89" s="104" t="s">
        <v>863</v>
      </c>
      <c r="F89" s="105">
        <v>42734</v>
      </c>
      <c r="G89" s="106" t="s">
        <v>2091</v>
      </c>
      <c r="H89" s="96">
        <v>5517248.8600000003</v>
      </c>
    </row>
    <row r="90" spans="1:8" x14ac:dyDescent="0.25">
      <c r="A90" s="104" t="s">
        <v>1029</v>
      </c>
      <c r="H90" s="96">
        <v>82448549.650000006</v>
      </c>
    </row>
    <row r="91" spans="1:8" x14ac:dyDescent="0.25">
      <c r="A91" s="104"/>
      <c r="H91" s="96"/>
    </row>
    <row r="92" spans="1:8" x14ac:dyDescent="0.25">
      <c r="A92" s="104" t="s">
        <v>539</v>
      </c>
      <c r="H92" s="96"/>
    </row>
    <row r="93" spans="1:8" ht="30" x14ac:dyDescent="0.25">
      <c r="A93" s="107" t="s">
        <v>538</v>
      </c>
      <c r="B93" s="107"/>
      <c r="C93" s="107"/>
      <c r="D93" s="107"/>
      <c r="E93" s="107"/>
      <c r="F93" s="107"/>
      <c r="G93" s="107"/>
      <c r="H93" s="96"/>
    </row>
    <row r="94" spans="1:8" x14ac:dyDescent="0.25">
      <c r="A94" s="115" t="s">
        <v>169</v>
      </c>
      <c r="B94" s="104" t="s">
        <v>1362</v>
      </c>
      <c r="C94" s="120">
        <v>1</v>
      </c>
      <c r="D94" s="104" t="s">
        <v>1324</v>
      </c>
      <c r="H94" s="96"/>
    </row>
    <row r="95" spans="1:8" x14ac:dyDescent="0.25">
      <c r="A95" s="2"/>
      <c r="B95" s="104"/>
      <c r="C95" s="120"/>
      <c r="D95" s="114" t="s">
        <v>23</v>
      </c>
      <c r="E95" s="104" t="s">
        <v>863</v>
      </c>
      <c r="F95" s="105">
        <v>42487</v>
      </c>
      <c r="G95" s="106"/>
      <c r="H95" s="96">
        <v>11394402.83</v>
      </c>
    </row>
    <row r="96" spans="1:8" x14ac:dyDescent="0.25">
      <c r="A96" s="2"/>
      <c r="B96" s="104"/>
      <c r="C96" s="120"/>
      <c r="D96" s="114" t="s">
        <v>103</v>
      </c>
      <c r="E96" s="104" t="s">
        <v>863</v>
      </c>
      <c r="F96" s="105">
        <v>42643</v>
      </c>
      <c r="G96" s="106" t="s">
        <v>1363</v>
      </c>
      <c r="H96" s="96">
        <v>6381922.21</v>
      </c>
    </row>
    <row r="97" spans="1:8" x14ac:dyDescent="0.25">
      <c r="A97" s="2"/>
      <c r="B97" s="104"/>
      <c r="C97" s="120"/>
      <c r="D97" s="114" t="s">
        <v>221</v>
      </c>
      <c r="E97" s="104" t="s">
        <v>863</v>
      </c>
      <c r="F97" s="105">
        <v>42653</v>
      </c>
      <c r="G97" s="106" t="s">
        <v>1364</v>
      </c>
      <c r="H97" s="96">
        <v>7060533.3099999996</v>
      </c>
    </row>
    <row r="98" spans="1:8" x14ac:dyDescent="0.25">
      <c r="A98" s="2"/>
      <c r="B98" s="104"/>
      <c r="C98" s="120"/>
      <c r="D98" s="114" t="s">
        <v>55</v>
      </c>
      <c r="E98" s="104" t="s">
        <v>863</v>
      </c>
      <c r="F98" s="105">
        <v>42663</v>
      </c>
      <c r="G98" s="106" t="s">
        <v>1365</v>
      </c>
      <c r="H98" s="96">
        <v>8470240.5299999993</v>
      </c>
    </row>
    <row r="99" spans="1:8" x14ac:dyDescent="0.25">
      <c r="A99" s="2"/>
      <c r="B99" s="104"/>
      <c r="C99" s="120"/>
      <c r="D99" s="114" t="s">
        <v>215</v>
      </c>
      <c r="E99" s="104" t="s">
        <v>863</v>
      </c>
      <c r="F99" s="105">
        <v>42663</v>
      </c>
      <c r="G99" s="106" t="s">
        <v>1366</v>
      </c>
      <c r="H99" s="96">
        <v>3321876.27</v>
      </c>
    </row>
    <row r="100" spans="1:8" x14ac:dyDescent="0.25">
      <c r="A100" s="2"/>
      <c r="B100" s="104"/>
      <c r="C100" s="120"/>
      <c r="D100" s="114" t="s">
        <v>15</v>
      </c>
      <c r="E100" s="104" t="s">
        <v>863</v>
      </c>
      <c r="F100" s="105">
        <v>42762</v>
      </c>
      <c r="G100" s="106" t="s">
        <v>1027</v>
      </c>
      <c r="H100" s="96">
        <v>1117980.72</v>
      </c>
    </row>
    <row r="101" spans="1:8" x14ac:dyDescent="0.25">
      <c r="A101" s="2"/>
      <c r="B101" s="104"/>
      <c r="C101" s="120"/>
      <c r="D101" s="114" t="s">
        <v>214</v>
      </c>
      <c r="E101" s="104" t="s">
        <v>863</v>
      </c>
      <c r="F101" s="105">
        <v>42762</v>
      </c>
      <c r="G101" s="106" t="s">
        <v>1952</v>
      </c>
      <c r="H101" s="96">
        <v>63065.23</v>
      </c>
    </row>
    <row r="102" spans="1:8" x14ac:dyDescent="0.25">
      <c r="A102" s="104" t="s">
        <v>1367</v>
      </c>
      <c r="H102" s="96">
        <v>37810021.100000001</v>
      </c>
    </row>
    <row r="103" spans="1:8" x14ac:dyDescent="0.25">
      <c r="A103" s="104"/>
      <c r="H103" s="96"/>
    </row>
    <row r="104" spans="1:8" x14ac:dyDescent="0.25">
      <c r="A104" s="104" t="s">
        <v>546</v>
      </c>
      <c r="H104" s="96"/>
    </row>
    <row r="105" spans="1:8" x14ac:dyDescent="0.25">
      <c r="A105" s="107" t="s">
        <v>765</v>
      </c>
      <c r="B105" s="107"/>
      <c r="C105" s="107"/>
      <c r="D105" s="107"/>
      <c r="E105" s="107"/>
      <c r="F105" s="107"/>
      <c r="G105" s="107"/>
      <c r="H105" s="96"/>
    </row>
    <row r="106" spans="1:8" x14ac:dyDescent="0.25">
      <c r="A106" s="115" t="s">
        <v>459</v>
      </c>
      <c r="B106" s="104" t="s">
        <v>1033</v>
      </c>
      <c r="C106" s="120">
        <v>1</v>
      </c>
      <c r="D106" s="104" t="s">
        <v>1324</v>
      </c>
      <c r="H106" s="96"/>
    </row>
    <row r="107" spans="1:8" x14ac:dyDescent="0.25">
      <c r="A107" s="2"/>
      <c r="B107" s="104"/>
      <c r="C107" s="120"/>
      <c r="D107" s="114" t="s">
        <v>23</v>
      </c>
      <c r="E107" s="104" t="s">
        <v>863</v>
      </c>
      <c r="F107" s="105">
        <v>42510</v>
      </c>
      <c r="G107" s="106"/>
      <c r="H107" s="96">
        <v>7410332.4699999997</v>
      </c>
    </row>
    <row r="108" spans="1:8" x14ac:dyDescent="0.25">
      <c r="A108" s="2"/>
      <c r="B108" s="104"/>
      <c r="C108" s="120"/>
      <c r="D108" s="114" t="s">
        <v>103</v>
      </c>
      <c r="E108" s="104" t="s">
        <v>863</v>
      </c>
      <c r="F108" s="105">
        <v>42653</v>
      </c>
      <c r="G108" s="106" t="s">
        <v>1368</v>
      </c>
      <c r="H108" s="96">
        <v>2141246.85</v>
      </c>
    </row>
    <row r="109" spans="1:8" x14ac:dyDescent="0.25">
      <c r="A109" s="2"/>
      <c r="B109" s="104"/>
      <c r="C109" s="120"/>
      <c r="D109" s="114" t="s">
        <v>221</v>
      </c>
      <c r="E109" s="104" t="s">
        <v>863</v>
      </c>
      <c r="F109" s="105">
        <v>42653</v>
      </c>
      <c r="G109" s="106" t="s">
        <v>1369</v>
      </c>
      <c r="H109" s="96">
        <v>630272.77</v>
      </c>
    </row>
    <row r="110" spans="1:8" x14ac:dyDescent="0.25">
      <c r="A110" s="2"/>
      <c r="B110" s="104"/>
      <c r="C110" s="120"/>
      <c r="D110" s="114" t="s">
        <v>55</v>
      </c>
      <c r="E110" s="104" t="s">
        <v>863</v>
      </c>
      <c r="F110" s="105">
        <v>42685</v>
      </c>
      <c r="G110" s="106" t="s">
        <v>1034</v>
      </c>
      <c r="H110" s="96">
        <v>2860333.78</v>
      </c>
    </row>
    <row r="111" spans="1:8" x14ac:dyDescent="0.25">
      <c r="A111" s="2"/>
      <c r="B111" s="104"/>
      <c r="C111" s="120"/>
      <c r="D111" s="114" t="s">
        <v>215</v>
      </c>
      <c r="E111" s="104" t="s">
        <v>863</v>
      </c>
      <c r="F111" s="105">
        <v>42712</v>
      </c>
      <c r="G111" s="106" t="s">
        <v>1825</v>
      </c>
      <c r="H111" s="96">
        <v>5767097.4199999999</v>
      </c>
    </row>
    <row r="112" spans="1:8" x14ac:dyDescent="0.25">
      <c r="A112" s="2"/>
      <c r="B112" s="104"/>
      <c r="C112" s="120"/>
      <c r="D112" s="114" t="s">
        <v>15</v>
      </c>
      <c r="E112" s="104" t="s">
        <v>863</v>
      </c>
      <c r="F112" s="105">
        <v>42755</v>
      </c>
      <c r="G112" s="106" t="s">
        <v>1884</v>
      </c>
      <c r="H112" s="96">
        <v>3550799.23</v>
      </c>
    </row>
    <row r="113" spans="1:8" x14ac:dyDescent="0.25">
      <c r="A113" s="2"/>
      <c r="B113" s="104"/>
      <c r="C113" s="120"/>
      <c r="D113" s="114" t="s">
        <v>214</v>
      </c>
      <c r="E113" s="104" t="s">
        <v>866</v>
      </c>
      <c r="F113" s="105">
        <v>42811</v>
      </c>
      <c r="G113" s="106" t="s">
        <v>2440</v>
      </c>
      <c r="H113" s="96">
        <v>2173484.8199999998</v>
      </c>
    </row>
    <row r="114" spans="1:8" x14ac:dyDescent="0.25">
      <c r="A114" s="104" t="s">
        <v>1035</v>
      </c>
      <c r="H114" s="96">
        <v>24533567.34</v>
      </c>
    </row>
    <row r="115" spans="1:8" x14ac:dyDescent="0.25">
      <c r="A115" s="104"/>
      <c r="H115" s="96"/>
    </row>
    <row r="116" spans="1:8" x14ac:dyDescent="0.25">
      <c r="A116" s="104" t="s">
        <v>343</v>
      </c>
      <c r="H116" s="96"/>
    </row>
    <row r="117" spans="1:8" ht="45" x14ac:dyDescent="0.25">
      <c r="A117" s="107" t="s">
        <v>341</v>
      </c>
      <c r="B117" s="107"/>
      <c r="C117" s="107"/>
      <c r="D117" s="107"/>
      <c r="E117" s="107"/>
      <c r="F117" s="107"/>
      <c r="G117" s="107"/>
      <c r="H117" s="96"/>
    </row>
    <row r="118" spans="1:8" ht="30" x14ac:dyDescent="0.25">
      <c r="A118" s="115" t="s">
        <v>342</v>
      </c>
      <c r="B118" s="104" t="s">
        <v>2559</v>
      </c>
      <c r="C118" s="120">
        <v>1</v>
      </c>
      <c r="D118" s="104" t="s">
        <v>1324</v>
      </c>
      <c r="H118" s="96"/>
    </row>
    <row r="119" spans="1:8" x14ac:dyDescent="0.25">
      <c r="A119" s="2"/>
      <c r="B119" s="104"/>
      <c r="C119" s="120"/>
      <c r="D119" s="114" t="s">
        <v>23</v>
      </c>
      <c r="E119" s="104" t="s">
        <v>863</v>
      </c>
      <c r="F119" s="105">
        <v>42510</v>
      </c>
      <c r="G119" s="106"/>
      <c r="H119" s="96">
        <v>16167273.810000001</v>
      </c>
    </row>
    <row r="120" spans="1:8" x14ac:dyDescent="0.25">
      <c r="A120" s="2"/>
      <c r="B120" s="104"/>
      <c r="C120" s="120"/>
      <c r="D120" s="114" t="s">
        <v>103</v>
      </c>
      <c r="E120" s="104" t="s">
        <v>863</v>
      </c>
      <c r="F120" s="105">
        <v>42643</v>
      </c>
      <c r="G120" s="106" t="s">
        <v>2560</v>
      </c>
      <c r="H120" s="96">
        <v>458929.74</v>
      </c>
    </row>
    <row r="121" spans="1:8" x14ac:dyDescent="0.25">
      <c r="A121" s="2"/>
      <c r="B121" s="104"/>
      <c r="C121" s="120"/>
      <c r="D121" s="114" t="s">
        <v>221</v>
      </c>
      <c r="E121" s="104" t="s">
        <v>863</v>
      </c>
      <c r="F121" s="105">
        <v>42643</v>
      </c>
      <c r="G121" s="106" t="s">
        <v>2561</v>
      </c>
      <c r="H121" s="96">
        <v>992221.52</v>
      </c>
    </row>
    <row r="122" spans="1:8" x14ac:dyDescent="0.25">
      <c r="A122" s="2"/>
      <c r="B122" s="104"/>
      <c r="C122" s="120"/>
      <c r="D122" s="114" t="s">
        <v>55</v>
      </c>
      <c r="E122" s="104" t="s">
        <v>863</v>
      </c>
      <c r="F122" s="105">
        <v>42632</v>
      </c>
      <c r="G122" s="106" t="s">
        <v>2562</v>
      </c>
      <c r="H122" s="96">
        <v>14192758.91</v>
      </c>
    </row>
    <row r="123" spans="1:8" x14ac:dyDescent="0.25">
      <c r="A123" s="2"/>
      <c r="B123" s="104"/>
      <c r="C123" s="120"/>
      <c r="D123" s="114" t="s">
        <v>215</v>
      </c>
      <c r="E123" s="104" t="s">
        <v>863</v>
      </c>
      <c r="F123" s="105">
        <v>42643</v>
      </c>
      <c r="G123" s="106" t="s">
        <v>2563</v>
      </c>
      <c r="H123" s="96">
        <v>11050643.09</v>
      </c>
    </row>
    <row r="124" spans="1:8" x14ac:dyDescent="0.25">
      <c r="A124" s="2"/>
      <c r="B124" s="104"/>
      <c r="C124" s="120"/>
      <c r="D124" s="114" t="s">
        <v>15</v>
      </c>
      <c r="E124" s="104" t="s">
        <v>863</v>
      </c>
      <c r="F124" s="105">
        <v>42685</v>
      </c>
      <c r="G124" s="106" t="s">
        <v>2564</v>
      </c>
      <c r="H124" s="96">
        <v>7485141.54</v>
      </c>
    </row>
    <row r="125" spans="1:8" x14ac:dyDescent="0.25">
      <c r="A125" s="2"/>
      <c r="B125" s="104"/>
      <c r="C125" s="120"/>
      <c r="D125" s="114" t="s">
        <v>214</v>
      </c>
      <c r="E125" s="104" t="s">
        <v>866</v>
      </c>
      <c r="F125" s="105">
        <v>42797</v>
      </c>
      <c r="G125" s="106" t="s">
        <v>2565</v>
      </c>
      <c r="H125" s="96">
        <v>3316301.42</v>
      </c>
    </row>
    <row r="126" spans="1:8" x14ac:dyDescent="0.25">
      <c r="A126" s="2"/>
      <c r="B126" s="104"/>
      <c r="C126" s="120"/>
      <c r="D126" s="114" t="s">
        <v>218</v>
      </c>
      <c r="E126" s="104" t="s">
        <v>863</v>
      </c>
      <c r="F126" s="105">
        <v>42810</v>
      </c>
      <c r="G126" s="106" t="s">
        <v>2567</v>
      </c>
      <c r="H126" s="96">
        <v>2597069.37</v>
      </c>
    </row>
    <row r="127" spans="1:8" x14ac:dyDescent="0.25">
      <c r="A127" s="2"/>
      <c r="B127" s="104"/>
      <c r="C127" s="120"/>
      <c r="D127" s="114" t="s">
        <v>220</v>
      </c>
      <c r="E127" s="104" t="s">
        <v>863</v>
      </c>
      <c r="F127" s="105">
        <v>42810</v>
      </c>
      <c r="G127" s="106" t="s">
        <v>2566</v>
      </c>
      <c r="H127" s="96">
        <v>4026555.41</v>
      </c>
    </row>
    <row r="128" spans="1:8" x14ac:dyDescent="0.25">
      <c r="A128" s="104" t="s">
        <v>1036</v>
      </c>
      <c r="H128" s="96">
        <v>60286894.810000002</v>
      </c>
    </row>
    <row r="129" spans="1:8" x14ac:dyDescent="0.25">
      <c r="A129" s="104"/>
      <c r="H129" s="96"/>
    </row>
    <row r="130" spans="1:8" x14ac:dyDescent="0.25">
      <c r="A130" s="104" t="s">
        <v>597</v>
      </c>
      <c r="H130" s="96"/>
    </row>
    <row r="131" spans="1:8" ht="45" x14ac:dyDescent="0.25">
      <c r="A131" s="107" t="s">
        <v>596</v>
      </c>
      <c r="B131" s="107"/>
      <c r="C131" s="107"/>
      <c r="D131" s="107"/>
      <c r="E131" s="107"/>
      <c r="F131" s="107"/>
      <c r="G131" s="107"/>
      <c r="H131" s="96"/>
    </row>
    <row r="132" spans="1:8" x14ac:dyDescent="0.25">
      <c r="A132" s="115" t="s">
        <v>259</v>
      </c>
      <c r="B132" s="104" t="s">
        <v>1037</v>
      </c>
      <c r="C132" s="120">
        <v>0.98</v>
      </c>
      <c r="D132" s="104" t="s">
        <v>2534</v>
      </c>
      <c r="H132" s="96"/>
    </row>
    <row r="133" spans="1:8" x14ac:dyDescent="0.25">
      <c r="A133" s="2"/>
      <c r="B133" s="104"/>
      <c r="C133" s="120"/>
      <c r="D133" s="114" t="s">
        <v>23</v>
      </c>
      <c r="E133" s="104" t="s">
        <v>863</v>
      </c>
      <c r="F133" s="105">
        <v>42502</v>
      </c>
      <c r="G133" s="106"/>
      <c r="H133" s="96">
        <v>23967807.09</v>
      </c>
    </row>
    <row r="134" spans="1:8" x14ac:dyDescent="0.25">
      <c r="A134" s="2"/>
      <c r="B134" s="104"/>
      <c r="C134" s="120"/>
      <c r="D134" s="114" t="s">
        <v>103</v>
      </c>
      <c r="E134" s="104" t="s">
        <v>863</v>
      </c>
      <c r="F134" s="105">
        <v>42632</v>
      </c>
      <c r="G134" s="106" t="s">
        <v>1348</v>
      </c>
      <c r="H134" s="96">
        <v>4386972.05</v>
      </c>
    </row>
    <row r="135" spans="1:8" x14ac:dyDescent="0.25">
      <c r="A135" s="2"/>
      <c r="B135" s="104"/>
      <c r="C135" s="120"/>
      <c r="D135" s="114" t="s">
        <v>221</v>
      </c>
      <c r="E135" s="104" t="s">
        <v>863</v>
      </c>
      <c r="F135" s="105">
        <v>42643</v>
      </c>
      <c r="G135" s="106" t="s">
        <v>1370</v>
      </c>
      <c r="H135" s="96">
        <v>1593206</v>
      </c>
    </row>
    <row r="136" spans="1:8" x14ac:dyDescent="0.25">
      <c r="A136" s="2"/>
      <c r="B136" s="104"/>
      <c r="C136" s="120"/>
      <c r="D136" s="114" t="s">
        <v>55</v>
      </c>
      <c r="E136" s="104" t="s">
        <v>863</v>
      </c>
      <c r="F136" s="105">
        <v>42643</v>
      </c>
      <c r="G136" s="106" t="s">
        <v>1371</v>
      </c>
      <c r="H136" s="96">
        <v>6856205.96</v>
      </c>
    </row>
    <row r="137" spans="1:8" x14ac:dyDescent="0.25">
      <c r="A137" s="2"/>
      <c r="B137" s="104"/>
      <c r="C137" s="120"/>
      <c r="D137" s="114" t="s">
        <v>215</v>
      </c>
      <c r="E137" s="104" t="s">
        <v>863</v>
      </c>
      <c r="F137" s="105">
        <v>42653</v>
      </c>
      <c r="G137" s="106" t="s">
        <v>1335</v>
      </c>
      <c r="H137" s="96">
        <v>2569034.7400000002</v>
      </c>
    </row>
    <row r="138" spans="1:8" x14ac:dyDescent="0.25">
      <c r="A138" s="2"/>
      <c r="B138" s="104"/>
      <c r="C138" s="120"/>
      <c r="D138" s="114" t="s">
        <v>15</v>
      </c>
      <c r="E138" s="104" t="s">
        <v>863</v>
      </c>
      <c r="F138" s="105">
        <v>42685</v>
      </c>
      <c r="G138" s="106" t="s">
        <v>1038</v>
      </c>
      <c r="H138" s="96">
        <v>5126808.22</v>
      </c>
    </row>
    <row r="139" spans="1:8" x14ac:dyDescent="0.25">
      <c r="A139" s="2"/>
      <c r="B139" s="104"/>
      <c r="C139" s="120"/>
      <c r="D139" s="114" t="s">
        <v>214</v>
      </c>
      <c r="E139" s="104" t="s">
        <v>863</v>
      </c>
      <c r="F139" s="105">
        <v>42723</v>
      </c>
      <c r="G139" s="106" t="s">
        <v>1559</v>
      </c>
      <c r="H139" s="96">
        <v>6906926.4199999999</v>
      </c>
    </row>
    <row r="140" spans="1:8" x14ac:dyDescent="0.25">
      <c r="A140" s="2"/>
      <c r="B140" s="104"/>
      <c r="C140" s="120"/>
      <c r="D140" s="114" t="s">
        <v>218</v>
      </c>
      <c r="E140" s="104" t="s">
        <v>863</v>
      </c>
      <c r="F140" s="105">
        <v>42758</v>
      </c>
      <c r="G140" s="106" t="s">
        <v>1826</v>
      </c>
      <c r="H140" s="96">
        <v>4217678.46</v>
      </c>
    </row>
    <row r="141" spans="1:8" x14ac:dyDescent="0.25">
      <c r="A141" s="2"/>
      <c r="B141" s="104"/>
      <c r="C141" s="120"/>
      <c r="D141" s="114" t="s">
        <v>220</v>
      </c>
      <c r="E141" s="104" t="s">
        <v>863</v>
      </c>
      <c r="F141" s="105">
        <v>42760</v>
      </c>
      <c r="G141" s="106" t="s">
        <v>1885</v>
      </c>
      <c r="H141" s="96">
        <v>2478782.04</v>
      </c>
    </row>
    <row r="142" spans="1:8" x14ac:dyDescent="0.25">
      <c r="A142" s="2"/>
      <c r="B142" s="104"/>
      <c r="C142" s="120"/>
      <c r="D142" s="114" t="s">
        <v>748</v>
      </c>
      <c r="E142" s="104" t="s">
        <v>863</v>
      </c>
      <c r="F142" s="105">
        <v>42803</v>
      </c>
      <c r="G142" s="106" t="s">
        <v>2441</v>
      </c>
      <c r="H142" s="96">
        <v>6554584.2699999996</v>
      </c>
    </row>
    <row r="143" spans="1:8" x14ac:dyDescent="0.25">
      <c r="A143" s="2"/>
      <c r="B143" s="104"/>
      <c r="C143" s="120"/>
      <c r="D143" s="114" t="s">
        <v>249</v>
      </c>
      <c r="E143" s="104" t="s">
        <v>863</v>
      </c>
      <c r="F143" s="105">
        <v>42803</v>
      </c>
      <c r="G143" s="106" t="s">
        <v>2442</v>
      </c>
      <c r="H143" s="96">
        <v>9314330.2100000009</v>
      </c>
    </row>
    <row r="144" spans="1:8" x14ac:dyDescent="0.25">
      <c r="A144" s="2"/>
      <c r="B144" s="104"/>
      <c r="C144" s="120"/>
      <c r="D144" s="114" t="s">
        <v>264</v>
      </c>
      <c r="E144" s="104" t="s">
        <v>774</v>
      </c>
      <c r="F144" s="105">
        <v>42811</v>
      </c>
      <c r="G144" s="106" t="s">
        <v>1539</v>
      </c>
      <c r="H144" s="96">
        <v>4235243.3</v>
      </c>
    </row>
    <row r="145" spans="1:8" x14ac:dyDescent="0.25">
      <c r="A145" s="104" t="s">
        <v>1039</v>
      </c>
      <c r="H145" s="96">
        <v>78207578.760000005</v>
      </c>
    </row>
    <row r="146" spans="1:8" x14ac:dyDescent="0.25">
      <c r="A146" s="104"/>
      <c r="H146" s="96"/>
    </row>
    <row r="147" spans="1:8" x14ac:dyDescent="0.25">
      <c r="A147" s="104" t="s">
        <v>542</v>
      </c>
      <c r="H147" s="96"/>
    </row>
    <row r="148" spans="1:8" ht="30" x14ac:dyDescent="0.25">
      <c r="A148" s="107" t="s">
        <v>768</v>
      </c>
      <c r="B148" s="107"/>
      <c r="C148" s="107"/>
      <c r="D148" s="107"/>
      <c r="E148" s="107"/>
      <c r="F148" s="107"/>
      <c r="G148" s="107"/>
      <c r="H148" s="96"/>
    </row>
    <row r="149" spans="1:8" x14ac:dyDescent="0.25">
      <c r="A149" s="115" t="s">
        <v>391</v>
      </c>
      <c r="B149" s="104" t="s">
        <v>1372</v>
      </c>
      <c r="C149" s="120">
        <v>0.8</v>
      </c>
      <c r="D149" s="104" t="s">
        <v>2385</v>
      </c>
      <c r="H149" s="96"/>
    </row>
    <row r="150" spans="1:8" x14ac:dyDescent="0.25">
      <c r="A150" s="2"/>
      <c r="B150" s="104"/>
      <c r="C150" s="120"/>
      <c r="D150" s="114" t="s">
        <v>23</v>
      </c>
      <c r="E150" s="104" t="s">
        <v>863</v>
      </c>
      <c r="F150" s="105">
        <v>42487</v>
      </c>
      <c r="G150" s="106"/>
      <c r="H150" s="96">
        <v>19101743.73</v>
      </c>
    </row>
    <row r="151" spans="1:8" x14ac:dyDescent="0.25">
      <c r="A151" s="2"/>
      <c r="B151" s="104"/>
      <c r="C151" s="120"/>
      <c r="D151" s="114" t="s">
        <v>103</v>
      </c>
      <c r="E151" s="104" t="s">
        <v>863</v>
      </c>
      <c r="F151" s="105">
        <v>42653</v>
      </c>
      <c r="G151" s="106" t="s">
        <v>1373</v>
      </c>
      <c r="H151" s="96">
        <v>25211.64</v>
      </c>
    </row>
    <row r="152" spans="1:8" x14ac:dyDescent="0.25">
      <c r="A152" s="2"/>
      <c r="B152" s="104"/>
      <c r="C152" s="120"/>
      <c r="D152" s="114" t="s">
        <v>221</v>
      </c>
      <c r="E152" s="104" t="s">
        <v>863</v>
      </c>
      <c r="F152" s="105">
        <v>42653</v>
      </c>
      <c r="G152" s="106" t="s">
        <v>1374</v>
      </c>
      <c r="H152" s="96">
        <v>1801465.65</v>
      </c>
    </row>
    <row r="153" spans="1:8" x14ac:dyDescent="0.25">
      <c r="A153" s="2"/>
      <c r="B153" s="104"/>
      <c r="C153" s="120"/>
      <c r="D153" s="114" t="s">
        <v>55</v>
      </c>
      <c r="E153" s="104" t="s">
        <v>863</v>
      </c>
      <c r="F153" s="105">
        <v>42671</v>
      </c>
      <c r="G153" s="106" t="s">
        <v>1375</v>
      </c>
      <c r="H153" s="96">
        <v>1599611.51</v>
      </c>
    </row>
    <row r="154" spans="1:8" x14ac:dyDescent="0.25">
      <c r="A154" s="2"/>
      <c r="B154" s="104"/>
      <c r="C154" s="120"/>
      <c r="D154" s="114" t="s">
        <v>215</v>
      </c>
      <c r="E154" s="104" t="s">
        <v>863</v>
      </c>
      <c r="F154" s="105">
        <v>42734</v>
      </c>
      <c r="G154" s="106" t="s">
        <v>1844</v>
      </c>
      <c r="H154" s="96">
        <v>3540405.68</v>
      </c>
    </row>
    <row r="155" spans="1:8" x14ac:dyDescent="0.25">
      <c r="A155" s="2"/>
      <c r="B155" s="104"/>
      <c r="C155" s="120"/>
      <c r="D155" s="114" t="s">
        <v>15</v>
      </c>
      <c r="E155" s="104" t="s">
        <v>863</v>
      </c>
      <c r="F155" s="105">
        <v>42734</v>
      </c>
      <c r="G155" s="106" t="s">
        <v>1845</v>
      </c>
      <c r="H155" s="96">
        <v>3465456</v>
      </c>
    </row>
    <row r="156" spans="1:8" x14ac:dyDescent="0.25">
      <c r="A156" s="2"/>
      <c r="B156" s="104"/>
      <c r="C156" s="120"/>
      <c r="D156" s="114" t="s">
        <v>214</v>
      </c>
      <c r="E156" s="104" t="s">
        <v>863</v>
      </c>
      <c r="F156" s="105">
        <v>42734</v>
      </c>
      <c r="G156" s="106" t="s">
        <v>1846</v>
      </c>
      <c r="H156" s="96">
        <v>6956930.2699999996</v>
      </c>
    </row>
    <row r="157" spans="1:8" x14ac:dyDescent="0.25">
      <c r="A157" s="2"/>
      <c r="B157" s="104"/>
      <c r="C157" s="120"/>
      <c r="D157" s="114" t="s">
        <v>218</v>
      </c>
      <c r="E157" s="104" t="s">
        <v>863</v>
      </c>
      <c r="F157" s="105">
        <v>42762</v>
      </c>
      <c r="G157" s="106" t="s">
        <v>1953</v>
      </c>
      <c r="H157" s="96">
        <v>10581231.1</v>
      </c>
    </row>
    <row r="158" spans="1:8" x14ac:dyDescent="0.25">
      <c r="A158" s="2"/>
      <c r="B158" s="104"/>
      <c r="C158" s="120"/>
      <c r="D158" s="114" t="s">
        <v>220</v>
      </c>
      <c r="E158" s="104" t="s">
        <v>866</v>
      </c>
      <c r="F158" s="105">
        <v>42801</v>
      </c>
      <c r="G158" s="106" t="s">
        <v>2386</v>
      </c>
      <c r="H158" s="96">
        <v>7461832.46</v>
      </c>
    </row>
    <row r="159" spans="1:8" x14ac:dyDescent="0.25">
      <c r="A159" s="104" t="s">
        <v>1376</v>
      </c>
      <c r="H159" s="96">
        <v>54533888.039999999</v>
      </c>
    </row>
    <row r="160" spans="1:8" x14ac:dyDescent="0.25">
      <c r="A160" s="104"/>
      <c r="H160" s="96"/>
    </row>
    <row r="161" spans="1:8" x14ac:dyDescent="0.25">
      <c r="A161" s="104" t="s">
        <v>554</v>
      </c>
      <c r="H161" s="96"/>
    </row>
    <row r="162" spans="1:8" ht="60" x14ac:dyDescent="0.25">
      <c r="A162" s="107" t="s">
        <v>853</v>
      </c>
      <c r="B162" s="107"/>
      <c r="C162" s="107"/>
      <c r="D162" s="107"/>
      <c r="E162" s="107"/>
      <c r="F162" s="107"/>
      <c r="G162" s="107"/>
      <c r="H162" s="96"/>
    </row>
    <row r="163" spans="1:8" x14ac:dyDescent="0.25">
      <c r="A163" s="115" t="s">
        <v>854</v>
      </c>
      <c r="B163" s="104" t="s">
        <v>1040</v>
      </c>
      <c r="C163" s="120">
        <v>0.93</v>
      </c>
      <c r="D163" s="104" t="s">
        <v>2484</v>
      </c>
      <c r="H163" s="96"/>
    </row>
    <row r="164" spans="1:8" x14ac:dyDescent="0.25">
      <c r="A164" s="2"/>
      <c r="B164" s="104"/>
      <c r="C164" s="120"/>
      <c r="D164" s="114" t="s">
        <v>23</v>
      </c>
      <c r="E164" s="104" t="s">
        <v>863</v>
      </c>
      <c r="F164" s="105">
        <v>42502</v>
      </c>
      <c r="G164" s="106"/>
      <c r="H164" s="96">
        <v>33872852.469999999</v>
      </c>
    </row>
    <row r="165" spans="1:8" x14ac:dyDescent="0.25">
      <c r="A165" s="2"/>
      <c r="B165" s="104"/>
      <c r="C165" s="120"/>
      <c r="D165" s="114" t="s">
        <v>103</v>
      </c>
      <c r="E165" s="104" t="s">
        <v>863</v>
      </c>
      <c r="F165" s="105">
        <v>42685</v>
      </c>
      <c r="G165" s="106" t="s">
        <v>1041</v>
      </c>
      <c r="H165" s="96">
        <v>9068283.2300000004</v>
      </c>
    </row>
    <row r="166" spans="1:8" x14ac:dyDescent="0.25">
      <c r="A166" s="2"/>
      <c r="B166" s="104"/>
      <c r="C166" s="120"/>
      <c r="D166" s="114" t="s">
        <v>221</v>
      </c>
      <c r="E166" s="104" t="s">
        <v>863</v>
      </c>
      <c r="F166" s="105">
        <v>42720</v>
      </c>
      <c r="G166" s="106" t="s">
        <v>1042</v>
      </c>
      <c r="H166" s="96">
        <v>9644216.4399999995</v>
      </c>
    </row>
    <row r="167" spans="1:8" x14ac:dyDescent="0.25">
      <c r="A167" s="2"/>
      <c r="B167" s="104"/>
      <c r="C167" s="120"/>
      <c r="D167" s="114" t="s">
        <v>55</v>
      </c>
      <c r="E167" s="104" t="s">
        <v>863</v>
      </c>
      <c r="F167" s="105">
        <v>42755</v>
      </c>
      <c r="G167" s="106" t="s">
        <v>1827</v>
      </c>
      <c r="H167" s="96">
        <v>6295758.9699999997</v>
      </c>
    </row>
    <row r="168" spans="1:8" x14ac:dyDescent="0.25">
      <c r="A168" s="2"/>
      <c r="B168" s="104"/>
      <c r="C168" s="120"/>
      <c r="D168" s="114" t="s">
        <v>215</v>
      </c>
      <c r="E168" s="104" t="s">
        <v>863</v>
      </c>
      <c r="F168" s="105">
        <v>42755</v>
      </c>
      <c r="G168" s="106" t="s">
        <v>1847</v>
      </c>
      <c r="H168" s="96">
        <v>8939336.3699999992</v>
      </c>
    </row>
    <row r="169" spans="1:8" x14ac:dyDescent="0.25">
      <c r="A169" s="2"/>
      <c r="B169" s="104"/>
      <c r="C169" s="120"/>
      <c r="D169" s="114" t="s">
        <v>15</v>
      </c>
      <c r="E169" s="104" t="s">
        <v>863</v>
      </c>
      <c r="F169" s="105">
        <v>42729</v>
      </c>
      <c r="G169" s="106" t="s">
        <v>1334</v>
      </c>
      <c r="H169" s="96">
        <v>9581010.0899999999</v>
      </c>
    </row>
    <row r="170" spans="1:8" x14ac:dyDescent="0.25">
      <c r="A170" s="2"/>
      <c r="B170" s="104"/>
      <c r="C170" s="120"/>
      <c r="D170" s="114" t="s">
        <v>214</v>
      </c>
      <c r="E170" s="104" t="s">
        <v>863</v>
      </c>
      <c r="F170" s="105">
        <v>42762</v>
      </c>
      <c r="G170" s="106" t="s">
        <v>1954</v>
      </c>
      <c r="H170" s="96">
        <v>16893869.350000001</v>
      </c>
    </row>
    <row r="171" spans="1:8" x14ac:dyDescent="0.25">
      <c r="A171" s="2"/>
      <c r="B171" s="104"/>
      <c r="C171" s="120"/>
      <c r="D171" s="114" t="s">
        <v>218</v>
      </c>
      <c r="E171" s="104" t="s">
        <v>863</v>
      </c>
      <c r="F171" s="105">
        <v>42803</v>
      </c>
      <c r="G171" s="106" t="s">
        <v>2092</v>
      </c>
      <c r="H171" s="96">
        <v>5644173.4299999997</v>
      </c>
    </row>
    <row r="172" spans="1:8" x14ac:dyDescent="0.25">
      <c r="A172" s="2"/>
      <c r="B172" s="104"/>
      <c r="C172" s="120"/>
      <c r="D172" s="114" t="s">
        <v>220</v>
      </c>
      <c r="E172" s="104" t="s">
        <v>865</v>
      </c>
      <c r="F172" s="105">
        <v>42810</v>
      </c>
      <c r="G172" s="106" t="s">
        <v>2485</v>
      </c>
      <c r="H172" s="96">
        <v>7084067.04</v>
      </c>
    </row>
    <row r="173" spans="1:8" x14ac:dyDescent="0.25">
      <c r="A173" s="104" t="s">
        <v>1043</v>
      </c>
      <c r="H173" s="96">
        <v>107023567.39</v>
      </c>
    </row>
    <row r="174" spans="1:8" x14ac:dyDescent="0.25">
      <c r="A174" s="104"/>
      <c r="H174" s="96"/>
    </row>
    <row r="175" spans="1:8" x14ac:dyDescent="0.25">
      <c r="A175" s="104" t="s">
        <v>586</v>
      </c>
      <c r="H175" s="96"/>
    </row>
    <row r="176" spans="1:8" ht="30" x14ac:dyDescent="0.25">
      <c r="A176" s="107" t="s">
        <v>585</v>
      </c>
      <c r="B176" s="107"/>
      <c r="C176" s="107"/>
      <c r="D176" s="107"/>
      <c r="E176" s="107"/>
      <c r="F176" s="107"/>
      <c r="G176" s="107"/>
      <c r="H176" s="96"/>
    </row>
    <row r="177" spans="1:8" x14ac:dyDescent="0.25">
      <c r="A177" s="115" t="s">
        <v>587</v>
      </c>
      <c r="B177" s="104" t="s">
        <v>1377</v>
      </c>
      <c r="C177" s="120">
        <v>0.74</v>
      </c>
      <c r="D177" s="104" t="s">
        <v>1378</v>
      </c>
      <c r="H177" s="96"/>
    </row>
    <row r="178" spans="1:8" x14ac:dyDescent="0.25">
      <c r="A178" s="2"/>
      <c r="B178" s="104"/>
      <c r="C178" s="120"/>
      <c r="D178" s="114" t="s">
        <v>23</v>
      </c>
      <c r="E178" s="104" t="s">
        <v>863</v>
      </c>
      <c r="F178" s="105">
        <v>42510</v>
      </c>
      <c r="G178" s="106"/>
      <c r="H178" s="96">
        <v>23670656.440000001</v>
      </c>
    </row>
    <row r="179" spans="1:8" x14ac:dyDescent="0.25">
      <c r="A179" s="2"/>
      <c r="B179" s="104"/>
      <c r="C179" s="120"/>
      <c r="D179" s="114" t="s">
        <v>103</v>
      </c>
      <c r="E179" s="104" t="s">
        <v>863</v>
      </c>
      <c r="F179" s="105">
        <v>42593</v>
      </c>
      <c r="G179" s="106" t="s">
        <v>1379</v>
      </c>
      <c r="H179" s="96">
        <v>5813653.0899999999</v>
      </c>
    </row>
    <row r="180" spans="1:8" x14ac:dyDescent="0.25">
      <c r="A180" s="2"/>
      <c r="B180" s="104"/>
      <c r="C180" s="120"/>
      <c r="D180" s="114" t="s">
        <v>221</v>
      </c>
      <c r="E180" s="104" t="s">
        <v>863</v>
      </c>
      <c r="F180" s="105">
        <v>42593</v>
      </c>
      <c r="G180" s="106" t="s">
        <v>1380</v>
      </c>
      <c r="H180" s="96">
        <v>7532256.5899999999</v>
      </c>
    </row>
    <row r="181" spans="1:8" x14ac:dyDescent="0.25">
      <c r="A181" s="2"/>
      <c r="B181" s="104"/>
      <c r="C181" s="120"/>
      <c r="D181" s="114" t="s">
        <v>55</v>
      </c>
      <c r="E181" s="104" t="s">
        <v>863</v>
      </c>
      <c r="F181" s="105">
        <v>42632</v>
      </c>
      <c r="G181" s="106" t="s">
        <v>1381</v>
      </c>
      <c r="H181" s="96">
        <v>9351266.3499999996</v>
      </c>
    </row>
    <row r="182" spans="1:8" x14ac:dyDescent="0.25">
      <c r="A182" s="2"/>
      <c r="B182" s="104"/>
      <c r="C182" s="120"/>
      <c r="D182" s="114" t="s">
        <v>215</v>
      </c>
      <c r="E182" s="104" t="s">
        <v>863</v>
      </c>
      <c r="F182" s="105">
        <v>42632</v>
      </c>
      <c r="G182" s="106" t="s">
        <v>1382</v>
      </c>
      <c r="H182" s="96">
        <v>2797468.43</v>
      </c>
    </row>
    <row r="183" spans="1:8" x14ac:dyDescent="0.25">
      <c r="A183" s="2"/>
      <c r="B183" s="104"/>
      <c r="C183" s="120"/>
      <c r="D183" s="114" t="s">
        <v>15</v>
      </c>
      <c r="E183" s="104" t="s">
        <v>863</v>
      </c>
      <c r="F183" s="105">
        <v>42671</v>
      </c>
      <c r="G183" s="106" t="s">
        <v>1383</v>
      </c>
      <c r="H183" s="96">
        <v>9105258.5600000005</v>
      </c>
    </row>
    <row r="184" spans="1:8" x14ac:dyDescent="0.25">
      <c r="A184" s="104" t="s">
        <v>1384</v>
      </c>
      <c r="H184" s="96">
        <v>58270559.460000001</v>
      </c>
    </row>
    <row r="185" spans="1:8" x14ac:dyDescent="0.25">
      <c r="A185" s="104"/>
      <c r="H185" s="96"/>
    </row>
    <row r="186" spans="1:8" x14ac:dyDescent="0.25">
      <c r="A186" s="104" t="s">
        <v>590</v>
      </c>
      <c r="H186" s="96"/>
    </row>
    <row r="187" spans="1:8" ht="60" x14ac:dyDescent="0.25">
      <c r="A187" s="107" t="s">
        <v>589</v>
      </c>
      <c r="B187" s="107"/>
      <c r="C187" s="107"/>
      <c r="D187" s="107"/>
      <c r="E187" s="107"/>
      <c r="F187" s="107"/>
      <c r="G187" s="107"/>
      <c r="H187" s="96"/>
    </row>
    <row r="188" spans="1:8" x14ac:dyDescent="0.25">
      <c r="A188" s="115" t="s">
        <v>351</v>
      </c>
      <c r="B188" s="104" t="s">
        <v>1044</v>
      </c>
      <c r="C188" s="120">
        <v>0.9</v>
      </c>
      <c r="D188" s="104" t="s">
        <v>2093</v>
      </c>
      <c r="H188" s="96"/>
    </row>
    <row r="189" spans="1:8" x14ac:dyDescent="0.25">
      <c r="A189" s="2"/>
      <c r="B189" s="104"/>
      <c r="C189" s="120"/>
      <c r="D189" s="114" t="s">
        <v>23</v>
      </c>
      <c r="E189" s="104" t="s">
        <v>863</v>
      </c>
      <c r="F189" s="105">
        <v>42510</v>
      </c>
      <c r="G189" s="106"/>
      <c r="H189" s="96">
        <v>10142948.15</v>
      </c>
    </row>
    <row r="190" spans="1:8" x14ac:dyDescent="0.25">
      <c r="A190" s="2"/>
      <c r="B190" s="104"/>
      <c r="C190" s="120"/>
      <c r="D190" s="114" t="s">
        <v>103</v>
      </c>
      <c r="E190" s="104" t="s">
        <v>863</v>
      </c>
      <c r="F190" s="105">
        <v>42643</v>
      </c>
      <c r="G190" s="106" t="s">
        <v>1385</v>
      </c>
      <c r="H190" s="96">
        <v>3489094.88</v>
      </c>
    </row>
    <row r="191" spans="1:8" x14ac:dyDescent="0.25">
      <c r="A191" s="2"/>
      <c r="B191" s="104"/>
      <c r="C191" s="120"/>
      <c r="D191" s="114" t="s">
        <v>221</v>
      </c>
      <c r="E191" s="104" t="s">
        <v>863</v>
      </c>
      <c r="F191" s="105">
        <v>42720</v>
      </c>
      <c r="G191" s="106" t="s">
        <v>1045</v>
      </c>
      <c r="H191" s="96">
        <v>6990408.2000000002</v>
      </c>
    </row>
    <row r="192" spans="1:8" x14ac:dyDescent="0.25">
      <c r="A192" s="2"/>
      <c r="B192" s="104"/>
      <c r="C192" s="120"/>
      <c r="D192" s="114" t="s">
        <v>55</v>
      </c>
      <c r="E192" s="104" t="s">
        <v>863</v>
      </c>
      <c r="F192" s="105">
        <v>42769</v>
      </c>
      <c r="G192" s="106" t="s">
        <v>1955</v>
      </c>
      <c r="H192" s="96">
        <v>6776234.3099999996</v>
      </c>
    </row>
    <row r="193" spans="1:8" x14ac:dyDescent="0.25">
      <c r="A193" s="2"/>
      <c r="B193" s="104"/>
      <c r="C193" s="120"/>
      <c r="D193" s="114" t="s">
        <v>215</v>
      </c>
      <c r="E193" s="104" t="s">
        <v>863</v>
      </c>
      <c r="F193" s="105">
        <v>42762</v>
      </c>
      <c r="G193" s="106" t="s">
        <v>1541</v>
      </c>
      <c r="H193" s="96">
        <v>3882047.27</v>
      </c>
    </row>
    <row r="194" spans="1:8" x14ac:dyDescent="0.25">
      <c r="A194" s="104" t="s">
        <v>1046</v>
      </c>
      <c r="H194" s="96">
        <v>31280732.809999999</v>
      </c>
    </row>
    <row r="195" spans="1:8" x14ac:dyDescent="0.25">
      <c r="A195" s="104"/>
      <c r="H195" s="96"/>
    </row>
    <row r="196" spans="1:8" x14ac:dyDescent="0.25">
      <c r="A196" s="104" t="s">
        <v>566</v>
      </c>
      <c r="H196" s="96"/>
    </row>
    <row r="197" spans="1:8" ht="60" x14ac:dyDescent="0.25">
      <c r="A197" s="107" t="s">
        <v>720</v>
      </c>
      <c r="B197" s="107"/>
      <c r="C197" s="107"/>
      <c r="D197" s="107"/>
      <c r="E197" s="107"/>
      <c r="F197" s="107"/>
      <c r="G197" s="107"/>
      <c r="H197" s="96"/>
    </row>
    <row r="198" spans="1:8" x14ac:dyDescent="0.25">
      <c r="A198" s="115" t="s">
        <v>721</v>
      </c>
      <c r="B198" s="104" t="s">
        <v>1386</v>
      </c>
      <c r="C198" s="120">
        <v>0.97</v>
      </c>
      <c r="D198" s="104" t="s">
        <v>1886</v>
      </c>
      <c r="H198" s="96"/>
    </row>
    <row r="199" spans="1:8" x14ac:dyDescent="0.25">
      <c r="A199" s="2"/>
      <c r="B199" s="104"/>
      <c r="C199" s="120"/>
      <c r="D199" s="114" t="s">
        <v>23</v>
      </c>
      <c r="E199" s="104" t="s">
        <v>863</v>
      </c>
      <c r="F199" s="105">
        <v>42515</v>
      </c>
      <c r="G199" s="106"/>
      <c r="H199" s="96">
        <v>6404819.3600000003</v>
      </c>
    </row>
    <row r="200" spans="1:8" x14ac:dyDescent="0.25">
      <c r="A200" s="2"/>
      <c r="B200" s="104"/>
      <c r="C200" s="120"/>
      <c r="D200" s="114" t="s">
        <v>103</v>
      </c>
      <c r="E200" s="104" t="s">
        <v>863</v>
      </c>
      <c r="F200" s="105">
        <v>42632</v>
      </c>
      <c r="G200" s="106" t="s">
        <v>1387</v>
      </c>
      <c r="H200" s="96">
        <v>2215058.19</v>
      </c>
    </row>
    <row r="201" spans="1:8" x14ac:dyDescent="0.25">
      <c r="A201" s="2"/>
      <c r="B201" s="104"/>
      <c r="C201" s="120"/>
      <c r="D201" s="114" t="s">
        <v>221</v>
      </c>
      <c r="E201" s="104" t="s">
        <v>863</v>
      </c>
      <c r="F201" s="105">
        <v>42635</v>
      </c>
      <c r="G201" s="106" t="s">
        <v>1388</v>
      </c>
      <c r="H201" s="96">
        <v>2112624.52</v>
      </c>
    </row>
    <row r="202" spans="1:8" x14ac:dyDescent="0.25">
      <c r="A202" s="2"/>
      <c r="B202" s="104"/>
      <c r="C202" s="120"/>
      <c r="D202" s="114" t="s">
        <v>55</v>
      </c>
      <c r="E202" s="104" t="s">
        <v>863</v>
      </c>
      <c r="F202" s="105">
        <v>42643</v>
      </c>
      <c r="G202" s="106" t="s">
        <v>1389</v>
      </c>
      <c r="H202" s="96">
        <v>1768875.23</v>
      </c>
    </row>
    <row r="203" spans="1:8" x14ac:dyDescent="0.25">
      <c r="A203" s="2"/>
      <c r="B203" s="104"/>
      <c r="C203" s="120"/>
      <c r="D203" s="114" t="s">
        <v>215</v>
      </c>
      <c r="E203" s="104" t="s">
        <v>863</v>
      </c>
      <c r="F203" s="105">
        <v>42712</v>
      </c>
      <c r="G203" s="106" t="s">
        <v>1390</v>
      </c>
      <c r="H203" s="96">
        <v>7261201.5700000003</v>
      </c>
    </row>
    <row r="204" spans="1:8" x14ac:dyDescent="0.25">
      <c r="A204" s="2"/>
      <c r="B204" s="104"/>
      <c r="C204" s="120"/>
      <c r="D204" s="114" t="s">
        <v>15</v>
      </c>
      <c r="E204" s="104" t="s">
        <v>863</v>
      </c>
      <c r="F204" s="105">
        <v>42780</v>
      </c>
      <c r="G204" s="106" t="s">
        <v>1181</v>
      </c>
      <c r="H204" s="96">
        <v>791810.66</v>
      </c>
    </row>
    <row r="205" spans="1:8" x14ac:dyDescent="0.25">
      <c r="A205" s="104" t="s">
        <v>1391</v>
      </c>
      <c r="H205" s="96">
        <v>20554389.530000001</v>
      </c>
    </row>
    <row r="206" spans="1:8" x14ac:dyDescent="0.25">
      <c r="A206" s="104"/>
      <c r="H206" s="96"/>
    </row>
    <row r="207" spans="1:8" x14ac:dyDescent="0.25">
      <c r="A207" s="104" t="s">
        <v>574</v>
      </c>
      <c r="H207" s="96"/>
    </row>
    <row r="208" spans="1:8" ht="75" x14ac:dyDescent="0.25">
      <c r="A208" s="107" t="s">
        <v>727</v>
      </c>
      <c r="B208" s="107"/>
      <c r="C208" s="107"/>
      <c r="D208" s="107"/>
      <c r="E208" s="107"/>
      <c r="F208" s="107"/>
      <c r="G208" s="107"/>
      <c r="H208" s="96"/>
    </row>
    <row r="209" spans="1:8" x14ac:dyDescent="0.25">
      <c r="A209" s="115" t="s">
        <v>575</v>
      </c>
      <c r="B209" s="104" t="s">
        <v>1392</v>
      </c>
      <c r="C209" s="120">
        <v>1</v>
      </c>
      <c r="D209" s="104" t="s">
        <v>1887</v>
      </c>
      <c r="H209" s="96"/>
    </row>
    <row r="210" spans="1:8" x14ac:dyDescent="0.25">
      <c r="A210" s="2"/>
      <c r="B210" s="104"/>
      <c r="C210" s="120"/>
      <c r="D210" s="114" t="s">
        <v>23</v>
      </c>
      <c r="E210" s="104" t="s">
        <v>863</v>
      </c>
      <c r="F210" s="105">
        <v>42510</v>
      </c>
      <c r="G210" s="106"/>
      <c r="H210" s="96">
        <v>3539994.42</v>
      </c>
    </row>
    <row r="211" spans="1:8" x14ac:dyDescent="0.25">
      <c r="A211" s="2"/>
      <c r="B211" s="104"/>
      <c r="C211" s="120"/>
      <c r="D211" s="114" t="s">
        <v>103</v>
      </c>
      <c r="E211" s="104" t="s">
        <v>863</v>
      </c>
      <c r="F211" s="105">
        <v>42632</v>
      </c>
      <c r="G211" s="106" t="s">
        <v>1393</v>
      </c>
      <c r="H211" s="96">
        <v>380728.64</v>
      </c>
    </row>
    <row r="212" spans="1:8" x14ac:dyDescent="0.25">
      <c r="A212" s="2"/>
      <c r="B212" s="104"/>
      <c r="C212" s="120"/>
      <c r="D212" s="114" t="s">
        <v>221</v>
      </c>
      <c r="E212" s="104" t="s">
        <v>863</v>
      </c>
      <c r="F212" s="105">
        <v>42635</v>
      </c>
      <c r="G212" s="106" t="s">
        <v>1394</v>
      </c>
      <c r="H212" s="96">
        <v>3244804.98</v>
      </c>
    </row>
    <row r="213" spans="1:8" x14ac:dyDescent="0.25">
      <c r="A213" s="2"/>
      <c r="B213" s="104"/>
      <c r="C213" s="120"/>
      <c r="D213" s="114" t="s">
        <v>55</v>
      </c>
      <c r="E213" s="104" t="s">
        <v>863</v>
      </c>
      <c r="F213" s="105">
        <v>42725</v>
      </c>
      <c r="G213" s="106" t="s">
        <v>1560</v>
      </c>
      <c r="H213" s="96">
        <v>2508235.9</v>
      </c>
    </row>
    <row r="214" spans="1:8" x14ac:dyDescent="0.25">
      <c r="A214" s="2"/>
      <c r="B214" s="104"/>
      <c r="C214" s="120"/>
      <c r="D214" s="114" t="s">
        <v>215</v>
      </c>
      <c r="E214" s="104" t="s">
        <v>863</v>
      </c>
      <c r="F214" s="105">
        <v>42762</v>
      </c>
      <c r="G214" s="106" t="s">
        <v>1888</v>
      </c>
      <c r="H214" s="96">
        <v>1688283.72</v>
      </c>
    </row>
    <row r="215" spans="1:8" x14ac:dyDescent="0.25">
      <c r="A215" s="2"/>
      <c r="B215" s="104"/>
      <c r="C215" s="120"/>
      <c r="D215" s="114" t="s">
        <v>15</v>
      </c>
      <c r="E215" s="104" t="s">
        <v>866</v>
      </c>
      <c r="F215" s="105">
        <v>42811</v>
      </c>
      <c r="G215" s="106" t="s">
        <v>1889</v>
      </c>
      <c r="H215" s="96">
        <v>349958.92</v>
      </c>
    </row>
    <row r="216" spans="1:8" x14ac:dyDescent="0.25">
      <c r="A216" s="104" t="s">
        <v>1395</v>
      </c>
      <c r="H216" s="96">
        <v>11712006.58</v>
      </c>
    </row>
    <row r="217" spans="1:8" x14ac:dyDescent="0.25">
      <c r="A217" s="104"/>
      <c r="H217" s="96"/>
    </row>
    <row r="218" spans="1:8" x14ac:dyDescent="0.25">
      <c r="A218" s="104" t="s">
        <v>550</v>
      </c>
      <c r="H218" s="96"/>
    </row>
    <row r="219" spans="1:8" ht="60" x14ac:dyDescent="0.25">
      <c r="A219" s="107" t="s">
        <v>744</v>
      </c>
      <c r="B219" s="107"/>
      <c r="C219" s="107"/>
      <c r="D219" s="107"/>
      <c r="E219" s="107"/>
      <c r="F219" s="107"/>
      <c r="G219" s="107"/>
      <c r="H219" s="96"/>
    </row>
    <row r="220" spans="1:8" x14ac:dyDescent="0.25">
      <c r="A220" s="115" t="s">
        <v>745</v>
      </c>
      <c r="B220" s="104" t="s">
        <v>1396</v>
      </c>
      <c r="C220" s="120">
        <v>0.6</v>
      </c>
      <c r="D220" s="104" t="s">
        <v>2094</v>
      </c>
      <c r="H220" s="96"/>
    </row>
    <row r="221" spans="1:8" x14ac:dyDescent="0.25">
      <c r="A221" s="2"/>
      <c r="B221" s="104"/>
      <c r="C221" s="120"/>
      <c r="D221" s="114" t="s">
        <v>23</v>
      </c>
      <c r="E221" s="104" t="s">
        <v>863</v>
      </c>
      <c r="F221" s="105">
        <v>42510</v>
      </c>
      <c r="G221" s="106"/>
      <c r="H221" s="96">
        <v>4469662.76</v>
      </c>
    </row>
    <row r="222" spans="1:8" x14ac:dyDescent="0.25">
      <c r="A222" s="2"/>
      <c r="B222" s="104"/>
      <c r="C222" s="120"/>
      <c r="D222" s="114" t="s">
        <v>103</v>
      </c>
      <c r="E222" s="104" t="s">
        <v>863</v>
      </c>
      <c r="F222" s="105">
        <v>42643</v>
      </c>
      <c r="G222" s="106" t="s">
        <v>1397</v>
      </c>
      <c r="H222" s="96">
        <v>443352.51</v>
      </c>
    </row>
    <row r="223" spans="1:8" x14ac:dyDescent="0.25">
      <c r="A223" s="2"/>
      <c r="B223" s="104"/>
      <c r="C223" s="120"/>
      <c r="D223" s="114" t="s">
        <v>221</v>
      </c>
      <c r="E223" s="104" t="s">
        <v>863</v>
      </c>
      <c r="F223" s="105">
        <v>42671</v>
      </c>
      <c r="G223" s="106" t="s">
        <v>1180</v>
      </c>
      <c r="H223" s="96">
        <v>1265681.76</v>
      </c>
    </row>
    <row r="224" spans="1:8" x14ac:dyDescent="0.25">
      <c r="A224" s="2"/>
      <c r="B224" s="104"/>
      <c r="C224" s="120"/>
      <c r="D224" s="114" t="s">
        <v>55</v>
      </c>
      <c r="E224" s="104" t="s">
        <v>863</v>
      </c>
      <c r="F224" s="105">
        <v>42762</v>
      </c>
      <c r="G224" s="106" t="s">
        <v>1890</v>
      </c>
      <c r="H224" s="96">
        <v>761398.31</v>
      </c>
    </row>
    <row r="225" spans="1:8" x14ac:dyDescent="0.25">
      <c r="A225" s="2"/>
      <c r="B225" s="104"/>
      <c r="C225" s="120"/>
      <c r="D225" s="114" t="s">
        <v>215</v>
      </c>
      <c r="E225" s="104" t="s">
        <v>863</v>
      </c>
      <c r="F225" s="105">
        <v>42762</v>
      </c>
      <c r="G225" s="106" t="s">
        <v>1956</v>
      </c>
      <c r="H225" s="96">
        <v>2195392.94</v>
      </c>
    </row>
    <row r="226" spans="1:8" x14ac:dyDescent="0.25">
      <c r="A226" s="2"/>
      <c r="B226" s="104"/>
      <c r="C226" s="120"/>
      <c r="D226" s="114" t="s">
        <v>15</v>
      </c>
      <c r="E226" s="104" t="s">
        <v>863</v>
      </c>
      <c r="F226" s="105">
        <v>42780</v>
      </c>
      <c r="G226" s="106" t="s">
        <v>1499</v>
      </c>
      <c r="H226" s="96">
        <v>1576649.18</v>
      </c>
    </row>
    <row r="227" spans="1:8" x14ac:dyDescent="0.25">
      <c r="A227" s="104" t="s">
        <v>1398</v>
      </c>
      <c r="H227" s="96">
        <v>10712137.460000001</v>
      </c>
    </row>
    <row r="228" spans="1:8" x14ac:dyDescent="0.25">
      <c r="A228" s="104"/>
      <c r="H228" s="96"/>
    </row>
    <row r="229" spans="1:8" x14ac:dyDescent="0.25">
      <c r="A229" s="104" t="s">
        <v>562</v>
      </c>
      <c r="H229" s="96"/>
    </row>
    <row r="230" spans="1:8" ht="30" x14ac:dyDescent="0.25">
      <c r="A230" s="107" t="s">
        <v>737</v>
      </c>
      <c r="B230" s="107"/>
      <c r="C230" s="107"/>
      <c r="D230" s="107"/>
      <c r="E230" s="107"/>
      <c r="F230" s="107"/>
      <c r="G230" s="107"/>
      <c r="H230" s="96"/>
    </row>
    <row r="231" spans="1:8" x14ac:dyDescent="0.25">
      <c r="A231" s="115" t="s">
        <v>738</v>
      </c>
      <c r="B231" s="104" t="s">
        <v>1047</v>
      </c>
      <c r="C231" s="120">
        <v>0.94</v>
      </c>
      <c r="D231" s="104" t="s">
        <v>1957</v>
      </c>
      <c r="H231" s="96"/>
    </row>
    <row r="232" spans="1:8" x14ac:dyDescent="0.25">
      <c r="A232" s="2"/>
      <c r="B232" s="104"/>
      <c r="C232" s="120"/>
      <c r="D232" s="114" t="s">
        <v>23</v>
      </c>
      <c r="E232" s="104" t="s">
        <v>863</v>
      </c>
      <c r="F232" s="105">
        <v>42510</v>
      </c>
      <c r="G232" s="106"/>
      <c r="H232" s="96">
        <v>12114020.26</v>
      </c>
    </row>
    <row r="233" spans="1:8" x14ac:dyDescent="0.25">
      <c r="A233" s="2"/>
      <c r="B233" s="104"/>
      <c r="C233" s="120"/>
      <c r="D233" s="114" t="s">
        <v>103</v>
      </c>
      <c r="E233" s="104" t="s">
        <v>863</v>
      </c>
      <c r="F233" s="105">
        <v>42632</v>
      </c>
      <c r="G233" s="106" t="s">
        <v>1399</v>
      </c>
      <c r="H233" s="96">
        <v>143756.32999999999</v>
      </c>
    </row>
    <row r="234" spans="1:8" x14ac:dyDescent="0.25">
      <c r="A234" s="2"/>
      <c r="B234" s="104"/>
      <c r="C234" s="120"/>
      <c r="D234" s="114" t="s">
        <v>221</v>
      </c>
      <c r="E234" s="104" t="s">
        <v>863</v>
      </c>
      <c r="F234" s="105">
        <v>42633</v>
      </c>
      <c r="G234" s="106" t="s">
        <v>1400</v>
      </c>
      <c r="H234" s="96">
        <v>7186239.6699999999</v>
      </c>
    </row>
    <row r="235" spans="1:8" x14ac:dyDescent="0.25">
      <c r="A235" s="2"/>
      <c r="B235" s="104"/>
      <c r="C235" s="120"/>
      <c r="D235" s="114" t="s">
        <v>55</v>
      </c>
      <c r="E235" s="104" t="s">
        <v>863</v>
      </c>
      <c r="F235" s="105">
        <v>42643</v>
      </c>
      <c r="G235" s="106" t="s">
        <v>1401</v>
      </c>
      <c r="H235" s="96">
        <v>9320622.75</v>
      </c>
    </row>
    <row r="236" spans="1:8" x14ac:dyDescent="0.25">
      <c r="A236" s="2"/>
      <c r="B236" s="104"/>
      <c r="C236" s="120"/>
      <c r="D236" s="114" t="s">
        <v>215</v>
      </c>
      <c r="E236" s="104" t="s">
        <v>863</v>
      </c>
      <c r="F236" s="105">
        <v>42712</v>
      </c>
      <c r="G236" s="106" t="s">
        <v>1049</v>
      </c>
      <c r="H236" s="96">
        <v>1094236.28</v>
      </c>
    </row>
    <row r="237" spans="1:8" x14ac:dyDescent="0.25">
      <c r="A237" s="2"/>
      <c r="B237" s="104"/>
      <c r="C237" s="120"/>
      <c r="D237" s="114" t="s">
        <v>15</v>
      </c>
      <c r="E237" s="104" t="s">
        <v>863</v>
      </c>
      <c r="F237" s="105">
        <v>42712</v>
      </c>
      <c r="G237" s="106" t="s">
        <v>1048</v>
      </c>
      <c r="H237" s="96">
        <v>6582193</v>
      </c>
    </row>
    <row r="238" spans="1:8" x14ac:dyDescent="0.25">
      <c r="A238" s="2"/>
      <c r="B238" s="104"/>
      <c r="C238" s="120"/>
      <c r="D238" s="114" t="s">
        <v>214</v>
      </c>
      <c r="E238" s="104" t="s">
        <v>863</v>
      </c>
      <c r="F238" s="105">
        <v>42762</v>
      </c>
      <c r="G238" s="106" t="s">
        <v>1958</v>
      </c>
      <c r="H238" s="96">
        <v>1455517.84</v>
      </c>
    </row>
    <row r="239" spans="1:8" x14ac:dyDescent="0.25">
      <c r="A239" s="104" t="s">
        <v>1050</v>
      </c>
      <c r="H239" s="96">
        <v>37896586.130000003</v>
      </c>
    </row>
    <row r="240" spans="1:8" x14ac:dyDescent="0.25">
      <c r="A240" s="104"/>
      <c r="H240" s="96"/>
    </row>
    <row r="241" spans="1:8" x14ac:dyDescent="0.25">
      <c r="A241" s="104" t="s">
        <v>600</v>
      </c>
      <c r="H241" s="96"/>
    </row>
    <row r="242" spans="1:8" ht="30" x14ac:dyDescent="0.25">
      <c r="A242" s="107" t="s">
        <v>599</v>
      </c>
      <c r="B242" s="107"/>
      <c r="C242" s="107"/>
      <c r="D242" s="107"/>
      <c r="E242" s="107"/>
      <c r="F242" s="107"/>
      <c r="G242" s="107"/>
      <c r="H242" s="96"/>
    </row>
    <row r="243" spans="1:8" x14ac:dyDescent="0.25">
      <c r="A243" s="115" t="s">
        <v>229</v>
      </c>
      <c r="B243" s="104" t="s">
        <v>1051</v>
      </c>
      <c r="C243" s="120">
        <v>1</v>
      </c>
      <c r="D243" s="104" t="s">
        <v>1324</v>
      </c>
      <c r="H243" s="96"/>
    </row>
    <row r="244" spans="1:8" x14ac:dyDescent="0.25">
      <c r="A244" s="2"/>
      <c r="B244" s="104"/>
      <c r="C244" s="120"/>
      <c r="D244" s="114" t="s">
        <v>23</v>
      </c>
      <c r="E244" s="104" t="s">
        <v>863</v>
      </c>
      <c r="F244" s="105">
        <v>42510</v>
      </c>
      <c r="G244" s="106"/>
      <c r="H244" s="96">
        <v>7708291.1500000004</v>
      </c>
    </row>
    <row r="245" spans="1:8" x14ac:dyDescent="0.25">
      <c r="A245" s="2"/>
      <c r="B245" s="104"/>
      <c r="C245" s="120"/>
      <c r="D245" s="114" t="s">
        <v>103</v>
      </c>
      <c r="E245" s="104" t="s">
        <v>863</v>
      </c>
      <c r="F245" s="105">
        <v>42663</v>
      </c>
      <c r="G245" s="106" t="s">
        <v>1402</v>
      </c>
      <c r="H245" s="96">
        <v>3261222.24</v>
      </c>
    </row>
    <row r="246" spans="1:8" x14ac:dyDescent="0.25">
      <c r="A246" s="2"/>
      <c r="B246" s="104"/>
      <c r="C246" s="120"/>
      <c r="D246" s="114" t="s">
        <v>221</v>
      </c>
      <c r="E246" s="104" t="s">
        <v>863</v>
      </c>
      <c r="F246" s="105">
        <v>42690</v>
      </c>
      <c r="G246" s="106" t="s">
        <v>1561</v>
      </c>
      <c r="H246" s="96">
        <v>9064173.7799999993</v>
      </c>
    </row>
    <row r="247" spans="1:8" x14ac:dyDescent="0.25">
      <c r="A247" s="2"/>
      <c r="B247" s="104"/>
      <c r="C247" s="120"/>
      <c r="D247" s="114" t="s">
        <v>55</v>
      </c>
      <c r="E247" s="104" t="s">
        <v>863</v>
      </c>
      <c r="F247" s="105">
        <v>42762</v>
      </c>
      <c r="G247" s="106" t="s">
        <v>1848</v>
      </c>
      <c r="H247" s="96">
        <v>3426927.36</v>
      </c>
    </row>
    <row r="248" spans="1:8" x14ac:dyDescent="0.25">
      <c r="A248" s="2"/>
      <c r="B248" s="104"/>
      <c r="C248" s="120"/>
      <c r="D248" s="114" t="s">
        <v>215</v>
      </c>
      <c r="E248" s="104" t="s">
        <v>863</v>
      </c>
      <c r="F248" s="105">
        <v>42762</v>
      </c>
      <c r="G248" s="106" t="s">
        <v>2095</v>
      </c>
      <c r="H248" s="96">
        <v>1136329.07</v>
      </c>
    </row>
    <row r="249" spans="1:8" x14ac:dyDescent="0.25">
      <c r="A249" s="2"/>
      <c r="B249" s="104"/>
      <c r="C249" s="120"/>
      <c r="D249" s="114" t="s">
        <v>15</v>
      </c>
      <c r="E249" s="104" t="s">
        <v>863</v>
      </c>
      <c r="F249" s="105">
        <v>42780</v>
      </c>
      <c r="G249" s="106" t="s">
        <v>2096</v>
      </c>
      <c r="H249" s="96">
        <v>988824.02</v>
      </c>
    </row>
    <row r="250" spans="1:8" x14ac:dyDescent="0.25">
      <c r="A250" s="104" t="s">
        <v>1052</v>
      </c>
      <c r="H250" s="96">
        <v>25585767.620000001</v>
      </c>
    </row>
    <row r="251" spans="1:8" x14ac:dyDescent="0.25">
      <c r="A251" s="104"/>
      <c r="H251" s="96"/>
    </row>
    <row r="252" spans="1:8" x14ac:dyDescent="0.25">
      <c r="A252" s="104" t="s">
        <v>570</v>
      </c>
      <c r="H252" s="96"/>
    </row>
    <row r="253" spans="1:8" ht="30" x14ac:dyDescent="0.25">
      <c r="A253" s="107" t="s">
        <v>798</v>
      </c>
      <c r="B253" s="107"/>
      <c r="C253" s="107"/>
      <c r="D253" s="107"/>
      <c r="E253" s="107"/>
      <c r="F253" s="107"/>
      <c r="G253" s="107"/>
      <c r="H253" s="96"/>
    </row>
    <row r="254" spans="1:8" x14ac:dyDescent="0.25">
      <c r="A254" s="115" t="s">
        <v>571</v>
      </c>
      <c r="B254" s="104" t="s">
        <v>2184</v>
      </c>
      <c r="C254" s="120">
        <v>0.99</v>
      </c>
      <c r="D254" s="104" t="s">
        <v>2188</v>
      </c>
      <c r="H254" s="96"/>
    </row>
    <row r="255" spans="1:8" x14ac:dyDescent="0.25">
      <c r="A255" s="2"/>
      <c r="B255" s="104"/>
      <c r="C255" s="120"/>
      <c r="D255" s="114" t="s">
        <v>23</v>
      </c>
      <c r="E255" s="104" t="s">
        <v>863</v>
      </c>
      <c r="F255" s="105">
        <v>42510</v>
      </c>
      <c r="G255" s="106"/>
      <c r="H255" s="96">
        <v>6856974.6900000004</v>
      </c>
    </row>
    <row r="256" spans="1:8" x14ac:dyDescent="0.25">
      <c r="A256" s="2"/>
      <c r="B256" s="104"/>
      <c r="C256" s="120"/>
      <c r="D256" s="114" t="s">
        <v>103</v>
      </c>
      <c r="E256" s="104" t="s">
        <v>863</v>
      </c>
      <c r="F256" s="105">
        <v>42685</v>
      </c>
      <c r="G256" s="106" t="s">
        <v>2185</v>
      </c>
      <c r="H256" s="96">
        <v>5799112.3099999996</v>
      </c>
    </row>
    <row r="257" spans="1:8" x14ac:dyDescent="0.25">
      <c r="A257" s="2"/>
      <c r="B257" s="104"/>
      <c r="C257" s="120"/>
      <c r="D257" s="114" t="s">
        <v>221</v>
      </c>
      <c r="E257" s="104" t="s">
        <v>863</v>
      </c>
      <c r="F257" s="105">
        <v>42685</v>
      </c>
      <c r="G257" s="106" t="s">
        <v>1802</v>
      </c>
      <c r="H257" s="96">
        <v>4418076.21</v>
      </c>
    </row>
    <row r="258" spans="1:8" x14ac:dyDescent="0.25">
      <c r="A258" s="2"/>
      <c r="B258" s="104"/>
      <c r="C258" s="120"/>
      <c r="D258" s="114" t="s">
        <v>55</v>
      </c>
      <c r="E258" s="104" t="s">
        <v>863</v>
      </c>
      <c r="F258" s="105">
        <v>42755</v>
      </c>
      <c r="G258" s="106" t="s">
        <v>1942</v>
      </c>
      <c r="H258" s="96">
        <v>3420299.45</v>
      </c>
    </row>
    <row r="259" spans="1:8" x14ac:dyDescent="0.25">
      <c r="A259" s="2"/>
      <c r="B259" s="104"/>
      <c r="C259" s="120"/>
      <c r="D259" s="114" t="s">
        <v>215</v>
      </c>
      <c r="E259" s="104" t="s">
        <v>863</v>
      </c>
      <c r="F259" s="105">
        <v>42755</v>
      </c>
      <c r="G259" s="106" t="s">
        <v>2186</v>
      </c>
      <c r="H259" s="96">
        <v>2265570.27</v>
      </c>
    </row>
    <row r="260" spans="1:8" x14ac:dyDescent="0.25">
      <c r="A260" s="2"/>
      <c r="B260" s="104"/>
      <c r="C260" s="120"/>
      <c r="D260" s="114" t="s">
        <v>15</v>
      </c>
      <c r="E260" s="104" t="s">
        <v>863</v>
      </c>
      <c r="F260" s="105">
        <v>42755</v>
      </c>
      <c r="G260" s="106" t="s">
        <v>2187</v>
      </c>
      <c r="H260" s="96">
        <v>962240.6</v>
      </c>
    </row>
    <row r="261" spans="1:8" x14ac:dyDescent="0.25">
      <c r="A261" s="104" t="s">
        <v>1053</v>
      </c>
      <c r="H261" s="96">
        <v>23722273.530000001</v>
      </c>
    </row>
    <row r="262" spans="1:8" x14ac:dyDescent="0.25">
      <c r="A262" s="104"/>
      <c r="H262" s="96"/>
    </row>
    <row r="263" spans="1:8" x14ac:dyDescent="0.25">
      <c r="A263" s="104" t="s">
        <v>558</v>
      </c>
      <c r="H263" s="96"/>
    </row>
    <row r="264" spans="1:8" ht="30" x14ac:dyDescent="0.25">
      <c r="A264" s="107" t="s">
        <v>771</v>
      </c>
      <c r="B264" s="107"/>
      <c r="C264" s="107"/>
      <c r="D264" s="107"/>
      <c r="E264" s="107"/>
      <c r="F264" s="107"/>
      <c r="G264" s="107"/>
      <c r="H264" s="96"/>
    </row>
    <row r="265" spans="1:8" x14ac:dyDescent="0.25">
      <c r="A265" s="115" t="s">
        <v>505</v>
      </c>
      <c r="B265" s="104" t="s">
        <v>1054</v>
      </c>
      <c r="C265" s="120">
        <v>1</v>
      </c>
      <c r="D265" s="104" t="s">
        <v>1324</v>
      </c>
      <c r="H265" s="96"/>
    </row>
    <row r="266" spans="1:8" x14ac:dyDescent="0.25">
      <c r="A266" s="2"/>
      <c r="B266" s="104"/>
      <c r="C266" s="120"/>
      <c r="D266" s="114" t="s">
        <v>23</v>
      </c>
      <c r="E266" s="104" t="s">
        <v>863</v>
      </c>
      <c r="F266" s="105">
        <v>42510</v>
      </c>
      <c r="G266" s="106"/>
      <c r="H266" s="96">
        <v>6086100.54</v>
      </c>
    </row>
    <row r="267" spans="1:8" x14ac:dyDescent="0.25">
      <c r="A267" s="2"/>
      <c r="B267" s="104"/>
      <c r="C267" s="120"/>
      <c r="D267" s="114" t="s">
        <v>103</v>
      </c>
      <c r="E267" s="104" t="s">
        <v>863</v>
      </c>
      <c r="F267" s="105">
        <v>42643</v>
      </c>
      <c r="G267" s="106" t="s">
        <v>1403</v>
      </c>
      <c r="H267" s="96">
        <v>3094363.13</v>
      </c>
    </row>
    <row r="268" spans="1:8" x14ac:dyDescent="0.25">
      <c r="A268" s="2"/>
      <c r="B268" s="104"/>
      <c r="C268" s="120"/>
      <c r="D268" s="114" t="s">
        <v>221</v>
      </c>
      <c r="E268" s="104" t="s">
        <v>863</v>
      </c>
      <c r="F268" s="105">
        <v>42653</v>
      </c>
      <c r="G268" s="106" t="s">
        <v>1404</v>
      </c>
      <c r="H268" s="96">
        <v>5161206.1399999997</v>
      </c>
    </row>
    <row r="269" spans="1:8" x14ac:dyDescent="0.25">
      <c r="A269" s="2"/>
      <c r="B269" s="104"/>
      <c r="C269" s="120"/>
      <c r="D269" s="114" t="s">
        <v>55</v>
      </c>
      <c r="E269" s="104" t="s">
        <v>863</v>
      </c>
      <c r="F269" s="105">
        <v>42663</v>
      </c>
      <c r="G269" s="106" t="s">
        <v>1405</v>
      </c>
      <c r="H269" s="96">
        <v>5365779.03</v>
      </c>
    </row>
    <row r="270" spans="1:8" x14ac:dyDescent="0.25">
      <c r="A270" s="2"/>
      <c r="B270" s="104"/>
      <c r="C270" s="120"/>
      <c r="D270" s="114" t="s">
        <v>215</v>
      </c>
      <c r="E270" s="104" t="s">
        <v>863</v>
      </c>
      <c r="F270" s="105">
        <v>42685</v>
      </c>
      <c r="G270" s="106" t="s">
        <v>1055</v>
      </c>
      <c r="H270" s="96">
        <v>493857.84</v>
      </c>
    </row>
    <row r="271" spans="1:8" x14ac:dyDescent="0.25">
      <c r="A271" s="104" t="s">
        <v>1056</v>
      </c>
      <c r="H271" s="96">
        <v>20201306.68</v>
      </c>
    </row>
    <row r="272" spans="1:8" x14ac:dyDescent="0.25">
      <c r="A272" s="104"/>
      <c r="H272" s="96"/>
    </row>
    <row r="273" spans="1:8" x14ac:dyDescent="0.25">
      <c r="A273" s="104" t="s">
        <v>582</v>
      </c>
      <c r="H273" s="96"/>
    </row>
    <row r="274" spans="1:8" ht="60" x14ac:dyDescent="0.25">
      <c r="A274" s="107" t="s">
        <v>581</v>
      </c>
      <c r="B274" s="107"/>
      <c r="C274" s="107"/>
      <c r="D274" s="107"/>
      <c r="E274" s="107"/>
      <c r="F274" s="107"/>
      <c r="G274" s="107"/>
      <c r="H274" s="96"/>
    </row>
    <row r="275" spans="1:8" x14ac:dyDescent="0.25">
      <c r="A275" s="115" t="s">
        <v>583</v>
      </c>
      <c r="B275" s="104" t="s">
        <v>1057</v>
      </c>
      <c r="C275" s="120">
        <v>0.92</v>
      </c>
      <c r="D275" s="104" t="s">
        <v>1959</v>
      </c>
      <c r="H275" s="96"/>
    </row>
    <row r="276" spans="1:8" x14ac:dyDescent="0.25">
      <c r="A276" s="2"/>
      <c r="B276" s="104"/>
      <c r="C276" s="120"/>
      <c r="D276" s="114" t="s">
        <v>23</v>
      </c>
      <c r="E276" s="104" t="s">
        <v>863</v>
      </c>
      <c r="F276" s="105">
        <v>42510</v>
      </c>
      <c r="G276" s="106"/>
      <c r="H276" s="96">
        <v>9466647.5800000001</v>
      </c>
    </row>
    <row r="277" spans="1:8" x14ac:dyDescent="0.25">
      <c r="A277" s="2"/>
      <c r="B277" s="104"/>
      <c r="C277" s="120"/>
      <c r="D277" s="114" t="s">
        <v>103</v>
      </c>
      <c r="E277" s="104" t="s">
        <v>863</v>
      </c>
      <c r="F277" s="105">
        <v>42632</v>
      </c>
      <c r="G277" s="106" t="s">
        <v>1503</v>
      </c>
      <c r="H277" s="96">
        <v>1871472.77</v>
      </c>
    </row>
    <row r="278" spans="1:8" x14ac:dyDescent="0.25">
      <c r="A278" s="2"/>
      <c r="B278" s="104"/>
      <c r="C278" s="120"/>
      <c r="D278" s="114" t="s">
        <v>221</v>
      </c>
      <c r="E278" s="104" t="s">
        <v>863</v>
      </c>
      <c r="F278" s="105">
        <v>42643</v>
      </c>
      <c r="G278" s="106" t="s">
        <v>1504</v>
      </c>
      <c r="H278" s="96">
        <v>1458192.05</v>
      </c>
    </row>
    <row r="279" spans="1:8" x14ac:dyDescent="0.25">
      <c r="A279" s="2"/>
      <c r="B279" s="104"/>
      <c r="C279" s="120"/>
      <c r="D279" s="114" t="s">
        <v>55</v>
      </c>
      <c r="E279" s="104" t="s">
        <v>863</v>
      </c>
      <c r="F279" s="105">
        <v>42663</v>
      </c>
      <c r="G279" s="106" t="s">
        <v>1505</v>
      </c>
      <c r="H279" s="96">
        <v>4949831.72</v>
      </c>
    </row>
    <row r="280" spans="1:8" x14ac:dyDescent="0.25">
      <c r="A280" s="2"/>
      <c r="B280" s="104"/>
      <c r="C280" s="120"/>
      <c r="D280" s="114" t="s">
        <v>215</v>
      </c>
      <c r="E280" s="104" t="s">
        <v>863</v>
      </c>
      <c r="F280" s="105">
        <v>42712</v>
      </c>
      <c r="G280" s="106" t="s">
        <v>1718</v>
      </c>
      <c r="H280" s="96">
        <v>2517820.2400000002</v>
      </c>
    </row>
    <row r="281" spans="1:8" x14ac:dyDescent="0.25">
      <c r="A281" s="2"/>
      <c r="B281" s="104"/>
      <c r="C281" s="120"/>
      <c r="D281" s="114" t="s">
        <v>15</v>
      </c>
      <c r="E281" s="104" t="s">
        <v>863</v>
      </c>
      <c r="F281" s="105">
        <v>42712</v>
      </c>
      <c r="G281" s="106" t="s">
        <v>1058</v>
      </c>
      <c r="H281" s="96">
        <v>2212464.2599999998</v>
      </c>
    </row>
    <row r="282" spans="1:8" x14ac:dyDescent="0.25">
      <c r="A282" s="2"/>
      <c r="B282" s="104"/>
      <c r="C282" s="120"/>
      <c r="D282" s="114" t="s">
        <v>214</v>
      </c>
      <c r="E282" s="104" t="s">
        <v>863</v>
      </c>
      <c r="F282" s="105">
        <v>42712</v>
      </c>
      <c r="G282" s="106" t="s">
        <v>1018</v>
      </c>
      <c r="H282" s="96">
        <v>2214243.89</v>
      </c>
    </row>
    <row r="283" spans="1:8" x14ac:dyDescent="0.25">
      <c r="A283" s="2"/>
      <c r="B283" s="104"/>
      <c r="C283" s="120"/>
      <c r="D283" s="114" t="s">
        <v>218</v>
      </c>
      <c r="E283" s="104" t="s">
        <v>863</v>
      </c>
      <c r="F283" s="105">
        <v>42768</v>
      </c>
      <c r="G283" s="106" t="s">
        <v>1960</v>
      </c>
      <c r="H283" s="96">
        <v>1814491.45</v>
      </c>
    </row>
    <row r="284" spans="1:8" x14ac:dyDescent="0.25">
      <c r="A284" s="2"/>
      <c r="B284" s="104"/>
      <c r="C284" s="120"/>
      <c r="D284" s="114" t="s">
        <v>220</v>
      </c>
      <c r="E284" s="104" t="s">
        <v>863</v>
      </c>
      <c r="F284" s="105">
        <v>42768</v>
      </c>
      <c r="G284" s="106" t="s">
        <v>1961</v>
      </c>
      <c r="H284" s="96">
        <v>2384487.2400000002</v>
      </c>
    </row>
    <row r="285" spans="1:8" x14ac:dyDescent="0.25">
      <c r="A285" s="104" t="s">
        <v>1059</v>
      </c>
      <c r="H285" s="96">
        <v>28889651.199999999</v>
      </c>
    </row>
    <row r="286" spans="1:8" x14ac:dyDescent="0.25">
      <c r="A286" s="104"/>
      <c r="H286" s="96"/>
    </row>
    <row r="287" spans="1:8" x14ac:dyDescent="0.25">
      <c r="A287" s="104" t="s">
        <v>364</v>
      </c>
      <c r="H287" s="96"/>
    </row>
    <row r="288" spans="1:8" ht="60" x14ac:dyDescent="0.25">
      <c r="A288" s="107" t="s">
        <v>363</v>
      </c>
      <c r="B288" s="107"/>
      <c r="C288" s="107"/>
      <c r="D288" s="107"/>
      <c r="E288" s="107"/>
      <c r="F288" s="107"/>
      <c r="G288" s="107"/>
      <c r="H288" s="96"/>
    </row>
    <row r="289" spans="1:8" ht="30" x14ac:dyDescent="0.25">
      <c r="A289" s="115" t="s">
        <v>66</v>
      </c>
      <c r="B289" s="104" t="s">
        <v>1406</v>
      </c>
      <c r="C289" s="120">
        <v>0.99</v>
      </c>
      <c r="D289" s="104" t="s">
        <v>2417</v>
      </c>
      <c r="H289" s="96"/>
    </row>
    <row r="290" spans="1:8" x14ac:dyDescent="0.25">
      <c r="A290" s="2"/>
      <c r="B290" s="104"/>
      <c r="C290" s="120"/>
      <c r="D290" s="114" t="s">
        <v>23</v>
      </c>
      <c r="E290" s="104" t="s">
        <v>863</v>
      </c>
      <c r="F290" s="105">
        <v>42531</v>
      </c>
      <c r="G290" s="106"/>
      <c r="H290" s="96">
        <v>7168679.5199999996</v>
      </c>
    </row>
    <row r="291" spans="1:8" x14ac:dyDescent="0.25">
      <c r="A291" s="2"/>
      <c r="B291" s="104"/>
      <c r="C291" s="120"/>
      <c r="D291" s="114" t="s">
        <v>103</v>
      </c>
      <c r="E291" s="104" t="s">
        <v>863</v>
      </c>
      <c r="F291" s="105">
        <v>42653</v>
      </c>
      <c r="G291" s="106" t="s">
        <v>1407</v>
      </c>
      <c r="H291" s="96">
        <v>1953115.47</v>
      </c>
    </row>
    <row r="292" spans="1:8" x14ac:dyDescent="0.25">
      <c r="A292" s="2"/>
      <c r="B292" s="104"/>
      <c r="C292" s="120"/>
      <c r="D292" s="114" t="s">
        <v>221</v>
      </c>
      <c r="E292" s="104" t="s">
        <v>863</v>
      </c>
      <c r="F292" s="105">
        <v>42647</v>
      </c>
      <c r="G292" s="106" t="s">
        <v>1408</v>
      </c>
      <c r="H292" s="96">
        <v>4539748.0599999996</v>
      </c>
    </row>
    <row r="293" spans="1:8" x14ac:dyDescent="0.25">
      <c r="A293" s="2"/>
      <c r="B293" s="104"/>
      <c r="C293" s="120"/>
      <c r="D293" s="114" t="s">
        <v>55</v>
      </c>
      <c r="E293" s="104" t="s">
        <v>863</v>
      </c>
      <c r="F293" s="105">
        <v>42762</v>
      </c>
      <c r="G293" s="106" t="s">
        <v>1891</v>
      </c>
      <c r="H293" s="96">
        <v>394540.77</v>
      </c>
    </row>
    <row r="294" spans="1:8" x14ac:dyDescent="0.25">
      <c r="A294" s="2"/>
      <c r="B294" s="104"/>
      <c r="C294" s="120"/>
      <c r="D294" s="114" t="s">
        <v>215</v>
      </c>
      <c r="E294" s="104" t="s">
        <v>863</v>
      </c>
      <c r="F294" s="105">
        <v>42780</v>
      </c>
      <c r="G294" s="106" t="s">
        <v>1962</v>
      </c>
      <c r="H294" s="96">
        <v>2282137.89</v>
      </c>
    </row>
    <row r="295" spans="1:8" x14ac:dyDescent="0.25">
      <c r="A295" s="2"/>
      <c r="B295" s="104"/>
      <c r="C295" s="120"/>
      <c r="D295" s="114" t="s">
        <v>15</v>
      </c>
      <c r="E295" s="104" t="s">
        <v>863</v>
      </c>
      <c r="F295" s="105">
        <v>42762</v>
      </c>
      <c r="G295" s="106" t="s">
        <v>2097</v>
      </c>
      <c r="H295" s="96">
        <v>1618023.64</v>
      </c>
    </row>
    <row r="296" spans="1:8" x14ac:dyDescent="0.25">
      <c r="A296" s="2"/>
      <c r="B296" s="104"/>
      <c r="C296" s="120"/>
      <c r="D296" s="114" t="s">
        <v>214</v>
      </c>
      <c r="E296" s="104" t="s">
        <v>865</v>
      </c>
      <c r="F296" s="105">
        <v>42810</v>
      </c>
      <c r="G296" s="106" t="s">
        <v>2418</v>
      </c>
      <c r="H296" s="96">
        <v>3462750.73</v>
      </c>
    </row>
    <row r="297" spans="1:8" x14ac:dyDescent="0.25">
      <c r="A297" s="2"/>
      <c r="B297" s="104"/>
      <c r="C297" s="120"/>
      <c r="D297" s="114" t="s">
        <v>218</v>
      </c>
      <c r="E297" s="104" t="s">
        <v>2476</v>
      </c>
      <c r="F297" s="105">
        <v>42803</v>
      </c>
      <c r="G297" s="106" t="s">
        <v>2419</v>
      </c>
      <c r="H297" s="96">
        <v>2133716.7799999998</v>
      </c>
    </row>
    <row r="298" spans="1:8" x14ac:dyDescent="0.25">
      <c r="A298" s="104" t="s">
        <v>1409</v>
      </c>
      <c r="H298" s="96">
        <v>23552712.859999999</v>
      </c>
    </row>
    <row r="299" spans="1:8" x14ac:dyDescent="0.25">
      <c r="A299" s="104"/>
      <c r="H299" s="96"/>
    </row>
    <row r="300" spans="1:8" x14ac:dyDescent="0.25">
      <c r="A300" s="104" t="s">
        <v>607</v>
      </c>
      <c r="H300" s="96"/>
    </row>
    <row r="301" spans="1:8" ht="30" x14ac:dyDescent="0.25">
      <c r="A301" s="107" t="s">
        <v>606</v>
      </c>
      <c r="B301" s="107"/>
      <c r="C301" s="107"/>
      <c r="D301" s="107"/>
      <c r="E301" s="107"/>
      <c r="F301" s="107"/>
      <c r="G301" s="107"/>
      <c r="H301" s="96"/>
    </row>
    <row r="302" spans="1:8" x14ac:dyDescent="0.25">
      <c r="A302" s="115" t="s">
        <v>608</v>
      </c>
      <c r="B302" s="104" t="s">
        <v>1060</v>
      </c>
      <c r="C302" s="120">
        <v>0.28999999999999998</v>
      </c>
      <c r="D302" s="104" t="s">
        <v>2098</v>
      </c>
      <c r="H302" s="96"/>
    </row>
    <row r="303" spans="1:8" x14ac:dyDescent="0.25">
      <c r="A303" s="2"/>
      <c r="B303" s="104"/>
      <c r="C303" s="120"/>
      <c r="D303" s="114" t="s">
        <v>23</v>
      </c>
      <c r="E303" s="104" t="s">
        <v>863</v>
      </c>
      <c r="F303" s="105">
        <v>42515</v>
      </c>
      <c r="G303" s="106"/>
      <c r="H303" s="96">
        <v>8334696.0700000003</v>
      </c>
    </row>
    <row r="304" spans="1:8" x14ac:dyDescent="0.25">
      <c r="A304" s="2"/>
      <c r="B304" s="104"/>
      <c r="C304" s="120"/>
      <c r="D304" s="114" t="s">
        <v>103</v>
      </c>
      <c r="E304" s="104" t="s">
        <v>863</v>
      </c>
      <c r="F304" s="105">
        <v>42653</v>
      </c>
      <c r="G304" s="106" t="s">
        <v>1410</v>
      </c>
      <c r="H304" s="96">
        <v>765447.13</v>
      </c>
    </row>
    <row r="305" spans="1:8" x14ac:dyDescent="0.25">
      <c r="A305" s="2"/>
      <c r="B305" s="104"/>
      <c r="C305" s="120"/>
      <c r="D305" s="114" t="s">
        <v>221</v>
      </c>
      <c r="E305" s="104" t="s">
        <v>863</v>
      </c>
      <c r="F305" s="105">
        <v>42725</v>
      </c>
      <c r="G305" s="106" t="s">
        <v>1061</v>
      </c>
      <c r="H305" s="96">
        <v>135099.15</v>
      </c>
    </row>
    <row r="306" spans="1:8" x14ac:dyDescent="0.25">
      <c r="A306" s="2"/>
      <c r="B306" s="104"/>
      <c r="C306" s="120"/>
      <c r="D306" s="114" t="s">
        <v>55</v>
      </c>
      <c r="E306" s="104" t="s">
        <v>863</v>
      </c>
      <c r="F306" s="105">
        <v>42732</v>
      </c>
      <c r="G306" s="106" t="s">
        <v>1789</v>
      </c>
      <c r="H306" s="96">
        <v>2465276.7200000002</v>
      </c>
    </row>
    <row r="307" spans="1:8" x14ac:dyDescent="0.25">
      <c r="A307" s="2"/>
      <c r="B307" s="104"/>
      <c r="C307" s="120"/>
      <c r="D307" s="114" t="s">
        <v>215</v>
      </c>
      <c r="E307" s="104" t="s">
        <v>2476</v>
      </c>
      <c r="F307" s="105">
        <v>42797</v>
      </c>
      <c r="G307" s="106" t="s">
        <v>2099</v>
      </c>
      <c r="H307" s="96">
        <v>2283183.09</v>
      </c>
    </row>
    <row r="308" spans="1:8" x14ac:dyDescent="0.25">
      <c r="A308" s="104" t="s">
        <v>1062</v>
      </c>
      <c r="H308" s="96">
        <v>13983702.16</v>
      </c>
    </row>
    <row r="309" spans="1:8" x14ac:dyDescent="0.25">
      <c r="A309" s="104"/>
      <c r="H309" s="96"/>
    </row>
    <row r="310" spans="1:8" x14ac:dyDescent="0.25">
      <c r="A310" s="104" t="s">
        <v>593</v>
      </c>
      <c r="H310" s="96"/>
    </row>
    <row r="311" spans="1:8" ht="30" x14ac:dyDescent="0.25">
      <c r="A311" s="107" t="s">
        <v>592</v>
      </c>
      <c r="B311" s="107"/>
      <c r="C311" s="107"/>
      <c r="D311" s="107"/>
      <c r="E311" s="107"/>
      <c r="F311" s="107"/>
      <c r="G311" s="107"/>
      <c r="H311" s="96"/>
    </row>
    <row r="312" spans="1:8" x14ac:dyDescent="0.25">
      <c r="A312" s="115" t="s">
        <v>594</v>
      </c>
      <c r="B312" s="104" t="s">
        <v>1510</v>
      </c>
      <c r="C312" s="120">
        <v>0.61</v>
      </c>
      <c r="D312" s="104" t="s">
        <v>2443</v>
      </c>
      <c r="H312" s="96"/>
    </row>
    <row r="313" spans="1:8" x14ac:dyDescent="0.25">
      <c r="A313" s="2"/>
      <c r="B313" s="104"/>
      <c r="C313" s="120"/>
      <c r="D313" s="114" t="s">
        <v>23</v>
      </c>
      <c r="E313" s="104" t="s">
        <v>863</v>
      </c>
      <c r="F313" s="105">
        <v>42515</v>
      </c>
      <c r="G313" s="106"/>
      <c r="H313" s="96">
        <v>4767232.88</v>
      </c>
    </row>
    <row r="314" spans="1:8" x14ac:dyDescent="0.25">
      <c r="A314" s="2"/>
      <c r="B314" s="104"/>
      <c r="C314" s="120"/>
      <c r="D314" s="114" t="s">
        <v>103</v>
      </c>
      <c r="E314" s="104" t="s">
        <v>863</v>
      </c>
      <c r="F314" s="105">
        <v>42632</v>
      </c>
      <c r="G314" s="106" t="s">
        <v>1511</v>
      </c>
      <c r="H314" s="96">
        <v>5163.12</v>
      </c>
    </row>
    <row r="315" spans="1:8" x14ac:dyDescent="0.25">
      <c r="A315" s="2"/>
      <c r="B315" s="104"/>
      <c r="C315" s="120"/>
      <c r="D315" s="114" t="s">
        <v>221</v>
      </c>
      <c r="E315" s="104" t="s">
        <v>863</v>
      </c>
      <c r="F315" s="105">
        <v>42632</v>
      </c>
      <c r="G315" s="106" t="s">
        <v>1063</v>
      </c>
      <c r="H315" s="96">
        <v>308424.71000000002</v>
      </c>
    </row>
    <row r="316" spans="1:8" x14ac:dyDescent="0.25">
      <c r="A316" s="2"/>
      <c r="B316" s="104"/>
      <c r="C316" s="120"/>
      <c r="D316" s="114" t="s">
        <v>55</v>
      </c>
      <c r="E316" s="104" t="s">
        <v>863</v>
      </c>
      <c r="F316" s="105">
        <v>42632</v>
      </c>
      <c r="G316" s="106" t="s">
        <v>1512</v>
      </c>
      <c r="H316" s="96">
        <v>891176.06</v>
      </c>
    </row>
    <row r="317" spans="1:8" x14ac:dyDescent="0.25">
      <c r="A317" s="2"/>
      <c r="B317" s="104"/>
      <c r="C317" s="120"/>
      <c r="D317" s="114" t="s">
        <v>215</v>
      </c>
      <c r="E317" s="104" t="s">
        <v>863</v>
      </c>
      <c r="F317" s="105">
        <v>42671</v>
      </c>
      <c r="G317" s="106" t="s">
        <v>1513</v>
      </c>
      <c r="H317" s="96">
        <v>2825706.66</v>
      </c>
    </row>
    <row r="318" spans="1:8" x14ac:dyDescent="0.25">
      <c r="A318" s="2"/>
      <c r="B318" s="104"/>
      <c r="C318" s="120"/>
      <c r="D318" s="114" t="s">
        <v>15</v>
      </c>
      <c r="E318" s="104" t="s">
        <v>866</v>
      </c>
      <c r="F318" s="105">
        <v>42811</v>
      </c>
      <c r="G318" s="106" t="s">
        <v>2444</v>
      </c>
      <c r="H318" s="96">
        <v>1395379.89</v>
      </c>
    </row>
    <row r="319" spans="1:8" x14ac:dyDescent="0.25">
      <c r="A319" s="104" t="s">
        <v>1514</v>
      </c>
      <c r="H319" s="96">
        <v>10193083.32</v>
      </c>
    </row>
    <row r="320" spans="1:8" x14ac:dyDescent="0.25">
      <c r="A320" s="104"/>
      <c r="H320" s="96"/>
    </row>
    <row r="321" spans="1:8" x14ac:dyDescent="0.25">
      <c r="A321" s="104" t="s">
        <v>370</v>
      </c>
      <c r="H321" s="96"/>
    </row>
    <row r="322" spans="1:8" ht="60" x14ac:dyDescent="0.25">
      <c r="A322" s="107" t="s">
        <v>369</v>
      </c>
      <c r="B322" s="107"/>
      <c r="C322" s="107"/>
      <c r="D322" s="107"/>
      <c r="E322" s="107"/>
      <c r="F322" s="107"/>
      <c r="G322" s="107"/>
      <c r="H322" s="96"/>
    </row>
    <row r="323" spans="1:8" x14ac:dyDescent="0.25">
      <c r="A323" s="115" t="s">
        <v>368</v>
      </c>
      <c r="B323" s="104" t="s">
        <v>1411</v>
      </c>
      <c r="C323" s="120">
        <v>0.98</v>
      </c>
      <c r="D323" s="104" t="s">
        <v>2486</v>
      </c>
      <c r="H323" s="96"/>
    </row>
    <row r="324" spans="1:8" x14ac:dyDescent="0.25">
      <c r="A324" s="2"/>
      <c r="B324" s="104"/>
      <c r="C324" s="120"/>
      <c r="D324" s="114" t="s">
        <v>23</v>
      </c>
      <c r="E324" s="104" t="s">
        <v>863</v>
      </c>
      <c r="F324" s="105">
        <v>42535</v>
      </c>
      <c r="G324" s="106"/>
      <c r="H324" s="96">
        <v>22938933.960000001</v>
      </c>
    </row>
    <row r="325" spans="1:8" x14ac:dyDescent="0.25">
      <c r="A325" s="2"/>
      <c r="B325" s="104"/>
      <c r="C325" s="120"/>
      <c r="D325" s="114" t="s">
        <v>103</v>
      </c>
      <c r="E325" s="104" t="s">
        <v>863</v>
      </c>
      <c r="F325" s="105">
        <v>42632</v>
      </c>
      <c r="G325" s="106" t="s">
        <v>1412</v>
      </c>
      <c r="H325" s="96">
        <v>1435601.33</v>
      </c>
    </row>
    <row r="326" spans="1:8" x14ac:dyDescent="0.25">
      <c r="A326" s="2"/>
      <c r="B326" s="104"/>
      <c r="C326" s="120"/>
      <c r="D326" s="114" t="s">
        <v>221</v>
      </c>
      <c r="E326" s="104" t="s">
        <v>863</v>
      </c>
      <c r="F326" s="105">
        <v>42653</v>
      </c>
      <c r="G326" s="106" t="s">
        <v>1413</v>
      </c>
      <c r="H326" s="96">
        <v>1631025.14</v>
      </c>
    </row>
    <row r="327" spans="1:8" x14ac:dyDescent="0.25">
      <c r="A327" s="2"/>
      <c r="B327" s="104"/>
      <c r="C327" s="120"/>
      <c r="D327" s="114" t="s">
        <v>55</v>
      </c>
      <c r="E327" s="104" t="s">
        <v>863</v>
      </c>
      <c r="F327" s="105">
        <v>42653</v>
      </c>
      <c r="G327" s="106" t="s">
        <v>1414</v>
      </c>
      <c r="H327" s="96">
        <v>3173310.38</v>
      </c>
    </row>
    <row r="328" spans="1:8" x14ac:dyDescent="0.25">
      <c r="A328" s="2"/>
      <c r="B328" s="104"/>
      <c r="C328" s="120"/>
      <c r="D328" s="114" t="s">
        <v>215</v>
      </c>
      <c r="E328" s="104" t="s">
        <v>863</v>
      </c>
      <c r="F328" s="105">
        <v>42671</v>
      </c>
      <c r="G328" s="106" t="s">
        <v>1415</v>
      </c>
      <c r="H328" s="96">
        <v>5908367.3300000001</v>
      </c>
    </row>
    <row r="329" spans="1:8" x14ac:dyDescent="0.25">
      <c r="A329" s="2"/>
      <c r="B329" s="104"/>
      <c r="C329" s="120"/>
      <c r="D329" s="114" t="s">
        <v>15</v>
      </c>
      <c r="E329" s="104" t="s">
        <v>863</v>
      </c>
      <c r="F329" s="105">
        <v>42698</v>
      </c>
      <c r="G329" s="106" t="s">
        <v>1750</v>
      </c>
      <c r="H329" s="96">
        <v>10026740.07</v>
      </c>
    </row>
    <row r="330" spans="1:8" x14ac:dyDescent="0.25">
      <c r="A330" s="2"/>
      <c r="B330" s="104"/>
      <c r="C330" s="120"/>
      <c r="D330" s="114" t="s">
        <v>214</v>
      </c>
      <c r="E330" s="104" t="s">
        <v>863</v>
      </c>
      <c r="F330" s="105">
        <v>42699</v>
      </c>
      <c r="G330" s="106" t="s">
        <v>1067</v>
      </c>
      <c r="H330" s="96">
        <v>3957049.71</v>
      </c>
    </row>
    <row r="331" spans="1:8" x14ac:dyDescent="0.25">
      <c r="A331" s="2"/>
      <c r="B331" s="104"/>
      <c r="C331" s="120"/>
      <c r="D331" s="114" t="s">
        <v>218</v>
      </c>
      <c r="E331" s="104" t="s">
        <v>863</v>
      </c>
      <c r="F331" s="105">
        <v>42755</v>
      </c>
      <c r="G331" s="106" t="s">
        <v>1963</v>
      </c>
      <c r="H331" s="96">
        <v>10895687.4</v>
      </c>
    </row>
    <row r="332" spans="1:8" x14ac:dyDescent="0.25">
      <c r="A332" s="2"/>
      <c r="B332" s="104"/>
      <c r="C332" s="120"/>
      <c r="D332" s="114" t="s">
        <v>220</v>
      </c>
      <c r="E332" s="104" t="s">
        <v>863</v>
      </c>
      <c r="F332" s="105">
        <v>42810</v>
      </c>
      <c r="G332" s="106" t="s">
        <v>2445</v>
      </c>
      <c r="H332" s="96">
        <v>8708374.25</v>
      </c>
    </row>
    <row r="333" spans="1:8" x14ac:dyDescent="0.25">
      <c r="A333" s="2"/>
      <c r="B333" s="104"/>
      <c r="C333" s="120"/>
      <c r="D333" s="114" t="s">
        <v>748</v>
      </c>
      <c r="E333" s="104" t="s">
        <v>865</v>
      </c>
      <c r="F333" s="105">
        <v>42810</v>
      </c>
      <c r="G333" s="106" t="s">
        <v>2487</v>
      </c>
      <c r="H333" s="96">
        <v>6573300.6699999999</v>
      </c>
    </row>
    <row r="334" spans="1:8" x14ac:dyDescent="0.25">
      <c r="A334" s="104" t="s">
        <v>1416</v>
      </c>
      <c r="H334" s="96">
        <v>75248390.239999995</v>
      </c>
    </row>
    <row r="335" spans="1:8" x14ac:dyDescent="0.25">
      <c r="A335" s="104"/>
      <c r="H335" s="96"/>
    </row>
    <row r="336" spans="1:8" x14ac:dyDescent="0.25">
      <c r="A336" s="104" t="s">
        <v>381</v>
      </c>
      <c r="H336" s="96"/>
    </row>
    <row r="337" spans="1:8" ht="60" x14ac:dyDescent="0.25">
      <c r="A337" s="107" t="s">
        <v>380</v>
      </c>
      <c r="B337" s="107"/>
      <c r="C337" s="107"/>
      <c r="D337" s="107"/>
      <c r="E337" s="107"/>
      <c r="F337" s="107"/>
      <c r="G337" s="107"/>
      <c r="H337" s="96"/>
    </row>
    <row r="338" spans="1:8" ht="30" x14ac:dyDescent="0.25">
      <c r="A338" s="115" t="s">
        <v>378</v>
      </c>
      <c r="B338" s="104" t="s">
        <v>1417</v>
      </c>
      <c r="C338" s="120">
        <v>0.63</v>
      </c>
      <c r="D338" s="104" t="s">
        <v>1964</v>
      </c>
      <c r="H338" s="96"/>
    </row>
    <row r="339" spans="1:8" x14ac:dyDescent="0.25">
      <c r="A339" s="2"/>
      <c r="B339" s="104"/>
      <c r="C339" s="120"/>
      <c r="D339" s="114" t="s">
        <v>23</v>
      </c>
      <c r="E339" s="104" t="s">
        <v>863</v>
      </c>
      <c r="F339" s="105">
        <v>42531</v>
      </c>
      <c r="G339" s="106"/>
      <c r="H339" s="96">
        <v>23781053.690000001</v>
      </c>
    </row>
    <row r="340" spans="1:8" x14ac:dyDescent="0.25">
      <c r="A340" s="2"/>
      <c r="B340" s="104"/>
      <c r="C340" s="120"/>
      <c r="D340" s="114" t="s">
        <v>103</v>
      </c>
      <c r="E340" s="104" t="s">
        <v>863</v>
      </c>
      <c r="F340" s="105">
        <v>42643</v>
      </c>
      <c r="G340" s="106" t="s">
        <v>1418</v>
      </c>
      <c r="H340" s="96">
        <v>777786.94</v>
      </c>
    </row>
    <row r="341" spans="1:8" x14ac:dyDescent="0.25">
      <c r="A341" s="2"/>
      <c r="B341" s="104"/>
      <c r="C341" s="120"/>
      <c r="D341" s="114" t="s">
        <v>221</v>
      </c>
      <c r="E341" s="104" t="s">
        <v>863</v>
      </c>
      <c r="F341" s="105">
        <v>42663</v>
      </c>
      <c r="G341" s="106" t="s">
        <v>1419</v>
      </c>
      <c r="H341" s="96">
        <v>1627098.51</v>
      </c>
    </row>
    <row r="342" spans="1:8" x14ac:dyDescent="0.25">
      <c r="A342" s="2"/>
      <c r="B342" s="104"/>
      <c r="C342" s="120"/>
      <c r="D342" s="114" t="s">
        <v>55</v>
      </c>
      <c r="E342" s="104" t="s">
        <v>863</v>
      </c>
      <c r="F342" s="105">
        <v>42671</v>
      </c>
      <c r="G342" s="106" t="s">
        <v>1420</v>
      </c>
      <c r="H342" s="96">
        <v>7464280.0999999996</v>
      </c>
    </row>
    <row r="343" spans="1:8" x14ac:dyDescent="0.25">
      <c r="A343" s="2"/>
      <c r="B343" s="104"/>
      <c r="C343" s="120"/>
      <c r="D343" s="114" t="s">
        <v>215</v>
      </c>
      <c r="E343" s="104" t="s">
        <v>863</v>
      </c>
      <c r="F343" s="105">
        <v>42671</v>
      </c>
      <c r="G343" s="106" t="s">
        <v>1421</v>
      </c>
      <c r="H343" s="96">
        <v>3476594.38</v>
      </c>
    </row>
    <row r="344" spans="1:8" x14ac:dyDescent="0.25">
      <c r="A344" s="2"/>
      <c r="B344" s="104"/>
      <c r="C344" s="120"/>
      <c r="D344" s="114" t="s">
        <v>15</v>
      </c>
      <c r="E344" s="104" t="s">
        <v>863</v>
      </c>
      <c r="F344" s="105">
        <v>42698</v>
      </c>
      <c r="G344" s="106" t="s">
        <v>1751</v>
      </c>
      <c r="H344" s="96">
        <v>10235669.949999999</v>
      </c>
    </row>
    <row r="345" spans="1:8" x14ac:dyDescent="0.25">
      <c r="A345" s="2"/>
      <c r="B345" s="104"/>
      <c r="C345" s="120"/>
      <c r="D345" s="114" t="s">
        <v>214</v>
      </c>
      <c r="E345" s="104" t="s">
        <v>863</v>
      </c>
      <c r="F345" s="105">
        <v>42698</v>
      </c>
      <c r="G345" s="106" t="s">
        <v>1545</v>
      </c>
      <c r="H345" s="96">
        <v>3991677.52</v>
      </c>
    </row>
    <row r="346" spans="1:8" x14ac:dyDescent="0.25">
      <c r="A346" s="2"/>
      <c r="B346" s="104"/>
      <c r="C346" s="120"/>
      <c r="D346" s="114" t="s">
        <v>218</v>
      </c>
      <c r="E346" s="104" t="s">
        <v>863</v>
      </c>
      <c r="F346" s="105">
        <v>42755</v>
      </c>
      <c r="G346" s="106" t="s">
        <v>1965</v>
      </c>
      <c r="H346" s="96">
        <v>7341727.5899999999</v>
      </c>
    </row>
    <row r="347" spans="1:8" x14ac:dyDescent="0.25">
      <c r="A347" s="104" t="s">
        <v>1422</v>
      </c>
      <c r="H347" s="96">
        <v>58695888.68</v>
      </c>
    </row>
    <row r="348" spans="1:8" x14ac:dyDescent="0.25">
      <c r="A348" s="104"/>
      <c r="H348" s="96"/>
    </row>
    <row r="349" spans="1:8" x14ac:dyDescent="0.25">
      <c r="A349" s="104" t="s">
        <v>349</v>
      </c>
      <c r="H349" s="96"/>
    </row>
    <row r="350" spans="1:8" ht="45" x14ac:dyDescent="0.25">
      <c r="A350" s="107" t="s">
        <v>350</v>
      </c>
      <c r="B350" s="107"/>
      <c r="C350" s="107"/>
      <c r="D350" s="107"/>
      <c r="E350" s="107"/>
      <c r="F350" s="107"/>
      <c r="G350" s="107"/>
      <c r="H350" s="96"/>
    </row>
    <row r="351" spans="1:8" x14ac:dyDescent="0.25">
      <c r="A351" s="115" t="s">
        <v>351</v>
      </c>
      <c r="B351" s="104" t="s">
        <v>1064</v>
      </c>
      <c r="C351" s="120">
        <v>1</v>
      </c>
      <c r="D351" s="104" t="s">
        <v>1324</v>
      </c>
      <c r="H351" s="96"/>
    </row>
    <row r="352" spans="1:8" x14ac:dyDescent="0.25">
      <c r="A352" s="2"/>
      <c r="B352" s="104"/>
      <c r="C352" s="120"/>
      <c r="D352" s="114" t="s">
        <v>23</v>
      </c>
      <c r="E352" s="104" t="s">
        <v>863</v>
      </c>
      <c r="F352" s="105">
        <v>42529</v>
      </c>
      <c r="G352" s="106"/>
      <c r="H352" s="96">
        <v>6208325.5</v>
      </c>
    </row>
    <row r="353" spans="1:8" x14ac:dyDescent="0.25">
      <c r="A353" s="2"/>
      <c r="B353" s="104"/>
      <c r="C353" s="120"/>
      <c r="D353" s="114" t="s">
        <v>103</v>
      </c>
      <c r="E353" s="104" t="s">
        <v>863</v>
      </c>
      <c r="F353" s="105">
        <v>42712</v>
      </c>
      <c r="G353" s="106" t="s">
        <v>1065</v>
      </c>
      <c r="H353" s="96">
        <v>1967521.97</v>
      </c>
    </row>
    <row r="354" spans="1:8" x14ac:dyDescent="0.25">
      <c r="A354" s="2"/>
      <c r="B354" s="104"/>
      <c r="C354" s="120"/>
      <c r="D354" s="114" t="s">
        <v>221</v>
      </c>
      <c r="E354" s="104" t="s">
        <v>863</v>
      </c>
      <c r="F354" s="105">
        <v>42762</v>
      </c>
      <c r="G354" s="106" t="s">
        <v>1562</v>
      </c>
      <c r="H354" s="96">
        <v>2111565.7799999998</v>
      </c>
    </row>
    <row r="355" spans="1:8" x14ac:dyDescent="0.25">
      <c r="A355" s="2"/>
      <c r="B355" s="104"/>
      <c r="C355" s="120"/>
      <c r="D355" s="114" t="s">
        <v>55</v>
      </c>
      <c r="E355" s="104" t="s">
        <v>863</v>
      </c>
      <c r="F355" s="105">
        <v>42769</v>
      </c>
      <c r="G355" s="106" t="s">
        <v>1852</v>
      </c>
      <c r="H355" s="96">
        <v>1059524.3999999999</v>
      </c>
    </row>
    <row r="356" spans="1:8" x14ac:dyDescent="0.25">
      <c r="A356" s="2"/>
      <c r="B356" s="104"/>
      <c r="C356" s="120"/>
      <c r="D356" s="114" t="s">
        <v>215</v>
      </c>
      <c r="E356" s="104" t="s">
        <v>863</v>
      </c>
      <c r="F356" s="105">
        <v>42769</v>
      </c>
      <c r="G356" s="106" t="s">
        <v>2191</v>
      </c>
      <c r="H356" s="96">
        <v>2922402.39</v>
      </c>
    </row>
    <row r="357" spans="1:8" x14ac:dyDescent="0.25">
      <c r="A357" s="2"/>
      <c r="B357" s="104"/>
      <c r="C357" s="120"/>
      <c r="D357" s="114" t="s">
        <v>15</v>
      </c>
      <c r="E357" s="104" t="s">
        <v>863</v>
      </c>
      <c r="F357" s="105">
        <v>42762</v>
      </c>
      <c r="G357" s="106" t="s">
        <v>1978</v>
      </c>
      <c r="H357" s="96">
        <v>2737271.6</v>
      </c>
    </row>
    <row r="358" spans="1:8" x14ac:dyDescent="0.25">
      <c r="A358" s="2"/>
      <c r="B358" s="104"/>
      <c r="C358" s="120"/>
      <c r="D358" s="114" t="s">
        <v>214</v>
      </c>
      <c r="E358" s="104" t="s">
        <v>866</v>
      </c>
      <c r="F358" s="105">
        <v>42811</v>
      </c>
      <c r="G358" s="106" t="s">
        <v>2420</v>
      </c>
      <c r="H358" s="96">
        <v>2542781.12</v>
      </c>
    </row>
    <row r="359" spans="1:8" x14ac:dyDescent="0.25">
      <c r="A359" s="2"/>
      <c r="B359" s="104"/>
      <c r="C359" s="120"/>
      <c r="D359" s="114" t="s">
        <v>218</v>
      </c>
      <c r="E359" s="104" t="s">
        <v>868</v>
      </c>
      <c r="F359" s="105">
        <v>42811</v>
      </c>
      <c r="G359" s="106" t="s">
        <v>2535</v>
      </c>
      <c r="H359" s="96">
        <v>1057609.51</v>
      </c>
    </row>
    <row r="360" spans="1:8" x14ac:dyDescent="0.25">
      <c r="A360" s="104" t="s">
        <v>1066</v>
      </c>
      <c r="H360" s="96">
        <v>20607002.27</v>
      </c>
    </row>
    <row r="361" spans="1:8" x14ac:dyDescent="0.25">
      <c r="A361" s="104"/>
      <c r="H361" s="96"/>
    </row>
    <row r="362" spans="1:8" x14ac:dyDescent="0.25">
      <c r="A362" s="104" t="s">
        <v>462</v>
      </c>
      <c r="H362" s="96"/>
    </row>
    <row r="363" spans="1:8" ht="60" x14ac:dyDescent="0.25">
      <c r="A363" s="107" t="s">
        <v>463</v>
      </c>
      <c r="B363" s="107"/>
      <c r="C363" s="107"/>
      <c r="D363" s="107"/>
      <c r="E363" s="107"/>
      <c r="F363" s="107"/>
      <c r="G363" s="107"/>
      <c r="H363" s="96"/>
    </row>
    <row r="364" spans="1:8" x14ac:dyDescent="0.25">
      <c r="A364" s="115" t="s">
        <v>459</v>
      </c>
      <c r="B364" s="104" t="s">
        <v>1423</v>
      </c>
      <c r="C364" s="120">
        <v>0.31</v>
      </c>
      <c r="D364" s="104" t="s">
        <v>2488</v>
      </c>
      <c r="H364" s="96"/>
    </row>
    <row r="365" spans="1:8" x14ac:dyDescent="0.25">
      <c r="A365" s="2"/>
      <c r="B365" s="104"/>
      <c r="C365" s="120"/>
      <c r="D365" s="114" t="s">
        <v>23</v>
      </c>
      <c r="E365" s="104" t="s">
        <v>863</v>
      </c>
      <c r="F365" s="105">
        <v>42593</v>
      </c>
      <c r="G365" s="106"/>
      <c r="H365" s="96">
        <v>27538853.760000002</v>
      </c>
    </row>
    <row r="366" spans="1:8" x14ac:dyDescent="0.25">
      <c r="A366" s="2"/>
      <c r="B366" s="104"/>
      <c r="C366" s="120"/>
      <c r="D366" s="114" t="s">
        <v>103</v>
      </c>
      <c r="E366" s="104" t="s">
        <v>863</v>
      </c>
      <c r="F366" s="105">
        <v>42712</v>
      </c>
      <c r="G366" s="106" t="s">
        <v>1793</v>
      </c>
      <c r="H366" s="96">
        <v>1534592.93</v>
      </c>
    </row>
    <row r="367" spans="1:8" x14ac:dyDescent="0.25">
      <c r="A367" s="2"/>
      <c r="B367" s="104"/>
      <c r="C367" s="120"/>
      <c r="D367" s="114" t="s">
        <v>221</v>
      </c>
      <c r="E367" s="104" t="s">
        <v>863</v>
      </c>
      <c r="F367" s="105">
        <v>42712</v>
      </c>
      <c r="G367" s="106" t="s">
        <v>1794</v>
      </c>
      <c r="H367" s="96">
        <v>2393414.21</v>
      </c>
    </row>
    <row r="368" spans="1:8" x14ac:dyDescent="0.25">
      <c r="A368" s="2"/>
      <c r="B368" s="104"/>
      <c r="C368" s="120"/>
      <c r="D368" s="114" t="s">
        <v>55</v>
      </c>
      <c r="E368" s="104" t="s">
        <v>863</v>
      </c>
      <c r="F368" s="105">
        <v>42755</v>
      </c>
      <c r="G368" s="106" t="s">
        <v>1966</v>
      </c>
      <c r="H368" s="96">
        <v>1616266.97</v>
      </c>
    </row>
    <row r="369" spans="1:8" x14ac:dyDescent="0.25">
      <c r="A369" s="2"/>
      <c r="B369" s="104"/>
      <c r="C369" s="120"/>
      <c r="D369" s="114" t="s">
        <v>215</v>
      </c>
      <c r="E369" s="104" t="s">
        <v>864</v>
      </c>
      <c r="F369" s="105">
        <v>42811</v>
      </c>
      <c r="G369" s="106" t="s">
        <v>1981</v>
      </c>
      <c r="H369" s="96">
        <v>4320860.88</v>
      </c>
    </row>
    <row r="370" spans="1:8" x14ac:dyDescent="0.25">
      <c r="A370" s="2"/>
      <c r="B370" s="104"/>
      <c r="C370" s="120"/>
      <c r="D370" s="114" t="s">
        <v>15</v>
      </c>
      <c r="E370" s="104" t="s">
        <v>864</v>
      </c>
      <c r="F370" s="105">
        <v>42811</v>
      </c>
      <c r="G370" s="106" t="s">
        <v>2489</v>
      </c>
      <c r="H370" s="96">
        <v>10105049.18</v>
      </c>
    </row>
    <row r="371" spans="1:8" x14ac:dyDescent="0.25">
      <c r="A371" s="104" t="s">
        <v>1424</v>
      </c>
      <c r="H371" s="96">
        <v>47509037.93</v>
      </c>
    </row>
    <row r="372" spans="1:8" x14ac:dyDescent="0.25">
      <c r="A372" s="104"/>
      <c r="H372" s="96"/>
    </row>
    <row r="373" spans="1:8" x14ac:dyDescent="0.25">
      <c r="A373" s="104" t="s">
        <v>776</v>
      </c>
      <c r="H373" s="96"/>
    </row>
    <row r="374" spans="1:8" ht="30" x14ac:dyDescent="0.25">
      <c r="A374" s="107" t="s">
        <v>783</v>
      </c>
      <c r="B374" s="107"/>
      <c r="C374" s="107"/>
      <c r="D374" s="107"/>
      <c r="E374" s="107"/>
      <c r="F374" s="107"/>
      <c r="G374" s="107"/>
      <c r="H374" s="96"/>
    </row>
    <row r="375" spans="1:8" x14ac:dyDescent="0.25">
      <c r="A375" s="115" t="s">
        <v>784</v>
      </c>
      <c r="B375" s="104" t="s">
        <v>1425</v>
      </c>
      <c r="C375" s="120">
        <v>0.65</v>
      </c>
      <c r="D375" s="104" t="s">
        <v>2254</v>
      </c>
      <c r="H375" s="96"/>
    </row>
    <row r="376" spans="1:8" x14ac:dyDescent="0.25">
      <c r="A376" s="2"/>
      <c r="B376" s="104"/>
      <c r="C376" s="120"/>
      <c r="D376" s="114" t="s">
        <v>23</v>
      </c>
      <c r="E376" s="104" t="s">
        <v>863</v>
      </c>
      <c r="F376" s="105">
        <v>42632</v>
      </c>
      <c r="G376" s="106"/>
      <c r="H376" s="96">
        <v>24746516.640000001</v>
      </c>
    </row>
    <row r="377" spans="1:8" x14ac:dyDescent="0.25">
      <c r="A377" s="2"/>
      <c r="B377" s="104"/>
      <c r="C377" s="120"/>
      <c r="D377" s="114" t="s">
        <v>103</v>
      </c>
      <c r="E377" s="104" t="s">
        <v>863</v>
      </c>
      <c r="F377" s="105">
        <v>42712</v>
      </c>
      <c r="G377" s="106" t="s">
        <v>1798</v>
      </c>
      <c r="H377" s="96">
        <v>17986206.199999999</v>
      </c>
    </row>
    <row r="378" spans="1:8" x14ac:dyDescent="0.25">
      <c r="A378" s="2"/>
      <c r="B378" s="104"/>
      <c r="C378" s="120"/>
      <c r="D378" s="114" t="s">
        <v>221</v>
      </c>
      <c r="E378" s="104" t="s">
        <v>863</v>
      </c>
      <c r="F378" s="105">
        <v>42755</v>
      </c>
      <c r="G378" s="106" t="s">
        <v>1967</v>
      </c>
      <c r="H378" s="96">
        <v>9969052.6500000004</v>
      </c>
    </row>
    <row r="379" spans="1:8" x14ac:dyDescent="0.25">
      <c r="A379" s="2"/>
      <c r="B379" s="104"/>
      <c r="C379" s="120"/>
      <c r="D379" s="114" t="s">
        <v>55</v>
      </c>
      <c r="E379" s="104" t="s">
        <v>865</v>
      </c>
      <c r="F379" s="105">
        <v>42810</v>
      </c>
      <c r="G379" s="106" t="s">
        <v>2421</v>
      </c>
      <c r="H379" s="96">
        <v>644175.75</v>
      </c>
    </row>
    <row r="380" spans="1:8" x14ac:dyDescent="0.25">
      <c r="A380" s="2"/>
      <c r="B380" s="104"/>
      <c r="C380" s="120"/>
      <c r="D380" s="114" t="s">
        <v>215</v>
      </c>
      <c r="E380" s="104" t="s">
        <v>865</v>
      </c>
      <c r="F380" s="105">
        <v>42811</v>
      </c>
      <c r="G380" s="106" t="s">
        <v>2490</v>
      </c>
      <c r="H380" s="96">
        <v>8499943.8300000001</v>
      </c>
    </row>
    <row r="381" spans="1:8" x14ac:dyDescent="0.25">
      <c r="A381" s="104" t="s">
        <v>1426</v>
      </c>
      <c r="H381" s="96">
        <v>61845895.07</v>
      </c>
    </row>
    <row r="382" spans="1:8" x14ac:dyDescent="0.25">
      <c r="A382" s="104"/>
      <c r="H382" s="96"/>
    </row>
    <row r="383" spans="1:8" x14ac:dyDescent="0.25">
      <c r="A383" s="104" t="s">
        <v>800</v>
      </c>
      <c r="H383" s="96">
        <v>1163210006.8499999</v>
      </c>
    </row>
  </sheetData>
  <printOptions horizontalCentered="1"/>
  <pageMargins left="0.55118110236220474" right="0.43307086614173229" top="1.1023622047244095" bottom="0.62992125984251968" header="0.51181102362204722" footer="0.35433070866141736"/>
  <pageSetup scale="65" fitToHeight="0" orientation="portrait" r:id="rId2"/>
  <headerFooter>
    <oddHeader>&amp;L&amp;G&amp;R&amp;"Calibri,Negrita"&amp;16
DGEO&amp;"Calibri,Normal"&amp;12
CARRETERAS RECURSO CRÉDITO 2016
&amp;D</oddHeader>
    <oddFooter>&amp;RHOJA &amp;P DE &amp;N</oddFooter>
  </headerFooter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1"/>
  <sheetViews>
    <sheetView view="pageBreakPreview" topLeftCell="A118" zoomScaleNormal="70" zoomScaleSheetLayoutView="100" workbookViewId="0">
      <selection activeCell="A4" sqref="A4"/>
    </sheetView>
  </sheetViews>
  <sheetFormatPr baseColWidth="10" defaultRowHeight="15" x14ac:dyDescent="0.25"/>
  <cols>
    <col min="1" max="1" width="47.140625" customWidth="1"/>
    <col min="2" max="2" width="18.7109375" bestFit="1" customWidth="1"/>
    <col min="3" max="3" width="10.85546875" customWidth="1"/>
    <col min="4" max="4" width="10.42578125" bestFit="1" customWidth="1"/>
    <col min="5" max="5" width="15" bestFit="1" customWidth="1"/>
    <col min="6" max="6" width="10.7109375" bestFit="1" customWidth="1"/>
    <col min="7" max="7" width="16.28515625" bestFit="1" customWidth="1"/>
    <col min="8" max="8" width="16.42578125" bestFit="1" customWidth="1"/>
    <col min="9" max="10" width="1.5703125" bestFit="1" customWidth="1"/>
    <col min="11" max="13" width="1.7109375" bestFit="1" customWidth="1"/>
    <col min="14" max="15" width="1.5703125" bestFit="1" customWidth="1"/>
    <col min="16" max="17" width="1.7109375" bestFit="1" customWidth="1"/>
    <col min="18" max="19" width="1.5703125" bestFit="1" customWidth="1"/>
    <col min="20" max="20" width="1.7109375" bestFit="1" customWidth="1"/>
    <col min="21" max="25" width="1.5703125" bestFit="1" customWidth="1"/>
    <col min="26" max="26" width="1.7109375" bestFit="1" customWidth="1"/>
    <col min="27" max="27" width="1.5703125" bestFit="1" customWidth="1"/>
    <col min="28" max="28" width="1.7109375" bestFit="1" customWidth="1"/>
    <col min="29" max="32" width="1.5703125" bestFit="1" customWidth="1"/>
    <col min="33" max="33" width="1.7109375" bestFit="1" customWidth="1"/>
    <col min="34" max="35" width="1.5703125" bestFit="1" customWidth="1"/>
    <col min="36" max="36" width="1.7109375" bestFit="1" customWidth="1"/>
    <col min="37" max="38" width="1.5703125" bestFit="1" customWidth="1"/>
    <col min="39" max="39" width="1.85546875" bestFit="1" customWidth="1"/>
  </cols>
  <sheetData>
    <row r="3" spans="1:8" x14ac:dyDescent="0.25">
      <c r="A3" s="94" t="s">
        <v>3</v>
      </c>
      <c r="B3" s="94" t="s">
        <v>890</v>
      </c>
      <c r="C3" s="94" t="s">
        <v>911</v>
      </c>
      <c r="D3" s="94" t="s">
        <v>1325</v>
      </c>
      <c r="E3" s="94" t="s">
        <v>46</v>
      </c>
      <c r="F3" s="94" t="s">
        <v>47</v>
      </c>
      <c r="G3" s="110" t="s">
        <v>892</v>
      </c>
      <c r="H3" s="102" t="s">
        <v>43</v>
      </c>
    </row>
    <row r="4" spans="1:8" x14ac:dyDescent="0.25">
      <c r="A4" s="104" t="s">
        <v>528</v>
      </c>
      <c r="H4" s="96"/>
    </row>
    <row r="5" spans="1:8" ht="30" x14ac:dyDescent="0.25">
      <c r="A5" s="107" t="s">
        <v>786</v>
      </c>
      <c r="B5" s="107"/>
      <c r="C5" s="107"/>
      <c r="D5" s="107"/>
      <c r="E5" s="107"/>
      <c r="F5" s="107"/>
      <c r="G5" s="107"/>
      <c r="H5" s="96"/>
    </row>
    <row r="6" spans="1:8" x14ac:dyDescent="0.25">
      <c r="A6" s="115" t="s">
        <v>529</v>
      </c>
      <c r="B6" s="104" t="s">
        <v>1030</v>
      </c>
      <c r="C6" s="120">
        <v>0.84</v>
      </c>
      <c r="D6" s="104" t="s">
        <v>1881</v>
      </c>
      <c r="H6" s="96"/>
    </row>
    <row r="7" spans="1:8" x14ac:dyDescent="0.25">
      <c r="A7" s="2"/>
      <c r="B7" s="104"/>
      <c r="C7" s="120"/>
      <c r="D7" s="114" t="s">
        <v>23</v>
      </c>
      <c r="E7" s="104" t="s">
        <v>863</v>
      </c>
      <c r="F7" s="105">
        <v>42468</v>
      </c>
      <c r="G7" s="106"/>
      <c r="H7" s="96">
        <v>8562832.4199999999</v>
      </c>
    </row>
    <row r="8" spans="1:8" x14ac:dyDescent="0.25">
      <c r="A8" s="2"/>
      <c r="B8" s="104"/>
      <c r="C8" s="120"/>
      <c r="D8" s="114" t="s">
        <v>103</v>
      </c>
      <c r="E8" s="104" t="s">
        <v>863</v>
      </c>
      <c r="F8" s="105">
        <v>42643</v>
      </c>
      <c r="G8" s="106" t="s">
        <v>1493</v>
      </c>
      <c r="H8" s="96">
        <v>972423.83</v>
      </c>
    </row>
    <row r="9" spans="1:8" x14ac:dyDescent="0.25">
      <c r="A9" s="2"/>
      <c r="B9" s="104"/>
      <c r="C9" s="120"/>
      <c r="D9" s="114" t="s">
        <v>221</v>
      </c>
      <c r="E9" s="104" t="s">
        <v>863</v>
      </c>
      <c r="F9" s="105">
        <v>42653</v>
      </c>
      <c r="G9" s="106" t="s">
        <v>1494</v>
      </c>
      <c r="H9" s="96">
        <v>149630.21</v>
      </c>
    </row>
    <row r="10" spans="1:8" x14ac:dyDescent="0.25">
      <c r="A10" s="2"/>
      <c r="B10" s="104"/>
      <c r="C10" s="120"/>
      <c r="D10" s="114" t="s">
        <v>55</v>
      </c>
      <c r="E10" s="104" t="s">
        <v>863</v>
      </c>
      <c r="F10" s="105">
        <v>42663</v>
      </c>
      <c r="G10" s="106" t="s">
        <v>1495</v>
      </c>
      <c r="H10" s="96">
        <v>147427.47</v>
      </c>
    </row>
    <row r="11" spans="1:8" x14ac:dyDescent="0.25">
      <c r="A11" s="2"/>
      <c r="B11" s="104"/>
      <c r="C11" s="120"/>
      <c r="D11" s="114" t="s">
        <v>215</v>
      </c>
      <c r="E11" s="104" t="s">
        <v>863</v>
      </c>
      <c r="F11" s="105">
        <v>42671</v>
      </c>
      <c r="G11" s="106" t="s">
        <v>1496</v>
      </c>
      <c r="H11" s="96">
        <v>6158122.3300000001</v>
      </c>
    </row>
    <row r="12" spans="1:8" x14ac:dyDescent="0.25">
      <c r="A12" s="2"/>
      <c r="B12" s="104"/>
      <c r="C12" s="120"/>
      <c r="D12" s="114" t="s">
        <v>15</v>
      </c>
      <c r="E12" s="104" t="s">
        <v>863</v>
      </c>
      <c r="F12" s="105">
        <v>42685</v>
      </c>
      <c r="G12" s="106" t="s">
        <v>1031</v>
      </c>
      <c r="H12" s="96">
        <v>6536993.6500000004</v>
      </c>
    </row>
    <row r="13" spans="1:8" x14ac:dyDescent="0.25">
      <c r="A13" s="2"/>
      <c r="B13" s="104"/>
      <c r="C13" s="120"/>
      <c r="D13" s="114" t="s">
        <v>214</v>
      </c>
      <c r="E13" s="104" t="s">
        <v>863</v>
      </c>
      <c r="F13" s="105">
        <v>42780</v>
      </c>
      <c r="G13" s="106" t="s">
        <v>1882</v>
      </c>
      <c r="H13" s="96">
        <v>1387737.5</v>
      </c>
    </row>
    <row r="14" spans="1:8" x14ac:dyDescent="0.25">
      <c r="A14" s="104" t="s">
        <v>1032</v>
      </c>
      <c r="H14" s="96">
        <v>23915167.41</v>
      </c>
    </row>
    <row r="15" spans="1:8" x14ac:dyDescent="0.25">
      <c r="A15" s="104"/>
      <c r="H15" s="96"/>
    </row>
    <row r="16" spans="1:8" x14ac:dyDescent="0.25">
      <c r="A16" s="104" t="s">
        <v>536</v>
      </c>
      <c r="H16" s="96"/>
    </row>
    <row r="17" spans="1:8" ht="30" x14ac:dyDescent="0.25">
      <c r="A17" s="107" t="s">
        <v>855</v>
      </c>
      <c r="B17" s="107"/>
      <c r="C17" s="107"/>
      <c r="D17" s="107"/>
      <c r="E17" s="107"/>
      <c r="F17" s="107"/>
      <c r="G17" s="107"/>
      <c r="H17" s="96"/>
    </row>
    <row r="18" spans="1:8" x14ac:dyDescent="0.25">
      <c r="A18" s="115" t="s">
        <v>856</v>
      </c>
      <c r="B18" s="104" t="s">
        <v>1497</v>
      </c>
      <c r="C18" s="120">
        <v>0.83</v>
      </c>
      <c r="D18" s="104" t="s">
        <v>2082</v>
      </c>
      <c r="H18" s="96"/>
    </row>
    <row r="19" spans="1:8" x14ac:dyDescent="0.25">
      <c r="A19" s="2"/>
      <c r="B19" s="104"/>
      <c r="C19" s="120"/>
      <c r="D19" s="114" t="s">
        <v>23</v>
      </c>
      <c r="E19" s="104" t="s">
        <v>863</v>
      </c>
      <c r="F19" s="105">
        <v>42510</v>
      </c>
      <c r="G19" s="106"/>
      <c r="H19" s="96">
        <v>46453899.409999996</v>
      </c>
    </row>
    <row r="20" spans="1:8" x14ac:dyDescent="0.25">
      <c r="A20" s="2"/>
      <c r="B20" s="104"/>
      <c r="C20" s="120"/>
      <c r="D20" s="114" t="s">
        <v>103</v>
      </c>
      <c r="E20" s="104" t="s">
        <v>863</v>
      </c>
      <c r="F20" s="105">
        <v>42671</v>
      </c>
      <c r="G20" s="106" t="s">
        <v>1498</v>
      </c>
      <c r="H20" s="96">
        <v>4070104.34</v>
      </c>
    </row>
    <row r="21" spans="1:8" x14ac:dyDescent="0.25">
      <c r="A21" s="2"/>
      <c r="B21" s="104"/>
      <c r="C21" s="120"/>
      <c r="D21" s="114" t="s">
        <v>221</v>
      </c>
      <c r="E21" s="104" t="s">
        <v>863</v>
      </c>
      <c r="F21" s="105">
        <v>42671</v>
      </c>
      <c r="G21" s="106" t="s">
        <v>1499</v>
      </c>
      <c r="H21" s="96">
        <v>16389947.99</v>
      </c>
    </row>
    <row r="22" spans="1:8" x14ac:dyDescent="0.25">
      <c r="A22" s="2"/>
      <c r="B22" s="104"/>
      <c r="C22" s="120"/>
      <c r="D22" s="114" t="s">
        <v>55</v>
      </c>
      <c r="E22" s="104" t="s">
        <v>863</v>
      </c>
      <c r="F22" s="105">
        <v>42671</v>
      </c>
      <c r="G22" s="106" t="s">
        <v>1500</v>
      </c>
      <c r="H22" s="96">
        <v>7769006.5199999996</v>
      </c>
    </row>
    <row r="23" spans="1:8" x14ac:dyDescent="0.25">
      <c r="A23" s="2"/>
      <c r="B23" s="104"/>
      <c r="C23" s="120"/>
      <c r="D23" s="114" t="s">
        <v>215</v>
      </c>
      <c r="E23" s="104" t="s">
        <v>863</v>
      </c>
      <c r="F23" s="105">
        <v>42671</v>
      </c>
      <c r="G23" s="106" t="s">
        <v>1501</v>
      </c>
      <c r="H23" s="96">
        <v>31947388.699999999</v>
      </c>
    </row>
    <row r="24" spans="1:8" x14ac:dyDescent="0.25">
      <c r="A24" s="2"/>
      <c r="B24" s="104"/>
      <c r="C24" s="120"/>
      <c r="D24" s="114" t="s">
        <v>15</v>
      </c>
      <c r="E24" s="104" t="s">
        <v>863</v>
      </c>
      <c r="F24" s="105">
        <v>42718</v>
      </c>
      <c r="G24" s="106" t="s">
        <v>1883</v>
      </c>
      <c r="H24" s="96">
        <v>23412455.530000001</v>
      </c>
    </row>
    <row r="25" spans="1:8" x14ac:dyDescent="0.25">
      <c r="A25" s="2"/>
      <c r="B25" s="104"/>
      <c r="C25" s="120"/>
      <c r="D25" s="114" t="s">
        <v>214</v>
      </c>
      <c r="E25" s="104" t="s">
        <v>864</v>
      </c>
      <c r="F25" s="105">
        <v>42810</v>
      </c>
      <c r="G25" s="106" t="s">
        <v>2083</v>
      </c>
      <c r="H25" s="96">
        <v>6294783.6200000001</v>
      </c>
    </row>
    <row r="26" spans="1:8" x14ac:dyDescent="0.25">
      <c r="A26" s="104" t="s">
        <v>1502</v>
      </c>
      <c r="H26" s="96">
        <v>136337586.11000001</v>
      </c>
    </row>
    <row r="27" spans="1:8" x14ac:dyDescent="0.25">
      <c r="A27" s="104"/>
      <c r="H27" s="96"/>
    </row>
    <row r="28" spans="1:8" x14ac:dyDescent="0.25">
      <c r="A28" s="104" t="s">
        <v>578</v>
      </c>
      <c r="H28" s="96"/>
    </row>
    <row r="29" spans="1:8" ht="45" x14ac:dyDescent="0.25">
      <c r="A29" s="107" t="s">
        <v>852</v>
      </c>
      <c r="B29" s="107"/>
      <c r="C29" s="107"/>
      <c r="D29" s="107"/>
      <c r="E29" s="107"/>
      <c r="F29" s="107"/>
      <c r="G29" s="107"/>
      <c r="H29" s="96"/>
    </row>
    <row r="30" spans="1:8" x14ac:dyDescent="0.25">
      <c r="A30" s="115" t="s">
        <v>579</v>
      </c>
      <c r="B30" s="104" t="s">
        <v>1506</v>
      </c>
      <c r="C30" s="120">
        <v>0.33</v>
      </c>
      <c r="D30" s="104" t="s">
        <v>2435</v>
      </c>
      <c r="H30" s="96"/>
    </row>
    <row r="31" spans="1:8" x14ac:dyDescent="0.25">
      <c r="A31" s="2"/>
      <c r="B31" s="104"/>
      <c r="C31" s="120"/>
      <c r="D31" s="114" t="s">
        <v>23</v>
      </c>
      <c r="E31" s="104" t="s">
        <v>863</v>
      </c>
      <c r="F31" s="105">
        <v>42510</v>
      </c>
      <c r="G31" s="106"/>
      <c r="H31" s="96">
        <v>18380188.5</v>
      </c>
    </row>
    <row r="32" spans="1:8" x14ac:dyDescent="0.25">
      <c r="A32" s="2"/>
      <c r="B32" s="104"/>
      <c r="C32" s="120"/>
      <c r="D32" s="114" t="s">
        <v>103</v>
      </c>
      <c r="E32" s="104" t="s">
        <v>863</v>
      </c>
      <c r="F32" s="105">
        <v>42663</v>
      </c>
      <c r="G32" s="106" t="s">
        <v>1507</v>
      </c>
      <c r="H32" s="96">
        <v>171394.65</v>
      </c>
    </row>
    <row r="33" spans="1:8" x14ac:dyDescent="0.25">
      <c r="A33" s="2"/>
      <c r="B33" s="104"/>
      <c r="C33" s="120"/>
      <c r="D33" s="114" t="s">
        <v>221</v>
      </c>
      <c r="E33" s="104" t="s">
        <v>863</v>
      </c>
      <c r="F33" s="105">
        <v>42663</v>
      </c>
      <c r="G33" s="106" t="s">
        <v>1508</v>
      </c>
      <c r="H33" s="96">
        <v>278233.59999999998</v>
      </c>
    </row>
    <row r="34" spans="1:8" x14ac:dyDescent="0.25">
      <c r="A34" s="2"/>
      <c r="B34" s="104"/>
      <c r="C34" s="120"/>
      <c r="D34" s="114" t="s">
        <v>55</v>
      </c>
      <c r="E34" s="104" t="s">
        <v>863</v>
      </c>
      <c r="F34" s="105">
        <v>42724</v>
      </c>
      <c r="G34" s="106" t="s">
        <v>1828</v>
      </c>
      <c r="H34" s="96">
        <v>697377.11</v>
      </c>
    </row>
    <row r="35" spans="1:8" x14ac:dyDescent="0.25">
      <c r="A35" s="2"/>
      <c r="B35" s="104"/>
      <c r="C35" s="120"/>
      <c r="D35" s="114" t="s">
        <v>215</v>
      </c>
      <c r="E35" s="104" t="s">
        <v>863</v>
      </c>
      <c r="F35" s="105">
        <v>42724</v>
      </c>
      <c r="G35" s="106" t="s">
        <v>1536</v>
      </c>
      <c r="H35" s="96">
        <v>1288149.74</v>
      </c>
    </row>
    <row r="36" spans="1:8" x14ac:dyDescent="0.25">
      <c r="A36" s="2"/>
      <c r="B36" s="104"/>
      <c r="C36" s="120"/>
      <c r="D36" s="114" t="s">
        <v>15</v>
      </c>
      <c r="E36" s="104" t="s">
        <v>863</v>
      </c>
      <c r="F36" s="105">
        <v>42724</v>
      </c>
      <c r="G36" s="106" t="s">
        <v>1829</v>
      </c>
      <c r="H36" s="96">
        <v>2698413.18</v>
      </c>
    </row>
    <row r="37" spans="1:8" x14ac:dyDescent="0.25">
      <c r="A37" s="2"/>
      <c r="B37" s="104"/>
      <c r="C37" s="120"/>
      <c r="D37" s="114" t="s">
        <v>214</v>
      </c>
      <c r="E37" s="104" t="s">
        <v>863</v>
      </c>
      <c r="F37" s="105">
        <v>42724</v>
      </c>
      <c r="G37" s="106" t="s">
        <v>1830</v>
      </c>
      <c r="H37" s="96">
        <v>3319183.28</v>
      </c>
    </row>
    <row r="38" spans="1:8" x14ac:dyDescent="0.25">
      <c r="A38" s="2"/>
      <c r="B38" s="104"/>
      <c r="C38" s="120"/>
      <c r="D38" s="114" t="s">
        <v>218</v>
      </c>
      <c r="E38" s="104" t="s">
        <v>863</v>
      </c>
      <c r="F38" s="105">
        <v>42810</v>
      </c>
      <c r="G38" s="106" t="s">
        <v>2376</v>
      </c>
      <c r="H38" s="96">
        <v>2602503.91</v>
      </c>
    </row>
    <row r="39" spans="1:8" x14ac:dyDescent="0.25">
      <c r="A39" s="2"/>
      <c r="B39" s="104"/>
      <c r="C39" s="120"/>
      <c r="D39" s="114" t="s">
        <v>220</v>
      </c>
      <c r="E39" s="104" t="s">
        <v>864</v>
      </c>
      <c r="F39" s="105">
        <v>42811</v>
      </c>
      <c r="G39" s="106" t="s">
        <v>1540</v>
      </c>
      <c r="H39" s="96">
        <v>3132432.54</v>
      </c>
    </row>
    <row r="40" spans="1:8" x14ac:dyDescent="0.25">
      <c r="A40" s="104" t="s">
        <v>1509</v>
      </c>
      <c r="H40" s="96">
        <v>32567876.510000002</v>
      </c>
    </row>
    <row r="41" spans="1:8" x14ac:dyDescent="0.25">
      <c r="A41" s="104"/>
      <c r="H41" s="96"/>
    </row>
    <row r="42" spans="1:8" x14ac:dyDescent="0.25">
      <c r="A42" s="104" t="s">
        <v>603</v>
      </c>
      <c r="H42" s="96"/>
    </row>
    <row r="43" spans="1:8" ht="30" x14ac:dyDescent="0.25">
      <c r="A43" s="107" t="s">
        <v>602</v>
      </c>
      <c r="B43" s="107"/>
      <c r="C43" s="107"/>
      <c r="D43" s="107"/>
      <c r="E43" s="107"/>
      <c r="F43" s="107"/>
      <c r="G43" s="107"/>
      <c r="H43" s="96"/>
    </row>
    <row r="44" spans="1:8" x14ac:dyDescent="0.25">
      <c r="A44" s="115" t="s">
        <v>604</v>
      </c>
      <c r="B44" s="104" t="s">
        <v>1515</v>
      </c>
      <c r="C44" s="120">
        <v>0.97</v>
      </c>
      <c r="D44" s="104" t="s">
        <v>2175</v>
      </c>
      <c r="H44" s="96"/>
    </row>
    <row r="45" spans="1:8" x14ac:dyDescent="0.25">
      <c r="A45" s="2"/>
      <c r="B45" s="104"/>
      <c r="C45" s="120"/>
      <c r="D45" s="114" t="s">
        <v>23</v>
      </c>
      <c r="E45" s="104" t="s">
        <v>863</v>
      </c>
      <c r="F45" s="105">
        <v>42529</v>
      </c>
      <c r="G45" s="106"/>
      <c r="H45" s="96">
        <v>10249906.189999999</v>
      </c>
    </row>
    <row r="46" spans="1:8" x14ac:dyDescent="0.25">
      <c r="A46" s="2"/>
      <c r="B46" s="104"/>
      <c r="C46" s="120"/>
      <c r="D46" s="114" t="s">
        <v>103</v>
      </c>
      <c r="E46" s="104" t="s">
        <v>863</v>
      </c>
      <c r="F46" s="105">
        <v>42640</v>
      </c>
      <c r="G46" s="106" t="s">
        <v>1516</v>
      </c>
      <c r="H46" s="96">
        <v>1121436.8999999999</v>
      </c>
    </row>
    <row r="47" spans="1:8" x14ac:dyDescent="0.25">
      <c r="A47" s="2"/>
      <c r="B47" s="104"/>
      <c r="C47" s="120"/>
      <c r="D47" s="114" t="s">
        <v>221</v>
      </c>
      <c r="E47" s="104" t="s">
        <v>863</v>
      </c>
      <c r="F47" s="105">
        <v>42648</v>
      </c>
      <c r="G47" s="106" t="s">
        <v>1517</v>
      </c>
      <c r="H47" s="96">
        <v>8486333.8499999996</v>
      </c>
    </row>
    <row r="48" spans="1:8" x14ac:dyDescent="0.25">
      <c r="A48" s="2"/>
      <c r="B48" s="104"/>
      <c r="C48" s="120"/>
      <c r="D48" s="114" t="s">
        <v>55</v>
      </c>
      <c r="E48" s="104" t="s">
        <v>863</v>
      </c>
      <c r="F48" s="105">
        <v>42710</v>
      </c>
      <c r="G48" s="106" t="s">
        <v>1831</v>
      </c>
      <c r="H48" s="96">
        <v>6507478.79</v>
      </c>
    </row>
    <row r="49" spans="1:8" x14ac:dyDescent="0.25">
      <c r="A49" s="2"/>
      <c r="B49" s="104"/>
      <c r="C49" s="120"/>
      <c r="D49" s="114" t="s">
        <v>215</v>
      </c>
      <c r="E49" s="104" t="s">
        <v>863</v>
      </c>
      <c r="F49" s="105">
        <v>42732</v>
      </c>
      <c r="G49" s="106" t="s">
        <v>1942</v>
      </c>
      <c r="H49" s="96">
        <v>4871760.54</v>
      </c>
    </row>
    <row r="50" spans="1:8" x14ac:dyDescent="0.25">
      <c r="A50" s="2"/>
      <c r="B50" s="104"/>
      <c r="C50" s="120"/>
      <c r="D50" s="114" t="s">
        <v>15</v>
      </c>
      <c r="E50" s="104" t="s">
        <v>869</v>
      </c>
      <c r="F50" s="105">
        <v>42748</v>
      </c>
      <c r="G50" s="106" t="s">
        <v>1159</v>
      </c>
      <c r="H50" s="96">
        <v>2220563.33</v>
      </c>
    </row>
    <row r="51" spans="1:8" x14ac:dyDescent="0.25">
      <c r="A51" s="104" t="s">
        <v>1518</v>
      </c>
      <c r="H51" s="96">
        <v>33457479.600000001</v>
      </c>
    </row>
    <row r="52" spans="1:8" x14ac:dyDescent="0.25">
      <c r="A52" s="104"/>
      <c r="H52" s="96"/>
    </row>
    <row r="53" spans="1:8" x14ac:dyDescent="0.25">
      <c r="A53" s="104" t="s">
        <v>331</v>
      </c>
      <c r="H53" s="96"/>
    </row>
    <row r="54" spans="1:8" ht="30" x14ac:dyDescent="0.25">
      <c r="A54" s="107" t="s">
        <v>328</v>
      </c>
      <c r="B54" s="107"/>
      <c r="C54" s="107"/>
      <c r="D54" s="107"/>
      <c r="E54" s="107"/>
      <c r="F54" s="107"/>
      <c r="G54" s="107"/>
      <c r="H54" s="96"/>
    </row>
    <row r="55" spans="1:8" ht="30" x14ac:dyDescent="0.25">
      <c r="A55" s="115" t="s">
        <v>329</v>
      </c>
      <c r="B55" s="104" t="s">
        <v>1599</v>
      </c>
      <c r="C55" s="120">
        <v>1</v>
      </c>
      <c r="D55" s="104" t="s">
        <v>1324</v>
      </c>
      <c r="H55" s="96"/>
    </row>
    <row r="56" spans="1:8" x14ac:dyDescent="0.25">
      <c r="A56" s="2"/>
      <c r="B56" s="104"/>
      <c r="C56" s="120"/>
      <c r="D56" s="114" t="s">
        <v>23</v>
      </c>
      <c r="E56" s="104" t="s">
        <v>863</v>
      </c>
      <c r="F56" s="105">
        <v>42523</v>
      </c>
      <c r="G56" s="106"/>
      <c r="H56" s="96">
        <v>530366.26</v>
      </c>
    </row>
    <row r="57" spans="1:8" x14ac:dyDescent="0.25">
      <c r="A57" s="2"/>
      <c r="B57" s="104"/>
      <c r="C57" s="120"/>
      <c r="D57" s="114" t="s">
        <v>103</v>
      </c>
      <c r="E57" s="104" t="s">
        <v>863</v>
      </c>
      <c r="F57" s="105">
        <v>42564</v>
      </c>
      <c r="G57" s="106" t="s">
        <v>1363</v>
      </c>
      <c r="H57" s="96">
        <v>371235.68</v>
      </c>
    </row>
    <row r="58" spans="1:8" x14ac:dyDescent="0.25">
      <c r="A58" s="2"/>
      <c r="B58" s="104"/>
      <c r="C58" s="120"/>
      <c r="D58" s="114" t="s">
        <v>221</v>
      </c>
      <c r="E58" s="104" t="s">
        <v>863</v>
      </c>
      <c r="F58" s="105">
        <v>42632</v>
      </c>
      <c r="G58" s="106" t="s">
        <v>1600</v>
      </c>
      <c r="H58" s="96">
        <v>527100.68000000005</v>
      </c>
    </row>
    <row r="59" spans="1:8" x14ac:dyDescent="0.25">
      <c r="A59" s="2"/>
      <c r="B59" s="104"/>
      <c r="C59" s="120"/>
      <c r="D59" s="114" t="s">
        <v>55</v>
      </c>
      <c r="E59" s="104" t="s">
        <v>863</v>
      </c>
      <c r="F59" s="105">
        <v>42671</v>
      </c>
      <c r="G59" s="106" t="s">
        <v>1601</v>
      </c>
      <c r="H59" s="96">
        <v>331671.14</v>
      </c>
    </row>
    <row r="60" spans="1:8" x14ac:dyDescent="0.25">
      <c r="A60" s="2"/>
      <c r="B60" s="104"/>
      <c r="C60" s="120"/>
      <c r="D60" s="114" t="s">
        <v>215</v>
      </c>
      <c r="E60" s="104" t="s">
        <v>863</v>
      </c>
      <c r="F60" s="105">
        <v>42720</v>
      </c>
      <c r="G60" s="106" t="s">
        <v>1091</v>
      </c>
      <c r="H60" s="96">
        <v>440104.95</v>
      </c>
    </row>
    <row r="61" spans="1:8" x14ac:dyDescent="0.25">
      <c r="A61" s="104" t="s">
        <v>1521</v>
      </c>
      <c r="H61" s="96">
        <v>2200478.71</v>
      </c>
    </row>
    <row r="62" spans="1:8" x14ac:dyDescent="0.25">
      <c r="A62" s="104"/>
      <c r="H62" s="96"/>
    </row>
    <row r="63" spans="1:8" x14ac:dyDescent="0.25">
      <c r="A63" s="104" t="s">
        <v>621</v>
      </c>
      <c r="H63" s="96"/>
    </row>
    <row r="64" spans="1:8" ht="30" x14ac:dyDescent="0.25">
      <c r="A64" s="107" t="s">
        <v>619</v>
      </c>
      <c r="B64" s="107"/>
      <c r="C64" s="107"/>
      <c r="D64" s="107"/>
      <c r="E64" s="107"/>
      <c r="F64" s="107"/>
      <c r="G64" s="107"/>
      <c r="H64" s="96"/>
    </row>
    <row r="65" spans="1:8" ht="30" x14ac:dyDescent="0.25">
      <c r="A65" s="115" t="s">
        <v>620</v>
      </c>
      <c r="B65" s="104" t="s">
        <v>1522</v>
      </c>
      <c r="C65" s="120">
        <v>0.09</v>
      </c>
      <c r="D65" s="104" t="s">
        <v>2463</v>
      </c>
      <c r="H65" s="96"/>
    </row>
    <row r="66" spans="1:8" x14ac:dyDescent="0.25">
      <c r="A66" s="2"/>
      <c r="B66" s="104"/>
      <c r="C66" s="120"/>
      <c r="D66" s="114" t="s">
        <v>23</v>
      </c>
      <c r="E66" s="104" t="s">
        <v>863</v>
      </c>
      <c r="F66" s="105">
        <v>42632</v>
      </c>
      <c r="G66" s="106"/>
      <c r="H66" s="96">
        <v>11667055.49</v>
      </c>
    </row>
    <row r="67" spans="1:8" x14ac:dyDescent="0.25">
      <c r="A67" s="2"/>
      <c r="B67" s="104"/>
      <c r="C67" s="120"/>
      <c r="D67" s="114" t="s">
        <v>103</v>
      </c>
      <c r="E67" s="104" t="s">
        <v>864</v>
      </c>
      <c r="F67" s="105">
        <v>42811</v>
      </c>
      <c r="G67" s="106" t="s">
        <v>1055</v>
      </c>
      <c r="H67" s="96">
        <v>949302.71</v>
      </c>
    </row>
    <row r="68" spans="1:8" x14ac:dyDescent="0.25">
      <c r="A68" s="2"/>
      <c r="B68" s="104"/>
      <c r="C68" s="120"/>
      <c r="D68" s="114" t="s">
        <v>221</v>
      </c>
      <c r="E68" s="104" t="s">
        <v>864</v>
      </c>
      <c r="F68" s="105">
        <v>42811</v>
      </c>
      <c r="G68" s="106" t="s">
        <v>2084</v>
      </c>
      <c r="H68" s="96">
        <v>689845.44</v>
      </c>
    </row>
    <row r="69" spans="1:8" x14ac:dyDescent="0.25">
      <c r="A69" s="2"/>
      <c r="B69" s="104"/>
      <c r="C69" s="120"/>
      <c r="D69" s="114" t="s">
        <v>55</v>
      </c>
      <c r="E69" s="104" t="s">
        <v>863</v>
      </c>
      <c r="F69" s="105">
        <v>42810</v>
      </c>
      <c r="G69" s="106" t="s">
        <v>2464</v>
      </c>
      <c r="H69" s="96">
        <v>858725.86</v>
      </c>
    </row>
    <row r="70" spans="1:8" x14ac:dyDescent="0.25">
      <c r="A70" s="104" t="s">
        <v>1523</v>
      </c>
      <c r="H70" s="96">
        <v>14164929.5</v>
      </c>
    </row>
    <row r="71" spans="1:8" x14ac:dyDescent="0.25">
      <c r="A71" s="104"/>
      <c r="H71" s="96"/>
    </row>
    <row r="72" spans="1:8" x14ac:dyDescent="0.25">
      <c r="A72" s="104" t="s">
        <v>633</v>
      </c>
      <c r="H72" s="96"/>
    </row>
    <row r="73" spans="1:8" ht="45" x14ac:dyDescent="0.25">
      <c r="A73" s="107" t="s">
        <v>630</v>
      </c>
      <c r="B73" s="107"/>
      <c r="C73" s="107"/>
      <c r="D73" s="107"/>
      <c r="E73" s="107"/>
      <c r="F73" s="107"/>
      <c r="G73" s="107"/>
      <c r="H73" s="96"/>
    </row>
    <row r="74" spans="1:8" ht="30" x14ac:dyDescent="0.25">
      <c r="A74" s="115" t="s">
        <v>632</v>
      </c>
      <c r="B74" s="104" t="s">
        <v>1166</v>
      </c>
      <c r="C74" s="120">
        <v>0.65</v>
      </c>
      <c r="D74" s="104" t="s">
        <v>2085</v>
      </c>
      <c r="H74" s="96"/>
    </row>
    <row r="75" spans="1:8" x14ac:dyDescent="0.25">
      <c r="A75" s="2"/>
      <c r="B75" s="104"/>
      <c r="C75" s="120"/>
      <c r="D75" s="114" t="s">
        <v>23</v>
      </c>
      <c r="E75" s="104" t="s">
        <v>863</v>
      </c>
      <c r="F75" s="105">
        <v>42632</v>
      </c>
      <c r="G75" s="106"/>
      <c r="H75" s="96">
        <v>3508741.67</v>
      </c>
    </row>
    <row r="76" spans="1:8" x14ac:dyDescent="0.25">
      <c r="A76" s="2"/>
      <c r="B76" s="104"/>
      <c r="C76" s="120"/>
      <c r="D76" s="114" t="s">
        <v>103</v>
      </c>
      <c r="E76" s="104" t="s">
        <v>863</v>
      </c>
      <c r="F76" s="105">
        <v>42712</v>
      </c>
      <c r="G76" s="106" t="s">
        <v>1756</v>
      </c>
      <c r="H76" s="96">
        <v>1901716.97</v>
      </c>
    </row>
    <row r="77" spans="1:8" x14ac:dyDescent="0.25">
      <c r="A77" s="2"/>
      <c r="B77" s="104"/>
      <c r="C77" s="120"/>
      <c r="D77" s="114" t="s">
        <v>221</v>
      </c>
      <c r="E77" s="104" t="s">
        <v>863</v>
      </c>
      <c r="F77" s="105">
        <v>42762</v>
      </c>
      <c r="G77" s="106" t="s">
        <v>1832</v>
      </c>
      <c r="H77" s="96">
        <v>1177975.8999999999</v>
      </c>
    </row>
    <row r="78" spans="1:8" x14ac:dyDescent="0.25">
      <c r="A78" s="2"/>
      <c r="B78" s="104"/>
      <c r="C78" s="120"/>
      <c r="D78" s="114" t="s">
        <v>55</v>
      </c>
      <c r="E78" s="104" t="s">
        <v>863</v>
      </c>
      <c r="F78" s="105">
        <v>42755</v>
      </c>
      <c r="G78" s="106" t="s">
        <v>2086</v>
      </c>
      <c r="H78" s="96">
        <v>2232735.29</v>
      </c>
    </row>
    <row r="79" spans="1:8" x14ac:dyDescent="0.25">
      <c r="A79" s="104" t="s">
        <v>1167</v>
      </c>
      <c r="H79" s="96">
        <v>8821169.8300000001</v>
      </c>
    </row>
    <row r="80" spans="1:8" x14ac:dyDescent="0.25">
      <c r="A80" s="104"/>
      <c r="H80" s="96"/>
    </row>
    <row r="81" spans="1:8" x14ac:dyDescent="0.25">
      <c r="A81" s="104" t="s">
        <v>712</v>
      </c>
      <c r="H81" s="96"/>
    </row>
    <row r="82" spans="1:8" ht="75" x14ac:dyDescent="0.25">
      <c r="A82" s="107" t="s">
        <v>711</v>
      </c>
      <c r="B82" s="107"/>
      <c r="C82" s="107"/>
      <c r="D82" s="107"/>
      <c r="E82" s="107"/>
      <c r="F82" s="107"/>
      <c r="G82" s="107"/>
      <c r="H82" s="96"/>
    </row>
    <row r="83" spans="1:8" x14ac:dyDescent="0.25">
      <c r="A83" s="115" t="s">
        <v>604</v>
      </c>
      <c r="B83" s="104" t="s">
        <v>1168</v>
      </c>
      <c r="C83" s="120">
        <v>0.19</v>
      </c>
      <c r="D83" s="104" t="s">
        <v>1949</v>
      </c>
      <c r="H83" s="96"/>
    </row>
    <row r="84" spans="1:8" x14ac:dyDescent="0.25">
      <c r="A84" s="2"/>
      <c r="B84" s="104"/>
      <c r="C84" s="120"/>
      <c r="D84" s="114" t="s">
        <v>23</v>
      </c>
      <c r="E84" s="104" t="s">
        <v>863</v>
      </c>
      <c r="F84" s="105">
        <v>42593</v>
      </c>
      <c r="G84" s="106"/>
      <c r="H84" s="96">
        <v>26273164.969999999</v>
      </c>
    </row>
    <row r="85" spans="1:8" x14ac:dyDescent="0.25">
      <c r="A85" s="2"/>
      <c r="B85" s="104"/>
      <c r="C85" s="120"/>
      <c r="D85" s="114" t="s">
        <v>103</v>
      </c>
      <c r="E85" s="104" t="s">
        <v>863</v>
      </c>
      <c r="F85" s="105">
        <v>42685</v>
      </c>
      <c r="G85" s="106" t="s">
        <v>1169</v>
      </c>
      <c r="H85" s="96">
        <v>2777386.05</v>
      </c>
    </row>
    <row r="86" spans="1:8" x14ac:dyDescent="0.25">
      <c r="A86" s="2"/>
      <c r="B86" s="104"/>
      <c r="C86" s="120"/>
      <c r="D86" s="114" t="s">
        <v>221</v>
      </c>
      <c r="E86" s="104" t="s">
        <v>863</v>
      </c>
      <c r="F86" s="105">
        <v>42803</v>
      </c>
      <c r="G86" s="106" t="s">
        <v>1266</v>
      </c>
      <c r="H86" s="96">
        <v>9018667.8699999992</v>
      </c>
    </row>
    <row r="87" spans="1:8" x14ac:dyDescent="0.25">
      <c r="A87" s="104" t="s">
        <v>1170</v>
      </c>
      <c r="H87" s="96">
        <v>38069218.890000001</v>
      </c>
    </row>
    <row r="88" spans="1:8" x14ac:dyDescent="0.25">
      <c r="A88" s="104"/>
      <c r="H88" s="96"/>
    </row>
    <row r="89" spans="1:8" x14ac:dyDescent="0.25">
      <c r="A89" s="104" t="s">
        <v>858</v>
      </c>
      <c r="H89" s="96"/>
    </row>
    <row r="90" spans="1:8" ht="30" x14ac:dyDescent="0.25">
      <c r="A90" s="107" t="s">
        <v>859</v>
      </c>
      <c r="B90" s="107"/>
      <c r="C90" s="107"/>
      <c r="D90" s="107"/>
      <c r="E90" s="107"/>
      <c r="F90" s="107"/>
      <c r="G90" s="107"/>
      <c r="H90" s="96"/>
    </row>
    <row r="91" spans="1:8" x14ac:dyDescent="0.25">
      <c r="A91" s="115" t="s">
        <v>860</v>
      </c>
      <c r="B91" s="104" t="s">
        <v>1526</v>
      </c>
      <c r="C91" s="120">
        <v>0.12</v>
      </c>
      <c r="D91" s="104" t="s">
        <v>2176</v>
      </c>
      <c r="H91" s="96"/>
    </row>
    <row r="92" spans="1:8" x14ac:dyDescent="0.25">
      <c r="A92" s="2"/>
      <c r="B92" s="104"/>
      <c r="C92" s="120"/>
      <c r="D92" s="114" t="s">
        <v>23</v>
      </c>
      <c r="E92" s="104" t="s">
        <v>863</v>
      </c>
      <c r="F92" s="105">
        <v>42626</v>
      </c>
      <c r="G92" s="106"/>
      <c r="H92" s="96">
        <v>8953602.5999999996</v>
      </c>
    </row>
    <row r="93" spans="1:8" x14ac:dyDescent="0.25">
      <c r="A93" s="2"/>
      <c r="B93" s="104"/>
      <c r="C93" s="120"/>
      <c r="D93" s="114" t="s">
        <v>103</v>
      </c>
      <c r="E93" s="104" t="s">
        <v>863</v>
      </c>
      <c r="F93" s="105">
        <v>42810</v>
      </c>
      <c r="G93" s="106" t="s">
        <v>1943</v>
      </c>
      <c r="H93" s="96">
        <v>95657.12</v>
      </c>
    </row>
    <row r="94" spans="1:8" x14ac:dyDescent="0.25">
      <c r="A94" s="2"/>
      <c r="B94" s="104"/>
      <c r="C94" s="120"/>
      <c r="D94" s="114" t="s">
        <v>221</v>
      </c>
      <c r="E94" s="104" t="s">
        <v>863</v>
      </c>
      <c r="F94" s="105">
        <v>42810</v>
      </c>
      <c r="G94" s="106" t="s">
        <v>1944</v>
      </c>
      <c r="H94" s="96">
        <v>1084185.75</v>
      </c>
    </row>
    <row r="95" spans="1:8" x14ac:dyDescent="0.25">
      <c r="A95" s="2"/>
      <c r="B95" s="104"/>
      <c r="C95" s="120"/>
      <c r="D95" s="114" t="s">
        <v>55</v>
      </c>
      <c r="E95" s="104" t="s">
        <v>870</v>
      </c>
      <c r="F95" s="105">
        <v>42748</v>
      </c>
      <c r="G95" s="106" t="s">
        <v>2177</v>
      </c>
      <c r="H95" s="96">
        <v>1279368.25</v>
      </c>
    </row>
    <row r="96" spans="1:8" x14ac:dyDescent="0.25">
      <c r="A96" s="104" t="s">
        <v>1527</v>
      </c>
      <c r="H96" s="96">
        <v>11412813.720000001</v>
      </c>
    </row>
    <row r="97" spans="1:8" x14ac:dyDescent="0.25">
      <c r="A97" s="104"/>
      <c r="H97" s="96"/>
    </row>
    <row r="98" spans="1:8" x14ac:dyDescent="0.25">
      <c r="A98" s="104" t="s">
        <v>804</v>
      </c>
      <c r="H98" s="96"/>
    </row>
    <row r="99" spans="1:8" ht="30" x14ac:dyDescent="0.25">
      <c r="A99" s="107" t="s">
        <v>801</v>
      </c>
      <c r="B99" s="107"/>
      <c r="C99" s="107"/>
      <c r="D99" s="107"/>
      <c r="E99" s="107"/>
      <c r="F99" s="107"/>
      <c r="G99" s="107"/>
      <c r="H99" s="96"/>
    </row>
    <row r="100" spans="1:8" x14ac:dyDescent="0.25">
      <c r="A100" s="115" t="s">
        <v>802</v>
      </c>
      <c r="B100" s="104" t="s">
        <v>1528</v>
      </c>
      <c r="C100" s="120">
        <v>0.31</v>
      </c>
      <c r="D100" s="104" t="s">
        <v>2537</v>
      </c>
      <c r="H100" s="96"/>
    </row>
    <row r="101" spans="1:8" x14ac:dyDescent="0.25">
      <c r="A101" s="2"/>
      <c r="B101" s="104"/>
      <c r="C101" s="120"/>
      <c r="D101" s="114" t="s">
        <v>23</v>
      </c>
      <c r="E101" s="104" t="s">
        <v>863</v>
      </c>
      <c r="F101" s="105">
        <v>42626</v>
      </c>
      <c r="G101" s="106"/>
      <c r="H101" s="96">
        <v>9881680.8100000005</v>
      </c>
    </row>
    <row r="102" spans="1:8" x14ac:dyDescent="0.25">
      <c r="A102" s="2"/>
      <c r="B102" s="104"/>
      <c r="C102" s="120"/>
      <c r="D102" s="114" t="s">
        <v>103</v>
      </c>
      <c r="E102" s="104" t="s">
        <v>863</v>
      </c>
      <c r="F102" s="105">
        <v>42732</v>
      </c>
      <c r="G102" s="106" t="s">
        <v>1945</v>
      </c>
      <c r="H102" s="96">
        <v>572516.37</v>
      </c>
    </row>
    <row r="103" spans="1:8" x14ac:dyDescent="0.25">
      <c r="A103" s="2"/>
      <c r="B103" s="104"/>
      <c r="C103" s="120"/>
      <c r="D103" s="114" t="s">
        <v>221</v>
      </c>
      <c r="E103" s="104" t="s">
        <v>863</v>
      </c>
      <c r="F103" s="105">
        <v>42732</v>
      </c>
      <c r="G103" s="106" t="s">
        <v>1538</v>
      </c>
      <c r="H103" s="96">
        <v>2123747.98</v>
      </c>
    </row>
    <row r="104" spans="1:8" x14ac:dyDescent="0.25">
      <c r="A104" s="2"/>
      <c r="B104" s="104"/>
      <c r="C104" s="120"/>
      <c r="D104" s="114" t="s">
        <v>55</v>
      </c>
      <c r="E104" s="104" t="s">
        <v>774</v>
      </c>
      <c r="F104" s="105">
        <v>42811</v>
      </c>
      <c r="G104" s="106" t="s">
        <v>2538</v>
      </c>
      <c r="H104" s="96">
        <v>234236.38</v>
      </c>
    </row>
    <row r="105" spans="1:8" x14ac:dyDescent="0.25">
      <c r="A105" s="104" t="s">
        <v>1529</v>
      </c>
      <c r="H105" s="96">
        <v>12812181.539999999</v>
      </c>
    </row>
    <row r="106" spans="1:8" x14ac:dyDescent="0.25">
      <c r="A106" s="104"/>
      <c r="H106" s="96"/>
    </row>
    <row r="107" spans="1:8" x14ac:dyDescent="0.25">
      <c r="A107" s="104" t="s">
        <v>813</v>
      </c>
      <c r="H107" s="96"/>
    </row>
    <row r="108" spans="1:8" ht="30" x14ac:dyDescent="0.25">
      <c r="A108" s="107" t="s">
        <v>815</v>
      </c>
      <c r="B108" s="107"/>
      <c r="C108" s="107"/>
      <c r="D108" s="107"/>
      <c r="E108" s="107"/>
      <c r="F108" s="107"/>
      <c r="G108" s="107"/>
      <c r="H108" s="96"/>
    </row>
    <row r="109" spans="1:8" x14ac:dyDescent="0.25">
      <c r="A109" s="115" t="s">
        <v>816</v>
      </c>
      <c r="B109" s="104" t="s">
        <v>1530</v>
      </c>
      <c r="C109" s="120">
        <v>0.22</v>
      </c>
      <c r="D109" s="104" t="s">
        <v>2087</v>
      </c>
      <c r="H109" s="96"/>
    </row>
    <row r="110" spans="1:8" x14ac:dyDescent="0.25">
      <c r="A110" s="2"/>
      <c r="B110" s="104"/>
      <c r="C110" s="120"/>
      <c r="D110" s="114" t="s">
        <v>23</v>
      </c>
      <c r="E110" s="104" t="s">
        <v>863</v>
      </c>
      <c r="F110" s="105">
        <v>42618</v>
      </c>
      <c r="G110" s="106"/>
      <c r="H110" s="96">
        <v>3869778.24</v>
      </c>
    </row>
    <row r="111" spans="1:8" x14ac:dyDescent="0.25">
      <c r="A111" s="2"/>
      <c r="B111" s="104"/>
      <c r="C111" s="120"/>
      <c r="D111" s="114" t="s">
        <v>103</v>
      </c>
      <c r="E111" s="104" t="s">
        <v>863</v>
      </c>
      <c r="F111" s="105">
        <v>42734</v>
      </c>
      <c r="G111" s="106" t="s">
        <v>2088</v>
      </c>
      <c r="H111" s="96">
        <v>1934889.11</v>
      </c>
    </row>
    <row r="112" spans="1:8" x14ac:dyDescent="0.25">
      <c r="A112" s="104" t="s">
        <v>1531</v>
      </c>
      <c r="H112" s="96">
        <v>5804667.3499999996</v>
      </c>
    </row>
    <row r="113" spans="1:8" x14ac:dyDescent="0.25">
      <c r="A113" s="104"/>
      <c r="H113" s="96"/>
    </row>
    <row r="114" spans="1:8" x14ac:dyDescent="0.25">
      <c r="A114" s="104" t="s">
        <v>814</v>
      </c>
      <c r="H114" s="96"/>
    </row>
    <row r="115" spans="1:8" ht="60" x14ac:dyDescent="0.25">
      <c r="A115" s="107" t="s">
        <v>819</v>
      </c>
      <c r="B115" s="107"/>
      <c r="C115" s="107"/>
      <c r="D115" s="107"/>
      <c r="E115" s="107"/>
      <c r="F115" s="107"/>
      <c r="G115" s="107"/>
      <c r="H115" s="96"/>
    </row>
    <row r="116" spans="1:8" x14ac:dyDescent="0.25">
      <c r="A116" s="115" t="s">
        <v>200</v>
      </c>
      <c r="B116" s="104" t="s">
        <v>1532</v>
      </c>
      <c r="C116" s="120">
        <v>0.68</v>
      </c>
      <c r="D116" s="104" t="s">
        <v>2189</v>
      </c>
      <c r="H116" s="96"/>
    </row>
    <row r="117" spans="1:8" x14ac:dyDescent="0.25">
      <c r="A117" s="2"/>
      <c r="B117" s="104"/>
      <c r="C117" s="120"/>
      <c r="D117" s="114" t="s">
        <v>23</v>
      </c>
      <c r="E117" s="104" t="s">
        <v>863</v>
      </c>
      <c r="F117" s="105">
        <v>42619</v>
      </c>
      <c r="G117" s="106"/>
      <c r="H117" s="96">
        <v>4411764.59</v>
      </c>
    </row>
    <row r="118" spans="1:8" x14ac:dyDescent="0.25">
      <c r="A118" s="2"/>
      <c r="B118" s="104"/>
      <c r="C118" s="120"/>
      <c r="D118" s="114" t="s">
        <v>103</v>
      </c>
      <c r="E118" s="104" t="s">
        <v>863</v>
      </c>
      <c r="F118" s="105">
        <v>42733</v>
      </c>
      <c r="G118" s="106" t="s">
        <v>1981</v>
      </c>
      <c r="H118" s="96">
        <v>712709.93</v>
      </c>
    </row>
    <row r="119" spans="1:8" x14ac:dyDescent="0.25">
      <c r="A119" s="2"/>
      <c r="B119" s="104"/>
      <c r="C119" s="120"/>
      <c r="D119" s="114" t="s">
        <v>221</v>
      </c>
      <c r="E119" s="104" t="s">
        <v>863</v>
      </c>
      <c r="F119" s="105">
        <v>42732</v>
      </c>
      <c r="G119" s="106" t="s">
        <v>1120</v>
      </c>
      <c r="H119" s="96">
        <v>2672780.88</v>
      </c>
    </row>
    <row r="120" spans="1:8" x14ac:dyDescent="0.25">
      <c r="A120" s="2"/>
      <c r="B120" s="104"/>
      <c r="C120" s="120"/>
      <c r="D120" s="114" t="s">
        <v>55</v>
      </c>
      <c r="E120" s="104" t="s">
        <v>863</v>
      </c>
      <c r="F120" s="105">
        <v>42732</v>
      </c>
      <c r="G120" s="106" t="s">
        <v>1982</v>
      </c>
      <c r="H120" s="96">
        <v>3741093.9</v>
      </c>
    </row>
    <row r="121" spans="1:8" x14ac:dyDescent="0.25">
      <c r="A121" s="104" t="s">
        <v>1533</v>
      </c>
      <c r="H121" s="96">
        <v>11538349.300000001</v>
      </c>
    </row>
    <row r="122" spans="1:8" x14ac:dyDescent="0.25">
      <c r="A122" s="104"/>
      <c r="H122" s="96"/>
    </row>
    <row r="123" spans="1:8" x14ac:dyDescent="0.25">
      <c r="A123" s="104" t="s">
        <v>992</v>
      </c>
      <c r="H123" s="96"/>
    </row>
    <row r="124" spans="1:8" ht="30" x14ac:dyDescent="0.25">
      <c r="A124" s="107" t="s">
        <v>993</v>
      </c>
      <c r="B124" s="107"/>
      <c r="C124" s="107"/>
      <c r="D124" s="107"/>
      <c r="E124" s="107"/>
      <c r="F124" s="107"/>
      <c r="G124" s="107"/>
      <c r="H124" s="96"/>
    </row>
    <row r="125" spans="1:8" x14ac:dyDescent="0.25">
      <c r="A125" s="115" t="s">
        <v>587</v>
      </c>
      <c r="B125" s="104" t="s">
        <v>1685</v>
      </c>
      <c r="C125" s="120">
        <v>0.63</v>
      </c>
      <c r="D125" s="104" t="s">
        <v>2312</v>
      </c>
      <c r="H125" s="96"/>
    </row>
    <row r="126" spans="1:8" x14ac:dyDescent="0.25">
      <c r="A126" s="2"/>
      <c r="B126" s="104"/>
      <c r="C126" s="120"/>
      <c r="D126" s="114" t="s">
        <v>23</v>
      </c>
      <c r="E126" s="104" t="s">
        <v>863</v>
      </c>
      <c r="F126" s="105">
        <v>42690</v>
      </c>
      <c r="G126" s="106"/>
      <c r="H126" s="96">
        <v>2123653.8199999998</v>
      </c>
    </row>
    <row r="127" spans="1:8" x14ac:dyDescent="0.25">
      <c r="A127" s="2"/>
      <c r="B127" s="104"/>
      <c r="C127" s="120"/>
      <c r="D127" s="114" t="s">
        <v>103</v>
      </c>
      <c r="E127" s="104" t="s">
        <v>863</v>
      </c>
      <c r="F127" s="105">
        <v>42732</v>
      </c>
      <c r="G127" s="106" t="s">
        <v>2089</v>
      </c>
      <c r="H127" s="96">
        <v>1954260.72</v>
      </c>
    </row>
    <row r="128" spans="1:8" x14ac:dyDescent="0.25">
      <c r="A128" s="2"/>
      <c r="B128" s="104"/>
      <c r="C128" s="120"/>
      <c r="D128" s="114" t="s">
        <v>221</v>
      </c>
      <c r="E128" s="104" t="s">
        <v>774</v>
      </c>
      <c r="F128" s="105">
        <v>42783</v>
      </c>
      <c r="G128" s="106" t="s">
        <v>2313</v>
      </c>
      <c r="H128" s="96">
        <v>1141753.69</v>
      </c>
    </row>
    <row r="129" spans="1:8" x14ac:dyDescent="0.25">
      <c r="A129" s="104" t="s">
        <v>1686</v>
      </c>
      <c r="H129" s="96">
        <v>5219668.2300000004</v>
      </c>
    </row>
    <row r="130" spans="1:8" x14ac:dyDescent="0.25">
      <c r="A130" s="104"/>
      <c r="H130" s="96"/>
    </row>
    <row r="131" spans="1:8" x14ac:dyDescent="0.25">
      <c r="A131" s="104" t="s">
        <v>800</v>
      </c>
      <c r="H131" s="96">
        <v>336321586.69999999</v>
      </c>
    </row>
  </sheetData>
  <printOptions horizontalCentered="1"/>
  <pageMargins left="0.51181102362204722" right="0.43307086614173229" top="1.1023622047244095" bottom="0.62992125984251968" header="0.51181102362204722" footer="0.35433070866141736"/>
  <pageSetup scale="65" fitToHeight="0" orientation="portrait" r:id="rId2"/>
  <headerFooter>
    <oddHeader>&amp;L&amp;G&amp;R&amp;12
&amp;"Calibri,Negrita"&amp;16DGEO&amp;"Calibri,Normal"&amp;12
PROYECTOS ESPECIFICOS 2016
&amp;D</oddHeader>
    <oddFooter>&amp;RHOJA &amp;P DE &amp;N</oddFoot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OBRAS</vt:lpstr>
      <vt:lpstr>SOLICITUD DE PAGO</vt:lpstr>
      <vt:lpstr>Hoja1</vt:lpstr>
      <vt:lpstr>AVANCE FINANCIERO 2016</vt:lpstr>
      <vt:lpstr>AVANCE FINANCIERO 2016 (2)</vt:lpstr>
      <vt:lpstr>TRAMITE DE ESTIMACIONES</vt:lpstr>
      <vt:lpstr>RESUMEN DE PAGOS</vt:lpstr>
      <vt:lpstr>CARRETERAS CREDITO</vt:lpstr>
      <vt:lpstr>PROYECTOS ESPECIFICOS</vt:lpstr>
      <vt:lpstr>FONDEN</vt:lpstr>
      <vt:lpstr>OBRAS PAV. PDR 2016</vt:lpstr>
      <vt:lpstr>CENTROS COMUNITARIOS </vt:lpstr>
      <vt:lpstr>SERVICIOS DE OBRA 2016</vt:lpstr>
      <vt:lpstr>JUZGADO</vt:lpstr>
      <vt:lpstr>OBRAS A VENCER MAR</vt:lpstr>
      <vt:lpstr>'RESUMEN DE PAGOS'!Área_de_impresión</vt:lpstr>
      <vt:lpstr>'CARRETERAS CREDITO'!Títulos_a_imprimir</vt:lpstr>
      <vt:lpstr>'CENTROS COMUNITARIOS '!Títulos_a_imprimir</vt:lpstr>
      <vt:lpstr>FONDEN!Títulos_a_imprimir</vt:lpstr>
      <vt:lpstr>JUZGADO!Títulos_a_imprimir</vt:lpstr>
      <vt:lpstr>'OBRAS A VENCER MAR'!Títulos_a_imprimir</vt:lpstr>
      <vt:lpstr>'OBRAS PAV. PDR 2016'!Títulos_a_imprimir</vt:lpstr>
      <vt:lpstr>'PROYECTOS ESPECIFICOS'!Títulos_a_imprimir</vt:lpstr>
      <vt:lpstr>'SERVICIOS DE OBRA 2016'!Títulos_a_imprimir</vt:lpstr>
      <vt:lpstr>'TRAMITE DE ESTIMACIONES'!Títulos_a_imprimir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 Durazo Valencia</dc:creator>
  <cp:lastModifiedBy>Cuauhtemoc Molina Carrillo</cp:lastModifiedBy>
  <cp:lastPrinted>2017-03-21T22:03:11Z</cp:lastPrinted>
  <dcterms:created xsi:type="dcterms:W3CDTF">2016-02-10T15:50:56Z</dcterms:created>
  <dcterms:modified xsi:type="dcterms:W3CDTF">2017-03-24T05:31:07Z</dcterms:modified>
</cp:coreProperties>
</file>