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proyectos\ciencia_de_datos\analisis_de_datos_con_microsoft_excel_y_power_bi\01_microsoft_excel\segunda_parte\"/>
    </mc:Choice>
  </mc:AlternateContent>
  <xr:revisionPtr revIDLastSave="0" documentId="13_ncr:1_{5D42B15C-9F46-401F-B200-E2D3658CB68F}" xr6:coauthVersionLast="47" xr6:coauthVersionMax="47" xr10:uidLastSave="{00000000-0000-0000-0000-000000000000}"/>
  <bookViews>
    <workbookView xWindow="-120" yWindow="-120" windowWidth="20730" windowHeight="11160" xr2:uid="{A973E3D5-D4DA-4BDE-91C0-FEBDA4F93B1D}"/>
  </bookViews>
  <sheets>
    <sheet name="Funciones de Texto" sheetId="1" r:id="rId1"/>
    <sheet name="Funcion SUMAR.SI" sheetId="2" r:id="rId2"/>
    <sheet name="Funcion SUMAR.SI.CONJUNTO" sheetId="3" r:id="rId3"/>
    <sheet name="Funcion SUMAPRODUCTO" sheetId="4" r:id="rId4"/>
    <sheet name="Funcion CONTAR.SI" sheetId="6" r:id="rId5"/>
    <sheet name="Funcion CONTAR.SI.CONJUNTO" sheetId="7" r:id="rId6"/>
    <sheet name="Funcion PROMEDIO.SI" sheetId="8" r:id="rId7"/>
    <sheet name="Correlación" sheetId="9" r:id="rId8"/>
    <sheet name="Correlación Inversa" sheetId="12" r:id="rId9"/>
    <sheet name="Desviación Estándar" sheetId="13" r:id="rId10"/>
    <sheet name="Función Crecimiento" sheetId="15" r:id="rId11"/>
    <sheet name="Función Tendencia" sheetId="16" r:id="rId12"/>
    <sheet name="Función Buscar" sheetId="17" r:id="rId13"/>
    <sheet name="Función BuscarH" sheetId="18" r:id="rId14"/>
    <sheet name="Función BuscarV" sheetId="20" r:id="rId15"/>
    <sheet name="Función Coincidir" sheetId="21" r:id="rId16"/>
    <sheet name="Función Desref" sheetId="23" r:id="rId17"/>
    <sheet name="Hoja A" sheetId="24" r:id="rId18"/>
    <sheet name="Hoja B" sheetId="25" r:id="rId19"/>
  </sheets>
  <definedNames>
    <definedName name="Pais1">'Funcion SUMAR.SI'!$C$5:$C$20</definedName>
    <definedName name="Pais2" localSheetId="2">'Funcion SUMAR.SI.CONJUNTO'!$C$5:$C$20</definedName>
    <definedName name="PrecioPromedio3">'Funcion SUMAPRODUCTO'!$F$5:$F$20</definedName>
    <definedName name="Producto3">'Funcion SUMAPRODUCTO'!$E$5:$E$20</definedName>
    <definedName name="Region">'Funcion SUMAR.SI'!$B$5:$B$20</definedName>
    <definedName name="Region2" localSheetId="2">'Funcion SUMAR.SI.CONJUNTO'!$B$5:$B$20</definedName>
    <definedName name="Region4">'Funcion CONTAR.SI'!$B$5:$B$20</definedName>
    <definedName name="Region5" localSheetId="5">'Funcion CONTAR.SI.CONJUNTO'!$B$5:$B$20</definedName>
    <definedName name="Region6" localSheetId="6">'Funcion PROMEDIO.SI'!$B$5:$B$20</definedName>
    <definedName name="SumaBeneficio">'Función Desref'!$F$5:$F$11</definedName>
    <definedName name="SumaBeneficioDesref">OFFSET('Función Desref'!$F$5,0,0,COUNTA('Función Desref'!$F:$F))</definedName>
    <definedName name="Variable1.1">'Funcion SUMAR.SI'!$H$7</definedName>
    <definedName name="Variable1.2">'Funcion SUMAR.SI'!$H$9</definedName>
    <definedName name="Variable1.3">'Funcion SUMAR.SI'!$H$12</definedName>
    <definedName name="Variable2.1">'Funcion SUMAR.SI.CONJUNTO'!$H$7</definedName>
    <definedName name="Variable2.2">'Funcion SUMAR.SI.CONJUNTO'!$H$8</definedName>
    <definedName name="Variable2.3">'Funcion SUMAR.SI.CONJUNTO'!$H$11</definedName>
    <definedName name="Variable2.4">'Funcion SUMAR.SI.CONJUNTO'!$H$12</definedName>
    <definedName name="Variable4.1">'Funcion CONTAR.SI'!$H$6</definedName>
    <definedName name="Variable4.2">'Funcion CONTAR.SI'!$H$8</definedName>
    <definedName name="Variable4.3">'Funcion CONTAR.SI'!$H$12</definedName>
    <definedName name="Variable5.1">'Funcion CONTAR.SI.CONJUNTO'!$H$6</definedName>
    <definedName name="Variable5.2">'Funcion CONTAR.SI.CONJUNTO'!$H$7</definedName>
    <definedName name="Variable6">'Funcion PROMEDIO.SI'!$H$6</definedName>
    <definedName name="Ventas1">'Funcion SUMAR.SI'!$D$5:$D$20</definedName>
    <definedName name="Ventas2" localSheetId="2">'Funcion SUMAR.SI.CONJUNTO'!$D$5:$D$20</definedName>
    <definedName name="Ventas4" localSheetId="4">'Funcion CONTAR.SI'!$D$5:$D$20</definedName>
    <definedName name="Ventas5" localSheetId="5">'Funcion CONTAR.SI.CONJUNTO'!$D$5:$D$20</definedName>
    <definedName name="Ventas6" localSheetId="6">'Funcion PROMEDIO.SI'!$D$5:$D$20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4" l="1"/>
  <c r="C19" i="24"/>
  <c r="D18" i="24"/>
  <c r="C18" i="24"/>
  <c r="D17" i="24"/>
  <c r="C17" i="24"/>
  <c r="D16" i="24"/>
  <c r="C16" i="24"/>
  <c r="D15" i="24"/>
  <c r="C15" i="24"/>
  <c r="D14" i="24"/>
  <c r="C14" i="24"/>
  <c r="D13" i="24"/>
  <c r="C13" i="24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C19" i="23"/>
  <c r="C18" i="23"/>
  <c r="C16" i="23"/>
  <c r="C15" i="23"/>
  <c r="C20" i="21"/>
  <c r="C15" i="21"/>
  <c r="C18" i="20"/>
  <c r="C19" i="20" s="1"/>
  <c r="C15" i="20"/>
  <c r="C13" i="18"/>
  <c r="C14" i="18" s="1"/>
  <c r="C10" i="18"/>
  <c r="G7" i="17"/>
  <c r="C27" i="16" a="1"/>
  <c r="C27" i="16" s="1"/>
  <c r="C26" i="16" a="1"/>
  <c r="C26" i="16" s="1"/>
  <c r="C25" i="16" a="1"/>
  <c r="C25" i="16" s="1"/>
  <c r="C25" i="15" a="1"/>
  <c r="C25" i="15" s="1"/>
  <c r="C26" i="15" s="1" a="1"/>
  <c r="C26" i="15" s="1"/>
  <c r="C27" i="15" s="1" a="1"/>
  <c r="C27" i="15" s="1"/>
  <c r="F30" i="13"/>
  <c r="E30" i="13"/>
  <c r="D30" i="13"/>
  <c r="C30" i="13"/>
  <c r="F29" i="13"/>
  <c r="E29" i="13"/>
  <c r="D29" i="13"/>
  <c r="C29" i="13"/>
  <c r="F28" i="13"/>
  <c r="E28" i="13"/>
  <c r="D28" i="13"/>
  <c r="C28" i="13"/>
  <c r="E9" i="12" l="1"/>
  <c r="E9" i="9"/>
  <c r="G6" i="8"/>
  <c r="G6" i="7"/>
  <c r="G5" i="7"/>
  <c r="G12" i="6"/>
  <c r="G8" i="6"/>
  <c r="G6" i="6"/>
  <c r="G11" i="3"/>
  <c r="G7" i="3"/>
  <c r="G6" i="3"/>
  <c r="G12" i="2"/>
  <c r="G9" i="2"/>
  <c r="G7" i="2"/>
  <c r="D11" i="1"/>
  <c r="D10" i="1"/>
  <c r="D9" i="1"/>
  <c r="D8" i="1"/>
  <c r="D7" i="1"/>
  <c r="D6" i="1"/>
  <c r="G5" i="8"/>
  <c r="G7" i="6" l="1"/>
  <c r="G5" i="6"/>
  <c r="E20" i="4" l="1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G8" i="2"/>
  <c r="G6" i="2"/>
  <c r="D20" i="1"/>
  <c r="D19" i="1"/>
  <c r="F9" i="1"/>
  <c r="F24" i="4" l="1"/>
  <c r="I13" i="4"/>
  <c r="I6" i="4"/>
  <c r="I14" i="4"/>
  <c r="I9" i="4"/>
  <c r="I17" i="4"/>
  <c r="I10" i="4"/>
  <c r="I18" i="4"/>
  <c r="I7" i="4"/>
  <c r="I11" i="4"/>
  <c r="I15" i="4"/>
  <c r="I19" i="4"/>
  <c r="I8" i="4"/>
  <c r="I12" i="4"/>
  <c r="I16" i="4"/>
  <c r="I20" i="4"/>
  <c r="I5" i="4"/>
  <c r="F23" i="4"/>
  <c r="H9" i="4"/>
  <c r="G9" i="4"/>
  <c r="H17" i="4"/>
  <c r="G17" i="4"/>
  <c r="H18" i="4"/>
  <c r="G18" i="4"/>
  <c r="H7" i="4"/>
  <c r="G7" i="4"/>
  <c r="H11" i="4"/>
  <c r="G11" i="4"/>
  <c r="H15" i="4"/>
  <c r="G15" i="4"/>
  <c r="H19" i="4"/>
  <c r="G19" i="4"/>
  <c r="H5" i="4"/>
  <c r="G5" i="4"/>
  <c r="H13" i="4"/>
  <c r="G13" i="4"/>
  <c r="H6" i="4"/>
  <c r="G6" i="4"/>
  <c r="H10" i="4"/>
  <c r="G10" i="4"/>
  <c r="H14" i="4"/>
  <c r="G14" i="4"/>
  <c r="H8" i="4"/>
  <c r="G8" i="4"/>
  <c r="H12" i="4"/>
  <c r="G12" i="4"/>
  <c r="H16" i="4"/>
  <c r="G16" i="4"/>
  <c r="H20" i="4"/>
  <c r="G20" i="4"/>
  <c r="I21" i="4" l="1"/>
  <c r="C23" i="2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<sst xmlns="http://schemas.openxmlformats.org/spreadsheetml/2006/main" count="484" uniqueCount="197">
  <si>
    <t>Funciones de Texto en Excel</t>
  </si>
  <si>
    <t>Función</t>
  </si>
  <si>
    <t>Texto</t>
  </si>
  <si>
    <t>Resultado</t>
  </si>
  <si>
    <t>Izquierda</t>
  </si>
  <si>
    <t>Derecha</t>
  </si>
  <si>
    <t>205/65 R 15 91 V</t>
  </si>
  <si>
    <t>Extrae</t>
  </si>
  <si>
    <t>TEJR861013</t>
  </si>
  <si>
    <t>Obtener Dominio</t>
  </si>
  <si>
    <t>Encontrar</t>
  </si>
  <si>
    <t>jcarloslive4@yahoo.com</t>
  </si>
  <si>
    <t>+ Complemento de Función extrae</t>
  </si>
  <si>
    <t>Largo</t>
  </si>
  <si>
    <t>TIC7010167J1</t>
  </si>
  <si>
    <t>Concatenar 1</t>
  </si>
  <si>
    <t>Juan Francisco</t>
  </si>
  <si>
    <t>Concatenar 2</t>
  </si>
  <si>
    <t>Pérez</t>
  </si>
  <si>
    <t>Concatenar 3</t>
  </si>
  <si>
    <t>Sánchez</t>
  </si>
  <si>
    <t>Ejemplo de un VIN Vehicular</t>
  </si>
  <si>
    <t>Ejemplo de RFC</t>
  </si>
  <si>
    <t xml:space="preserve">Largo </t>
  </si>
  <si>
    <t>PF</t>
  </si>
  <si>
    <t>MHER851013890</t>
  </si>
  <si>
    <t>PM</t>
  </si>
  <si>
    <t>1M8GDM9AXKP042788</t>
  </si>
  <si>
    <t>Funciones Matemáticas Avanzadas</t>
  </si>
  <si>
    <t>Region</t>
  </si>
  <si>
    <t>País</t>
  </si>
  <si>
    <t>Ventas</t>
  </si>
  <si>
    <t>America del Sur</t>
  </si>
  <si>
    <t>Argentina</t>
  </si>
  <si>
    <t>Función Sumar.Si</t>
  </si>
  <si>
    <t>Centro</t>
  </si>
  <si>
    <t>Panamá</t>
  </si>
  <si>
    <t>Suma de los Paises que vendieron más de 2millones</t>
  </si>
  <si>
    <t>Norteamérica</t>
  </si>
  <si>
    <t>México</t>
  </si>
  <si>
    <t>Suma de los Paises que vendieron Criterio Referenciado</t>
  </si>
  <si>
    <t>&lt;1500000</t>
  </si>
  <si>
    <t>Ingresar criterio</t>
  </si>
  <si>
    <t>Caribe</t>
  </si>
  <si>
    <t>Jamaica</t>
  </si>
  <si>
    <t>Suma de los Paises que vendieron Criterio Texto</t>
  </si>
  <si>
    <t>Colombia</t>
  </si>
  <si>
    <t>Suma de los Paises que vendieron Criterio Texto Referenciado</t>
  </si>
  <si>
    <t>USA</t>
  </si>
  <si>
    <t>Ingresar criterio de texto</t>
  </si>
  <si>
    <t>Función Sumar.Si ( Utilizando Rangos Definidos)</t>
  </si>
  <si>
    <t>Chile</t>
  </si>
  <si>
    <t>Ingresar criterio de texto País</t>
  </si>
  <si>
    <t>Puerto Rico</t>
  </si>
  <si>
    <t>Canadá</t>
  </si>
  <si>
    <t>&gt;1500000</t>
  </si>
  <si>
    <t>Función Sumar.Si.Conjunto</t>
  </si>
  <si>
    <t>Suma de los Paises de Centro  que vendieron más de 2millones</t>
  </si>
  <si>
    <t>Ingresar criterio 1</t>
  </si>
  <si>
    <t>&gt;2000000</t>
  </si>
  <si>
    <t>Ingresar criterio 2</t>
  </si>
  <si>
    <t>Función Sumar.Si.Conjunto ( Utilizando Rangos Definidos)</t>
  </si>
  <si>
    <t>Productos Aleatorio</t>
  </si>
  <si>
    <t>Precio Promedio x Producto</t>
  </si>
  <si>
    <t>Redondear</t>
  </si>
  <si>
    <t>Truncar</t>
  </si>
  <si>
    <t>SumaProducto</t>
  </si>
  <si>
    <t>SumaProducto 2</t>
  </si>
  <si>
    <t>Función Contar.Si</t>
  </si>
  <si>
    <t>Conteo de los Paises que vendieron más de 2millones</t>
  </si>
  <si>
    <t>Conteo de los Paises que vendieron Criterio Referenciado</t>
  </si>
  <si>
    <t>Conteo de los Paises que vendieron Criterio Texto</t>
  </si>
  <si>
    <t>Conteo de los Paises que vendieron Criterio Texto Referenciado</t>
  </si>
  <si>
    <t>Función Contar.Si ( Utilizando Rangos Definidos)</t>
  </si>
  <si>
    <t>&gt;2300000</t>
  </si>
  <si>
    <t>Función Contar.Si.Conjunto</t>
  </si>
  <si>
    <t>Conteo de los Paises que vendieron más de 2millones = Centro</t>
  </si>
  <si>
    <t>Función Promedio.Si</t>
  </si>
  <si>
    <t>Promedio de Venta de los Paises de la región Centro</t>
  </si>
  <si>
    <t>Promedio de Venta de los Paises de la región Centro ( Referenciado)</t>
  </si>
  <si>
    <t>Estatura</t>
  </si>
  <si>
    <t>Peso</t>
  </si>
  <si>
    <t>Calcular el Coeficiente de Correlación</t>
  </si>
  <si>
    <t>Coeficiente -1 Indica una correlación negativa</t>
  </si>
  <si>
    <t>Coeficiente -1 Indica una correlación positiva</t>
  </si>
  <si>
    <t>Ingresa el coeficiente de correlación entre la variable X y Y.</t>
  </si>
  <si>
    <t>Indica una correlación directamente proporcional</t>
  </si>
  <si>
    <t>Años de Uso</t>
  </si>
  <si>
    <t>Calidad Bateria</t>
  </si>
  <si>
    <t>Funciones Estadísticas Avanzadas</t>
  </si>
  <si>
    <t>Indica una correlación inversamente proporcional</t>
  </si>
  <si>
    <t>Alumno</t>
  </si>
  <si>
    <t>Español</t>
  </si>
  <si>
    <t>Matemáticas</t>
  </si>
  <si>
    <t>Biología</t>
  </si>
  <si>
    <t>Física</t>
  </si>
  <si>
    <t xml:space="preserve">Juan </t>
  </si>
  <si>
    <t>Paco</t>
  </si>
  <si>
    <t>Pedro</t>
  </si>
  <si>
    <t>Luis</t>
  </si>
  <si>
    <t>Luisa</t>
  </si>
  <si>
    <t>Andrea</t>
  </si>
  <si>
    <t>Carmen</t>
  </si>
  <si>
    <t>Ale</t>
  </si>
  <si>
    <t>Zaira</t>
  </si>
  <si>
    <t>Judith</t>
  </si>
  <si>
    <t>César</t>
  </si>
  <si>
    <t>Manuel</t>
  </si>
  <si>
    <t>Francisco</t>
  </si>
  <si>
    <t>Jose</t>
  </si>
  <si>
    <t>Jesús</t>
  </si>
  <si>
    <t>Lucero</t>
  </si>
  <si>
    <t>Claudia</t>
  </si>
  <si>
    <t>Teresa</t>
  </si>
  <si>
    <t>Santiago</t>
  </si>
  <si>
    <t>Carlos</t>
  </si>
  <si>
    <t>Angel</t>
  </si>
  <si>
    <t>Promedio</t>
  </si>
  <si>
    <t>Desviación Estándar</t>
  </si>
  <si>
    <t>Desviación Muestral</t>
  </si>
  <si>
    <t>Desviación Población</t>
  </si>
  <si>
    <t>Año</t>
  </si>
  <si>
    <t>$ Ventas</t>
  </si>
  <si>
    <t>Funciones de Búsqueda y Referencia</t>
  </si>
  <si>
    <t>Nombre</t>
  </si>
  <si>
    <t>Apellido</t>
  </si>
  <si>
    <t>Calificación</t>
  </si>
  <si>
    <t>Alonso</t>
  </si>
  <si>
    <t>Martinez</t>
  </si>
  <si>
    <t>Serna</t>
  </si>
  <si>
    <t>Cristobal</t>
  </si>
  <si>
    <t>Ortega</t>
  </si>
  <si>
    <t>Daniel</t>
  </si>
  <si>
    <t>Avila</t>
  </si>
  <si>
    <t>Diana</t>
  </si>
  <si>
    <t>Camacho</t>
  </si>
  <si>
    <t>Juárez</t>
  </si>
  <si>
    <t>Javier</t>
  </si>
  <si>
    <t>Medrano</t>
  </si>
  <si>
    <t>Jesus</t>
  </si>
  <si>
    <t>Sandoval</t>
  </si>
  <si>
    <t>Juan</t>
  </si>
  <si>
    <t>Introduce Valor a  Buscar</t>
  </si>
  <si>
    <t>Valor Resultado</t>
  </si>
  <si>
    <t>*Funcion Buscar = Ordenados A Z</t>
  </si>
  <si>
    <t>Numero Artículo</t>
  </si>
  <si>
    <t>Precio / Kg</t>
  </si>
  <si>
    <t>Inventario actual Kg</t>
  </si>
  <si>
    <t>Introducir Articulo</t>
  </si>
  <si>
    <t>Precio kg/g</t>
  </si>
  <si>
    <t>Cantidad de Kg a Vender</t>
  </si>
  <si>
    <t>Cantidad en Existencia</t>
  </si>
  <si>
    <t>Total Venta</t>
  </si>
  <si>
    <t>Tipo</t>
  </si>
  <si>
    <t>Alimento Animal</t>
  </si>
  <si>
    <t>Semilla</t>
  </si>
  <si>
    <t>Fertilizante</t>
  </si>
  <si>
    <t>Introducir Variable</t>
  </si>
  <si>
    <t>Posición Horizontal</t>
  </si>
  <si>
    <t>Buscar V</t>
  </si>
  <si>
    <t>Introducir Análisis</t>
  </si>
  <si>
    <t>Mes</t>
  </si>
  <si>
    <t>Día</t>
  </si>
  <si>
    <t>Precio</t>
  </si>
  <si>
    <t>Beneficio</t>
  </si>
  <si>
    <t>Introducir Fórmula</t>
  </si>
  <si>
    <t>Introducir Fórmula Inversa</t>
  </si>
  <si>
    <t>Suma Beneficio</t>
  </si>
  <si>
    <t>Suma BeneficioDesref</t>
  </si>
  <si>
    <t>=DESREF('Función Desref'!$F$6;0;0;CONTARA('Función Desref'!$F:$F))</t>
  </si>
  <si>
    <t>Cliente</t>
  </si>
  <si>
    <t>Compras</t>
  </si>
  <si>
    <t>Importe</t>
  </si>
  <si>
    <t>Alfredo</t>
  </si>
  <si>
    <t>Gómez</t>
  </si>
  <si>
    <t>Jose Luis</t>
  </si>
  <si>
    <t>Fabiola</t>
  </si>
  <si>
    <t>Reynoso</t>
  </si>
  <si>
    <t>Fatima</t>
  </si>
  <si>
    <t>López</t>
  </si>
  <si>
    <t>Ramón</t>
  </si>
  <si>
    <t>Rodríguez</t>
  </si>
  <si>
    <t>Raúl</t>
  </si>
  <si>
    <t>Fernández</t>
  </si>
  <si>
    <t>Felipe</t>
  </si>
  <si>
    <t>Martínez</t>
  </si>
  <si>
    <t>Tovar</t>
  </si>
  <si>
    <t>Ramírez</t>
  </si>
  <si>
    <t>Consuelo</t>
  </si>
  <si>
    <t>Meléndez</t>
  </si>
  <si>
    <t>Estefanía</t>
  </si>
  <si>
    <t>Nuñez</t>
  </si>
  <si>
    <t>Saira</t>
  </si>
  <si>
    <t>Hernández</t>
  </si>
  <si>
    <t>Ceci</t>
  </si>
  <si>
    <t>Elizabeht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</si>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</sst>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$-2C0A]\ #,##0"/>
    <numFmt numFmtId="165" formatCode="_-&quot;$&quot;* #,##0.00_-;\-&quot;$&quot;* #,##0.00_-;_-&quot;$&quot;* &quot;-&quot;??_-;_-@_-"/>
    <numFmt numFmtId="166" formatCode="_-&quot;$&quot;* #,##0_-;\-&quot;$&quot;* #,##0_-;_-&quot;$&quot;* &quot;-&quot;??_-;_-@_-"/>
    <numFmt numFmtId="167" formatCode="[$$-2C0A]\ #,##0;\-[$$-2C0A]\ #,##0"/>
    <numFmt numFmtId="168" formatCode="0.000"/>
    <numFmt numFmtId="173" formatCode="0.0"/>
    <numFmt numFmtId="174" formatCode="[$$-2C0A]\ 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3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5" borderId="1" xfId="0" applyFont="1" applyFill="1" applyBorder="1"/>
    <xf numFmtId="164" fontId="2" fillId="5" borderId="1" xfId="0" applyNumberFormat="1" applyFont="1" applyFill="1" applyBorder="1"/>
    <xf numFmtId="0" fontId="2" fillId="4" borderId="1" xfId="0" applyFont="1" applyFill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0" xfId="0" applyNumberFormat="1"/>
    <xf numFmtId="167" fontId="2" fillId="0" borderId="0" xfId="0" applyNumberFormat="1" applyFont="1"/>
    <xf numFmtId="164" fontId="2" fillId="3" borderId="1" xfId="0" applyNumberFormat="1" applyFont="1" applyFill="1" applyBorder="1"/>
    <xf numFmtId="1" fontId="0" fillId="5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/>
    </xf>
    <xf numFmtId="168" fontId="0" fillId="4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173" fontId="2" fillId="4" borderId="1" xfId="0" applyNumberFormat="1" applyFont="1" applyFill="1" applyBorder="1" applyAlignment="1">
      <alignment horizontal="center"/>
    </xf>
    <xf numFmtId="174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174" fontId="2" fillId="6" borderId="1" xfId="0" applyNumberFormat="1" applyFont="1" applyFill="1" applyBorder="1" applyAlignment="1">
      <alignment horizontal="center"/>
    </xf>
    <xf numFmtId="0" fontId="3" fillId="7" borderId="1" xfId="0" applyFont="1" applyFill="1" applyBorder="1"/>
    <xf numFmtId="1" fontId="0" fillId="6" borderId="0" xfId="0" applyNumberFormat="1" applyFill="1" applyAlignment="1">
      <alignment horizontal="left"/>
    </xf>
    <xf numFmtId="0" fontId="0" fillId="6" borderId="0" xfId="0" applyFill="1"/>
    <xf numFmtId="1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174" fontId="0" fillId="8" borderId="1" xfId="0" applyNumberFormat="1" applyFill="1" applyBorder="1" applyAlignment="1">
      <alignment horizontal="center"/>
    </xf>
    <xf numFmtId="0" fontId="1" fillId="7" borderId="1" xfId="0" applyFont="1" applyFill="1" applyBorder="1"/>
    <xf numFmtId="174" fontId="2" fillId="8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9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0" borderId="0" xfId="0" quotePrefix="1"/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Relación entre Estatura y Peso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Correlación!$C$4</c:f>
              <c:strCache>
                <c:ptCount val="1"/>
                <c:pt idx="0">
                  <c:v>Peso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Correlación!$B$5:$B$28</c:f>
              <c:numCache>
                <c:formatCode>General</c:formatCode>
                <c:ptCount val="24"/>
                <c:pt idx="0">
                  <c:v>1.8</c:v>
                </c:pt>
                <c:pt idx="1">
                  <c:v>1.35</c:v>
                </c:pt>
                <c:pt idx="2">
                  <c:v>1.32</c:v>
                </c:pt>
                <c:pt idx="3">
                  <c:v>1.56</c:v>
                </c:pt>
                <c:pt idx="4">
                  <c:v>1.6</c:v>
                </c:pt>
                <c:pt idx="5">
                  <c:v>1.6600000000000001</c:v>
                </c:pt>
                <c:pt idx="6">
                  <c:v>1.76</c:v>
                </c:pt>
                <c:pt idx="7">
                  <c:v>1.81</c:v>
                </c:pt>
                <c:pt idx="8">
                  <c:v>1.6400000000000001</c:v>
                </c:pt>
                <c:pt idx="9">
                  <c:v>1.62</c:v>
                </c:pt>
                <c:pt idx="10">
                  <c:v>1.63</c:v>
                </c:pt>
                <c:pt idx="11">
                  <c:v>1.88</c:v>
                </c:pt>
                <c:pt idx="12">
                  <c:v>1.8900000000000001</c:v>
                </c:pt>
                <c:pt idx="13">
                  <c:v>1.65</c:v>
                </c:pt>
                <c:pt idx="14">
                  <c:v>1.77</c:v>
                </c:pt>
                <c:pt idx="15">
                  <c:v>1.65</c:v>
                </c:pt>
                <c:pt idx="16">
                  <c:v>1.65</c:v>
                </c:pt>
                <c:pt idx="17">
                  <c:v>1.53</c:v>
                </c:pt>
                <c:pt idx="18">
                  <c:v>1.88</c:v>
                </c:pt>
                <c:pt idx="19">
                  <c:v>1.52</c:v>
                </c:pt>
                <c:pt idx="20">
                  <c:v>1.5</c:v>
                </c:pt>
                <c:pt idx="21">
                  <c:v>1.53</c:v>
                </c:pt>
                <c:pt idx="22">
                  <c:v>1.8</c:v>
                </c:pt>
                <c:pt idx="23">
                  <c:v>1.8399999999999999</c:v>
                </c:pt>
              </c:numCache>
            </c:numRef>
          </c:xVal>
          <c:yVal>
            <c:numRef>
              <c:f>Correlación!$C$5:$C$28</c:f>
              <c:numCache>
                <c:formatCode>General</c:formatCode>
                <c:ptCount val="24"/>
                <c:pt idx="0">
                  <c:v>82</c:v>
                </c:pt>
                <c:pt idx="1">
                  <c:v>38</c:v>
                </c:pt>
                <c:pt idx="2">
                  <c:v>27</c:v>
                </c:pt>
                <c:pt idx="3">
                  <c:v>51</c:v>
                </c:pt>
                <c:pt idx="4">
                  <c:v>56</c:v>
                </c:pt>
                <c:pt idx="5">
                  <c:v>65</c:v>
                </c:pt>
                <c:pt idx="6">
                  <c:v>73</c:v>
                </c:pt>
                <c:pt idx="7">
                  <c:v>83</c:v>
                </c:pt>
                <c:pt idx="8">
                  <c:v>69</c:v>
                </c:pt>
                <c:pt idx="9">
                  <c:v>65</c:v>
                </c:pt>
                <c:pt idx="10">
                  <c:v>64</c:v>
                </c:pt>
                <c:pt idx="11">
                  <c:v>89</c:v>
                </c:pt>
                <c:pt idx="12">
                  <c:v>93</c:v>
                </c:pt>
                <c:pt idx="13">
                  <c:v>67</c:v>
                </c:pt>
                <c:pt idx="14">
                  <c:v>75</c:v>
                </c:pt>
                <c:pt idx="15">
                  <c:v>67</c:v>
                </c:pt>
                <c:pt idx="16">
                  <c:v>60</c:v>
                </c:pt>
                <c:pt idx="17">
                  <c:v>55</c:v>
                </c:pt>
                <c:pt idx="18">
                  <c:v>92</c:v>
                </c:pt>
                <c:pt idx="19">
                  <c:v>48</c:v>
                </c:pt>
                <c:pt idx="20">
                  <c:v>45</c:v>
                </c:pt>
                <c:pt idx="21">
                  <c:v>58</c:v>
                </c:pt>
                <c:pt idx="22">
                  <c:v>80</c:v>
                </c:pt>
                <c:pt idx="23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0-4C63-9298-F645E6CCD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288176"/>
        <c:axId val="693286016"/>
      </c:scatterChart>
      <c:valAx>
        <c:axId val="69328817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3286016"/>
        <c:crosses val="autoZero"/>
        <c:crossBetween val="midCat"/>
      </c:valAx>
      <c:valAx>
        <c:axId val="69328601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328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Relación entre Vida Útil y Calidad de Batería</a:t>
            </a:r>
          </a:p>
        </c:rich>
      </c:tx>
      <c:layout>
        <c:manualLayout>
          <c:xMode val="edge"/>
          <c:yMode val="edge"/>
          <c:x val="0.12413888888888888"/>
          <c:y val="2.8622534874793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'Correlación Inversa'!$C$4</c:f>
              <c:strCache>
                <c:ptCount val="1"/>
                <c:pt idx="0">
                  <c:v>Calidad Bateria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'Correlación Inversa'!$B$5:$B$25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'Correlación Inversa'!$C$5:$C$25</c:f>
              <c:numCache>
                <c:formatCode>General</c:formatCode>
                <c:ptCount val="21"/>
                <c:pt idx="0">
                  <c:v>95</c:v>
                </c:pt>
                <c:pt idx="1">
                  <c:v>94</c:v>
                </c:pt>
                <c:pt idx="2">
                  <c:v>90</c:v>
                </c:pt>
                <c:pt idx="3">
                  <c:v>84</c:v>
                </c:pt>
                <c:pt idx="4">
                  <c:v>77</c:v>
                </c:pt>
                <c:pt idx="5">
                  <c:v>72</c:v>
                </c:pt>
                <c:pt idx="6">
                  <c:v>70</c:v>
                </c:pt>
                <c:pt idx="7">
                  <c:v>63</c:v>
                </c:pt>
                <c:pt idx="8">
                  <c:v>57</c:v>
                </c:pt>
                <c:pt idx="9">
                  <c:v>54</c:v>
                </c:pt>
                <c:pt idx="10">
                  <c:v>46</c:v>
                </c:pt>
                <c:pt idx="11">
                  <c:v>41</c:v>
                </c:pt>
                <c:pt idx="12">
                  <c:v>38</c:v>
                </c:pt>
                <c:pt idx="13">
                  <c:v>31</c:v>
                </c:pt>
                <c:pt idx="14">
                  <c:v>28</c:v>
                </c:pt>
                <c:pt idx="15">
                  <c:v>22</c:v>
                </c:pt>
                <c:pt idx="16">
                  <c:v>20</c:v>
                </c:pt>
                <c:pt idx="17">
                  <c:v>11</c:v>
                </c:pt>
                <c:pt idx="18">
                  <c:v>9</c:v>
                </c:pt>
                <c:pt idx="19">
                  <c:v>3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F2-4638-82D6-B6FA4D551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288176"/>
        <c:axId val="693286016"/>
      </c:scatterChart>
      <c:valAx>
        <c:axId val="6932881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Vida Útil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3286016"/>
        <c:crosses val="autoZero"/>
        <c:crossBetween val="midCat"/>
      </c:valAx>
      <c:valAx>
        <c:axId val="693286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Calidad</a:t>
                </a:r>
                <a:r>
                  <a:rPr lang="es-ES" baseline="0"/>
                  <a:t> de la Batería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328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'Función Crecimiento'!$C$4</c:f>
              <c:strCache>
                <c:ptCount val="1"/>
                <c:pt idx="0">
                  <c:v>$ Ventas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'Función Crecimiento'!$B$5:$B$27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'Función Crecimiento'!$C$5:$C$27</c:f>
              <c:numCache>
                <c:formatCode>[$$-2C0A]\ #,##0.00</c:formatCode>
                <c:ptCount val="23"/>
                <c:pt idx="0">
                  <c:v>144574</c:v>
                </c:pt>
                <c:pt idx="1">
                  <c:v>264819</c:v>
                </c:pt>
                <c:pt idx="2">
                  <c:v>278565</c:v>
                </c:pt>
                <c:pt idx="3">
                  <c:v>351907</c:v>
                </c:pt>
                <c:pt idx="4">
                  <c:v>351524</c:v>
                </c:pt>
                <c:pt idx="5">
                  <c:v>404772</c:v>
                </c:pt>
                <c:pt idx="6">
                  <c:v>433106.04000000004</c:v>
                </c:pt>
                <c:pt idx="7">
                  <c:v>416961</c:v>
                </c:pt>
                <c:pt idx="8">
                  <c:v>397222.11999999994</c:v>
                </c:pt>
                <c:pt idx="9">
                  <c:v>482596</c:v>
                </c:pt>
                <c:pt idx="10">
                  <c:v>489409.82520000002</c:v>
                </c:pt>
                <c:pt idx="11">
                  <c:v>516377.72000000003</c:v>
                </c:pt>
                <c:pt idx="12">
                  <c:v>448860.99559999991</c:v>
                </c:pt>
                <c:pt idx="13">
                  <c:v>552524.16040000005</c:v>
                </c:pt>
                <c:pt idx="14">
                  <c:v>553033.10247599997</c:v>
                </c:pt>
                <c:pt idx="15">
                  <c:v>583506.8236</c:v>
                </c:pt>
                <c:pt idx="16">
                  <c:v>507212.92502799985</c:v>
                </c:pt>
                <c:pt idx="17">
                  <c:v>624352.30125200003</c:v>
                </c:pt>
                <c:pt idx="18">
                  <c:v>542717.82977995987</c:v>
                </c:pt>
                <c:pt idx="19">
                  <c:v>668056.96233964013</c:v>
                </c:pt>
                <c:pt idx="20">
                  <c:v>740576.6293681392</c:v>
                </c:pt>
                <c:pt idx="21">
                  <c:v>728711.98010602605</c:v>
                </c:pt>
                <c:pt idx="22">
                  <c:v>747090.10362438671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7E-4560-80FB-002371169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051864"/>
        <c:axId val="858049344"/>
      </c:lineChart>
      <c:catAx>
        <c:axId val="858051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8049344"/>
        <c:crosses val="autoZero"/>
        <c:auto val="1"/>
        <c:lblAlgn val="ctr"/>
        <c:lblOffset val="100"/>
        <c:noMultiLvlLbl val="0"/>
      </c:catAx>
      <c:valAx>
        <c:axId val="8580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8051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'Función Tendencia'!$C$4</c:f>
              <c:strCache>
                <c:ptCount val="1"/>
                <c:pt idx="0">
                  <c:v>$ Ventas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'Función Tendencia'!$B$5:$B$27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'Función Tendencia'!$C$5:$C$27</c:f>
              <c:numCache>
                <c:formatCode>[$$-2C0A]\ #,##0.00</c:formatCode>
                <c:ptCount val="23"/>
                <c:pt idx="0">
                  <c:v>144574</c:v>
                </c:pt>
                <c:pt idx="1">
                  <c:v>264819</c:v>
                </c:pt>
                <c:pt idx="2">
                  <c:v>278565</c:v>
                </c:pt>
                <c:pt idx="3">
                  <c:v>351907</c:v>
                </c:pt>
                <c:pt idx="4">
                  <c:v>351524</c:v>
                </c:pt>
                <c:pt idx="5">
                  <c:v>404772</c:v>
                </c:pt>
                <c:pt idx="6">
                  <c:v>433106.04000000004</c:v>
                </c:pt>
                <c:pt idx="7">
                  <c:v>416961</c:v>
                </c:pt>
                <c:pt idx="8">
                  <c:v>397222.11999999994</c:v>
                </c:pt>
                <c:pt idx="9">
                  <c:v>482596</c:v>
                </c:pt>
                <c:pt idx="10">
                  <c:v>489409.82520000002</c:v>
                </c:pt>
                <c:pt idx="11">
                  <c:v>516377.72000000003</c:v>
                </c:pt>
                <c:pt idx="12">
                  <c:v>448860.99559999991</c:v>
                </c:pt>
                <c:pt idx="13">
                  <c:v>552524.16040000005</c:v>
                </c:pt>
                <c:pt idx="14">
                  <c:v>553033.10247599997</c:v>
                </c:pt>
                <c:pt idx="15">
                  <c:v>583506.8236</c:v>
                </c:pt>
                <c:pt idx="16">
                  <c:v>507212.92502799985</c:v>
                </c:pt>
                <c:pt idx="17">
                  <c:v>624352.30125200003</c:v>
                </c:pt>
                <c:pt idx="18">
                  <c:v>542717.82977995987</c:v>
                </c:pt>
                <c:pt idx="19">
                  <c:v>668056.96233964013</c:v>
                </c:pt>
                <c:pt idx="20">
                  <c:v>664726.87209489197</c:v>
                </c:pt>
                <c:pt idx="21">
                  <c:v>672116.09695056826</c:v>
                </c:pt>
                <c:pt idx="22">
                  <c:v>686693.33195483685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7-41B2-A3B8-B275C7937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051864"/>
        <c:axId val="858049344"/>
      </c:lineChart>
      <c:catAx>
        <c:axId val="858051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8049344"/>
        <c:crosses val="autoZero"/>
        <c:auto val="1"/>
        <c:lblAlgn val="ctr"/>
        <c:lblOffset val="100"/>
        <c:noMultiLvlLbl val="0"/>
      </c:catAx>
      <c:valAx>
        <c:axId val="8580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8051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4762</xdr:rowOff>
    </xdr:from>
    <xdr:to>
      <xdr:col>6</xdr:col>
      <xdr:colOff>276225</xdr:colOff>
      <xdr:row>25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DC7864-6B33-AC33-7BAB-3E58DD7E8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4762</xdr:rowOff>
    </xdr:from>
    <xdr:to>
      <xdr:col>6</xdr:col>
      <xdr:colOff>276225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480DBF-DFB9-4A96-B4E0-72E5B0138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1</xdr:row>
      <xdr:rowOff>119062</xdr:rowOff>
    </xdr:from>
    <xdr:to>
      <xdr:col>9</xdr:col>
      <xdr:colOff>619125</xdr:colOff>
      <xdr:row>16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41EB95-B488-8619-95C6-2AE4C400E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1</xdr:row>
      <xdr:rowOff>119062</xdr:rowOff>
    </xdr:from>
    <xdr:to>
      <xdr:col>9</xdr:col>
      <xdr:colOff>619125</xdr:colOff>
      <xdr:row>16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0D0E63-2671-4EF7-B303-779772501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carloslive4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58B8-E8C5-4A7C-B2A9-3933AEE02CD1}">
  <dimension ref="B2:F20"/>
  <sheetViews>
    <sheetView tabSelected="1" workbookViewId="0"/>
  </sheetViews>
  <sheetFormatPr baseColWidth="10" defaultRowHeight="15" x14ac:dyDescent="0.25"/>
  <cols>
    <col min="2" max="2" width="17.140625" customWidth="1"/>
    <col min="3" max="3" width="26.7109375" customWidth="1"/>
    <col min="4" max="4" width="21.5703125" customWidth="1"/>
    <col min="5" max="5" width="31.28515625" customWidth="1"/>
  </cols>
  <sheetData>
    <row r="2" spans="2:6" x14ac:dyDescent="0.25">
      <c r="B2" s="29" t="s">
        <v>0</v>
      </c>
      <c r="C2" s="29"/>
      <c r="D2" s="29"/>
      <c r="E2" s="29"/>
      <c r="F2" s="29"/>
    </row>
    <row r="5" spans="2:6" x14ac:dyDescent="0.25">
      <c r="B5" s="3" t="s">
        <v>1</v>
      </c>
      <c r="C5" s="3" t="s">
        <v>2</v>
      </c>
      <c r="D5" s="3" t="s">
        <v>3</v>
      </c>
    </row>
    <row r="6" spans="2:6" x14ac:dyDescent="0.25">
      <c r="B6" s="6" t="s">
        <v>4</v>
      </c>
      <c r="C6" s="7" t="s">
        <v>27</v>
      </c>
      <c r="D6" s="24" t="str">
        <f>LEFT(C6,1)</f>
        <v>1</v>
      </c>
    </row>
    <row r="7" spans="2:6" x14ac:dyDescent="0.25">
      <c r="B7" s="6" t="s">
        <v>5</v>
      </c>
      <c r="C7" s="7" t="s">
        <v>6</v>
      </c>
      <c r="D7" s="24" t="str">
        <f>RIGHT(C7,1)</f>
        <v>V</v>
      </c>
    </row>
    <row r="8" spans="2:6" x14ac:dyDescent="0.25">
      <c r="B8" s="6" t="s">
        <v>7</v>
      </c>
      <c r="C8" s="7" t="s">
        <v>8</v>
      </c>
      <c r="D8" s="24" t="str">
        <f>MID(C8,5,2)</f>
        <v>86</v>
      </c>
      <c r="F8" t="s">
        <v>9</v>
      </c>
    </row>
    <row r="9" spans="2:6" x14ac:dyDescent="0.25">
      <c r="B9" s="6" t="s">
        <v>10</v>
      </c>
      <c r="C9" s="8" t="s">
        <v>11</v>
      </c>
      <c r="D9" s="24">
        <f>FIND("@",C9,1)</f>
        <v>13</v>
      </c>
      <c r="E9" t="s">
        <v>12</v>
      </c>
      <c r="F9" s="1" t="str">
        <f>MID(C9,FIND("@",C9)+1,20)</f>
        <v>yahoo.com</v>
      </c>
    </row>
    <row r="10" spans="2:6" x14ac:dyDescent="0.25">
      <c r="B10" s="6" t="s">
        <v>13</v>
      </c>
      <c r="C10" s="7" t="s">
        <v>14</v>
      </c>
      <c r="D10" s="24">
        <f>LEN(C10)</f>
        <v>12</v>
      </c>
    </row>
    <row r="11" spans="2:6" x14ac:dyDescent="0.25">
      <c r="B11" s="6" t="s">
        <v>15</v>
      </c>
      <c r="C11" s="6" t="s">
        <v>16</v>
      </c>
      <c r="D11" s="30" t="str">
        <f>_xlfn.CONCAT(C11," ",C12," ",C13)</f>
        <v>Juan Francisco Pérez Sánchez</v>
      </c>
    </row>
    <row r="12" spans="2:6" x14ac:dyDescent="0.25">
      <c r="B12" s="6" t="s">
        <v>17</v>
      </c>
      <c r="C12" s="6" t="s">
        <v>18</v>
      </c>
      <c r="D12" s="31"/>
    </row>
    <row r="13" spans="2:6" x14ac:dyDescent="0.25">
      <c r="B13" s="6" t="s">
        <v>19</v>
      </c>
      <c r="C13" s="6" t="s">
        <v>20</v>
      </c>
      <c r="D13" s="32"/>
    </row>
    <row r="16" spans="2:6" x14ac:dyDescent="0.25">
      <c r="B16" t="s">
        <v>21</v>
      </c>
    </row>
    <row r="18" spans="2:4" x14ac:dyDescent="0.25">
      <c r="B18" s="2" t="s">
        <v>22</v>
      </c>
      <c r="D18" t="s">
        <v>23</v>
      </c>
    </row>
    <row r="19" spans="2:4" x14ac:dyDescent="0.25">
      <c r="B19" t="s">
        <v>24</v>
      </c>
      <c r="C19" t="s">
        <v>25</v>
      </c>
      <c r="D19" s="1" t="str">
        <f>IF(LEN(C19)=13,"Persona Física","Persona Moral")</f>
        <v>Persona Física</v>
      </c>
    </row>
    <row r="20" spans="2:4" x14ac:dyDescent="0.25">
      <c r="B20" t="s">
        <v>26</v>
      </c>
      <c r="C20" t="s">
        <v>14</v>
      </c>
      <c r="D20" s="1" t="str">
        <f>IF(LEN(C20)=13,"Persona Física","Persona Moral")</f>
        <v>Persona Moral</v>
      </c>
    </row>
  </sheetData>
  <mergeCells count="2">
    <mergeCell ref="B2:F2"/>
    <mergeCell ref="D11:D13"/>
  </mergeCells>
  <hyperlinks>
    <hyperlink ref="C9" r:id="rId1" xr:uid="{6345952B-4278-4C5D-8008-BD5A9E5315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E528-2EA0-4F19-9C43-66FA13F54EC5}">
  <dimension ref="B2:I20"/>
  <sheetViews>
    <sheetView workbookViewId="0"/>
  </sheetViews>
  <sheetFormatPr baseColWidth="10" defaultRowHeight="15" x14ac:dyDescent="0.25"/>
  <cols>
    <col min="2" max="2" width="15.7109375" customWidth="1"/>
    <col min="3" max="3" width="13.5703125" customWidth="1"/>
    <col min="4" max="4" width="14.85546875" customWidth="1"/>
    <col min="6" max="6" width="54.85546875" customWidth="1"/>
    <col min="7" max="7" width="15.140625" customWidth="1"/>
  </cols>
  <sheetData>
    <row r="2" spans="2:9" x14ac:dyDescent="0.25">
      <c r="B2" s="33" t="s">
        <v>28</v>
      </c>
      <c r="C2" s="33"/>
      <c r="D2" s="33"/>
    </row>
    <row r="4" spans="2:9" x14ac:dyDescent="0.25">
      <c r="B4" s="9" t="s">
        <v>29</v>
      </c>
      <c r="C4" s="9" t="s">
        <v>30</v>
      </c>
      <c r="D4" s="9" t="s">
        <v>31</v>
      </c>
    </row>
    <row r="5" spans="2:9" x14ac:dyDescent="0.25">
      <c r="B5" s="10" t="s">
        <v>32</v>
      </c>
      <c r="C5" s="10" t="s">
        <v>33</v>
      </c>
      <c r="D5" s="11">
        <v>1509986</v>
      </c>
      <c r="F5" s="12" t="s">
        <v>34</v>
      </c>
    </row>
    <row r="6" spans="2:9" x14ac:dyDescent="0.25">
      <c r="B6" s="10" t="s">
        <v>35</v>
      </c>
      <c r="C6" s="10" t="s">
        <v>36</v>
      </c>
      <c r="D6" s="11">
        <v>1662231</v>
      </c>
      <c r="F6" s="6" t="s">
        <v>37</v>
      </c>
      <c r="G6" s="13">
        <f>SUMIF(D5:D20,"&gt;2000000",D5:D20)</f>
        <v>6837764</v>
      </c>
    </row>
    <row r="7" spans="2:9" x14ac:dyDescent="0.25">
      <c r="B7" s="10" t="s">
        <v>38</v>
      </c>
      <c r="C7" s="10" t="s">
        <v>39</v>
      </c>
      <c r="D7" s="11">
        <v>1581053</v>
      </c>
      <c r="F7" s="6" t="s">
        <v>40</v>
      </c>
      <c r="G7" s="13">
        <f>SUMIF(D5:D20,Variable1.1,D5:D20)</f>
        <v>4334853</v>
      </c>
      <c r="H7" s="4" t="s">
        <v>41</v>
      </c>
      <c r="I7" t="s">
        <v>42</v>
      </c>
    </row>
    <row r="8" spans="2:9" x14ac:dyDescent="0.25">
      <c r="B8" s="10" t="s">
        <v>43</v>
      </c>
      <c r="C8" s="10" t="s">
        <v>44</v>
      </c>
      <c r="D8" s="11">
        <v>1930774</v>
      </c>
      <c r="F8" s="6" t="s">
        <v>45</v>
      </c>
      <c r="G8" s="13">
        <f ca="1">SUMIF(C5:C20,"México",D5:D19)</f>
        <v>3058681</v>
      </c>
    </row>
    <row r="9" spans="2:9" x14ac:dyDescent="0.25">
      <c r="B9" s="10" t="s">
        <v>32</v>
      </c>
      <c r="C9" s="10" t="s">
        <v>46</v>
      </c>
      <c r="D9" s="11">
        <v>1525991</v>
      </c>
      <c r="F9" s="6" t="s">
        <v>47</v>
      </c>
      <c r="G9" s="13">
        <f>SUMIF(C5:C20,Variable1.2,D5:D20)</f>
        <v>2442241</v>
      </c>
      <c r="H9" s="4" t="s">
        <v>48</v>
      </c>
      <c r="I9" t="s">
        <v>49</v>
      </c>
    </row>
    <row r="10" spans="2:9" x14ac:dyDescent="0.25">
      <c r="B10" s="10" t="s">
        <v>35</v>
      </c>
      <c r="C10" s="10" t="s">
        <v>36</v>
      </c>
      <c r="D10" s="11">
        <v>1774808</v>
      </c>
    </row>
    <row r="11" spans="2:9" x14ac:dyDescent="0.25">
      <c r="B11" s="10" t="s">
        <v>38</v>
      </c>
      <c r="C11" s="10" t="s">
        <v>39</v>
      </c>
      <c r="D11" s="11">
        <v>1477628</v>
      </c>
      <c r="F11" s="12" t="s">
        <v>50</v>
      </c>
    </row>
    <row r="12" spans="2:9" x14ac:dyDescent="0.25">
      <c r="B12" s="10" t="s">
        <v>43</v>
      </c>
      <c r="C12" s="10" t="s">
        <v>36</v>
      </c>
      <c r="D12" s="11">
        <v>2377066</v>
      </c>
      <c r="F12" s="6" t="s">
        <v>47</v>
      </c>
      <c r="G12" s="13">
        <f>SUMIF(Pais1,Variable1.3,Ventas1)</f>
        <v>1524627</v>
      </c>
      <c r="H12" s="4" t="s">
        <v>51</v>
      </c>
      <c r="I12" t="s">
        <v>52</v>
      </c>
    </row>
    <row r="13" spans="2:9" x14ac:dyDescent="0.25">
      <c r="B13" s="10" t="s">
        <v>32</v>
      </c>
      <c r="C13" s="10" t="s">
        <v>51</v>
      </c>
      <c r="D13" s="11">
        <v>1524627</v>
      </c>
    </row>
    <row r="14" spans="2:9" x14ac:dyDescent="0.25">
      <c r="B14" s="10" t="s">
        <v>35</v>
      </c>
      <c r="C14" s="10" t="s">
        <v>36</v>
      </c>
      <c r="D14" s="11">
        <v>1365010</v>
      </c>
    </row>
    <row r="15" spans="2:9" x14ac:dyDescent="0.25">
      <c r="B15" s="10" t="s">
        <v>38</v>
      </c>
      <c r="C15" s="10" t="s">
        <v>48</v>
      </c>
      <c r="D15" s="11">
        <v>2442241</v>
      </c>
    </row>
    <row r="16" spans="2:9" x14ac:dyDescent="0.25">
      <c r="B16" s="10" t="s">
        <v>43</v>
      </c>
      <c r="C16" s="10" t="s">
        <v>53</v>
      </c>
      <c r="D16" s="11">
        <v>2018457</v>
      </c>
    </row>
    <row r="17" spans="2:4" x14ac:dyDescent="0.25">
      <c r="B17" s="10" t="s">
        <v>32</v>
      </c>
      <c r="C17" s="10" t="s">
        <v>46</v>
      </c>
      <c r="D17" s="11">
        <v>1866018</v>
      </c>
    </row>
    <row r="18" spans="2:4" x14ac:dyDescent="0.25">
      <c r="B18" s="10" t="s">
        <v>35</v>
      </c>
      <c r="C18" s="10" t="s">
        <v>36</v>
      </c>
      <c r="D18" s="11">
        <v>1649492</v>
      </c>
    </row>
    <row r="19" spans="2:4" x14ac:dyDescent="0.25">
      <c r="B19" s="10" t="s">
        <v>38</v>
      </c>
      <c r="C19" s="10" t="s">
        <v>54</v>
      </c>
      <c r="D19" s="11">
        <v>1492215</v>
      </c>
    </row>
    <row r="20" spans="2:4" x14ac:dyDescent="0.25">
      <c r="B20" s="10" t="s">
        <v>43</v>
      </c>
      <c r="C20" s="10" t="s">
        <v>44</v>
      </c>
      <c r="D20" s="11">
        <v>1885272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440E-E0A2-4414-893E-B57E732575F5}">
  <dimension ref="B2:I20"/>
  <sheetViews>
    <sheetView workbookViewId="0"/>
  </sheetViews>
  <sheetFormatPr baseColWidth="10" defaultRowHeight="15" x14ac:dyDescent="0.25"/>
  <cols>
    <col min="2" max="2" width="15.7109375" customWidth="1"/>
    <col min="3" max="3" width="13.5703125" customWidth="1"/>
    <col min="4" max="4" width="14.85546875" customWidth="1"/>
    <col min="6" max="6" width="55.5703125" customWidth="1"/>
    <col min="7" max="7" width="15.140625" customWidth="1"/>
    <col min="9" max="9" width="18.5703125" customWidth="1"/>
  </cols>
  <sheetData>
    <row r="2" spans="2:9" x14ac:dyDescent="0.25">
      <c r="B2" s="33" t="s">
        <v>28</v>
      </c>
      <c r="C2" s="33"/>
      <c r="D2" s="33"/>
    </row>
    <row r="4" spans="2:9" x14ac:dyDescent="0.25">
      <c r="B4" s="9" t="s">
        <v>29</v>
      </c>
      <c r="C4" s="9" t="s">
        <v>30</v>
      </c>
      <c r="D4" s="9" t="s">
        <v>31</v>
      </c>
    </row>
    <row r="5" spans="2:9" x14ac:dyDescent="0.25">
      <c r="B5" s="10" t="s">
        <v>32</v>
      </c>
      <c r="C5" s="10" t="s">
        <v>33</v>
      </c>
      <c r="D5" s="11">
        <v>1509986</v>
      </c>
      <c r="F5" s="12" t="s">
        <v>56</v>
      </c>
    </row>
    <row r="6" spans="2:9" x14ac:dyDescent="0.25">
      <c r="B6" s="10" t="s">
        <v>35</v>
      </c>
      <c r="C6" s="10" t="s">
        <v>36</v>
      </c>
      <c r="D6" s="11">
        <v>1662231</v>
      </c>
      <c r="F6" s="6" t="s">
        <v>57</v>
      </c>
      <c r="G6" s="13">
        <f>SUMIFS(D5:D20,B5:B20,"Centro",D5:D20,"&gt;2000000")</f>
        <v>0</v>
      </c>
    </row>
    <row r="7" spans="2:9" x14ac:dyDescent="0.25">
      <c r="B7" s="10" t="s">
        <v>38</v>
      </c>
      <c r="C7" s="10" t="s">
        <v>39</v>
      </c>
      <c r="D7" s="11">
        <v>1581053</v>
      </c>
      <c r="F7" s="6" t="s">
        <v>40</v>
      </c>
      <c r="G7" s="13">
        <f>SUMIFS(Ventas2,Region2,Variable2.1,Ventas2,Variable2.2)</f>
        <v>4395523</v>
      </c>
      <c r="H7" s="4" t="s">
        <v>43</v>
      </c>
      <c r="I7" t="s">
        <v>58</v>
      </c>
    </row>
    <row r="8" spans="2:9" x14ac:dyDescent="0.25">
      <c r="B8" s="10" t="s">
        <v>43</v>
      </c>
      <c r="C8" s="10" t="s">
        <v>44</v>
      </c>
      <c r="D8" s="11">
        <v>1930774</v>
      </c>
      <c r="H8" s="4" t="s">
        <v>59</v>
      </c>
      <c r="I8" t="s">
        <v>60</v>
      </c>
    </row>
    <row r="9" spans="2:9" x14ac:dyDescent="0.25">
      <c r="B9" s="10" t="s">
        <v>32</v>
      </c>
      <c r="C9" s="10" t="s">
        <v>46</v>
      </c>
      <c r="D9" s="11">
        <v>1525991</v>
      </c>
    </row>
    <row r="10" spans="2:9" x14ac:dyDescent="0.25">
      <c r="B10" s="10" t="s">
        <v>35</v>
      </c>
      <c r="C10" s="10" t="s">
        <v>36</v>
      </c>
      <c r="D10" s="11">
        <v>1774808</v>
      </c>
      <c r="F10" s="12" t="s">
        <v>61</v>
      </c>
    </row>
    <row r="11" spans="2:9" x14ac:dyDescent="0.25">
      <c r="B11" s="10" t="s">
        <v>38</v>
      </c>
      <c r="C11" s="10" t="s">
        <v>39</v>
      </c>
      <c r="D11" s="11">
        <v>1477628</v>
      </c>
      <c r="F11" s="6" t="s">
        <v>47</v>
      </c>
      <c r="G11" s="13">
        <f>SUMIFS(Ventas2,Region2,Variable2.3,Ventas2,Variable2.4)</f>
        <v>6426622</v>
      </c>
      <c r="H11" s="4" t="s">
        <v>32</v>
      </c>
      <c r="I11" t="s">
        <v>58</v>
      </c>
    </row>
    <row r="12" spans="2:9" x14ac:dyDescent="0.25">
      <c r="B12" s="10" t="s">
        <v>43</v>
      </c>
      <c r="C12" s="10" t="s">
        <v>36</v>
      </c>
      <c r="D12" s="11">
        <v>2377066</v>
      </c>
      <c r="H12" s="4" t="s">
        <v>55</v>
      </c>
      <c r="I12" t="s">
        <v>60</v>
      </c>
    </row>
    <row r="13" spans="2:9" x14ac:dyDescent="0.25">
      <c r="B13" s="10" t="s">
        <v>32</v>
      </c>
      <c r="C13" s="10" t="s">
        <v>51</v>
      </c>
      <c r="D13" s="11">
        <v>1524627</v>
      </c>
    </row>
    <row r="14" spans="2:9" x14ac:dyDescent="0.25">
      <c r="B14" s="10" t="s">
        <v>35</v>
      </c>
      <c r="C14" s="10" t="s">
        <v>36</v>
      </c>
      <c r="D14" s="11">
        <v>1365010</v>
      </c>
    </row>
    <row r="15" spans="2:9" x14ac:dyDescent="0.25">
      <c r="B15" s="10" t="s">
        <v>38</v>
      </c>
      <c r="C15" s="10" t="s">
        <v>48</v>
      </c>
      <c r="D15" s="11">
        <v>2442241</v>
      </c>
    </row>
    <row r="16" spans="2:9" x14ac:dyDescent="0.25">
      <c r="B16" s="10" t="s">
        <v>43</v>
      </c>
      <c r="C16" s="10" t="s">
        <v>53</v>
      </c>
      <c r="D16" s="11">
        <v>2018457</v>
      </c>
    </row>
    <row r="17" spans="2:4" x14ac:dyDescent="0.25">
      <c r="B17" s="10" t="s">
        <v>32</v>
      </c>
      <c r="C17" s="10" t="s">
        <v>46</v>
      </c>
      <c r="D17" s="11">
        <v>1866018</v>
      </c>
    </row>
    <row r="18" spans="2:4" x14ac:dyDescent="0.25">
      <c r="B18" s="10" t="s">
        <v>35</v>
      </c>
      <c r="C18" s="10" t="s">
        <v>36</v>
      </c>
      <c r="D18" s="11">
        <v>1649492</v>
      </c>
    </row>
    <row r="19" spans="2:4" x14ac:dyDescent="0.25">
      <c r="B19" s="10" t="s">
        <v>38</v>
      </c>
      <c r="C19" s="10" t="s">
        <v>54</v>
      </c>
      <c r="D19" s="11">
        <v>1492215</v>
      </c>
    </row>
    <row r="20" spans="2:4" x14ac:dyDescent="0.25">
      <c r="B20" s="10" t="s">
        <v>43</v>
      </c>
      <c r="C20" s="10" t="s">
        <v>44</v>
      </c>
      <c r="D20" s="11">
        <v>1885272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C9C6-CD88-4AE2-8010-C4F4BC108A4C}">
  <dimension ref="B2:I24"/>
  <sheetViews>
    <sheetView workbookViewId="0"/>
  </sheetViews>
  <sheetFormatPr baseColWidth="10" defaultRowHeight="15" x14ac:dyDescent="0.25"/>
  <cols>
    <col min="2" max="2" width="18.28515625" customWidth="1"/>
    <col min="3" max="3" width="15.5703125" customWidth="1"/>
    <col min="4" max="4" width="15" customWidth="1"/>
    <col min="5" max="5" width="18.85546875" bestFit="1" customWidth="1"/>
    <col min="6" max="6" width="26.140625" bestFit="1" customWidth="1"/>
    <col min="7" max="7" width="13.7109375" customWidth="1"/>
    <col min="8" max="8" width="15.140625" customWidth="1"/>
    <col min="9" max="9" width="15.5703125" bestFit="1" customWidth="1"/>
  </cols>
  <sheetData>
    <row r="2" spans="2:9" x14ac:dyDescent="0.25">
      <c r="B2" s="34" t="s">
        <v>28</v>
      </c>
      <c r="C2" s="34"/>
      <c r="D2" s="34"/>
      <c r="E2" s="34"/>
      <c r="F2" s="34"/>
      <c r="G2" s="34"/>
      <c r="H2" s="34"/>
    </row>
    <row r="4" spans="2:9" x14ac:dyDescent="0.25">
      <c r="B4" s="14" t="s">
        <v>29</v>
      </c>
      <c r="C4" s="14" t="s">
        <v>30</v>
      </c>
      <c r="D4" s="14" t="s">
        <v>31</v>
      </c>
      <c r="E4" s="14" t="s">
        <v>62</v>
      </c>
      <c r="F4" s="14" t="s">
        <v>63</v>
      </c>
      <c r="G4" s="14" t="s">
        <v>64</v>
      </c>
      <c r="H4" s="14" t="s">
        <v>65</v>
      </c>
    </row>
    <row r="5" spans="2:9" x14ac:dyDescent="0.25">
      <c r="B5" s="10" t="s">
        <v>32</v>
      </c>
      <c r="C5" s="10" t="s">
        <v>33</v>
      </c>
      <c r="D5" s="11">
        <v>1509986</v>
      </c>
      <c r="E5" s="15">
        <f ca="1">RANDBETWEEN(100,500)</f>
        <v>414</v>
      </c>
      <c r="F5" s="16">
        <f ca="1">D5/E5</f>
        <v>3647.3091787439612</v>
      </c>
      <c r="G5" s="17">
        <f ca="1">ROUND(F5,0)</f>
        <v>3647</v>
      </c>
      <c r="H5" s="17">
        <f ca="1">TRUNC(F5,0)</f>
        <v>3647</v>
      </c>
      <c r="I5" s="18">
        <f ca="1">+E5*F5</f>
        <v>1509986</v>
      </c>
    </row>
    <row r="6" spans="2:9" x14ac:dyDescent="0.25">
      <c r="B6" s="10" t="s">
        <v>35</v>
      </c>
      <c r="C6" s="10" t="s">
        <v>36</v>
      </c>
      <c r="D6" s="11">
        <v>1662231</v>
      </c>
      <c r="E6" s="15">
        <f t="shared" ref="E6:E20" ca="1" si="0">RANDBETWEEN(100,500)</f>
        <v>227</v>
      </c>
      <c r="F6" s="16">
        <f t="shared" ref="F6:F20" ca="1" si="1">D6/E6</f>
        <v>7322.6035242290745</v>
      </c>
      <c r="G6" s="17">
        <f t="shared" ref="G6:G20" ca="1" si="2">ROUND(F6,0)</f>
        <v>7323</v>
      </c>
      <c r="H6" s="17">
        <f t="shared" ref="H6:H20" ca="1" si="3">TRUNC(F6,0)</f>
        <v>7322</v>
      </c>
      <c r="I6" s="18">
        <f t="shared" ref="I6:I20" ca="1" si="4">+E6*F6</f>
        <v>1662231</v>
      </c>
    </row>
    <row r="7" spans="2:9" x14ac:dyDescent="0.25">
      <c r="B7" s="10" t="s">
        <v>38</v>
      </c>
      <c r="C7" s="10" t="s">
        <v>39</v>
      </c>
      <c r="D7" s="11">
        <v>1581053</v>
      </c>
      <c r="E7" s="15">
        <f t="shared" ca="1" si="0"/>
        <v>120</v>
      </c>
      <c r="F7" s="16">
        <f t="shared" ca="1" si="1"/>
        <v>13175.441666666668</v>
      </c>
      <c r="G7" s="17">
        <f t="shared" ca="1" si="2"/>
        <v>13175</v>
      </c>
      <c r="H7" s="17">
        <f t="shared" ca="1" si="3"/>
        <v>13175</v>
      </c>
      <c r="I7" s="18">
        <f t="shared" ca="1" si="4"/>
        <v>1581053</v>
      </c>
    </row>
    <row r="8" spans="2:9" x14ac:dyDescent="0.25">
      <c r="B8" s="10" t="s">
        <v>43</v>
      </c>
      <c r="C8" s="10" t="s">
        <v>44</v>
      </c>
      <c r="D8" s="11">
        <v>1930774</v>
      </c>
      <c r="E8" s="15">
        <f t="shared" ca="1" si="0"/>
        <v>474</v>
      </c>
      <c r="F8" s="16">
        <f t="shared" ca="1" si="1"/>
        <v>4073.3628691983122</v>
      </c>
      <c r="G8" s="17">
        <f t="shared" ca="1" si="2"/>
        <v>4073</v>
      </c>
      <c r="H8" s="17">
        <f t="shared" ca="1" si="3"/>
        <v>4073</v>
      </c>
      <c r="I8" s="18">
        <f t="shared" ca="1" si="4"/>
        <v>1930774</v>
      </c>
    </row>
    <row r="9" spans="2:9" x14ac:dyDescent="0.25">
      <c r="B9" s="10" t="s">
        <v>32</v>
      </c>
      <c r="C9" s="10" t="s">
        <v>46</v>
      </c>
      <c r="D9" s="11">
        <v>1525991</v>
      </c>
      <c r="E9" s="15">
        <f t="shared" ca="1" si="0"/>
        <v>210</v>
      </c>
      <c r="F9" s="16">
        <f t="shared" ca="1" si="1"/>
        <v>7266.6238095238095</v>
      </c>
      <c r="G9" s="17">
        <f t="shared" ca="1" si="2"/>
        <v>7267</v>
      </c>
      <c r="H9" s="17">
        <f t="shared" ca="1" si="3"/>
        <v>7266</v>
      </c>
      <c r="I9" s="18">
        <f t="shared" ca="1" si="4"/>
        <v>1525991</v>
      </c>
    </row>
    <row r="10" spans="2:9" x14ac:dyDescent="0.25">
      <c r="B10" s="10" t="s">
        <v>35</v>
      </c>
      <c r="C10" s="10" t="s">
        <v>36</v>
      </c>
      <c r="D10" s="11">
        <v>1774808</v>
      </c>
      <c r="E10" s="15">
        <f t="shared" ca="1" si="0"/>
        <v>120</v>
      </c>
      <c r="F10" s="16">
        <f t="shared" ca="1" si="1"/>
        <v>14790.066666666668</v>
      </c>
      <c r="G10" s="17">
        <f t="shared" ca="1" si="2"/>
        <v>14790</v>
      </c>
      <c r="H10" s="17">
        <f t="shared" ca="1" si="3"/>
        <v>14790</v>
      </c>
      <c r="I10" s="18">
        <f t="shared" ca="1" si="4"/>
        <v>1774808</v>
      </c>
    </row>
    <row r="11" spans="2:9" x14ac:dyDescent="0.25">
      <c r="B11" s="10" t="s">
        <v>38</v>
      </c>
      <c r="C11" s="10" t="s">
        <v>39</v>
      </c>
      <c r="D11" s="11">
        <v>1477628</v>
      </c>
      <c r="E11" s="15">
        <f t="shared" ca="1" si="0"/>
        <v>470</v>
      </c>
      <c r="F11" s="16">
        <f t="shared" ca="1" si="1"/>
        <v>3143.8893617021276</v>
      </c>
      <c r="G11" s="17">
        <f t="shared" ca="1" si="2"/>
        <v>3144</v>
      </c>
      <c r="H11" s="17">
        <f t="shared" ca="1" si="3"/>
        <v>3143</v>
      </c>
      <c r="I11" s="18">
        <f t="shared" ca="1" si="4"/>
        <v>1477628</v>
      </c>
    </row>
    <row r="12" spans="2:9" x14ac:dyDescent="0.25">
      <c r="B12" s="10" t="s">
        <v>43</v>
      </c>
      <c r="C12" s="10" t="s">
        <v>36</v>
      </c>
      <c r="D12" s="11">
        <v>2377066</v>
      </c>
      <c r="E12" s="15">
        <f t="shared" ca="1" si="0"/>
        <v>352</v>
      </c>
      <c r="F12" s="16">
        <f t="shared" ca="1" si="1"/>
        <v>6753.028409090909</v>
      </c>
      <c r="G12" s="17">
        <f t="shared" ca="1" si="2"/>
        <v>6753</v>
      </c>
      <c r="H12" s="17">
        <f t="shared" ca="1" si="3"/>
        <v>6753</v>
      </c>
      <c r="I12" s="18">
        <f t="shared" ca="1" si="4"/>
        <v>2377066</v>
      </c>
    </row>
    <row r="13" spans="2:9" x14ac:dyDescent="0.25">
      <c r="B13" s="10" t="s">
        <v>32</v>
      </c>
      <c r="C13" s="10" t="s">
        <v>51</v>
      </c>
      <c r="D13" s="11">
        <v>1524627</v>
      </c>
      <c r="E13" s="15">
        <f t="shared" ca="1" si="0"/>
        <v>221</v>
      </c>
      <c r="F13" s="16">
        <f t="shared" ca="1" si="1"/>
        <v>6898.7647058823532</v>
      </c>
      <c r="G13" s="17">
        <f t="shared" ca="1" si="2"/>
        <v>6899</v>
      </c>
      <c r="H13" s="17">
        <f t="shared" ca="1" si="3"/>
        <v>6898</v>
      </c>
      <c r="I13" s="18">
        <f t="shared" ca="1" si="4"/>
        <v>1524627</v>
      </c>
    </row>
    <row r="14" spans="2:9" x14ac:dyDescent="0.25">
      <c r="B14" s="10" t="s">
        <v>35</v>
      </c>
      <c r="C14" s="10" t="s">
        <v>36</v>
      </c>
      <c r="D14" s="11">
        <v>1365010</v>
      </c>
      <c r="E14" s="15">
        <f t="shared" ca="1" si="0"/>
        <v>467</v>
      </c>
      <c r="F14" s="16">
        <f t="shared" ca="1" si="1"/>
        <v>2922.9336188436832</v>
      </c>
      <c r="G14" s="17">
        <f t="shared" ca="1" si="2"/>
        <v>2923</v>
      </c>
      <c r="H14" s="17">
        <f t="shared" ca="1" si="3"/>
        <v>2922</v>
      </c>
      <c r="I14" s="18">
        <f t="shared" ca="1" si="4"/>
        <v>1365010</v>
      </c>
    </row>
    <row r="15" spans="2:9" x14ac:dyDescent="0.25">
      <c r="B15" s="10" t="s">
        <v>38</v>
      </c>
      <c r="C15" s="10" t="s">
        <v>48</v>
      </c>
      <c r="D15" s="11">
        <v>2442241</v>
      </c>
      <c r="E15" s="15">
        <f t="shared" ca="1" si="0"/>
        <v>262</v>
      </c>
      <c r="F15" s="16">
        <f t="shared" ca="1" si="1"/>
        <v>9321.5305343511445</v>
      </c>
      <c r="G15" s="17">
        <f t="shared" ca="1" si="2"/>
        <v>9322</v>
      </c>
      <c r="H15" s="17">
        <f t="shared" ca="1" si="3"/>
        <v>9321</v>
      </c>
      <c r="I15" s="18">
        <f t="shared" ca="1" si="4"/>
        <v>2442241</v>
      </c>
    </row>
    <row r="16" spans="2:9" x14ac:dyDescent="0.25">
      <c r="B16" s="10" t="s">
        <v>43</v>
      </c>
      <c r="C16" s="10" t="s">
        <v>53</v>
      </c>
      <c r="D16" s="11">
        <v>2018457</v>
      </c>
      <c r="E16" s="15">
        <f t="shared" ca="1" si="0"/>
        <v>207</v>
      </c>
      <c r="F16" s="16">
        <f t="shared" ca="1" si="1"/>
        <v>9751</v>
      </c>
      <c r="G16" s="17">
        <f t="shared" ca="1" si="2"/>
        <v>9751</v>
      </c>
      <c r="H16" s="17">
        <f t="shared" ca="1" si="3"/>
        <v>9751</v>
      </c>
      <c r="I16" s="18">
        <f t="shared" ca="1" si="4"/>
        <v>2018457</v>
      </c>
    </row>
    <row r="17" spans="2:9" x14ac:dyDescent="0.25">
      <c r="B17" s="10" t="s">
        <v>32</v>
      </c>
      <c r="C17" s="10" t="s">
        <v>46</v>
      </c>
      <c r="D17" s="11">
        <v>1866018</v>
      </c>
      <c r="E17" s="15">
        <f t="shared" ca="1" si="0"/>
        <v>239</v>
      </c>
      <c r="F17" s="16">
        <f t="shared" ca="1" si="1"/>
        <v>7807.6066945606699</v>
      </c>
      <c r="G17" s="17">
        <f t="shared" ca="1" si="2"/>
        <v>7808</v>
      </c>
      <c r="H17" s="17">
        <f t="shared" ca="1" si="3"/>
        <v>7807</v>
      </c>
      <c r="I17" s="18">
        <f t="shared" ca="1" si="4"/>
        <v>1866018</v>
      </c>
    </row>
    <row r="18" spans="2:9" x14ac:dyDescent="0.25">
      <c r="B18" s="10" t="s">
        <v>35</v>
      </c>
      <c r="C18" s="10" t="s">
        <v>36</v>
      </c>
      <c r="D18" s="11">
        <v>1649492</v>
      </c>
      <c r="E18" s="15">
        <f t="shared" ca="1" si="0"/>
        <v>211</v>
      </c>
      <c r="F18" s="16">
        <f t="shared" ca="1" si="1"/>
        <v>7817.4976303317535</v>
      </c>
      <c r="G18" s="17">
        <f t="shared" ca="1" si="2"/>
        <v>7817</v>
      </c>
      <c r="H18" s="17">
        <f t="shared" ca="1" si="3"/>
        <v>7817</v>
      </c>
      <c r="I18" s="18">
        <f t="shared" ca="1" si="4"/>
        <v>1649492</v>
      </c>
    </row>
    <row r="19" spans="2:9" x14ac:dyDescent="0.25">
      <c r="B19" s="10" t="s">
        <v>38</v>
      </c>
      <c r="C19" s="10" t="s">
        <v>54</v>
      </c>
      <c r="D19" s="11">
        <v>1492215</v>
      </c>
      <c r="E19" s="15">
        <f t="shared" ca="1" si="0"/>
        <v>419</v>
      </c>
      <c r="F19" s="16">
        <f t="shared" ca="1" si="1"/>
        <v>3561.3723150357996</v>
      </c>
      <c r="G19" s="17">
        <f t="shared" ca="1" si="2"/>
        <v>3561</v>
      </c>
      <c r="H19" s="17">
        <f t="shared" ca="1" si="3"/>
        <v>3561</v>
      </c>
      <c r="I19" s="18">
        <f t="shared" ca="1" si="4"/>
        <v>1492215</v>
      </c>
    </row>
    <row r="20" spans="2:9" x14ac:dyDescent="0.25">
      <c r="B20" s="10" t="s">
        <v>43</v>
      </c>
      <c r="C20" s="10" t="s">
        <v>44</v>
      </c>
      <c r="D20" s="11">
        <v>1885272</v>
      </c>
      <c r="E20" s="15">
        <f t="shared" ca="1" si="0"/>
        <v>118</v>
      </c>
      <c r="F20" s="16">
        <f t="shared" ca="1" si="1"/>
        <v>15976.881355932202</v>
      </c>
      <c r="G20" s="17">
        <f t="shared" ca="1" si="2"/>
        <v>15977</v>
      </c>
      <c r="H20" s="17">
        <f t="shared" ca="1" si="3"/>
        <v>15976</v>
      </c>
      <c r="I20" s="18">
        <f t="shared" ca="1" si="4"/>
        <v>1885272</v>
      </c>
    </row>
    <row r="21" spans="2:9" x14ac:dyDescent="0.25">
      <c r="I21" s="19">
        <f ca="1">SUM(I5:I20)</f>
        <v>28082869</v>
      </c>
    </row>
    <row r="23" spans="2:9" x14ac:dyDescent="0.25">
      <c r="E23" s="14" t="s">
        <v>66</v>
      </c>
      <c r="F23" s="20">
        <f ca="1">SUMPRODUCT(E5:E20,F5:F20)</f>
        <v>28082869</v>
      </c>
    </row>
    <row r="24" spans="2:9" x14ac:dyDescent="0.25">
      <c r="E24" s="14" t="s">
        <v>67</v>
      </c>
      <c r="F24" s="20">
        <f ca="1">SUMPRODUCT(Producto3,PrecioPromedio3)</f>
        <v>28082869</v>
      </c>
    </row>
  </sheetData>
  <mergeCells count="1"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3EB5-0233-45BA-8166-58C6C33FF031}">
  <dimension ref="B2:I20"/>
  <sheetViews>
    <sheetView workbookViewId="0"/>
  </sheetViews>
  <sheetFormatPr baseColWidth="10" defaultRowHeight="15" x14ac:dyDescent="0.25"/>
  <cols>
    <col min="2" max="2" width="18.28515625" customWidth="1"/>
    <col min="3" max="3" width="15.5703125" customWidth="1"/>
    <col min="4" max="4" width="15" customWidth="1"/>
    <col min="6" max="6" width="59.28515625" customWidth="1"/>
    <col min="8" max="8" width="14.7109375" bestFit="1" customWidth="1"/>
  </cols>
  <sheetData>
    <row r="2" spans="2:9" x14ac:dyDescent="0.25">
      <c r="B2" s="34" t="s">
        <v>28</v>
      </c>
      <c r="C2" s="34"/>
      <c r="D2" s="34"/>
    </row>
    <row r="4" spans="2:9" x14ac:dyDescent="0.25">
      <c r="B4" s="14" t="s">
        <v>29</v>
      </c>
      <c r="C4" s="14" t="s">
        <v>30</v>
      </c>
      <c r="D4" s="14" t="s">
        <v>31</v>
      </c>
      <c r="F4" s="12" t="s">
        <v>68</v>
      </c>
    </row>
    <row r="5" spans="2:9" x14ac:dyDescent="0.25">
      <c r="B5" s="10" t="s">
        <v>32</v>
      </c>
      <c r="C5" s="10" t="s">
        <v>33</v>
      </c>
      <c r="D5" s="11">
        <v>1509986</v>
      </c>
      <c r="F5" s="6" t="s">
        <v>69</v>
      </c>
      <c r="G5" s="21">
        <f>COUNTIF(D5:D20,"&gt;2000000")</f>
        <v>3</v>
      </c>
    </row>
    <row r="6" spans="2:9" x14ac:dyDescent="0.25">
      <c r="B6" s="10" t="s">
        <v>35</v>
      </c>
      <c r="C6" s="10" t="s">
        <v>36</v>
      </c>
      <c r="D6" s="11">
        <v>1662231</v>
      </c>
      <c r="F6" s="6" t="s">
        <v>70</v>
      </c>
      <c r="G6" s="21">
        <f>COUNTIF(D5:D20,Variable4.1)</f>
        <v>2</v>
      </c>
      <c r="H6" s="4" t="s">
        <v>74</v>
      </c>
      <c r="I6" t="s">
        <v>42</v>
      </c>
    </row>
    <row r="7" spans="2:9" x14ac:dyDescent="0.25">
      <c r="B7" s="10" t="s">
        <v>38</v>
      </c>
      <c r="C7" s="10" t="s">
        <v>39</v>
      </c>
      <c r="D7" s="11">
        <v>1581053</v>
      </c>
      <c r="F7" s="6" t="s">
        <v>71</v>
      </c>
      <c r="G7" s="21">
        <f>COUNTIF(B5:B20,"Caribe")</f>
        <v>4</v>
      </c>
    </row>
    <row r="8" spans="2:9" x14ac:dyDescent="0.25">
      <c r="B8" s="10" t="s">
        <v>43</v>
      </c>
      <c r="C8" s="10" t="s">
        <v>44</v>
      </c>
      <c r="D8" s="11">
        <v>1930774</v>
      </c>
      <c r="F8" s="6" t="s">
        <v>72</v>
      </c>
      <c r="G8" s="21">
        <f>COUNTIF(B5:B20,Variable4.2)</f>
        <v>4</v>
      </c>
      <c r="H8" s="4" t="s">
        <v>32</v>
      </c>
      <c r="I8" t="s">
        <v>49</v>
      </c>
    </row>
    <row r="9" spans="2:9" x14ac:dyDescent="0.25">
      <c r="B9" s="10" t="s">
        <v>32</v>
      </c>
      <c r="C9" s="10" t="s">
        <v>46</v>
      </c>
      <c r="D9" s="11">
        <v>1525991</v>
      </c>
    </row>
    <row r="10" spans="2:9" x14ac:dyDescent="0.25">
      <c r="B10" s="10" t="s">
        <v>35</v>
      </c>
      <c r="C10" s="10" t="s">
        <v>36</v>
      </c>
      <c r="D10" s="11">
        <v>1774808</v>
      </c>
    </row>
    <row r="11" spans="2:9" x14ac:dyDescent="0.25">
      <c r="B11" s="10" t="s">
        <v>38</v>
      </c>
      <c r="C11" s="10" t="s">
        <v>39</v>
      </c>
      <c r="D11" s="11">
        <v>1477628</v>
      </c>
      <c r="F11" s="12" t="s">
        <v>73</v>
      </c>
    </row>
    <row r="12" spans="2:9" x14ac:dyDescent="0.25">
      <c r="B12" s="10" t="s">
        <v>43</v>
      </c>
      <c r="C12" s="10" t="s">
        <v>36</v>
      </c>
      <c r="D12" s="11">
        <v>2377066</v>
      </c>
      <c r="F12" s="6" t="s">
        <v>72</v>
      </c>
      <c r="G12" s="21">
        <f>COUNTIF(Region4,Variable4.3)</f>
        <v>4</v>
      </c>
      <c r="H12" s="4" t="s">
        <v>38</v>
      </c>
      <c r="I12" t="s">
        <v>52</v>
      </c>
    </row>
    <row r="13" spans="2:9" x14ac:dyDescent="0.25">
      <c r="B13" s="10" t="s">
        <v>32</v>
      </c>
      <c r="C13" s="10" t="s">
        <v>51</v>
      </c>
      <c r="D13" s="11">
        <v>1524627</v>
      </c>
    </row>
    <row r="14" spans="2:9" x14ac:dyDescent="0.25">
      <c r="B14" s="10" t="s">
        <v>35</v>
      </c>
      <c r="C14" s="10" t="s">
        <v>36</v>
      </c>
      <c r="D14" s="11">
        <v>1365010</v>
      </c>
    </row>
    <row r="15" spans="2:9" x14ac:dyDescent="0.25">
      <c r="B15" s="10" t="s">
        <v>38</v>
      </c>
      <c r="C15" s="10" t="s">
        <v>48</v>
      </c>
      <c r="D15" s="11">
        <v>2442241</v>
      </c>
    </row>
    <row r="16" spans="2:9" x14ac:dyDescent="0.25">
      <c r="B16" s="10" t="s">
        <v>43</v>
      </c>
      <c r="C16" s="10" t="s">
        <v>53</v>
      </c>
      <c r="D16" s="11">
        <v>2018457</v>
      </c>
    </row>
    <row r="17" spans="2:4" x14ac:dyDescent="0.25">
      <c r="B17" s="10" t="s">
        <v>32</v>
      </c>
      <c r="C17" s="10" t="s">
        <v>46</v>
      </c>
      <c r="D17" s="11">
        <v>1866018</v>
      </c>
    </row>
    <row r="18" spans="2:4" x14ac:dyDescent="0.25">
      <c r="B18" s="10" t="s">
        <v>35</v>
      </c>
      <c r="C18" s="10" t="s">
        <v>36</v>
      </c>
      <c r="D18" s="11">
        <v>1649492</v>
      </c>
    </row>
    <row r="19" spans="2:4" x14ac:dyDescent="0.25">
      <c r="B19" s="10" t="s">
        <v>38</v>
      </c>
      <c r="C19" s="10" t="s">
        <v>54</v>
      </c>
      <c r="D19" s="11">
        <v>1492215</v>
      </c>
    </row>
    <row r="20" spans="2:4" x14ac:dyDescent="0.25">
      <c r="B20" s="10" t="s">
        <v>43</v>
      </c>
      <c r="C20" s="10" t="s">
        <v>44</v>
      </c>
      <c r="D20" s="11">
        <v>1885272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8839-C3E2-48EC-B04D-341F0F18CF0F}">
  <dimension ref="B2:I20"/>
  <sheetViews>
    <sheetView workbookViewId="0"/>
  </sheetViews>
  <sheetFormatPr baseColWidth="10" defaultRowHeight="15" x14ac:dyDescent="0.25"/>
  <cols>
    <col min="2" max="2" width="18.28515625" customWidth="1"/>
    <col min="3" max="3" width="15.5703125" customWidth="1"/>
    <col min="4" max="4" width="15" customWidth="1"/>
    <col min="6" max="6" width="59.28515625" customWidth="1"/>
    <col min="8" max="8" width="14.7109375" bestFit="1" customWidth="1"/>
  </cols>
  <sheetData>
    <row r="2" spans="2:9" x14ac:dyDescent="0.25">
      <c r="B2" s="34" t="s">
        <v>28</v>
      </c>
      <c r="C2" s="34"/>
      <c r="D2" s="34"/>
    </row>
    <row r="4" spans="2:9" x14ac:dyDescent="0.25">
      <c r="B4" s="14" t="s">
        <v>29</v>
      </c>
      <c r="C4" s="14" t="s">
        <v>30</v>
      </c>
      <c r="D4" s="14" t="s">
        <v>31</v>
      </c>
      <c r="F4" s="12" t="s">
        <v>75</v>
      </c>
    </row>
    <row r="5" spans="2:9" x14ac:dyDescent="0.25">
      <c r="B5" s="10" t="s">
        <v>32</v>
      </c>
      <c r="C5" s="10" t="s">
        <v>33</v>
      </c>
      <c r="D5" s="11">
        <v>1509986</v>
      </c>
      <c r="F5" s="6" t="s">
        <v>76</v>
      </c>
      <c r="G5" s="21">
        <f>COUNTIFS(Ventas5,"&gt;2000000",Region5,"Caribe")</f>
        <v>2</v>
      </c>
    </row>
    <row r="6" spans="2:9" x14ac:dyDescent="0.25">
      <c r="B6" s="10" t="s">
        <v>35</v>
      </c>
      <c r="C6" s="10" t="s">
        <v>36</v>
      </c>
      <c r="D6" s="11">
        <v>1662231</v>
      </c>
      <c r="F6" s="6" t="s">
        <v>70</v>
      </c>
      <c r="G6" s="21">
        <f>COUNTIFS(Ventas5,Variable5.1,Region5,Variable5.2)</f>
        <v>2</v>
      </c>
      <c r="H6" s="4" t="s">
        <v>59</v>
      </c>
      <c r="I6" t="s">
        <v>42</v>
      </c>
    </row>
    <row r="7" spans="2:9" x14ac:dyDescent="0.25">
      <c r="B7" s="10" t="s">
        <v>38</v>
      </c>
      <c r="C7" s="10" t="s">
        <v>39</v>
      </c>
      <c r="D7" s="11">
        <v>1581053</v>
      </c>
      <c r="H7" s="4" t="s">
        <v>43</v>
      </c>
      <c r="I7" t="s">
        <v>42</v>
      </c>
    </row>
    <row r="8" spans="2:9" x14ac:dyDescent="0.25">
      <c r="B8" s="10" t="s">
        <v>43</v>
      </c>
      <c r="C8" s="10" t="s">
        <v>44</v>
      </c>
      <c r="D8" s="11">
        <v>1930774</v>
      </c>
    </row>
    <row r="9" spans="2:9" x14ac:dyDescent="0.25">
      <c r="B9" s="10" t="s">
        <v>32</v>
      </c>
      <c r="C9" s="10" t="s">
        <v>46</v>
      </c>
      <c r="D9" s="11">
        <v>1525991</v>
      </c>
    </row>
    <row r="10" spans="2:9" x14ac:dyDescent="0.25">
      <c r="B10" s="10" t="s">
        <v>35</v>
      </c>
      <c r="C10" s="10" t="s">
        <v>36</v>
      </c>
      <c r="D10" s="11">
        <v>1774808</v>
      </c>
    </row>
    <row r="11" spans="2:9" x14ac:dyDescent="0.25">
      <c r="B11" s="10" t="s">
        <v>38</v>
      </c>
      <c r="C11" s="10" t="s">
        <v>39</v>
      </c>
      <c r="D11" s="11">
        <v>1477628</v>
      </c>
    </row>
    <row r="12" spans="2:9" x14ac:dyDescent="0.25">
      <c r="B12" s="10" t="s">
        <v>43</v>
      </c>
      <c r="C12" s="10" t="s">
        <v>36</v>
      </c>
      <c r="D12" s="11">
        <v>2377066</v>
      </c>
    </row>
    <row r="13" spans="2:9" x14ac:dyDescent="0.25">
      <c r="B13" s="10" t="s">
        <v>32</v>
      </c>
      <c r="C13" s="10" t="s">
        <v>51</v>
      </c>
      <c r="D13" s="11">
        <v>1524627</v>
      </c>
    </row>
    <row r="14" spans="2:9" x14ac:dyDescent="0.25">
      <c r="B14" s="10" t="s">
        <v>35</v>
      </c>
      <c r="C14" s="10" t="s">
        <v>36</v>
      </c>
      <c r="D14" s="11">
        <v>1365010</v>
      </c>
    </row>
    <row r="15" spans="2:9" x14ac:dyDescent="0.25">
      <c r="B15" s="10" t="s">
        <v>38</v>
      </c>
      <c r="C15" s="10" t="s">
        <v>48</v>
      </c>
      <c r="D15" s="11">
        <v>2442241</v>
      </c>
    </row>
    <row r="16" spans="2:9" x14ac:dyDescent="0.25">
      <c r="B16" s="10" t="s">
        <v>43</v>
      </c>
      <c r="C16" s="10" t="s">
        <v>53</v>
      </c>
      <c r="D16" s="11">
        <v>2018457</v>
      </c>
    </row>
    <row r="17" spans="2:4" x14ac:dyDescent="0.25">
      <c r="B17" s="10" t="s">
        <v>32</v>
      </c>
      <c r="C17" s="10" t="s">
        <v>46</v>
      </c>
      <c r="D17" s="11">
        <v>1866018</v>
      </c>
    </row>
    <row r="18" spans="2:4" x14ac:dyDescent="0.25">
      <c r="B18" s="10" t="s">
        <v>35</v>
      </c>
      <c r="C18" s="10" t="s">
        <v>36</v>
      </c>
      <c r="D18" s="11">
        <v>1649492</v>
      </c>
    </row>
    <row r="19" spans="2:4" x14ac:dyDescent="0.25">
      <c r="B19" s="10" t="s">
        <v>38</v>
      </c>
      <c r="C19" s="10" t="s">
        <v>54</v>
      </c>
      <c r="D19" s="11">
        <v>1492215</v>
      </c>
    </row>
    <row r="20" spans="2:4" x14ac:dyDescent="0.25">
      <c r="B20" s="10" t="s">
        <v>43</v>
      </c>
      <c r="C20" s="10" t="s">
        <v>44</v>
      </c>
      <c r="D20" s="11">
        <v>1885272</v>
      </c>
    </row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9506-F701-4168-BAC2-8B0CB54A3EEF}">
  <dimension ref="B2:I20"/>
  <sheetViews>
    <sheetView workbookViewId="0"/>
  </sheetViews>
  <sheetFormatPr baseColWidth="10" defaultRowHeight="15" x14ac:dyDescent="0.25"/>
  <cols>
    <col min="2" max="2" width="18.28515625" customWidth="1"/>
    <col min="3" max="3" width="15.5703125" customWidth="1"/>
    <col min="4" max="4" width="15" customWidth="1"/>
    <col min="6" max="6" width="60.42578125" customWidth="1"/>
    <col min="7" max="7" width="22.5703125" customWidth="1"/>
    <col min="8" max="8" width="14.7109375" bestFit="1" customWidth="1"/>
  </cols>
  <sheetData>
    <row r="2" spans="2:9" x14ac:dyDescent="0.25">
      <c r="B2" s="34" t="s">
        <v>28</v>
      </c>
      <c r="C2" s="34"/>
      <c r="D2" s="34"/>
    </row>
    <row r="4" spans="2:9" x14ac:dyDescent="0.25">
      <c r="B4" s="14" t="s">
        <v>29</v>
      </c>
      <c r="C4" s="14" t="s">
        <v>30</v>
      </c>
      <c r="D4" s="14" t="s">
        <v>31</v>
      </c>
      <c r="F4" s="12" t="s">
        <v>77</v>
      </c>
    </row>
    <row r="5" spans="2:9" x14ac:dyDescent="0.25">
      <c r="B5" s="10" t="s">
        <v>32</v>
      </c>
      <c r="C5" s="10" t="s">
        <v>33</v>
      </c>
      <c r="D5" s="11">
        <v>1509986</v>
      </c>
      <c r="F5" s="6" t="s">
        <v>78</v>
      </c>
      <c r="G5" s="23">
        <f>AVERAGEIF(Region6,"Centro",Ventas6)</f>
        <v>1612885.25</v>
      </c>
    </row>
    <row r="6" spans="2:9" x14ac:dyDescent="0.25">
      <c r="B6" s="10" t="s">
        <v>35</v>
      </c>
      <c r="C6" s="10" t="s">
        <v>36</v>
      </c>
      <c r="D6" s="11">
        <v>1662231</v>
      </c>
      <c r="F6" s="6" t="s">
        <v>79</v>
      </c>
      <c r="G6" s="23">
        <f>IFERROR(AVERAGEIF(Region6,Variable6,Ventas6),"Falta ingresar un criterio")</f>
        <v>1748284.25</v>
      </c>
      <c r="H6" s="4" t="s">
        <v>38</v>
      </c>
      <c r="I6" t="s">
        <v>42</v>
      </c>
    </row>
    <row r="7" spans="2:9" x14ac:dyDescent="0.25">
      <c r="B7" s="10" t="s">
        <v>38</v>
      </c>
      <c r="C7" s="10" t="s">
        <v>39</v>
      </c>
      <c r="D7" s="11">
        <v>1581053</v>
      </c>
    </row>
    <row r="8" spans="2:9" x14ac:dyDescent="0.25">
      <c r="B8" s="10" t="s">
        <v>43</v>
      </c>
      <c r="C8" s="10" t="s">
        <v>44</v>
      </c>
      <c r="D8" s="11">
        <v>1930774</v>
      </c>
    </row>
    <row r="9" spans="2:9" x14ac:dyDescent="0.25">
      <c r="B9" s="10" t="s">
        <v>32</v>
      </c>
      <c r="C9" s="10" t="s">
        <v>46</v>
      </c>
      <c r="D9" s="11">
        <v>1525991</v>
      </c>
    </row>
    <row r="10" spans="2:9" x14ac:dyDescent="0.25">
      <c r="B10" s="10" t="s">
        <v>35</v>
      </c>
      <c r="C10" s="10" t="s">
        <v>36</v>
      </c>
      <c r="D10" s="11">
        <v>1774808</v>
      </c>
    </row>
    <row r="11" spans="2:9" x14ac:dyDescent="0.25">
      <c r="B11" s="10" t="s">
        <v>38</v>
      </c>
      <c r="C11" s="10" t="s">
        <v>39</v>
      </c>
      <c r="D11" s="11">
        <v>1477628</v>
      </c>
    </row>
    <row r="12" spans="2:9" x14ac:dyDescent="0.25">
      <c r="B12" s="10" t="s">
        <v>43</v>
      </c>
      <c r="C12" s="10" t="s">
        <v>36</v>
      </c>
      <c r="D12" s="11">
        <v>2377066</v>
      </c>
    </row>
    <row r="13" spans="2:9" x14ac:dyDescent="0.25">
      <c r="B13" s="10" t="s">
        <v>32</v>
      </c>
      <c r="C13" s="10" t="s">
        <v>51</v>
      </c>
      <c r="D13" s="11">
        <v>1524627</v>
      </c>
    </row>
    <row r="14" spans="2:9" x14ac:dyDescent="0.25">
      <c r="B14" s="10" t="s">
        <v>35</v>
      </c>
      <c r="C14" s="10" t="s">
        <v>36</v>
      </c>
      <c r="D14" s="11">
        <v>1365010</v>
      </c>
    </row>
    <row r="15" spans="2:9" x14ac:dyDescent="0.25">
      <c r="B15" s="10" t="s">
        <v>38</v>
      </c>
      <c r="C15" s="10" t="s">
        <v>48</v>
      </c>
      <c r="D15" s="11">
        <v>2442241</v>
      </c>
    </row>
    <row r="16" spans="2:9" x14ac:dyDescent="0.25">
      <c r="B16" s="10" t="s">
        <v>43</v>
      </c>
      <c r="C16" s="10" t="s">
        <v>53</v>
      </c>
      <c r="D16" s="11">
        <v>2018457</v>
      </c>
    </row>
    <row r="17" spans="2:4" x14ac:dyDescent="0.25">
      <c r="B17" s="10" t="s">
        <v>32</v>
      </c>
      <c r="C17" s="10" t="s">
        <v>46</v>
      </c>
      <c r="D17" s="11">
        <v>1866018</v>
      </c>
    </row>
    <row r="18" spans="2:4" x14ac:dyDescent="0.25">
      <c r="B18" s="10" t="s">
        <v>35</v>
      </c>
      <c r="C18" s="10" t="s">
        <v>36</v>
      </c>
      <c r="D18" s="11">
        <v>1649492</v>
      </c>
    </row>
    <row r="19" spans="2:4" x14ac:dyDescent="0.25">
      <c r="B19" s="10" t="s">
        <v>38</v>
      </c>
      <c r="C19" s="10" t="s">
        <v>54</v>
      </c>
      <c r="D19" s="11">
        <v>1492215</v>
      </c>
    </row>
    <row r="20" spans="2:4" x14ac:dyDescent="0.25">
      <c r="B20" s="10" t="s">
        <v>43</v>
      </c>
      <c r="C20" s="10" t="s">
        <v>44</v>
      </c>
      <c r="D20" s="11">
        <v>1885272</v>
      </c>
    </row>
  </sheetData>
  <mergeCells count="1"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417F-EF09-4D3C-B003-5433D882880E}">
  <dimension ref="B2:E28"/>
  <sheetViews>
    <sheetView workbookViewId="0"/>
  </sheetViews>
  <sheetFormatPr baseColWidth="10" defaultRowHeight="15" x14ac:dyDescent="0.25"/>
  <cols>
    <col min="2" max="3" width="16.28515625" customWidth="1"/>
    <col min="5" max="5" width="53" customWidth="1"/>
  </cols>
  <sheetData>
    <row r="2" spans="2:5" x14ac:dyDescent="0.25">
      <c r="B2" s="34" t="s">
        <v>89</v>
      </c>
      <c r="C2" s="34"/>
    </row>
    <row r="4" spans="2:5" x14ac:dyDescent="0.25">
      <c r="B4" s="27" t="s">
        <v>80</v>
      </c>
      <c r="C4" s="27" t="s">
        <v>81</v>
      </c>
      <c r="E4" s="12" t="s">
        <v>82</v>
      </c>
    </row>
    <row r="5" spans="2:5" x14ac:dyDescent="0.25">
      <c r="B5" s="25">
        <v>1.8</v>
      </c>
      <c r="C5" s="25">
        <v>82</v>
      </c>
      <c r="E5" s="6" t="s">
        <v>83</v>
      </c>
    </row>
    <row r="6" spans="2:5" x14ac:dyDescent="0.25">
      <c r="B6" s="25">
        <v>1.35</v>
      </c>
      <c r="C6" s="25">
        <v>38</v>
      </c>
      <c r="E6" s="6" t="s">
        <v>84</v>
      </c>
    </row>
    <row r="7" spans="2:5" x14ac:dyDescent="0.25">
      <c r="B7" s="25">
        <v>1.32</v>
      </c>
      <c r="C7" s="25">
        <v>27</v>
      </c>
    </row>
    <row r="8" spans="2:5" x14ac:dyDescent="0.25">
      <c r="B8" s="25">
        <v>1.56</v>
      </c>
      <c r="C8" s="25">
        <v>51</v>
      </c>
      <c r="E8" s="5" t="s">
        <v>85</v>
      </c>
    </row>
    <row r="9" spans="2:5" x14ac:dyDescent="0.25">
      <c r="B9" s="25">
        <v>1.6</v>
      </c>
      <c r="C9" s="25">
        <v>56</v>
      </c>
      <c r="E9" s="28">
        <f>CORREL(B5:B28,C5:C28)</f>
        <v>0.98153715772145333</v>
      </c>
    </row>
    <row r="10" spans="2:5" x14ac:dyDescent="0.25">
      <c r="B10" s="25">
        <v>1.6600000000000001</v>
      </c>
      <c r="C10" s="25">
        <v>65</v>
      </c>
      <c r="E10" s="26" t="s">
        <v>86</v>
      </c>
    </row>
    <row r="11" spans="2:5" x14ac:dyDescent="0.25">
      <c r="B11" s="25">
        <v>1.76</v>
      </c>
      <c r="C11" s="25">
        <v>73</v>
      </c>
    </row>
    <row r="12" spans="2:5" x14ac:dyDescent="0.25">
      <c r="B12" s="25">
        <v>1.81</v>
      </c>
      <c r="C12" s="25">
        <v>83</v>
      </c>
    </row>
    <row r="13" spans="2:5" x14ac:dyDescent="0.25">
      <c r="B13" s="25">
        <v>1.6400000000000001</v>
      </c>
      <c r="C13" s="25">
        <v>69</v>
      </c>
    </row>
    <row r="14" spans="2:5" x14ac:dyDescent="0.25">
      <c r="B14" s="25">
        <v>1.62</v>
      </c>
      <c r="C14" s="25">
        <v>65</v>
      </c>
    </row>
    <row r="15" spans="2:5" x14ac:dyDescent="0.25">
      <c r="B15" s="25">
        <v>1.63</v>
      </c>
      <c r="C15" s="25">
        <v>64</v>
      </c>
    </row>
    <row r="16" spans="2:5" x14ac:dyDescent="0.25">
      <c r="B16" s="25">
        <v>1.88</v>
      </c>
      <c r="C16" s="25">
        <v>89</v>
      </c>
    </row>
    <row r="17" spans="2:3" x14ac:dyDescent="0.25">
      <c r="B17" s="25">
        <v>1.8900000000000001</v>
      </c>
      <c r="C17" s="25">
        <v>93</v>
      </c>
    </row>
    <row r="18" spans="2:3" x14ac:dyDescent="0.25">
      <c r="B18" s="25">
        <v>1.65</v>
      </c>
      <c r="C18" s="25">
        <v>67</v>
      </c>
    </row>
    <row r="19" spans="2:3" x14ac:dyDescent="0.25">
      <c r="B19" s="25">
        <v>1.77</v>
      </c>
      <c r="C19" s="25">
        <v>75</v>
      </c>
    </row>
    <row r="20" spans="2:3" x14ac:dyDescent="0.25">
      <c r="B20" s="25">
        <v>1.65</v>
      </c>
      <c r="C20" s="25">
        <v>67</v>
      </c>
    </row>
    <row r="21" spans="2:3" x14ac:dyDescent="0.25">
      <c r="B21" s="25">
        <v>1.65</v>
      </c>
      <c r="C21" s="25">
        <v>60</v>
      </c>
    </row>
    <row r="22" spans="2:3" x14ac:dyDescent="0.25">
      <c r="B22" s="25">
        <v>1.53</v>
      </c>
      <c r="C22" s="25">
        <v>55</v>
      </c>
    </row>
    <row r="23" spans="2:3" x14ac:dyDescent="0.25">
      <c r="B23" s="25">
        <v>1.88</v>
      </c>
      <c r="C23" s="25">
        <v>92</v>
      </c>
    </row>
    <row r="24" spans="2:3" x14ac:dyDescent="0.25">
      <c r="B24" s="25">
        <v>1.52</v>
      </c>
      <c r="C24" s="25">
        <v>48</v>
      </c>
    </row>
    <row r="25" spans="2:3" x14ac:dyDescent="0.25">
      <c r="B25" s="25">
        <v>1.5</v>
      </c>
      <c r="C25" s="25">
        <v>45</v>
      </c>
    </row>
    <row r="26" spans="2:3" x14ac:dyDescent="0.25">
      <c r="B26" s="25">
        <v>1.53</v>
      </c>
      <c r="C26" s="25">
        <v>58</v>
      </c>
    </row>
    <row r="27" spans="2:3" x14ac:dyDescent="0.25">
      <c r="B27" s="25">
        <v>1.8</v>
      </c>
      <c r="C27" s="25">
        <v>80</v>
      </c>
    </row>
    <row r="28" spans="2:3" x14ac:dyDescent="0.25">
      <c r="B28" s="25">
        <v>1.8399999999999999</v>
      </c>
      <c r="C28" s="25">
        <v>83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27B1-B373-4FEA-A5F7-BCDBCB323AEB}">
  <dimension ref="B2:E25"/>
  <sheetViews>
    <sheetView workbookViewId="0"/>
  </sheetViews>
  <sheetFormatPr baseColWidth="10" defaultRowHeight="15" x14ac:dyDescent="0.25"/>
  <cols>
    <col min="2" max="3" width="16.28515625" customWidth="1"/>
    <col min="5" max="5" width="53" customWidth="1"/>
  </cols>
  <sheetData>
    <row r="2" spans="2:5" x14ac:dyDescent="0.25">
      <c r="B2" s="34" t="s">
        <v>89</v>
      </c>
      <c r="C2" s="34"/>
    </row>
    <row r="4" spans="2:5" x14ac:dyDescent="0.25">
      <c r="B4" s="27" t="s">
        <v>87</v>
      </c>
      <c r="C4" s="27" t="s">
        <v>88</v>
      </c>
      <c r="E4" s="12" t="s">
        <v>82</v>
      </c>
    </row>
    <row r="5" spans="2:5" x14ac:dyDescent="0.25">
      <c r="B5" s="25">
        <v>0</v>
      </c>
      <c r="C5" s="25">
        <v>95</v>
      </c>
      <c r="E5" s="6" t="s">
        <v>83</v>
      </c>
    </row>
    <row r="6" spans="2:5" x14ac:dyDescent="0.25">
      <c r="B6" s="25">
        <v>1</v>
      </c>
      <c r="C6" s="25">
        <v>94</v>
      </c>
      <c r="E6" s="6" t="s">
        <v>84</v>
      </c>
    </row>
    <row r="7" spans="2:5" x14ac:dyDescent="0.25">
      <c r="B7" s="25">
        <v>2</v>
      </c>
      <c r="C7" s="25">
        <v>90</v>
      </c>
    </row>
    <row r="8" spans="2:5" x14ac:dyDescent="0.25">
      <c r="B8" s="25">
        <v>3</v>
      </c>
      <c r="C8" s="25">
        <v>84</v>
      </c>
      <c r="E8" s="5" t="s">
        <v>85</v>
      </c>
    </row>
    <row r="9" spans="2:5" x14ac:dyDescent="0.25">
      <c r="B9" s="25">
        <v>4</v>
      </c>
      <c r="C9" s="25">
        <v>77</v>
      </c>
      <c r="E9" s="28">
        <f>CORREL(B5:B25,C5:C25)</f>
        <v>-0.99860829038123777</v>
      </c>
    </row>
    <row r="10" spans="2:5" x14ac:dyDescent="0.25">
      <c r="B10" s="25">
        <v>5</v>
      </c>
      <c r="C10" s="25">
        <v>72</v>
      </c>
      <c r="E10" s="26" t="s">
        <v>90</v>
      </c>
    </row>
    <row r="11" spans="2:5" x14ac:dyDescent="0.25">
      <c r="B11" s="25">
        <v>6</v>
      </c>
      <c r="C11" s="25">
        <v>70</v>
      </c>
    </row>
    <row r="12" spans="2:5" x14ac:dyDescent="0.25">
      <c r="B12" s="25">
        <v>7</v>
      </c>
      <c r="C12" s="25">
        <v>63</v>
      </c>
    </row>
    <row r="13" spans="2:5" x14ac:dyDescent="0.25">
      <c r="B13" s="25">
        <v>8</v>
      </c>
      <c r="C13" s="25">
        <v>57</v>
      </c>
    </row>
    <row r="14" spans="2:5" x14ac:dyDescent="0.25">
      <c r="B14" s="25">
        <v>9</v>
      </c>
      <c r="C14" s="25">
        <v>54</v>
      </c>
    </row>
    <row r="15" spans="2:5" x14ac:dyDescent="0.25">
      <c r="B15" s="25">
        <v>10</v>
      </c>
      <c r="C15" s="25">
        <v>46</v>
      </c>
    </row>
    <row r="16" spans="2:5" x14ac:dyDescent="0.25">
      <c r="B16" s="25">
        <v>11</v>
      </c>
      <c r="C16" s="25">
        <v>41</v>
      </c>
    </row>
    <row r="17" spans="2:3" x14ac:dyDescent="0.25">
      <c r="B17" s="25">
        <v>12</v>
      </c>
      <c r="C17" s="25">
        <v>38</v>
      </c>
    </row>
    <row r="18" spans="2:3" x14ac:dyDescent="0.25">
      <c r="B18" s="25">
        <v>13</v>
      </c>
      <c r="C18" s="25">
        <v>31</v>
      </c>
    </row>
    <row r="19" spans="2:3" x14ac:dyDescent="0.25">
      <c r="B19" s="25">
        <v>14</v>
      </c>
      <c r="C19" s="25">
        <v>28</v>
      </c>
    </row>
    <row r="20" spans="2:3" x14ac:dyDescent="0.25">
      <c r="B20" s="25">
        <v>15</v>
      </c>
      <c r="C20" s="25">
        <v>22</v>
      </c>
    </row>
    <row r="21" spans="2:3" x14ac:dyDescent="0.25">
      <c r="B21" s="25">
        <v>16</v>
      </c>
      <c r="C21" s="25">
        <v>20</v>
      </c>
    </row>
    <row r="22" spans="2:3" x14ac:dyDescent="0.25">
      <c r="B22" s="25">
        <v>17</v>
      </c>
      <c r="C22" s="25">
        <v>11</v>
      </c>
    </row>
    <row r="23" spans="2:3" x14ac:dyDescent="0.25">
      <c r="B23" s="25">
        <v>18</v>
      </c>
      <c r="C23" s="25">
        <v>9</v>
      </c>
    </row>
    <row r="24" spans="2:3" x14ac:dyDescent="0.25">
      <c r="B24" s="25">
        <v>19</v>
      </c>
      <c r="C24" s="25">
        <v>3</v>
      </c>
    </row>
    <row r="25" spans="2:3" x14ac:dyDescent="0.25">
      <c r="B25" s="25">
        <v>20</v>
      </c>
      <c r="C25" s="25">
        <v>1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5E0-C183-482A-B899-7C25E6982038}">
  <dimension ref="B2:F30"/>
  <sheetViews>
    <sheetView workbookViewId="0"/>
  </sheetViews>
  <sheetFormatPr baseColWidth="10" defaultRowHeight="15" x14ac:dyDescent="0.25"/>
  <cols>
    <col min="2" max="2" width="21.42578125" customWidth="1"/>
    <col min="3" max="6" width="16.28515625" customWidth="1"/>
  </cols>
  <sheetData>
    <row r="2" spans="2:6" x14ac:dyDescent="0.25">
      <c r="B2" s="34" t="s">
        <v>89</v>
      </c>
      <c r="C2" s="34"/>
      <c r="D2" s="22"/>
      <c r="E2" s="22"/>
      <c r="F2" s="22"/>
    </row>
    <row r="4" spans="2:6" x14ac:dyDescent="0.25">
      <c r="B4" s="27" t="s">
        <v>91</v>
      </c>
      <c r="C4" s="27" t="s">
        <v>92</v>
      </c>
      <c r="D4" s="27" t="s">
        <v>93</v>
      </c>
      <c r="E4" s="27" t="s">
        <v>94</v>
      </c>
      <c r="F4" s="27" t="s">
        <v>95</v>
      </c>
    </row>
    <row r="5" spans="2:6" x14ac:dyDescent="0.25">
      <c r="B5" s="25" t="s">
        <v>96</v>
      </c>
      <c r="C5" s="25">
        <v>84</v>
      </c>
      <c r="D5" s="25">
        <v>88</v>
      </c>
      <c r="E5" s="25">
        <v>81</v>
      </c>
      <c r="F5" s="25">
        <v>73</v>
      </c>
    </row>
    <row r="6" spans="2:6" x14ac:dyDescent="0.25">
      <c r="B6" s="25" t="s">
        <v>97</v>
      </c>
      <c r="C6" s="25">
        <v>76</v>
      </c>
      <c r="D6" s="25">
        <v>63</v>
      </c>
      <c r="E6" s="25">
        <v>71</v>
      </c>
      <c r="F6" s="25">
        <v>61</v>
      </c>
    </row>
    <row r="7" spans="2:6" x14ac:dyDescent="0.25">
      <c r="B7" s="25" t="s">
        <v>98</v>
      </c>
      <c r="C7" s="25">
        <v>66</v>
      </c>
      <c r="D7" s="25">
        <v>66</v>
      </c>
      <c r="E7" s="25">
        <v>62</v>
      </c>
      <c r="F7" s="25">
        <v>95</v>
      </c>
    </row>
    <row r="8" spans="2:6" x14ac:dyDescent="0.25">
      <c r="B8" s="25" t="s">
        <v>99</v>
      </c>
      <c r="C8" s="25">
        <v>68</v>
      </c>
      <c r="D8" s="25">
        <v>94</v>
      </c>
      <c r="E8" s="25">
        <v>85</v>
      </c>
      <c r="F8" s="25">
        <v>70</v>
      </c>
    </row>
    <row r="9" spans="2:6" x14ac:dyDescent="0.25">
      <c r="B9" s="25" t="s">
        <v>100</v>
      </c>
      <c r="C9" s="25">
        <v>75</v>
      </c>
      <c r="D9" s="25">
        <v>66</v>
      </c>
      <c r="E9" s="25">
        <v>92</v>
      </c>
      <c r="F9" s="25">
        <v>95</v>
      </c>
    </row>
    <row r="10" spans="2:6" x14ac:dyDescent="0.25">
      <c r="B10" s="25" t="s">
        <v>101</v>
      </c>
      <c r="C10" s="25">
        <v>98</v>
      </c>
      <c r="D10" s="25">
        <v>78</v>
      </c>
      <c r="E10" s="25">
        <v>81</v>
      </c>
      <c r="F10" s="25">
        <v>80</v>
      </c>
    </row>
    <row r="11" spans="2:6" x14ac:dyDescent="0.25">
      <c r="B11" s="25" t="s">
        <v>102</v>
      </c>
      <c r="C11" s="25">
        <v>87</v>
      </c>
      <c r="D11" s="25">
        <v>77</v>
      </c>
      <c r="E11" s="25">
        <v>84</v>
      </c>
      <c r="F11" s="25">
        <v>95</v>
      </c>
    </row>
    <row r="12" spans="2:6" x14ac:dyDescent="0.25">
      <c r="B12" s="25" t="s">
        <v>103</v>
      </c>
      <c r="C12" s="25">
        <v>71</v>
      </c>
      <c r="D12" s="25">
        <v>89</v>
      </c>
      <c r="E12" s="25">
        <v>81</v>
      </c>
      <c r="F12" s="25">
        <v>87</v>
      </c>
    </row>
    <row r="13" spans="2:6" x14ac:dyDescent="0.25">
      <c r="B13" s="25" t="s">
        <v>104</v>
      </c>
      <c r="C13" s="25">
        <v>60</v>
      </c>
      <c r="D13" s="25">
        <v>92</v>
      </c>
      <c r="E13" s="25">
        <v>72</v>
      </c>
      <c r="F13" s="25">
        <v>66</v>
      </c>
    </row>
    <row r="14" spans="2:6" x14ac:dyDescent="0.25">
      <c r="B14" s="25" t="s">
        <v>105</v>
      </c>
      <c r="C14" s="25">
        <v>74</v>
      </c>
      <c r="D14" s="25">
        <v>80</v>
      </c>
      <c r="E14" s="25">
        <v>68</v>
      </c>
      <c r="F14" s="25">
        <v>62</v>
      </c>
    </row>
    <row r="15" spans="2:6" x14ac:dyDescent="0.25">
      <c r="B15" s="25" t="s">
        <v>106</v>
      </c>
      <c r="C15" s="25">
        <v>68</v>
      </c>
      <c r="D15" s="25">
        <v>94</v>
      </c>
      <c r="E15" s="25">
        <v>95</v>
      </c>
      <c r="F15" s="25">
        <v>94</v>
      </c>
    </row>
    <row r="16" spans="2:6" x14ac:dyDescent="0.25">
      <c r="B16" s="25" t="s">
        <v>107</v>
      </c>
      <c r="C16" s="25">
        <v>83</v>
      </c>
      <c r="D16" s="25">
        <v>90</v>
      </c>
      <c r="E16" s="25">
        <v>65</v>
      </c>
      <c r="F16" s="25">
        <v>66</v>
      </c>
    </row>
    <row r="17" spans="2:6" x14ac:dyDescent="0.25">
      <c r="B17" s="25" t="s">
        <v>108</v>
      </c>
      <c r="C17" s="25">
        <v>82</v>
      </c>
      <c r="D17" s="25">
        <v>82</v>
      </c>
      <c r="E17" s="25">
        <v>98</v>
      </c>
      <c r="F17" s="25">
        <v>75</v>
      </c>
    </row>
    <row r="18" spans="2:6" x14ac:dyDescent="0.25">
      <c r="B18" s="25" t="s">
        <v>109</v>
      </c>
      <c r="C18" s="25">
        <v>82</v>
      </c>
      <c r="D18" s="25">
        <v>98</v>
      </c>
      <c r="E18" s="25">
        <v>88</v>
      </c>
      <c r="F18" s="25">
        <v>77</v>
      </c>
    </row>
    <row r="19" spans="2:6" x14ac:dyDescent="0.25">
      <c r="B19" s="25" t="s">
        <v>110</v>
      </c>
      <c r="C19" s="25">
        <v>67</v>
      </c>
      <c r="D19" s="25">
        <v>71</v>
      </c>
      <c r="E19" s="25">
        <v>73</v>
      </c>
      <c r="F19" s="25">
        <v>80</v>
      </c>
    </row>
    <row r="20" spans="2:6" x14ac:dyDescent="0.25">
      <c r="B20" s="25" t="s">
        <v>111</v>
      </c>
      <c r="C20" s="25">
        <v>60</v>
      </c>
      <c r="D20" s="25">
        <v>72</v>
      </c>
      <c r="E20" s="25">
        <v>75</v>
      </c>
      <c r="F20" s="25">
        <v>93</v>
      </c>
    </row>
    <row r="21" spans="2:6" x14ac:dyDescent="0.25">
      <c r="B21" s="25" t="s">
        <v>112</v>
      </c>
      <c r="C21" s="25">
        <v>68</v>
      </c>
      <c r="D21" s="25">
        <v>73</v>
      </c>
      <c r="E21" s="25">
        <v>66</v>
      </c>
      <c r="F21" s="25">
        <v>99</v>
      </c>
    </row>
    <row r="22" spans="2:6" x14ac:dyDescent="0.25">
      <c r="B22" s="25" t="s">
        <v>113</v>
      </c>
      <c r="C22" s="25">
        <v>84</v>
      </c>
      <c r="D22" s="25">
        <v>91</v>
      </c>
      <c r="E22" s="25">
        <v>61</v>
      </c>
      <c r="F22" s="25">
        <v>91</v>
      </c>
    </row>
    <row r="23" spans="2:6" x14ac:dyDescent="0.25">
      <c r="B23" s="25" t="s">
        <v>114</v>
      </c>
      <c r="C23" s="25">
        <v>85</v>
      </c>
      <c r="D23" s="25">
        <v>88</v>
      </c>
      <c r="E23" s="25">
        <v>82</v>
      </c>
      <c r="F23" s="25">
        <v>67</v>
      </c>
    </row>
    <row r="24" spans="2:6" x14ac:dyDescent="0.25">
      <c r="B24" s="25" t="s">
        <v>115</v>
      </c>
      <c r="C24" s="25">
        <v>63</v>
      </c>
      <c r="D24" s="25">
        <v>85</v>
      </c>
      <c r="E24" s="25">
        <v>81</v>
      </c>
      <c r="F24" s="25">
        <v>88</v>
      </c>
    </row>
    <row r="25" spans="2:6" x14ac:dyDescent="0.25">
      <c r="B25" s="25" t="s">
        <v>116</v>
      </c>
      <c r="C25" s="25">
        <v>71</v>
      </c>
      <c r="D25" s="25">
        <v>78</v>
      </c>
      <c r="E25" s="25">
        <v>92</v>
      </c>
      <c r="F25" s="25">
        <v>65</v>
      </c>
    </row>
    <row r="27" spans="2:6" x14ac:dyDescent="0.25">
      <c r="B27" s="35" t="s">
        <v>117</v>
      </c>
      <c r="C27" s="36">
        <v>74.857142857142861</v>
      </c>
      <c r="D27" s="36">
        <v>81.666666666666671</v>
      </c>
      <c r="E27" s="36">
        <v>78.714285714285708</v>
      </c>
      <c r="F27" s="36">
        <v>79.952380952380949</v>
      </c>
    </row>
    <row r="28" spans="2:6" x14ac:dyDescent="0.25">
      <c r="B28" t="s">
        <v>118</v>
      </c>
      <c r="C28" s="36">
        <f>STDEVA(C5:C25)</f>
        <v>10.04134310879634</v>
      </c>
      <c r="D28" s="36">
        <f>STDEVA(D5:D25)</f>
        <v>10.374648588426156</v>
      </c>
      <c r="E28" s="36">
        <f>STDEVA(E5:E25)</f>
        <v>10.918529466658297</v>
      </c>
      <c r="F28" s="36">
        <f>STDEVA(F5:F25)</f>
        <v>12.823713153670365</v>
      </c>
    </row>
    <row r="29" spans="2:6" x14ac:dyDescent="0.25">
      <c r="B29" t="s">
        <v>119</v>
      </c>
      <c r="C29" s="36">
        <f>_xlfn.STDEV.S(C24,C22,C20,C19,C17,C16,C14,C12,C9,C8,C6)</f>
        <v>8.0622577482985491</v>
      </c>
      <c r="D29" s="36">
        <f t="shared" ref="D29:F29" si="0">_xlfn.STDEV.S(D24,D22,D20,D19,D17,D16,D14,D12,D9,D8,D6)</f>
        <v>10.75258954011462</v>
      </c>
      <c r="E29" s="36">
        <f t="shared" si="0"/>
        <v>11.393778206467877</v>
      </c>
      <c r="F29" s="36">
        <f t="shared" si="0"/>
        <v>12.731492806851396</v>
      </c>
    </row>
    <row r="30" spans="2:6" x14ac:dyDescent="0.25">
      <c r="B30" t="s">
        <v>120</v>
      </c>
      <c r="C30" s="36">
        <f>_xlfn.STDEV.P(C5:C25)</f>
        <v>9.7993474723755831</v>
      </c>
      <c r="D30" s="36">
        <f>_xlfn.STDEV.P(D5:D25)</f>
        <v>10.124620314260506</v>
      </c>
      <c r="E30" s="36">
        <f>_xlfn.STDEV.P(E5:E25)</f>
        <v>10.655393703002551</v>
      </c>
      <c r="F30" s="36">
        <f>_xlfn.STDEV.P(F5:F25)</f>
        <v>12.514662602138001</v>
      </c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743F-1974-4B4B-B11D-30474D1C156D}">
  <dimension ref="B2:C27"/>
  <sheetViews>
    <sheetView workbookViewId="0"/>
  </sheetViews>
  <sheetFormatPr baseColWidth="10" defaultRowHeight="15" x14ac:dyDescent="0.25"/>
  <cols>
    <col min="2" max="2" width="21.42578125" customWidth="1"/>
    <col min="3" max="3" width="19.85546875" customWidth="1"/>
  </cols>
  <sheetData>
    <row r="2" spans="2:3" x14ac:dyDescent="0.25">
      <c r="B2" s="34" t="s">
        <v>89</v>
      </c>
      <c r="C2" s="34"/>
    </row>
    <row r="4" spans="2:3" x14ac:dyDescent="0.25">
      <c r="B4" s="27" t="s">
        <v>121</v>
      </c>
      <c r="C4" s="27" t="s">
        <v>122</v>
      </c>
    </row>
    <row r="5" spans="2:3" x14ac:dyDescent="0.25">
      <c r="B5" s="25">
        <v>2001</v>
      </c>
      <c r="C5" s="37">
        <v>144574</v>
      </c>
    </row>
    <row r="6" spans="2:3" x14ac:dyDescent="0.25">
      <c r="B6" s="25">
        <v>2002</v>
      </c>
      <c r="C6" s="37">
        <v>264819</v>
      </c>
    </row>
    <row r="7" spans="2:3" x14ac:dyDescent="0.25">
      <c r="B7" s="25">
        <v>2003</v>
      </c>
      <c r="C7" s="37">
        <v>278565</v>
      </c>
    </row>
    <row r="8" spans="2:3" x14ac:dyDescent="0.25">
      <c r="B8" s="25">
        <v>2004</v>
      </c>
      <c r="C8" s="37">
        <v>351907</v>
      </c>
    </row>
    <row r="9" spans="2:3" x14ac:dyDescent="0.25">
      <c r="B9" s="25">
        <v>2005</v>
      </c>
      <c r="C9" s="37">
        <v>351524</v>
      </c>
    </row>
    <row r="10" spans="2:3" x14ac:dyDescent="0.25">
      <c r="B10" s="25">
        <v>2006</v>
      </c>
      <c r="C10" s="37">
        <v>404772</v>
      </c>
    </row>
    <row r="11" spans="2:3" x14ac:dyDescent="0.25">
      <c r="B11" s="25">
        <v>2007</v>
      </c>
      <c r="C11" s="37">
        <v>433106.04000000004</v>
      </c>
    </row>
    <row r="12" spans="2:3" x14ac:dyDescent="0.25">
      <c r="B12" s="25">
        <v>2008</v>
      </c>
      <c r="C12" s="37">
        <v>416961</v>
      </c>
    </row>
    <row r="13" spans="2:3" x14ac:dyDescent="0.25">
      <c r="B13" s="25">
        <v>2009</v>
      </c>
      <c r="C13" s="37">
        <v>397222.11999999994</v>
      </c>
    </row>
    <row r="14" spans="2:3" x14ac:dyDescent="0.25">
      <c r="B14" s="25">
        <v>2010</v>
      </c>
      <c r="C14" s="37">
        <v>482596</v>
      </c>
    </row>
    <row r="15" spans="2:3" x14ac:dyDescent="0.25">
      <c r="B15" s="25">
        <v>2011</v>
      </c>
      <c r="C15" s="37">
        <v>489409.82520000002</v>
      </c>
    </row>
    <row r="16" spans="2:3" x14ac:dyDescent="0.25">
      <c r="B16" s="25">
        <v>2012</v>
      </c>
      <c r="C16" s="37">
        <v>516377.72000000003</v>
      </c>
    </row>
    <row r="17" spans="2:3" x14ac:dyDescent="0.25">
      <c r="B17" s="25">
        <v>2013</v>
      </c>
      <c r="C17" s="37">
        <v>448860.99559999991</v>
      </c>
    </row>
    <row r="18" spans="2:3" x14ac:dyDescent="0.25">
      <c r="B18" s="25">
        <v>2014</v>
      </c>
      <c r="C18" s="37">
        <v>552524.16040000005</v>
      </c>
    </row>
    <row r="19" spans="2:3" x14ac:dyDescent="0.25">
      <c r="B19" s="25">
        <v>2015</v>
      </c>
      <c r="C19" s="37">
        <v>553033.10247599997</v>
      </c>
    </row>
    <row r="20" spans="2:3" x14ac:dyDescent="0.25">
      <c r="B20" s="25">
        <v>2016</v>
      </c>
      <c r="C20" s="37">
        <v>583506.8236</v>
      </c>
    </row>
    <row r="21" spans="2:3" x14ac:dyDescent="0.25">
      <c r="B21" s="25">
        <v>2017</v>
      </c>
      <c r="C21" s="37">
        <v>507212.92502799985</v>
      </c>
    </row>
    <row r="22" spans="2:3" x14ac:dyDescent="0.25">
      <c r="B22" s="25">
        <v>2018</v>
      </c>
      <c r="C22" s="37">
        <v>624352.30125200003</v>
      </c>
    </row>
    <row r="23" spans="2:3" x14ac:dyDescent="0.25">
      <c r="B23" s="25">
        <v>2019</v>
      </c>
      <c r="C23" s="37">
        <v>542717.82977995987</v>
      </c>
    </row>
    <row r="24" spans="2:3" x14ac:dyDescent="0.25">
      <c r="B24" s="25">
        <v>2020</v>
      </c>
      <c r="C24" s="37">
        <v>668056.96233964013</v>
      </c>
    </row>
    <row r="25" spans="2:3" x14ac:dyDescent="0.25">
      <c r="B25" s="38">
        <v>2021</v>
      </c>
      <c r="C25" s="39" cm="1">
        <f t="array" ref="C25">GROWTH(C5:C24,B5:B24,B25,TRUE)</f>
        <v>740576.6293681392</v>
      </c>
    </row>
    <row r="26" spans="2:3" x14ac:dyDescent="0.25">
      <c r="B26" s="38">
        <v>2022</v>
      </c>
      <c r="C26" s="39" cm="1">
        <f t="array" ref="C26">GROWTH(C6:C25,B6:B25,B26,TRUE)</f>
        <v>728711.98010602605</v>
      </c>
    </row>
    <row r="27" spans="2:3" x14ac:dyDescent="0.25">
      <c r="B27" s="38">
        <v>2023</v>
      </c>
      <c r="C27" s="39" cm="1">
        <f t="array" ref="C27">GROWTH(C7:C26,B7:B26,B27,TRUE)</f>
        <v>747090.10362438671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8BFD-D8A6-4B5A-9B6F-E8867A2CD400}">
  <dimension ref="B2:C27"/>
  <sheetViews>
    <sheetView workbookViewId="0"/>
  </sheetViews>
  <sheetFormatPr baseColWidth="10" defaultRowHeight="15" x14ac:dyDescent="0.25"/>
  <cols>
    <col min="2" max="2" width="21.42578125" customWidth="1"/>
    <col min="3" max="3" width="19.85546875" customWidth="1"/>
  </cols>
  <sheetData>
    <row r="2" spans="2:3" x14ac:dyDescent="0.25">
      <c r="B2" s="34" t="s">
        <v>89</v>
      </c>
      <c r="C2" s="34"/>
    </row>
    <row r="4" spans="2:3" x14ac:dyDescent="0.25">
      <c r="B4" s="27" t="s">
        <v>121</v>
      </c>
      <c r="C4" s="27" t="s">
        <v>122</v>
      </c>
    </row>
    <row r="5" spans="2:3" x14ac:dyDescent="0.25">
      <c r="B5" s="25">
        <v>2001</v>
      </c>
      <c r="C5" s="37">
        <v>144574</v>
      </c>
    </row>
    <row r="6" spans="2:3" x14ac:dyDescent="0.25">
      <c r="B6" s="25">
        <v>2002</v>
      </c>
      <c r="C6" s="37">
        <v>264819</v>
      </c>
    </row>
    <row r="7" spans="2:3" x14ac:dyDescent="0.25">
      <c r="B7" s="25">
        <v>2003</v>
      </c>
      <c r="C7" s="37">
        <v>278565</v>
      </c>
    </row>
    <row r="8" spans="2:3" x14ac:dyDescent="0.25">
      <c r="B8" s="25">
        <v>2004</v>
      </c>
      <c r="C8" s="37">
        <v>351907</v>
      </c>
    </row>
    <row r="9" spans="2:3" x14ac:dyDescent="0.25">
      <c r="B9" s="25">
        <v>2005</v>
      </c>
      <c r="C9" s="37">
        <v>351524</v>
      </c>
    </row>
    <row r="10" spans="2:3" x14ac:dyDescent="0.25">
      <c r="B10" s="25">
        <v>2006</v>
      </c>
      <c r="C10" s="37">
        <v>404772</v>
      </c>
    </row>
    <row r="11" spans="2:3" x14ac:dyDescent="0.25">
      <c r="B11" s="25">
        <v>2007</v>
      </c>
      <c r="C11" s="37">
        <v>433106.04000000004</v>
      </c>
    </row>
    <row r="12" spans="2:3" x14ac:dyDescent="0.25">
      <c r="B12" s="25">
        <v>2008</v>
      </c>
      <c r="C12" s="37">
        <v>416961</v>
      </c>
    </row>
    <row r="13" spans="2:3" x14ac:dyDescent="0.25">
      <c r="B13" s="25">
        <v>2009</v>
      </c>
      <c r="C13" s="37">
        <v>397222.11999999994</v>
      </c>
    </row>
    <row r="14" spans="2:3" x14ac:dyDescent="0.25">
      <c r="B14" s="25">
        <v>2010</v>
      </c>
      <c r="C14" s="37">
        <v>482596</v>
      </c>
    </row>
    <row r="15" spans="2:3" x14ac:dyDescent="0.25">
      <c r="B15" s="25">
        <v>2011</v>
      </c>
      <c r="C15" s="37">
        <v>489409.82520000002</v>
      </c>
    </row>
    <row r="16" spans="2:3" x14ac:dyDescent="0.25">
      <c r="B16" s="25">
        <v>2012</v>
      </c>
      <c r="C16" s="37">
        <v>516377.72000000003</v>
      </c>
    </row>
    <row r="17" spans="2:3" x14ac:dyDescent="0.25">
      <c r="B17" s="25">
        <v>2013</v>
      </c>
      <c r="C17" s="37">
        <v>448860.99559999991</v>
      </c>
    </row>
    <row r="18" spans="2:3" x14ac:dyDescent="0.25">
      <c r="B18" s="25">
        <v>2014</v>
      </c>
      <c r="C18" s="37">
        <v>552524.16040000005</v>
      </c>
    </row>
    <row r="19" spans="2:3" x14ac:dyDescent="0.25">
      <c r="B19" s="25">
        <v>2015</v>
      </c>
      <c r="C19" s="37">
        <v>553033.10247599997</v>
      </c>
    </row>
    <row r="20" spans="2:3" x14ac:dyDescent="0.25">
      <c r="B20" s="25">
        <v>2016</v>
      </c>
      <c r="C20" s="37">
        <v>583506.8236</v>
      </c>
    </row>
    <row r="21" spans="2:3" x14ac:dyDescent="0.25">
      <c r="B21" s="25">
        <v>2017</v>
      </c>
      <c r="C21" s="37">
        <v>507212.92502799985</v>
      </c>
    </row>
    <row r="22" spans="2:3" x14ac:dyDescent="0.25">
      <c r="B22" s="25">
        <v>2018</v>
      </c>
      <c r="C22" s="37">
        <v>624352.30125200003</v>
      </c>
    </row>
    <row r="23" spans="2:3" x14ac:dyDescent="0.25">
      <c r="B23" s="25">
        <v>2019</v>
      </c>
      <c r="C23" s="37">
        <v>542717.82977995987</v>
      </c>
    </row>
    <row r="24" spans="2:3" x14ac:dyDescent="0.25">
      <c r="B24" s="25">
        <v>2020</v>
      </c>
      <c r="C24" s="37">
        <v>668056.96233964013</v>
      </c>
    </row>
    <row r="25" spans="2:3" x14ac:dyDescent="0.25">
      <c r="B25" s="38">
        <v>2021</v>
      </c>
      <c r="C25" s="39" cm="1">
        <f t="array" ref="C25">TREND(C5:C24,B5:B24,B25,TRUE)</f>
        <v>664726.87209489197</v>
      </c>
    </row>
    <row r="26" spans="2:3" x14ac:dyDescent="0.25">
      <c r="B26" s="38">
        <v>2022</v>
      </c>
      <c r="C26" s="39" cm="1">
        <f t="array" ref="C26">TREND(C6:C25,B6:B25,B26,TRUE)</f>
        <v>672116.09695056826</v>
      </c>
    </row>
    <row r="27" spans="2:3" x14ac:dyDescent="0.25">
      <c r="B27" s="38">
        <v>2023</v>
      </c>
      <c r="C27" s="39" cm="1">
        <f t="array" ref="C27">TREND(C7:C26,B7:B26,B27,TRUE)</f>
        <v>686693.33195483685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681B-FFCC-47A0-939F-9382BF29B843}">
  <dimension ref="B2:G15"/>
  <sheetViews>
    <sheetView workbookViewId="0"/>
  </sheetViews>
  <sheetFormatPr baseColWidth="10" defaultRowHeight="15" x14ac:dyDescent="0.25"/>
  <cols>
    <col min="2" max="3" width="21.42578125" customWidth="1"/>
    <col min="4" max="4" width="19.85546875" customWidth="1"/>
    <col min="6" max="6" width="24.85546875" customWidth="1"/>
  </cols>
  <sheetData>
    <row r="2" spans="2:7" x14ac:dyDescent="0.25">
      <c r="B2" s="34" t="s">
        <v>123</v>
      </c>
      <c r="C2" s="34"/>
      <c r="D2" s="34"/>
    </row>
    <row r="4" spans="2:7" x14ac:dyDescent="0.25">
      <c r="B4" s="27" t="s">
        <v>124</v>
      </c>
      <c r="C4" s="27" t="s">
        <v>125</v>
      </c>
      <c r="D4" s="27" t="s">
        <v>126</v>
      </c>
    </row>
    <row r="5" spans="2:7" x14ac:dyDescent="0.25">
      <c r="B5" s="25" t="s">
        <v>127</v>
      </c>
      <c r="C5" s="25" t="s">
        <v>128</v>
      </c>
      <c r="D5" s="43">
        <v>99</v>
      </c>
    </row>
    <row r="6" spans="2:7" x14ac:dyDescent="0.25">
      <c r="B6" s="25" t="s">
        <v>101</v>
      </c>
      <c r="C6" s="25" t="s">
        <v>128</v>
      </c>
      <c r="D6" s="43">
        <v>78</v>
      </c>
      <c r="F6" s="40" t="s">
        <v>142</v>
      </c>
      <c r="G6" s="44" t="s">
        <v>98</v>
      </c>
    </row>
    <row r="7" spans="2:7" x14ac:dyDescent="0.25">
      <c r="B7" s="25" t="s">
        <v>115</v>
      </c>
      <c r="C7" s="25" t="s">
        <v>129</v>
      </c>
      <c r="D7" s="43">
        <v>74</v>
      </c>
      <c r="F7" s="40" t="s">
        <v>143</v>
      </c>
      <c r="G7" s="44">
        <f>LOOKUP(G6,B5:B15,D5:D15)</f>
        <v>80</v>
      </c>
    </row>
    <row r="8" spans="2:7" x14ac:dyDescent="0.25">
      <c r="B8" s="25" t="s">
        <v>130</v>
      </c>
      <c r="C8" s="25" t="s">
        <v>131</v>
      </c>
      <c r="D8" s="43">
        <v>65</v>
      </c>
    </row>
    <row r="9" spans="2:7" x14ac:dyDescent="0.25">
      <c r="B9" s="25" t="s">
        <v>132</v>
      </c>
      <c r="C9" s="25" t="s">
        <v>133</v>
      </c>
      <c r="D9" s="43">
        <v>84</v>
      </c>
    </row>
    <row r="10" spans="2:7" x14ac:dyDescent="0.25">
      <c r="B10" s="25" t="s">
        <v>134</v>
      </c>
      <c r="C10" s="25" t="s">
        <v>135</v>
      </c>
      <c r="D10" s="43">
        <v>62</v>
      </c>
      <c r="F10" s="41" t="s">
        <v>144</v>
      </c>
      <c r="G10" s="42"/>
    </row>
    <row r="11" spans="2:7" x14ac:dyDescent="0.25">
      <c r="B11" s="25" t="s">
        <v>108</v>
      </c>
      <c r="C11" s="25" t="s">
        <v>136</v>
      </c>
      <c r="D11" s="43">
        <v>65</v>
      </c>
    </row>
    <row r="12" spans="2:7" x14ac:dyDescent="0.25">
      <c r="B12" s="25" t="s">
        <v>137</v>
      </c>
      <c r="C12" s="25" t="s">
        <v>138</v>
      </c>
      <c r="D12" s="43">
        <v>91</v>
      </c>
    </row>
    <row r="13" spans="2:7" x14ac:dyDescent="0.25">
      <c r="B13" s="25" t="s">
        <v>139</v>
      </c>
      <c r="C13" s="25" t="s">
        <v>140</v>
      </c>
      <c r="D13" s="43">
        <v>72</v>
      </c>
    </row>
    <row r="14" spans="2:7" x14ac:dyDescent="0.25">
      <c r="B14" s="25" t="s">
        <v>141</v>
      </c>
      <c r="C14" s="25" t="s">
        <v>18</v>
      </c>
      <c r="D14" s="43">
        <v>85</v>
      </c>
    </row>
    <row r="15" spans="2:7" x14ac:dyDescent="0.25">
      <c r="B15" s="25" t="s">
        <v>98</v>
      </c>
      <c r="C15" s="25" t="s">
        <v>20</v>
      </c>
      <c r="D15" s="43">
        <v>80</v>
      </c>
    </row>
  </sheetData>
  <mergeCells count="1">
    <mergeCell ref="B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B316-AE99-43B1-8FAC-4A205F48F21B}">
  <dimension ref="B2:I14"/>
  <sheetViews>
    <sheetView workbookViewId="0"/>
  </sheetViews>
  <sheetFormatPr baseColWidth="10" defaultRowHeight="15" x14ac:dyDescent="0.25"/>
  <cols>
    <col min="2" max="2" width="21.42578125" customWidth="1"/>
    <col min="3" max="9" width="11.140625" customWidth="1"/>
    <col min="11" max="11" width="24.85546875" customWidth="1"/>
  </cols>
  <sheetData>
    <row r="2" spans="2:9" x14ac:dyDescent="0.25">
      <c r="B2" s="34" t="s">
        <v>123</v>
      </c>
      <c r="C2" s="34"/>
      <c r="D2" s="34"/>
      <c r="E2" s="34"/>
      <c r="F2" s="34"/>
      <c r="G2" s="34"/>
      <c r="H2" s="34"/>
      <c r="I2" s="34"/>
    </row>
    <row r="4" spans="2:9" x14ac:dyDescent="0.25">
      <c r="B4" s="27" t="s">
        <v>145</v>
      </c>
      <c r="C4" s="27">
        <v>101</v>
      </c>
      <c r="D4" s="27">
        <v>102</v>
      </c>
      <c r="E4" s="27">
        <v>103</v>
      </c>
      <c r="F4" s="27">
        <v>104</v>
      </c>
      <c r="G4" s="27">
        <v>105</v>
      </c>
      <c r="H4" s="27">
        <v>106</v>
      </c>
      <c r="I4" s="27">
        <v>107</v>
      </c>
    </row>
    <row r="5" spans="2:9" x14ac:dyDescent="0.25">
      <c r="B5" s="25" t="s">
        <v>146</v>
      </c>
      <c r="C5" s="25">
        <v>47</v>
      </c>
      <c r="D5" s="25">
        <v>29</v>
      </c>
      <c r="E5" s="25">
        <v>35</v>
      </c>
      <c r="F5" s="25">
        <v>19</v>
      </c>
      <c r="G5" s="25">
        <v>46</v>
      </c>
      <c r="H5" s="25">
        <v>15</v>
      </c>
      <c r="I5" s="43">
        <v>45</v>
      </c>
    </row>
    <row r="6" spans="2:9" x14ac:dyDescent="0.25">
      <c r="B6" s="25" t="s">
        <v>147</v>
      </c>
      <c r="C6" s="25">
        <v>37</v>
      </c>
      <c r="D6" s="25">
        <v>53</v>
      </c>
      <c r="E6" s="25">
        <v>0</v>
      </c>
      <c r="F6" s="25">
        <v>2</v>
      </c>
      <c r="G6" s="25">
        <v>60</v>
      </c>
      <c r="H6" s="25">
        <v>45</v>
      </c>
      <c r="I6" s="43">
        <v>97</v>
      </c>
    </row>
    <row r="9" spans="2:9" x14ac:dyDescent="0.25">
      <c r="B9" s="40" t="s">
        <v>148</v>
      </c>
      <c r="C9" s="24">
        <v>105</v>
      </c>
    </row>
    <row r="10" spans="2:9" x14ac:dyDescent="0.25">
      <c r="B10" s="40" t="s">
        <v>149</v>
      </c>
      <c r="C10" s="45">
        <f>HLOOKUP(C9,C4:I6,2,FALSE)</f>
        <v>46</v>
      </c>
    </row>
    <row r="12" spans="2:9" x14ac:dyDescent="0.25">
      <c r="B12" s="40" t="s">
        <v>150</v>
      </c>
      <c r="C12" s="44">
        <v>3</v>
      </c>
    </row>
    <row r="13" spans="2:9" x14ac:dyDescent="0.25">
      <c r="B13" s="40" t="s">
        <v>151</v>
      </c>
      <c r="C13" s="44">
        <f>HLOOKUP(C9,C4:I6,3,FALSE)</f>
        <v>60</v>
      </c>
    </row>
    <row r="14" spans="2:9" x14ac:dyDescent="0.25">
      <c r="B14" s="46" t="s">
        <v>152</v>
      </c>
      <c r="C14" s="47">
        <f>IF(C12&gt;C13,"Sin Stock",C12*C10)</f>
        <v>138</v>
      </c>
    </row>
  </sheetData>
  <mergeCells count="1">
    <mergeCell ref="B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55DC-9665-4049-B978-8AC2996E8631}">
  <dimension ref="B2:E19"/>
  <sheetViews>
    <sheetView workbookViewId="0"/>
  </sheetViews>
  <sheetFormatPr baseColWidth="10" defaultRowHeight="15" x14ac:dyDescent="0.25"/>
  <cols>
    <col min="2" max="2" width="21.42578125" customWidth="1"/>
    <col min="3" max="3" width="15.5703125" customWidth="1"/>
    <col min="4" max="4" width="22" customWidth="1"/>
    <col min="5" max="5" width="20.140625" customWidth="1"/>
    <col min="7" max="7" width="24.85546875" customWidth="1"/>
  </cols>
  <sheetData>
    <row r="2" spans="2:5" x14ac:dyDescent="0.25">
      <c r="B2" s="34" t="s">
        <v>123</v>
      </c>
      <c r="C2" s="34"/>
      <c r="D2" s="34"/>
      <c r="E2" s="34"/>
    </row>
    <row r="4" spans="2:5" x14ac:dyDescent="0.25">
      <c r="B4" s="27" t="s">
        <v>145</v>
      </c>
      <c r="C4" s="27" t="s">
        <v>146</v>
      </c>
      <c r="D4" s="27" t="s">
        <v>147</v>
      </c>
      <c r="E4" s="27" t="s">
        <v>153</v>
      </c>
    </row>
    <row r="5" spans="2:5" x14ac:dyDescent="0.25">
      <c r="B5" s="25">
        <v>101</v>
      </c>
      <c r="C5" s="37">
        <v>47</v>
      </c>
      <c r="D5" s="25">
        <v>37</v>
      </c>
      <c r="E5" s="25" t="s">
        <v>154</v>
      </c>
    </row>
    <row r="6" spans="2:5" x14ac:dyDescent="0.25">
      <c r="B6" s="25">
        <v>102</v>
      </c>
      <c r="C6" s="37">
        <v>29</v>
      </c>
      <c r="D6" s="25">
        <v>53</v>
      </c>
      <c r="E6" s="25" t="s">
        <v>155</v>
      </c>
    </row>
    <row r="7" spans="2:5" x14ac:dyDescent="0.25">
      <c r="B7" s="25">
        <v>103</v>
      </c>
      <c r="C7" s="37">
        <v>35</v>
      </c>
      <c r="D7" s="25">
        <v>0</v>
      </c>
      <c r="E7" s="25" t="s">
        <v>155</v>
      </c>
    </row>
    <row r="8" spans="2:5" x14ac:dyDescent="0.25">
      <c r="B8" s="25">
        <v>104</v>
      </c>
      <c r="C8" s="37">
        <v>19</v>
      </c>
      <c r="D8" s="25">
        <v>2</v>
      </c>
      <c r="E8" s="25" t="s">
        <v>154</v>
      </c>
    </row>
    <row r="9" spans="2:5" x14ac:dyDescent="0.25">
      <c r="B9" s="25">
        <v>105</v>
      </c>
      <c r="C9" s="37">
        <v>46</v>
      </c>
      <c r="D9" s="25">
        <v>60</v>
      </c>
      <c r="E9" s="25" t="s">
        <v>155</v>
      </c>
    </row>
    <row r="10" spans="2:5" x14ac:dyDescent="0.25">
      <c r="B10" s="25">
        <v>106</v>
      </c>
      <c r="C10" s="37">
        <v>15</v>
      </c>
      <c r="D10" s="25">
        <v>45</v>
      </c>
      <c r="E10" s="25" t="s">
        <v>154</v>
      </c>
    </row>
    <row r="11" spans="2:5" x14ac:dyDescent="0.25">
      <c r="B11" s="25">
        <v>107</v>
      </c>
      <c r="C11" s="37">
        <v>45</v>
      </c>
      <c r="D11" s="25">
        <v>97</v>
      </c>
      <c r="E11" s="25" t="s">
        <v>156</v>
      </c>
    </row>
    <row r="14" spans="2:5" x14ac:dyDescent="0.25">
      <c r="B14" s="40" t="s">
        <v>148</v>
      </c>
      <c r="C14" s="24">
        <v>101</v>
      </c>
    </row>
    <row r="15" spans="2:5" x14ac:dyDescent="0.25">
      <c r="B15" s="40" t="s">
        <v>149</v>
      </c>
      <c r="C15" s="45">
        <f>VLOOKUP(C14,B4:E11,2,FALSE)</f>
        <v>47</v>
      </c>
    </row>
    <row r="17" spans="2:3" x14ac:dyDescent="0.25">
      <c r="B17" s="40" t="s">
        <v>150</v>
      </c>
      <c r="C17" s="44">
        <v>3</v>
      </c>
    </row>
    <row r="18" spans="2:3" x14ac:dyDescent="0.25">
      <c r="B18" s="40" t="s">
        <v>151</v>
      </c>
      <c r="C18" s="44">
        <f>VLOOKUP(C14,B4:E11,3,FALSE)</f>
        <v>37</v>
      </c>
    </row>
    <row r="19" spans="2:3" x14ac:dyDescent="0.25">
      <c r="B19" s="46" t="s">
        <v>152</v>
      </c>
      <c r="C19" s="47">
        <f>IF(C17&gt;C18,"Sin Stock",C17*C15)</f>
        <v>141</v>
      </c>
    </row>
  </sheetData>
  <mergeCells count="1">
    <mergeCell ref="B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F680-384F-4E52-8521-C0C7FF3FB34A}">
  <dimension ref="B2:E23"/>
  <sheetViews>
    <sheetView workbookViewId="0"/>
  </sheetViews>
  <sheetFormatPr baseColWidth="10" defaultRowHeight="15" x14ac:dyDescent="0.25"/>
  <cols>
    <col min="2" max="2" width="21.42578125" customWidth="1"/>
    <col min="3" max="3" width="19.42578125" customWidth="1"/>
    <col min="4" max="4" width="22" customWidth="1"/>
    <col min="5" max="5" width="20.140625" customWidth="1"/>
    <col min="7" max="7" width="24.85546875" customWidth="1"/>
  </cols>
  <sheetData>
    <row r="2" spans="2:5" x14ac:dyDescent="0.25">
      <c r="B2" s="34" t="s">
        <v>123</v>
      </c>
      <c r="C2" s="34"/>
      <c r="D2" s="34"/>
      <c r="E2" s="34"/>
    </row>
    <row r="4" spans="2:5" x14ac:dyDescent="0.25">
      <c r="B4" s="27" t="s">
        <v>145</v>
      </c>
      <c r="C4" s="27" t="s">
        <v>146</v>
      </c>
      <c r="D4" s="27" t="s">
        <v>147</v>
      </c>
      <c r="E4" s="27" t="s">
        <v>153</v>
      </c>
    </row>
    <row r="5" spans="2:5" x14ac:dyDescent="0.25">
      <c r="B5" s="25">
        <v>101</v>
      </c>
      <c r="C5" s="37">
        <v>47</v>
      </c>
      <c r="D5" s="25">
        <v>37</v>
      </c>
      <c r="E5" s="25" t="s">
        <v>154</v>
      </c>
    </row>
    <row r="6" spans="2:5" x14ac:dyDescent="0.25">
      <c r="B6" s="25">
        <v>102</v>
      </c>
      <c r="C6" s="37">
        <v>29</v>
      </c>
      <c r="D6" s="25">
        <v>53</v>
      </c>
      <c r="E6" s="25" t="s">
        <v>155</v>
      </c>
    </row>
    <row r="7" spans="2:5" x14ac:dyDescent="0.25">
      <c r="B7" s="25">
        <v>103</v>
      </c>
      <c r="C7" s="37">
        <v>35</v>
      </c>
      <c r="D7" s="25">
        <v>0</v>
      </c>
      <c r="E7" s="25" t="s">
        <v>155</v>
      </c>
    </row>
    <row r="8" spans="2:5" x14ac:dyDescent="0.25">
      <c r="B8" s="25">
        <v>104</v>
      </c>
      <c r="C8" s="37">
        <v>19</v>
      </c>
      <c r="D8" s="25">
        <v>2</v>
      </c>
      <c r="E8" s="25" t="s">
        <v>154</v>
      </c>
    </row>
    <row r="9" spans="2:5" x14ac:dyDescent="0.25">
      <c r="B9" s="25">
        <v>105</v>
      </c>
      <c r="C9" s="37">
        <v>46</v>
      </c>
      <c r="D9" s="25">
        <v>60</v>
      </c>
      <c r="E9" s="25" t="s">
        <v>155</v>
      </c>
    </row>
    <row r="10" spans="2:5" x14ac:dyDescent="0.25">
      <c r="B10" s="25">
        <v>106</v>
      </c>
      <c r="C10" s="37">
        <v>15</v>
      </c>
      <c r="D10" s="25">
        <v>45</v>
      </c>
      <c r="E10" s="25" t="s">
        <v>154</v>
      </c>
    </row>
    <row r="11" spans="2:5" x14ac:dyDescent="0.25">
      <c r="B11" s="25">
        <v>107</v>
      </c>
      <c r="C11" s="37">
        <v>45</v>
      </c>
      <c r="D11" s="25">
        <v>97</v>
      </c>
      <c r="E11" s="25" t="s">
        <v>156</v>
      </c>
    </row>
    <row r="14" spans="2:5" x14ac:dyDescent="0.25">
      <c r="B14" s="40" t="s">
        <v>157</v>
      </c>
      <c r="C14" s="24" t="s">
        <v>153</v>
      </c>
    </row>
    <row r="15" spans="2:5" x14ac:dyDescent="0.25">
      <c r="B15" s="40" t="s">
        <v>158</v>
      </c>
      <c r="C15" s="57">
        <f>MATCH(C14,B4:E4,)</f>
        <v>4</v>
      </c>
    </row>
    <row r="18" spans="2:3" x14ac:dyDescent="0.25">
      <c r="B18" s="49" t="s">
        <v>159</v>
      </c>
      <c r="C18" s="50"/>
    </row>
    <row r="19" spans="2:3" x14ac:dyDescent="0.25">
      <c r="B19" s="49" t="s">
        <v>160</v>
      </c>
      <c r="C19" s="50" t="s">
        <v>147</v>
      </c>
    </row>
    <row r="20" spans="2:3" x14ac:dyDescent="0.25">
      <c r="B20" s="51" t="s">
        <v>3</v>
      </c>
      <c r="C20" s="53">
        <f>MATCH(C19,B4:E4,)</f>
        <v>3</v>
      </c>
    </row>
    <row r="21" spans="2:3" x14ac:dyDescent="0.25">
      <c r="B21" s="48"/>
      <c r="C21" s="48"/>
    </row>
    <row r="22" spans="2:3" x14ac:dyDescent="0.25">
      <c r="B22" s="48" t="s">
        <v>148</v>
      </c>
      <c r="C22" s="54">
        <v>107</v>
      </c>
    </row>
    <row r="23" spans="2:3" x14ac:dyDescent="0.25">
      <c r="B23" s="52" t="s">
        <v>3</v>
      </c>
      <c r="C23" s="55">
        <f>VLOOKUP(C22,B4:E11,C20,FALSE)</f>
        <v>97</v>
      </c>
    </row>
  </sheetData>
  <mergeCells count="1">
    <mergeCell ref="B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89F8-A395-4BBA-83E7-661B3A695E69}">
  <dimension ref="B2:F21"/>
  <sheetViews>
    <sheetView workbookViewId="0"/>
  </sheetViews>
  <sheetFormatPr baseColWidth="10" defaultRowHeight="15" x14ac:dyDescent="0.25"/>
  <cols>
    <col min="2" max="2" width="25.5703125" customWidth="1"/>
    <col min="3" max="3" width="19.42578125" customWidth="1"/>
    <col min="4" max="5" width="22" customWidth="1"/>
    <col min="6" max="6" width="20.140625" customWidth="1"/>
  </cols>
  <sheetData>
    <row r="2" spans="2:6" x14ac:dyDescent="0.25">
      <c r="B2" s="34" t="s">
        <v>123</v>
      </c>
      <c r="C2" s="34"/>
      <c r="D2" s="34"/>
      <c r="E2" s="34"/>
      <c r="F2" s="34"/>
    </row>
    <row r="4" spans="2:6" x14ac:dyDescent="0.25">
      <c r="B4" s="27" t="s">
        <v>161</v>
      </c>
      <c r="C4" s="27" t="s">
        <v>162</v>
      </c>
      <c r="D4" s="27" t="s">
        <v>31</v>
      </c>
      <c r="E4" s="27" t="s">
        <v>163</v>
      </c>
      <c r="F4" s="27" t="s">
        <v>164</v>
      </c>
    </row>
    <row r="5" spans="2:6" x14ac:dyDescent="0.25">
      <c r="B5" s="25">
        <v>1</v>
      </c>
      <c r="C5" s="56">
        <v>11</v>
      </c>
      <c r="D5" s="25">
        <v>56</v>
      </c>
      <c r="E5" s="60">
        <v>15</v>
      </c>
      <c r="F5" s="60">
        <v>840</v>
      </c>
    </row>
    <row r="6" spans="2:6" x14ac:dyDescent="0.25">
      <c r="B6" s="25">
        <v>2</v>
      </c>
      <c r="C6" s="25">
        <v>21</v>
      </c>
      <c r="D6" s="25">
        <v>94</v>
      </c>
      <c r="E6" s="60">
        <v>12</v>
      </c>
      <c r="F6" s="61">
        <v>1128</v>
      </c>
    </row>
    <row r="7" spans="2:6" x14ac:dyDescent="0.25">
      <c r="B7" s="25">
        <v>3</v>
      </c>
      <c r="C7" s="25">
        <v>13</v>
      </c>
      <c r="D7" s="25">
        <v>13</v>
      </c>
      <c r="E7" s="60">
        <v>20</v>
      </c>
      <c r="F7" s="60">
        <v>260</v>
      </c>
    </row>
    <row r="8" spans="2:6" x14ac:dyDescent="0.25">
      <c r="B8" s="25">
        <v>4</v>
      </c>
      <c r="C8" s="25">
        <v>13</v>
      </c>
      <c r="D8" s="25">
        <v>47</v>
      </c>
      <c r="E8" s="60">
        <v>13</v>
      </c>
      <c r="F8" s="60">
        <v>611</v>
      </c>
    </row>
    <row r="9" spans="2:6" x14ac:dyDescent="0.25">
      <c r="B9" s="25">
        <v>5</v>
      </c>
      <c r="C9" s="25">
        <v>2</v>
      </c>
      <c r="D9" s="25">
        <v>90</v>
      </c>
      <c r="E9" s="60">
        <v>11</v>
      </c>
      <c r="F9" s="60">
        <v>990</v>
      </c>
    </row>
    <row r="10" spans="2:6" x14ac:dyDescent="0.25">
      <c r="B10" s="25">
        <v>6</v>
      </c>
      <c r="C10" s="25">
        <v>3</v>
      </c>
      <c r="D10" s="25">
        <v>47</v>
      </c>
      <c r="E10" s="60">
        <v>14</v>
      </c>
      <c r="F10" s="60">
        <v>658</v>
      </c>
    </row>
    <row r="11" spans="2:6" x14ac:dyDescent="0.25">
      <c r="B11" s="25">
        <v>7</v>
      </c>
      <c r="C11" s="25">
        <v>7</v>
      </c>
      <c r="D11" s="25">
        <v>99</v>
      </c>
      <c r="E11" s="60">
        <v>10</v>
      </c>
      <c r="F11" s="60">
        <v>990</v>
      </c>
    </row>
    <row r="12" spans="2:6" x14ac:dyDescent="0.25">
      <c r="F12" s="62">
        <v>1000</v>
      </c>
    </row>
    <row r="13" spans="2:6" x14ac:dyDescent="0.25">
      <c r="F13" s="62">
        <v>6000</v>
      </c>
    </row>
    <row r="15" spans="2:6" x14ac:dyDescent="0.25">
      <c r="B15" s="40" t="s">
        <v>165</v>
      </c>
      <c r="C15" s="59">
        <f ca="1">OFFSET(C5,1,3)</f>
        <v>1128</v>
      </c>
    </row>
    <row r="16" spans="2:6" x14ac:dyDescent="0.25">
      <c r="B16" s="40" t="s">
        <v>166</v>
      </c>
      <c r="C16" s="24">
        <f ca="1">OFFSET(F6,-1,-3)</f>
        <v>11</v>
      </c>
    </row>
    <row r="18" spans="2:3" x14ac:dyDescent="0.25">
      <c r="B18" t="s">
        <v>167</v>
      </c>
      <c r="C18" s="58">
        <f>SUM(SumaBeneficio)</f>
        <v>5477</v>
      </c>
    </row>
    <row r="19" spans="2:3" x14ac:dyDescent="0.25">
      <c r="B19" t="s">
        <v>168</v>
      </c>
      <c r="C19" s="58">
        <f ca="1">SUM(SumaBeneficioDesref)</f>
        <v>12477</v>
      </c>
    </row>
    <row r="21" spans="2:3" x14ac:dyDescent="0.25">
      <c r="B21" s="63" t="s">
        <v>169</v>
      </c>
    </row>
  </sheetData>
  <mergeCells count="1">
    <mergeCell ref="B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6AF5-1B36-410E-A451-F080D501B8AC}">
  <dimension ref="B2:G19"/>
  <sheetViews>
    <sheetView workbookViewId="0"/>
  </sheetViews>
  <sheetFormatPr baseColWidth="10" defaultRowHeight="15" x14ac:dyDescent="0.25"/>
  <cols>
    <col min="2" max="6" width="21.42578125" customWidth="1"/>
    <col min="7" max="7" width="19.85546875" customWidth="1"/>
  </cols>
  <sheetData>
    <row r="2" spans="2:7" x14ac:dyDescent="0.25">
      <c r="B2" s="34" t="s">
        <v>123</v>
      </c>
      <c r="C2" s="34"/>
      <c r="D2" s="34"/>
      <c r="E2" s="34"/>
      <c r="F2" s="34"/>
      <c r="G2" s="34"/>
    </row>
    <row r="4" spans="2:7" x14ac:dyDescent="0.25">
      <c r="B4" s="27" t="s">
        <v>170</v>
      </c>
      <c r="C4" s="27" t="s">
        <v>124</v>
      </c>
      <c r="D4" s="27" t="s">
        <v>125</v>
      </c>
      <c r="E4" s="27" t="s">
        <v>171</v>
      </c>
      <c r="F4" s="27" t="s">
        <v>163</v>
      </c>
      <c r="G4" s="27" t="s">
        <v>172</v>
      </c>
    </row>
    <row r="5" spans="2:7" x14ac:dyDescent="0.25">
      <c r="B5" s="64">
        <v>100001</v>
      </c>
      <c r="C5" s="65" t="str">
        <f>VLOOKUP(B5,'Hoja B'!$B$4:$D$19,2,FALSE)</f>
        <v>José</v>
      </c>
      <c r="D5" s="65" t="str">
        <f>VLOOKUP(B5,'Hoja B'!$B$4:$D$19,3,FALSE)</f>
        <v>Sánchez</v>
      </c>
      <c r="E5" s="25">
        <v>124</v>
      </c>
      <c r="F5" s="37">
        <v>42</v>
      </c>
      <c r="G5" s="37">
        <v>5208</v>
      </c>
    </row>
    <row r="6" spans="2:7" x14ac:dyDescent="0.25">
      <c r="B6" s="64">
        <v>100002</v>
      </c>
      <c r="C6" s="65" t="str">
        <f>VLOOKUP(B6,'Hoja B'!$B$4:$D$19,2,FALSE)</f>
        <v>Elizabeht</v>
      </c>
      <c r="D6" s="65" t="str">
        <f>VLOOKUP(B6,'Hoja B'!$B$4:$D$19,3,FALSE)</f>
        <v>López</v>
      </c>
      <c r="E6" s="25">
        <v>251</v>
      </c>
      <c r="F6" s="37">
        <v>26</v>
      </c>
      <c r="G6" s="37">
        <v>6526</v>
      </c>
    </row>
    <row r="7" spans="2:7" x14ac:dyDescent="0.25">
      <c r="B7" s="64">
        <v>100003</v>
      </c>
      <c r="C7" s="65" t="str">
        <f>VLOOKUP(B7,'Hoja B'!$B$4:$D$19,2,FALSE)</f>
        <v>Ceci</v>
      </c>
      <c r="D7" s="65" t="str">
        <f>VLOOKUP(B7,'Hoja B'!$B$4:$D$19,3,FALSE)</f>
        <v>Ramírez</v>
      </c>
      <c r="E7" s="25">
        <v>289</v>
      </c>
      <c r="F7" s="37">
        <v>75</v>
      </c>
      <c r="G7" s="37">
        <v>21675</v>
      </c>
    </row>
    <row r="8" spans="2:7" x14ac:dyDescent="0.25">
      <c r="B8" s="64">
        <v>100004</v>
      </c>
      <c r="C8" s="65" t="str">
        <f>VLOOKUP(B8,'Hoja B'!$B$4:$D$19,2,FALSE)</f>
        <v>Saira</v>
      </c>
      <c r="D8" s="65" t="str">
        <f>VLOOKUP(B8,'Hoja B'!$B$4:$D$19,3,FALSE)</f>
        <v>Hernández</v>
      </c>
      <c r="E8" s="25">
        <v>207</v>
      </c>
      <c r="F8" s="37">
        <v>65</v>
      </c>
      <c r="G8" s="37">
        <v>13455</v>
      </c>
    </row>
    <row r="9" spans="2:7" x14ac:dyDescent="0.25">
      <c r="B9" s="64">
        <v>100005</v>
      </c>
      <c r="C9" s="65" t="str">
        <f>VLOOKUP(B9,'Hoja B'!$B$4:$D$19,2,FALSE)</f>
        <v>Estefanía</v>
      </c>
      <c r="D9" s="65" t="str">
        <f>VLOOKUP(B9,'Hoja B'!$B$4:$D$19,3,FALSE)</f>
        <v>Nuñez</v>
      </c>
      <c r="E9" s="25">
        <v>253</v>
      </c>
      <c r="F9" s="37">
        <v>91</v>
      </c>
      <c r="G9" s="37">
        <v>23023</v>
      </c>
    </row>
    <row r="10" spans="2:7" x14ac:dyDescent="0.25">
      <c r="B10" s="64">
        <v>100006</v>
      </c>
      <c r="C10" s="65" t="str">
        <f>VLOOKUP(B10,'Hoja B'!$B$4:$D$19,2,FALSE)</f>
        <v>Consuelo</v>
      </c>
      <c r="D10" s="65" t="str">
        <f>VLOOKUP(B10,'Hoja B'!$B$4:$D$19,3,FALSE)</f>
        <v>Meléndez</v>
      </c>
      <c r="E10" s="25">
        <v>114</v>
      </c>
      <c r="F10" s="37">
        <v>58</v>
      </c>
      <c r="G10" s="37">
        <v>6612</v>
      </c>
    </row>
    <row r="11" spans="2:7" x14ac:dyDescent="0.25">
      <c r="B11" s="64">
        <v>100007</v>
      </c>
      <c r="C11" s="65" t="str">
        <f>VLOOKUP(B11,'Hoja B'!$B$4:$D$19,2,FALSE)</f>
        <v>Ramón</v>
      </c>
      <c r="D11" s="65" t="str">
        <f>VLOOKUP(B11,'Hoja B'!$B$4:$D$19,3,FALSE)</f>
        <v>Ramírez</v>
      </c>
      <c r="E11" s="25">
        <v>295</v>
      </c>
      <c r="F11" s="37">
        <v>77</v>
      </c>
      <c r="G11" s="37">
        <v>22715</v>
      </c>
    </row>
    <row r="12" spans="2:7" x14ac:dyDescent="0.25">
      <c r="B12" s="64">
        <v>100008</v>
      </c>
      <c r="C12" s="65" t="str">
        <f>VLOOKUP(B12,'Hoja B'!$B$4:$D$19,2,FALSE)</f>
        <v>Daniel</v>
      </c>
      <c r="D12" s="65" t="str">
        <f>VLOOKUP(B12,'Hoja B'!$B$4:$D$19,3,FALSE)</f>
        <v>Tovar</v>
      </c>
      <c r="E12" s="25">
        <v>293</v>
      </c>
      <c r="F12" s="37">
        <v>45</v>
      </c>
      <c r="G12" s="37">
        <v>13185</v>
      </c>
    </row>
    <row r="13" spans="2:7" x14ac:dyDescent="0.25">
      <c r="B13" s="64">
        <v>100009</v>
      </c>
      <c r="C13" s="65" t="str">
        <f>VLOOKUP(B13,'Hoja B'!$B$4:$D$19,2,FALSE)</f>
        <v>Felipe</v>
      </c>
      <c r="D13" s="65" t="str">
        <f>VLOOKUP(B13,'Hoja B'!$B$4:$D$19,3,FALSE)</f>
        <v>Martínez</v>
      </c>
      <c r="E13" s="25">
        <v>250</v>
      </c>
      <c r="F13" s="37">
        <v>58</v>
      </c>
      <c r="G13" s="37">
        <v>14500</v>
      </c>
    </row>
    <row r="14" spans="2:7" x14ac:dyDescent="0.25">
      <c r="B14" s="64">
        <v>100010</v>
      </c>
      <c r="C14" s="65" t="str">
        <f>VLOOKUP(B14,'Hoja B'!$B$4:$D$19,2,FALSE)</f>
        <v>Raúl</v>
      </c>
      <c r="D14" s="65" t="str">
        <f>VLOOKUP(B14,'Hoja B'!$B$4:$D$19,3,FALSE)</f>
        <v>Fernández</v>
      </c>
      <c r="E14" s="25">
        <v>134</v>
      </c>
      <c r="F14" s="37">
        <v>23</v>
      </c>
      <c r="G14" s="37">
        <v>3082</v>
      </c>
    </row>
    <row r="15" spans="2:7" x14ac:dyDescent="0.25">
      <c r="B15" s="64">
        <v>100011</v>
      </c>
      <c r="C15" s="65" t="str">
        <f>VLOOKUP(B15,'Hoja B'!$B$4:$D$19,2,FALSE)</f>
        <v>Ramón</v>
      </c>
      <c r="D15" s="65" t="str">
        <f>VLOOKUP(B15,'Hoja B'!$B$4:$D$19,3,FALSE)</f>
        <v>Rodríguez</v>
      </c>
      <c r="E15" s="25">
        <v>294</v>
      </c>
      <c r="F15" s="37">
        <v>52</v>
      </c>
      <c r="G15" s="37">
        <v>15288</v>
      </c>
    </row>
    <row r="16" spans="2:7" x14ac:dyDescent="0.25">
      <c r="B16" s="64">
        <v>100012</v>
      </c>
      <c r="C16" s="65" t="str">
        <f>VLOOKUP(B16,'Hoja B'!$B$4:$D$19,2,FALSE)</f>
        <v>Fatima</v>
      </c>
      <c r="D16" s="65" t="str">
        <f>VLOOKUP(B16,'Hoja B'!$B$4:$D$19,3,FALSE)</f>
        <v>López</v>
      </c>
      <c r="E16" s="25">
        <v>270</v>
      </c>
      <c r="F16" s="37">
        <v>97</v>
      </c>
      <c r="G16" s="37">
        <v>26190</v>
      </c>
    </row>
    <row r="17" spans="2:7" x14ac:dyDescent="0.25">
      <c r="B17" s="64">
        <v>100013</v>
      </c>
      <c r="C17" s="65" t="str">
        <f>VLOOKUP(B17,'Hoja B'!$B$4:$D$19,2,FALSE)</f>
        <v>Fabiola</v>
      </c>
      <c r="D17" s="65" t="str">
        <f>VLOOKUP(B17,'Hoja B'!$B$4:$D$19,3,FALSE)</f>
        <v>Reynoso</v>
      </c>
      <c r="E17" s="25">
        <v>284</v>
      </c>
      <c r="F17" s="37">
        <v>74</v>
      </c>
      <c r="G17" s="37">
        <v>21016</v>
      </c>
    </row>
    <row r="18" spans="2:7" x14ac:dyDescent="0.25">
      <c r="B18" s="64">
        <v>100014</v>
      </c>
      <c r="C18" s="65" t="str">
        <f>VLOOKUP(B18,'Hoja B'!$B$4:$D$19,2,FALSE)</f>
        <v>Jose Luis</v>
      </c>
      <c r="D18" s="65" t="str">
        <f>VLOOKUP(B18,'Hoja B'!$B$4:$D$19,3,FALSE)</f>
        <v>Pérez</v>
      </c>
      <c r="E18" s="25">
        <v>292</v>
      </c>
      <c r="F18" s="37">
        <v>59</v>
      </c>
      <c r="G18" s="37">
        <v>17228</v>
      </c>
    </row>
    <row r="19" spans="2:7" x14ac:dyDescent="0.25">
      <c r="B19" s="64">
        <v>100015</v>
      </c>
      <c r="C19" s="65" t="str">
        <f>VLOOKUP(B19,'Hoja B'!$B$4:$D$19,2,FALSE)</f>
        <v>Alfredo</v>
      </c>
      <c r="D19" s="65" t="str">
        <f>VLOOKUP(B19,'Hoja B'!$B$4:$D$19,3,FALSE)</f>
        <v>Gómez</v>
      </c>
      <c r="E19" s="25">
        <v>261</v>
      </c>
      <c r="F19" s="37">
        <v>40</v>
      </c>
      <c r="G19" s="37">
        <v>10440</v>
      </c>
    </row>
  </sheetData>
  <mergeCells count="1">
    <mergeCell ref="B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B66E-A109-41D5-BA73-4B691A4420E1}">
  <dimension ref="B2:D19"/>
  <sheetViews>
    <sheetView workbookViewId="0"/>
  </sheetViews>
  <sheetFormatPr baseColWidth="10" defaultRowHeight="15" x14ac:dyDescent="0.25"/>
  <cols>
    <col min="2" max="4" width="21.42578125" customWidth="1"/>
  </cols>
  <sheetData>
    <row r="2" spans="2:4" x14ac:dyDescent="0.25">
      <c r="B2" s="34" t="s">
        <v>123</v>
      </c>
      <c r="C2" s="34"/>
      <c r="D2" s="34"/>
    </row>
    <row r="4" spans="2:4" x14ac:dyDescent="0.25">
      <c r="B4" s="27" t="s">
        <v>170</v>
      </c>
      <c r="C4" s="27" t="s">
        <v>124</v>
      </c>
      <c r="D4" s="27" t="s">
        <v>125</v>
      </c>
    </row>
    <row r="5" spans="2:4" x14ac:dyDescent="0.25">
      <c r="B5" s="64">
        <v>100015</v>
      </c>
      <c r="C5" s="65" t="s">
        <v>173</v>
      </c>
      <c r="D5" s="65" t="s">
        <v>174</v>
      </c>
    </row>
    <row r="6" spans="2:4" x14ac:dyDescent="0.25">
      <c r="B6" s="64">
        <v>100014</v>
      </c>
      <c r="C6" s="65" t="s">
        <v>175</v>
      </c>
      <c r="D6" s="65" t="s">
        <v>18</v>
      </c>
    </row>
    <row r="7" spans="2:4" x14ac:dyDescent="0.25">
      <c r="B7" s="64">
        <v>100013</v>
      </c>
      <c r="C7" s="65" t="s">
        <v>176</v>
      </c>
      <c r="D7" s="65" t="s">
        <v>177</v>
      </c>
    </row>
    <row r="8" spans="2:4" x14ac:dyDescent="0.25">
      <c r="B8" s="64">
        <v>100012</v>
      </c>
      <c r="C8" s="65" t="s">
        <v>178</v>
      </c>
      <c r="D8" s="65" t="s">
        <v>179</v>
      </c>
    </row>
    <row r="9" spans="2:4" x14ac:dyDescent="0.25">
      <c r="B9" s="64">
        <v>100011</v>
      </c>
      <c r="C9" s="65" t="s">
        <v>180</v>
      </c>
      <c r="D9" s="65" t="s">
        <v>181</v>
      </c>
    </row>
    <row r="10" spans="2:4" x14ac:dyDescent="0.25">
      <c r="B10" s="64">
        <v>100010</v>
      </c>
      <c r="C10" s="65" t="s">
        <v>182</v>
      </c>
      <c r="D10" s="65" t="s">
        <v>183</v>
      </c>
    </row>
    <row r="11" spans="2:4" x14ac:dyDescent="0.25">
      <c r="B11" s="64">
        <v>100009</v>
      </c>
      <c r="C11" s="65" t="s">
        <v>184</v>
      </c>
      <c r="D11" s="65" t="s">
        <v>185</v>
      </c>
    </row>
    <row r="12" spans="2:4" x14ac:dyDescent="0.25">
      <c r="B12" s="64">
        <v>100008</v>
      </c>
      <c r="C12" s="65" t="s">
        <v>132</v>
      </c>
      <c r="D12" s="65" t="s">
        <v>186</v>
      </c>
    </row>
    <row r="13" spans="2:4" x14ac:dyDescent="0.25">
      <c r="B13" s="64">
        <v>100007</v>
      </c>
      <c r="C13" s="65" t="s">
        <v>180</v>
      </c>
      <c r="D13" s="65" t="s">
        <v>187</v>
      </c>
    </row>
    <row r="14" spans="2:4" x14ac:dyDescent="0.25">
      <c r="B14" s="64">
        <v>100006</v>
      </c>
      <c r="C14" s="65" t="s">
        <v>188</v>
      </c>
      <c r="D14" s="65" t="s">
        <v>189</v>
      </c>
    </row>
    <row r="15" spans="2:4" x14ac:dyDescent="0.25">
      <c r="B15" s="64">
        <v>100005</v>
      </c>
      <c r="C15" s="65" t="s">
        <v>190</v>
      </c>
      <c r="D15" s="65" t="s">
        <v>191</v>
      </c>
    </row>
    <row r="16" spans="2:4" x14ac:dyDescent="0.25">
      <c r="B16" s="64">
        <v>100004</v>
      </c>
      <c r="C16" s="65" t="s">
        <v>192</v>
      </c>
      <c r="D16" s="65" t="s">
        <v>193</v>
      </c>
    </row>
    <row r="17" spans="2:4" x14ac:dyDescent="0.25">
      <c r="B17" s="64">
        <v>100003</v>
      </c>
      <c r="C17" s="65" t="s">
        <v>194</v>
      </c>
      <c r="D17" s="65" t="s">
        <v>187</v>
      </c>
    </row>
    <row r="18" spans="2:4" x14ac:dyDescent="0.25">
      <c r="B18" s="64">
        <v>100002</v>
      </c>
      <c r="C18" s="65" t="s">
        <v>195</v>
      </c>
      <c r="D18" s="65" t="s">
        <v>179</v>
      </c>
    </row>
    <row r="19" spans="2:4" x14ac:dyDescent="0.25">
      <c r="B19" s="64">
        <v>100001</v>
      </c>
      <c r="C19" s="65" t="s">
        <v>196</v>
      </c>
      <c r="D19" s="65" t="s">
        <v>20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28</vt:i4>
      </vt:variant>
    </vt:vector>
  </HeadingPairs>
  <TitlesOfParts>
    <vt:vector size="47" baseType="lpstr">
      <vt:lpstr>Funciones de Texto</vt:lpstr>
      <vt:lpstr>Funcion SUMAR.SI</vt:lpstr>
      <vt:lpstr>Funcion SUMAR.SI.CONJUNTO</vt:lpstr>
      <vt:lpstr>Funcion SUMAPRODUCTO</vt:lpstr>
      <vt:lpstr>Funcion CONTAR.SI</vt:lpstr>
      <vt:lpstr>Funcion CONTAR.SI.CONJUNTO</vt:lpstr>
      <vt:lpstr>Funcion PROMEDIO.SI</vt:lpstr>
      <vt:lpstr>Correlación</vt:lpstr>
      <vt:lpstr>Correlación Inversa</vt:lpstr>
      <vt:lpstr>Desviación Estándar</vt:lpstr>
      <vt:lpstr>Función Crecimiento</vt:lpstr>
      <vt:lpstr>Función Tendencia</vt:lpstr>
      <vt:lpstr>Función Buscar</vt:lpstr>
      <vt:lpstr>Función BuscarH</vt:lpstr>
      <vt:lpstr>Función BuscarV</vt:lpstr>
      <vt:lpstr>Función Coincidir</vt:lpstr>
      <vt:lpstr>Función Desref</vt:lpstr>
      <vt:lpstr>Hoja A</vt:lpstr>
      <vt:lpstr>Hoja B</vt:lpstr>
      <vt:lpstr>Pais1</vt:lpstr>
      <vt:lpstr>'Funcion SUMAR.SI.CONJUNTO'!Pais2</vt:lpstr>
      <vt:lpstr>PrecioPromedio3</vt:lpstr>
      <vt:lpstr>Producto3</vt:lpstr>
      <vt:lpstr>Region</vt:lpstr>
      <vt:lpstr>'Funcion SUMAR.SI.CONJUNTO'!Region2</vt:lpstr>
      <vt:lpstr>Region4</vt:lpstr>
      <vt:lpstr>'Funcion CONTAR.SI.CONJUNTO'!Region5</vt:lpstr>
      <vt:lpstr>'Funcion PROMEDIO.SI'!Region6</vt:lpstr>
      <vt:lpstr>SumaBeneficio</vt:lpstr>
      <vt:lpstr>Variable1.1</vt:lpstr>
      <vt:lpstr>Variable1.2</vt:lpstr>
      <vt:lpstr>Variable1.3</vt:lpstr>
      <vt:lpstr>Variable2.1</vt:lpstr>
      <vt:lpstr>Variable2.2</vt:lpstr>
      <vt:lpstr>Variable2.3</vt:lpstr>
      <vt:lpstr>Variable2.4</vt:lpstr>
      <vt:lpstr>Variable4.1</vt:lpstr>
      <vt:lpstr>Variable4.2</vt:lpstr>
      <vt:lpstr>Variable4.3</vt:lpstr>
      <vt:lpstr>Variable5.1</vt:lpstr>
      <vt:lpstr>Variable5.2</vt:lpstr>
      <vt:lpstr>Variable6</vt:lpstr>
      <vt:lpstr>Ventas1</vt:lpstr>
      <vt:lpstr>'Funcion SUMAR.SI.CONJUNTO'!Ventas2</vt:lpstr>
      <vt:lpstr>'Funcion CONTAR.SI'!Ventas4</vt:lpstr>
      <vt:lpstr>'Funcion CONTAR.SI.CONJUNTO'!Ventas5</vt:lpstr>
      <vt:lpstr>'Funcion PROMEDIO.SI'!Ventas6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Fabián Di Giorgio</dc:creator>
  <cp:lastModifiedBy>Diego Fabián Di Giorgio</cp:lastModifiedBy>
  <dcterms:created xsi:type="dcterms:W3CDTF">2025-05-30T03:56:22Z</dcterms:created>
  <dcterms:modified xsi:type="dcterms:W3CDTF">2025-06-01T12:13:36Z</dcterms:modified>
</cp:coreProperties>
</file>