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58C7E92E-D247-428F-83BE-D3EE3D696DDD}" xr6:coauthVersionLast="44" xr6:coauthVersionMax="44" xr10:uidLastSave="{00000000-0000-0000-0000-000000000000}"/>
  <bookViews>
    <workbookView xWindow="-110" yWindow="-110" windowWidth="19420" windowHeight="10420" activeTab="2" xr2:uid="{73D26C3A-97A5-478D-B712-41FEC53748BD}"/>
  </bookViews>
  <sheets>
    <sheet name="clientes_data_types" sheetId="2" r:id="rId1"/>
    <sheet name="clientes" sheetId="1" r:id="rId2"/>
    <sheet name="cuentas" sheetId="3" r:id="rId3"/>
    <sheet name="Sheet5" sheetId="5" r:id="rId4"/>
    <sheet name="pago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3" l="1"/>
  <c r="J4" i="3"/>
  <c r="J2" i="3"/>
  <c r="F16" i="3" l="1"/>
  <c r="G13" i="3"/>
  <c r="F13" i="3"/>
  <c r="G10" i="3"/>
  <c r="F10" i="3"/>
  <c r="A9" i="4" l="1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P3" i="3"/>
  <c r="P4" i="3"/>
  <c r="P2" i="3"/>
  <c r="Q3" i="3"/>
  <c r="Q4" i="3"/>
  <c r="N3" i="3"/>
  <c r="O3" i="3" s="1"/>
  <c r="N4" i="3"/>
  <c r="O4" i="3" s="1"/>
  <c r="N2" i="3"/>
  <c r="O2" i="3" s="1"/>
  <c r="Q2" i="3"/>
  <c r="A2" i="4" l="1"/>
  <c r="A8" i="4"/>
  <c r="O6" i="3"/>
  <c r="K4" i="3"/>
  <c r="M4" i="3" s="1"/>
  <c r="A7" i="4"/>
  <c r="A6" i="4"/>
  <c r="K3" i="3"/>
  <c r="A5" i="4"/>
  <c r="K2" i="3"/>
  <c r="A4" i="4"/>
  <c r="A3" i="4"/>
  <c r="D4" i="3"/>
  <c r="D2" i="3"/>
  <c r="D3" i="3"/>
  <c r="R4" i="3"/>
  <c r="R2" i="3"/>
  <c r="R3" i="3"/>
  <c r="L4" i="3" l="1"/>
  <c r="M3" i="3"/>
  <c r="L3" i="3"/>
  <c r="L2" i="3"/>
  <c r="M2" i="3" l="1"/>
</calcChain>
</file>

<file path=xl/sharedStrings.xml><?xml version="1.0" encoding="utf-8"?>
<sst xmlns="http://schemas.openxmlformats.org/spreadsheetml/2006/main" count="143" uniqueCount="81">
  <si>
    <t>nombre</t>
  </si>
  <si>
    <t>apellido_materno</t>
  </si>
  <si>
    <t>apellido_paterno</t>
  </si>
  <si>
    <t>curp</t>
  </si>
  <si>
    <t>domicilio_calle_numero</t>
  </si>
  <si>
    <t>cp</t>
  </si>
  <si>
    <t>colonia</t>
  </si>
  <si>
    <t>estado</t>
  </si>
  <si>
    <t>ciudad</t>
  </si>
  <si>
    <t>telefono_1</t>
  </si>
  <si>
    <t>telefono_2</t>
  </si>
  <si>
    <t>fecha_nacimiento</t>
  </si>
  <si>
    <t>Header</t>
  </si>
  <si>
    <t>Data type</t>
  </si>
  <si>
    <t>char[]</t>
  </si>
  <si>
    <t>Length</t>
  </si>
  <si>
    <t>num</t>
  </si>
  <si>
    <t>short_date</t>
  </si>
  <si>
    <t>NA</t>
  </si>
  <si>
    <t>linea_credito</t>
  </si>
  <si>
    <t>saldo</t>
  </si>
  <si>
    <t>interes</t>
  </si>
  <si>
    <t>id_credito</t>
  </si>
  <si>
    <t>mensualidades</t>
  </si>
  <si>
    <t>periodicidad</t>
  </si>
  <si>
    <t>cantidad</t>
  </si>
  <si>
    <t>fecha_solicitud</t>
  </si>
  <si>
    <t>fecha_aprobacion</t>
  </si>
  <si>
    <t>dahz</t>
  </si>
  <si>
    <t>padb</t>
  </si>
  <si>
    <t>transaction_id</t>
  </si>
  <si>
    <t>diego</t>
  </si>
  <si>
    <t>hernandez</t>
  </si>
  <si>
    <t>zapien</t>
  </si>
  <si>
    <t>experiencia 2225B</t>
  </si>
  <si>
    <t>Santa Elena Alcalde</t>
  </si>
  <si>
    <t>Guadalajara</t>
  </si>
  <si>
    <t>Jalisco</t>
  </si>
  <si>
    <t>brenda</t>
  </si>
  <si>
    <t>padilla</t>
  </si>
  <si>
    <t>diaz</t>
  </si>
  <si>
    <t>bruna</t>
  </si>
  <si>
    <t>bimba</t>
  </si>
  <si>
    <t>fecha_transaction</t>
  </si>
  <si>
    <t>estatus</t>
  </si>
  <si>
    <t>saldo_vencido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</si>
  <si>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</si>
  <si>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</si>
  <si>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</si>
  <si>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</si>
  <si>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</si>
  <si>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</si>
  <si>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</si>
  <si>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</si>
  <si>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</si>
  <si>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</si>
  <si>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</si>
  <si>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</si>
  <si>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</si>
  <si>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</si>
  <si>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</si>
  <si>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</si>
  <si>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</si>
  <si>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</si>
  <si>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</si>
  <si>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</si>
  <si>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</si>
  <si>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monto_esperado_hoy</t>
  </si>
  <si>
    <t>monto_total_pagado</t>
  </si>
  <si>
    <t>num_pagos_requeridos</t>
  </si>
  <si>
    <t>num_pagos_realizados</t>
  </si>
  <si>
    <t>num_pagos_restantes</t>
  </si>
  <si>
    <t>monto_pago_periodico</t>
  </si>
  <si>
    <t>monto_mensual</t>
  </si>
  <si>
    <t>fecha_proximo_pago</t>
  </si>
  <si>
    <t>fecha_ultimo_pago</t>
  </si>
  <si>
    <t>Pago total</t>
  </si>
  <si>
    <t>Pago mensual</t>
  </si>
  <si>
    <t>Pago periódico</t>
  </si>
  <si>
    <t>Monto esperado hoy</t>
  </si>
  <si>
    <t>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</si>
</sst>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9" fontId="0" fillId="0" borderId="0" xfId="1" applyFont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1" xfId="0" applyNumberFormat="1" applyFont="1" applyFill="1" applyBorder="1"/>
    <xf numFmtId="9" fontId="2" fillId="2" borderId="1" xfId="1" applyNumberFormat="1" applyFont="1" applyFill="1" applyBorder="1"/>
    <xf numFmtId="165" fontId="2" fillId="2" borderId="1" xfId="0" applyNumberFormat="1" applyFont="1" applyFill="1" applyBorder="1"/>
    <xf numFmtId="0" fontId="2" fillId="2" borderId="0" xfId="0" applyFont="1" applyFill="1" applyBorder="1"/>
    <xf numFmtId="10" fontId="0" fillId="0" borderId="0" xfId="1" applyNumberFormat="1" applyFont="1"/>
    <xf numFmtId="164" fontId="4" fillId="3" borderId="0" xfId="3" applyNumberFormat="1"/>
    <xf numFmtId="0" fontId="0" fillId="5" borderId="0" xfId="0" applyFill="1"/>
    <xf numFmtId="164" fontId="0" fillId="5" borderId="0" xfId="0" applyNumberFormat="1" applyFill="1"/>
    <xf numFmtId="9" fontId="0" fillId="5" borderId="0" xfId="1" applyFont="1" applyFill="1"/>
    <xf numFmtId="44" fontId="0" fillId="0" borderId="0" xfId="2" applyFont="1"/>
    <xf numFmtId="164" fontId="5" fillId="4" borderId="0" xfId="4" applyNumberFormat="1"/>
  </cellXfs>
  <cellStyles count="5">
    <cellStyle name="Accent2" xfId="4" builtinId="33"/>
    <cellStyle name="Currency" xfId="2" builtinId="4"/>
    <cellStyle name="Good" xfId="3" builtinId="26"/>
    <cellStyle name="Normal" xfId="0" builtinId="0"/>
    <cellStyle name="Percent" xfId="1" builtinId="5"/>
  </cellStyles>
  <dxfs count="17">
    <dxf>
      <numFmt numFmtId="164" formatCode="&quot;$&quot;#,##0.00"/>
    </dxf>
    <dxf>
      <numFmt numFmtId="19" formatCode="m/d/yyyy"/>
    </dxf>
    <dxf>
      <numFmt numFmtId="164" formatCode="&quot;$&quot;#,##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5" formatCode="dd/mm/yyyy;@"/>
    </dxf>
    <dxf>
      <numFmt numFmtId="165" formatCode="dd/mm/yyyy;@"/>
    </dxf>
    <dxf>
      <numFmt numFmtId="164" formatCode="&quot;$&quot;#,##0.00"/>
    </dxf>
    <dxf>
      <numFmt numFmtId="164" formatCode="&quot;$&quot;#,##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FB7805-6838-42C9-A5EA-139C60A27C4E}" name="Table3" displayName="Table3" ref="A1:L5" totalsRowShown="0">
  <tableColumns count="12">
    <tableColumn id="1" xr3:uid="{0D1F41B8-B089-4AB7-B4DE-E350B11F7FEB}" name="curp"/>
    <tableColumn id="2" xr3:uid="{C91A2056-1F42-4F31-A649-535653372369}" name="nombre"/>
    <tableColumn id="3" xr3:uid="{E06FDA76-6C12-462F-A7C1-25D737CF8B2C}" name="apellido_paterno"/>
    <tableColumn id="4" xr3:uid="{7926A52B-70E0-43C9-90A5-76BA9A202D55}" name="apellido_materno"/>
    <tableColumn id="5" xr3:uid="{854259E1-0D34-4BAA-99BF-799F0B419A93}" name="domicilio_calle_numero"/>
    <tableColumn id="6" xr3:uid="{6B4855E6-5454-417C-9C1C-C346B0023443}" name="cp"/>
    <tableColumn id="7" xr3:uid="{D50AA021-CCE5-487F-AC7D-FC9192B26454}" name="colonia"/>
    <tableColumn id="8" xr3:uid="{6AE4B597-87B6-4B07-AB26-C2A07843870F}" name="ciudad"/>
    <tableColumn id="9" xr3:uid="{017D0C70-E5A4-4DBA-B17B-D1A1A3F93222}" name="estado"/>
    <tableColumn id="10" xr3:uid="{6BCE9CE0-2E8D-429F-B1A3-E3CD6163DB43}" name="telefono_1"/>
    <tableColumn id="11" xr3:uid="{3B446EEB-2A66-4C05-B46A-3A27FE263FE1}" name="telefono_2"/>
    <tableColumn id="12" xr3:uid="{E41401DE-4663-4F47-8B0B-19EF66E4FBD9}" name="fecha_nacimiento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AB79B-3026-4897-85D9-8F8B802E5D36}" name="Table1" displayName="Table1" ref="A1:R4" totalsRowShown="0">
  <tableColumns count="18">
    <tableColumn id="1" xr3:uid="{B2EFA990-EF7A-4E26-A05D-7B879A948FE7}" name="id_credito"/>
    <tableColumn id="2" xr3:uid="{1BCF7B76-F414-4775-A40D-7BF2C34A3277}" name="curp"/>
    <tableColumn id="3" xr3:uid="{00B38EEC-B0ED-4EE2-A021-6A8650811B35}" name="linea_credito" dataDxfId="13"/>
    <tableColumn id="4" xr3:uid="{3F0F665A-F13A-4180-B8DB-FAE1E1798E43}" name="saldo" dataDxfId="12">
      <calculatedColumnFormula>C2*(1+E2)-(Q2*O2)</calculatedColumnFormula>
    </tableColumn>
    <tableColumn id="5" xr3:uid="{BC026A2E-CA36-40CD-8C33-9166F853F063}" name="interes" dataCellStyle="Percent"/>
    <tableColumn id="6" xr3:uid="{1063FF4B-A383-47A9-B61D-FC65D34CF5F9}" name="mensualidades"/>
    <tableColumn id="7" xr3:uid="{3387D830-CE01-4C56-8812-AE01DA75B70B}" name="periodicidad"/>
    <tableColumn id="8" xr3:uid="{2D958AFA-711E-415E-9C16-39AC865ADE6B}" name="fecha_solicitud" dataDxfId="11"/>
    <tableColumn id="9" xr3:uid="{5D6A2A34-BDD9-446A-B285-9C04BF5682D4}" name="fecha_aprobacion" dataDxfId="10"/>
    <tableColumn id="16" xr3:uid="{39CC85DD-EFCD-450B-9610-8EE58DF7EDC6}" name="monto_esperado_hoy" dataDxfId="0">
      <calculatedColumnFormula>ROUNDDOWN(((DATEDIF(I2,TODAY(),"d"))/30)*G2,0)*O2</calculatedColumnFormula>
    </tableColumn>
    <tableColumn id="17" xr3:uid="{CA4548C6-9504-4FA2-94F5-F642E063F6C0}" name="monto_total_pagado" dataDxfId="9">
      <calculatedColumnFormula>Q2*O2</calculatedColumnFormula>
    </tableColumn>
    <tableColumn id="10" xr3:uid="{5DBDF8F8-89F6-4F9C-ACE2-D68AC52BF6CF}" name="estatus" dataDxfId="8">
      <calculatedColumnFormula>IF(J2-K2&lt;=0,"Al corriente", "Atrasado")</calculatedColumnFormula>
    </tableColumn>
    <tableColumn id="18" xr3:uid="{0ABC8BA1-2359-477E-A933-BE828A9DAEBC}" name="saldo_vencido" dataDxfId="7">
      <calculatedColumnFormula>-(J2-K2)</calculatedColumnFormula>
    </tableColumn>
    <tableColumn id="11" xr3:uid="{2D51F02C-790C-49DE-A315-45B4084694AD}" name="monto_mensual">
      <calculatedColumnFormula>C2*(1+E2)/F2</calculatedColumnFormula>
    </tableColumn>
    <tableColumn id="12" xr3:uid="{908A117F-11E1-401D-AE2F-535595CE7F39}" name="monto_pago_periodico">
      <calculatedColumnFormula>N2/G2</calculatedColumnFormula>
    </tableColumn>
    <tableColumn id="13" xr3:uid="{AE1533E0-BEC8-4CA5-8B01-A655DD19CCB1}" name="num_pagos_requeridos" dataDxfId="6">
      <calculatedColumnFormula>F2*G2</calculatedColumnFormula>
    </tableColumn>
    <tableColumn id="14" xr3:uid="{9D76B664-D1E0-4E14-B505-CA7783B5C0A2}" name="num_pagos_realizados">
      <calculatedColumnFormula>COUNTIFS(pagos!C:C,A2)</calculatedColumnFormula>
    </tableColumn>
    <tableColumn id="15" xr3:uid="{8FC18001-7494-47DA-9573-145D9F6771F5}" name="num_pagos_restantes" dataDxfId="5">
      <calculatedColumnFormula>P2-Q2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7DDD93-7586-4E28-B7B4-A2671C49CB1E}" name="Table2" displayName="Table2" ref="A1:D22" totalsRowShown="0">
  <tableColumns count="4">
    <tableColumn id="1" xr3:uid="{B8DD3747-D428-4B2E-A748-C3184DF03961}" name="cantidad" dataDxfId="2">
      <calculatedColumnFormula>VLOOKUP(C2,cuentas!A:O,15,0)</calculatedColumnFormula>
    </tableColumn>
    <tableColumn id="2" xr3:uid="{8A11EE52-9CC8-4548-89E2-66ABC032F50C}" name="fecha_transaction" dataDxfId="1"/>
    <tableColumn id="3" xr3:uid="{AFDC16AD-4262-4B39-A396-FB0E70B276B5}" name="id_credito"/>
    <tableColumn id="4" xr3:uid="{B1A33976-CC42-469F-8C4A-11BCFEB7298F}" name="transaction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4416-F4AA-4DE5-9D5D-D6646097E1EC}">
  <dimension ref="A1:C13"/>
  <sheetViews>
    <sheetView workbookViewId="0">
      <selection activeCell="A3" sqref="A3"/>
    </sheetView>
  </sheetViews>
  <sheetFormatPr defaultRowHeight="14.5" x14ac:dyDescent="0.35"/>
  <cols>
    <col min="1" max="1" width="20.90625" bestFit="1" customWidth="1"/>
  </cols>
  <sheetData>
    <row r="1" spans="1:3" x14ac:dyDescent="0.35">
      <c r="A1" t="s">
        <v>12</v>
      </c>
      <c r="B1" t="s">
        <v>13</v>
      </c>
      <c r="C1" t="s">
        <v>15</v>
      </c>
    </row>
    <row r="2" spans="1:3" x14ac:dyDescent="0.35">
      <c r="A2" t="s">
        <v>3</v>
      </c>
      <c r="B2" t="s">
        <v>14</v>
      </c>
      <c r="C2">
        <v>18</v>
      </c>
    </row>
    <row r="3" spans="1:3" x14ac:dyDescent="0.35">
      <c r="A3" t="s">
        <v>0</v>
      </c>
      <c r="B3" t="s">
        <v>14</v>
      </c>
      <c r="C3">
        <v>30</v>
      </c>
    </row>
    <row r="4" spans="1:3" x14ac:dyDescent="0.35">
      <c r="A4" t="s">
        <v>2</v>
      </c>
      <c r="B4" t="s">
        <v>14</v>
      </c>
      <c r="C4">
        <v>15</v>
      </c>
    </row>
    <row r="5" spans="1:3" x14ac:dyDescent="0.35">
      <c r="A5" t="s">
        <v>1</v>
      </c>
      <c r="B5" t="s">
        <v>14</v>
      </c>
      <c r="C5">
        <v>15</v>
      </c>
    </row>
    <row r="6" spans="1:3" x14ac:dyDescent="0.35">
      <c r="A6" t="s">
        <v>4</v>
      </c>
      <c r="B6" t="s">
        <v>14</v>
      </c>
      <c r="C6">
        <v>30</v>
      </c>
    </row>
    <row r="7" spans="1:3" x14ac:dyDescent="0.35">
      <c r="A7" t="s">
        <v>5</v>
      </c>
      <c r="B7" t="s">
        <v>16</v>
      </c>
      <c r="C7">
        <v>5</v>
      </c>
    </row>
    <row r="8" spans="1:3" x14ac:dyDescent="0.35">
      <c r="A8" t="s">
        <v>6</v>
      </c>
      <c r="B8" t="s">
        <v>14</v>
      </c>
      <c r="C8">
        <v>15</v>
      </c>
    </row>
    <row r="9" spans="1:3" x14ac:dyDescent="0.35">
      <c r="A9" t="s">
        <v>8</v>
      </c>
      <c r="B9" t="s">
        <v>14</v>
      </c>
      <c r="C9">
        <v>30</v>
      </c>
    </row>
    <row r="10" spans="1:3" x14ac:dyDescent="0.35">
      <c r="A10" t="s">
        <v>7</v>
      </c>
      <c r="B10" t="s">
        <v>14</v>
      </c>
      <c r="C10">
        <v>20</v>
      </c>
    </row>
    <row r="11" spans="1:3" x14ac:dyDescent="0.35">
      <c r="A11" t="s">
        <v>9</v>
      </c>
      <c r="B11" t="s">
        <v>14</v>
      </c>
      <c r="C11">
        <v>10</v>
      </c>
    </row>
    <row r="12" spans="1:3" x14ac:dyDescent="0.35">
      <c r="A12" t="s">
        <v>10</v>
      </c>
      <c r="B12" t="s">
        <v>14</v>
      </c>
      <c r="C12">
        <v>15</v>
      </c>
    </row>
    <row r="13" spans="1:3" x14ac:dyDescent="0.35">
      <c r="A13" t="s">
        <v>11</v>
      </c>
      <c r="B13" t="s">
        <v>17</v>
      </c>
      <c r="C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57A3-5301-4403-B7DC-9373B39C1A8A}">
  <dimension ref="A1:L5"/>
  <sheetViews>
    <sheetView workbookViewId="0">
      <selection activeCell="E2" sqref="E2"/>
    </sheetView>
  </sheetViews>
  <sheetFormatPr defaultRowHeight="14.5" x14ac:dyDescent="0.35"/>
  <cols>
    <col min="1" max="1" width="6.54296875" customWidth="1"/>
    <col min="2" max="2" width="9.453125" customWidth="1"/>
    <col min="3" max="3" width="17.08984375" customWidth="1"/>
    <col min="4" max="4" width="17.6328125" customWidth="1"/>
    <col min="5" max="5" width="22.7265625" customWidth="1"/>
    <col min="6" max="6" width="5.81640625" bestFit="1" customWidth="1"/>
    <col min="7" max="7" width="17.08984375" bestFit="1" customWidth="1"/>
    <col min="8" max="8" width="10.90625" bestFit="1" customWidth="1"/>
    <col min="9" max="9" width="8.453125" customWidth="1"/>
    <col min="10" max="11" width="11.81640625" customWidth="1"/>
    <col min="12" max="12" width="17.6328125" style="3" customWidth="1"/>
  </cols>
  <sheetData>
    <row r="1" spans="1:12" x14ac:dyDescent="0.35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s="3" t="s">
        <v>11</v>
      </c>
    </row>
    <row r="2" spans="1:12" x14ac:dyDescent="0.35">
      <c r="A2" t="s">
        <v>28</v>
      </c>
      <c r="B2" t="s">
        <v>31</v>
      </c>
      <c r="C2" t="s">
        <v>32</v>
      </c>
      <c r="D2" t="s">
        <v>33</v>
      </c>
      <c r="E2" t="s">
        <v>34</v>
      </c>
      <c r="F2">
        <v>44220</v>
      </c>
      <c r="G2" t="s">
        <v>35</v>
      </c>
      <c r="H2" t="s">
        <v>36</v>
      </c>
      <c r="I2" t="s">
        <v>37</v>
      </c>
      <c r="J2">
        <v>3317145827</v>
      </c>
      <c r="L2" s="3">
        <v>32669</v>
      </c>
    </row>
    <row r="3" spans="1:12" x14ac:dyDescent="0.35">
      <c r="A3" t="s">
        <v>29</v>
      </c>
      <c r="B3" t="s">
        <v>38</v>
      </c>
      <c r="C3" t="s">
        <v>39</v>
      </c>
      <c r="D3" t="s">
        <v>40</v>
      </c>
      <c r="E3" t="s">
        <v>34</v>
      </c>
      <c r="F3">
        <v>44220</v>
      </c>
      <c r="G3" t="s">
        <v>35</v>
      </c>
      <c r="H3" t="s">
        <v>36</v>
      </c>
      <c r="I3" t="s">
        <v>37</v>
      </c>
      <c r="J3">
        <v>3312659738</v>
      </c>
      <c r="K3">
        <v>3310460878</v>
      </c>
      <c r="L3" s="3">
        <v>31982</v>
      </c>
    </row>
    <row r="4" spans="1:12" x14ac:dyDescent="0.35">
      <c r="A4" t="s">
        <v>41</v>
      </c>
      <c r="B4" t="s">
        <v>41</v>
      </c>
      <c r="C4" t="s">
        <v>32</v>
      </c>
      <c r="D4" t="s">
        <v>39</v>
      </c>
      <c r="E4" t="s">
        <v>34</v>
      </c>
      <c r="F4">
        <v>44220</v>
      </c>
      <c r="G4" t="s">
        <v>35</v>
      </c>
      <c r="H4" t="s">
        <v>36</v>
      </c>
      <c r="I4" t="s">
        <v>37</v>
      </c>
      <c r="J4">
        <v>3131313131</v>
      </c>
      <c r="L4" s="3">
        <v>43133</v>
      </c>
    </row>
    <row r="5" spans="1:12" x14ac:dyDescent="0.35">
      <c r="A5" t="s">
        <v>42</v>
      </c>
      <c r="B5" t="s">
        <v>42</v>
      </c>
      <c r="C5" t="s">
        <v>32</v>
      </c>
      <c r="D5" t="s">
        <v>39</v>
      </c>
      <c r="E5" t="s">
        <v>34</v>
      </c>
      <c r="F5">
        <v>44220</v>
      </c>
      <c r="G5" t="s">
        <v>35</v>
      </c>
      <c r="H5" t="s">
        <v>36</v>
      </c>
      <c r="I5" t="s">
        <v>37</v>
      </c>
      <c r="J5">
        <v>3131313131</v>
      </c>
      <c r="L5" s="3">
        <v>43831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F849-0A67-4847-9683-76D64F4CEDA3}">
  <dimension ref="A1:R16"/>
  <sheetViews>
    <sheetView tabSelected="1" zoomScale="80" zoomScaleNormal="80" workbookViewId="0">
      <selection activeCell="H1" sqref="H1:R1"/>
    </sheetView>
  </sheetViews>
  <sheetFormatPr defaultRowHeight="14.5" x14ac:dyDescent="0.35"/>
  <cols>
    <col min="1" max="1" width="9.6328125" bestFit="1" customWidth="1"/>
    <col min="2" max="2" width="5.81640625" bestFit="1" customWidth="1"/>
    <col min="3" max="3" width="12.1796875" style="1" bestFit="1" customWidth="1"/>
    <col min="4" max="4" width="11.26953125" style="1" bestFit="1" customWidth="1"/>
    <col min="5" max="5" width="7.1796875" style="4" bestFit="1" customWidth="1"/>
    <col min="6" max="6" width="14" bestFit="1" customWidth="1"/>
    <col min="7" max="7" width="18.6328125" bestFit="1" customWidth="1"/>
    <col min="8" max="8" width="14.08984375" style="3" bestFit="1" customWidth="1"/>
    <col min="9" max="9" width="16.7265625" style="3" bestFit="1" customWidth="1"/>
    <col min="10" max="10" width="20.36328125" style="1" bestFit="1" customWidth="1"/>
    <col min="11" max="11" width="19.54296875" style="1" bestFit="1" customWidth="1"/>
    <col min="12" max="12" width="8.54296875" bestFit="1" customWidth="1"/>
    <col min="13" max="13" width="13.54296875" style="1" bestFit="1" customWidth="1"/>
    <col min="14" max="14" width="15.1796875" bestFit="1" customWidth="1"/>
    <col min="15" max="15" width="21.453125" bestFit="1" customWidth="1"/>
    <col min="16" max="16" width="21.54296875" bestFit="1" customWidth="1"/>
    <col min="17" max="17" width="20.90625" bestFit="1" customWidth="1"/>
    <col min="18" max="18" width="20.1796875" bestFit="1" customWidth="1"/>
  </cols>
  <sheetData>
    <row r="1" spans="1:18" x14ac:dyDescent="0.35">
      <c r="A1" t="s">
        <v>22</v>
      </c>
      <c r="B1" t="s">
        <v>3</v>
      </c>
      <c r="C1" s="15" t="s">
        <v>19</v>
      </c>
      <c r="D1" s="15" t="s">
        <v>20</v>
      </c>
      <c r="E1" s="16" t="s">
        <v>21</v>
      </c>
      <c r="F1" s="14" t="s">
        <v>23</v>
      </c>
      <c r="G1" s="14" t="s">
        <v>24</v>
      </c>
      <c r="H1" s="3" t="s">
        <v>26</v>
      </c>
      <c r="I1" s="3" t="s">
        <v>27</v>
      </c>
      <c r="J1" s="18" t="s">
        <v>67</v>
      </c>
      <c r="K1" s="18" t="s">
        <v>68</v>
      </c>
      <c r="L1" t="s">
        <v>44</v>
      </c>
      <c r="M1" s="1" t="s">
        <v>45</v>
      </c>
      <c r="N1" s="14" t="s">
        <v>73</v>
      </c>
      <c r="O1" s="14" t="s">
        <v>72</v>
      </c>
      <c r="P1" t="s">
        <v>69</v>
      </c>
      <c r="Q1" t="s">
        <v>70</v>
      </c>
      <c r="R1" t="s">
        <v>71</v>
      </c>
    </row>
    <row r="2" spans="1:18" x14ac:dyDescent="0.35">
      <c r="A2">
        <v>123</v>
      </c>
      <c r="B2" t="s">
        <v>28</v>
      </c>
      <c r="C2" s="1">
        <v>70000</v>
      </c>
      <c r="D2" s="1">
        <f>C2*(1+E2)-(Q2*O2)</f>
        <v>81550</v>
      </c>
      <c r="E2" s="12">
        <v>0.16500000000000001</v>
      </c>
      <c r="F2">
        <v>12</v>
      </c>
      <c r="G2">
        <v>4</v>
      </c>
      <c r="H2" s="3">
        <v>43831</v>
      </c>
      <c r="I2" s="3">
        <v>43831</v>
      </c>
      <c r="J2" s="1">
        <f t="shared" ref="J2:J4" ca="1" si="0">ROUNDDOWN(((DATEDIF(I2,TODAY(),"d"))/30)*G2,0)*O2</f>
        <v>15290.625</v>
      </c>
      <c r="K2" s="1">
        <f t="shared" ref="K2:K4" si="1">Q2*O2</f>
        <v>0</v>
      </c>
      <c r="L2" s="1" t="str">
        <f t="shared" ref="L2:L4" ca="1" si="2">IF(J2-K2&lt;=0,"Al corriente", "Atrasado")</f>
        <v>Atrasado</v>
      </c>
      <c r="M2" s="1">
        <f t="shared" ref="M2:M4" ca="1" si="3">-(J2-K2)</f>
        <v>-15290.625</v>
      </c>
      <c r="N2" s="13">
        <f>C2*(1+E2)/F2</f>
        <v>6795.833333333333</v>
      </c>
      <c r="O2" s="1">
        <f>N2/G2</f>
        <v>1698.9583333333333</v>
      </c>
      <c r="P2">
        <f>F2*G2</f>
        <v>48</v>
      </c>
      <c r="Q2">
        <f>COUNTIFS(pagos!C:C,A2)</f>
        <v>0</v>
      </c>
      <c r="R2">
        <f t="shared" ref="R2:R4" si="4">P2-Q2</f>
        <v>48</v>
      </c>
    </row>
    <row r="3" spans="1:18" x14ac:dyDescent="0.35">
      <c r="A3">
        <v>124</v>
      </c>
      <c r="B3" t="s">
        <v>29</v>
      </c>
      <c r="C3" s="1">
        <v>60000</v>
      </c>
      <c r="D3" s="1">
        <f>C3*(1+E3)-(Q3*O3)</f>
        <v>67200</v>
      </c>
      <c r="E3" s="12">
        <v>0.12</v>
      </c>
      <c r="F3">
        <v>3</v>
      </c>
      <c r="G3">
        <v>2</v>
      </c>
      <c r="H3" s="3">
        <v>43863</v>
      </c>
      <c r="I3" s="3">
        <v>43863</v>
      </c>
      <c r="J3" s="1">
        <f t="shared" ca="1" si="0"/>
        <v>22400</v>
      </c>
      <c r="K3" s="1">
        <f t="shared" si="1"/>
        <v>0</v>
      </c>
      <c r="L3" s="1" t="str">
        <f t="shared" ca="1" si="2"/>
        <v>Atrasado</v>
      </c>
      <c r="M3" s="1">
        <f t="shared" ca="1" si="3"/>
        <v>-22400</v>
      </c>
      <c r="N3" s="1">
        <f>C3*(1+E3)/F3</f>
        <v>22400</v>
      </c>
      <c r="O3" s="1">
        <f>N3/G3</f>
        <v>11200</v>
      </c>
      <c r="P3">
        <f>F3*G3</f>
        <v>6</v>
      </c>
      <c r="Q3">
        <f>COUNTIFS(pagos!C:C,A3)</f>
        <v>0</v>
      </c>
      <c r="R3">
        <f t="shared" si="4"/>
        <v>6</v>
      </c>
    </row>
    <row r="4" spans="1:18" x14ac:dyDescent="0.35">
      <c r="A4">
        <v>125</v>
      </c>
      <c r="B4" t="s">
        <v>41</v>
      </c>
      <c r="C4" s="1">
        <v>100000</v>
      </c>
      <c r="D4" s="1">
        <f>C4*(1+E4)-(Q4*O4)</f>
        <v>123499.99999999999</v>
      </c>
      <c r="E4" s="12">
        <v>0.23499999999999999</v>
      </c>
      <c r="F4">
        <v>9</v>
      </c>
      <c r="G4">
        <v>2</v>
      </c>
      <c r="H4" s="3">
        <v>43621</v>
      </c>
      <c r="I4" s="3">
        <v>43831</v>
      </c>
      <c r="J4" s="1">
        <f t="shared" ca="1" si="0"/>
        <v>27444.444444444442</v>
      </c>
      <c r="K4" s="1">
        <f t="shared" si="1"/>
        <v>0</v>
      </c>
      <c r="L4" s="1" t="str">
        <f t="shared" ca="1" si="2"/>
        <v>Atrasado</v>
      </c>
      <c r="M4" s="1">
        <f t="shared" ca="1" si="3"/>
        <v>-27444.444444444442</v>
      </c>
      <c r="N4" s="1">
        <f>C4*(1+E4)/F4</f>
        <v>13722.222222222221</v>
      </c>
      <c r="O4" s="1">
        <f>N4/G4</f>
        <v>6861.1111111111104</v>
      </c>
      <c r="P4">
        <f>F4*G4</f>
        <v>18</v>
      </c>
      <c r="Q4">
        <f>COUNTIFS(pagos!C:C,A4)</f>
        <v>0</v>
      </c>
      <c r="R4">
        <f t="shared" si="4"/>
        <v>18</v>
      </c>
    </row>
    <row r="5" spans="1:18" x14ac:dyDescent="0.35">
      <c r="P5" s="1"/>
    </row>
    <row r="6" spans="1:18" x14ac:dyDescent="0.35">
      <c r="O6" s="1">
        <f>8*O2</f>
        <v>13591.666666666666</v>
      </c>
    </row>
    <row r="9" spans="1:18" x14ac:dyDescent="0.35">
      <c r="F9" t="s">
        <v>76</v>
      </c>
      <c r="G9" t="s">
        <v>77</v>
      </c>
    </row>
    <row r="10" spans="1:18" x14ac:dyDescent="0.35">
      <c r="F10" s="1">
        <f>C2*(1+E2)</f>
        <v>81550</v>
      </c>
      <c r="G10" s="1">
        <f>F10/F2</f>
        <v>6795.833333333333</v>
      </c>
    </row>
    <row r="12" spans="1:18" x14ac:dyDescent="0.35">
      <c r="F12" t="s">
        <v>78</v>
      </c>
      <c r="G12" t="s">
        <v>79</v>
      </c>
    </row>
    <row r="13" spans="1:18" x14ac:dyDescent="0.35">
      <c r="F13" s="1">
        <f>G10/G2</f>
        <v>1698.9583333333333</v>
      </c>
      <c r="G13" s="1">
        <f>F13*8</f>
        <v>13591.666666666666</v>
      </c>
    </row>
    <row r="15" spans="1:18" x14ac:dyDescent="0.35">
      <c r="F15" t="s">
        <v>80</v>
      </c>
      <c r="G15" s="1"/>
    </row>
    <row r="16" spans="1:18" x14ac:dyDescent="0.35">
      <c r="F16" s="17">
        <f ca="1">ROUNDDOWN(((DATEDIF(H2,TODAY(),"d"))/30)*4,0)*O2</f>
        <v>15290.625</v>
      </c>
    </row>
  </sheetData>
  <conditionalFormatting sqref="L1:L1048576">
    <cfRule type="containsText" dxfId="15" priority="1" operator="containsText" text="Atrasado">
      <formula>NOT(ISERROR(SEARCH("Atrasado",L1)))</formula>
    </cfRule>
    <cfRule type="containsText" dxfId="14" priority="2" operator="containsText" text="Al corriente">
      <formula>NOT(ISERROR(SEARCH("Al corriente",L1)))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9421-65EE-4EDA-B63E-C17EAC536C78}">
  <dimension ref="A1:A20"/>
  <sheetViews>
    <sheetView zoomScale="80" zoomScaleNormal="80" workbookViewId="0">
      <selection activeCell="A21" sqref="A21"/>
    </sheetView>
  </sheetViews>
  <sheetFormatPr defaultRowHeight="14.5" x14ac:dyDescent="0.35"/>
  <cols>
    <col min="1" max="1" width="21.54296875" bestFit="1" customWidth="1"/>
  </cols>
  <sheetData>
    <row r="1" spans="1:1" x14ac:dyDescent="0.35">
      <c r="A1" s="5" t="s">
        <v>22</v>
      </c>
    </row>
    <row r="2" spans="1:1" x14ac:dyDescent="0.35">
      <c r="A2" s="10" t="s">
        <v>26</v>
      </c>
    </row>
    <row r="3" spans="1:1" x14ac:dyDescent="0.35">
      <c r="A3" s="10" t="s">
        <v>27</v>
      </c>
    </row>
    <row r="4" spans="1:1" x14ac:dyDescent="0.35">
      <c r="A4" s="6" t="s">
        <v>3</v>
      </c>
    </row>
    <row r="5" spans="1:1" x14ac:dyDescent="0.35">
      <c r="A5" s="8" t="s">
        <v>19</v>
      </c>
    </row>
    <row r="6" spans="1:1" x14ac:dyDescent="0.35">
      <c r="A6" s="9" t="s">
        <v>21</v>
      </c>
    </row>
    <row r="7" spans="1:1" x14ac:dyDescent="0.35">
      <c r="A7" s="8" t="s">
        <v>20</v>
      </c>
    </row>
    <row r="8" spans="1:1" x14ac:dyDescent="0.35">
      <c r="A8" s="6" t="s">
        <v>23</v>
      </c>
    </row>
    <row r="9" spans="1:1" x14ac:dyDescent="0.35">
      <c r="A9" s="6" t="s">
        <v>73</v>
      </c>
    </row>
    <row r="10" spans="1:1" x14ac:dyDescent="0.35">
      <c r="A10" s="6" t="s">
        <v>24</v>
      </c>
    </row>
    <row r="11" spans="1:1" x14ac:dyDescent="0.35">
      <c r="A11" s="6" t="s">
        <v>72</v>
      </c>
    </row>
    <row r="12" spans="1:1" x14ac:dyDescent="0.35">
      <c r="A12" s="8" t="s">
        <v>67</v>
      </c>
    </row>
    <row r="13" spans="1:1" x14ac:dyDescent="0.35">
      <c r="A13" s="8" t="s">
        <v>68</v>
      </c>
    </row>
    <row r="14" spans="1:1" x14ac:dyDescent="0.35">
      <c r="A14" s="6" t="s">
        <v>44</v>
      </c>
    </row>
    <row r="15" spans="1:1" x14ac:dyDescent="0.35">
      <c r="A15" s="8" t="s">
        <v>45</v>
      </c>
    </row>
    <row r="16" spans="1:1" x14ac:dyDescent="0.35">
      <c r="A16" s="6" t="s">
        <v>69</v>
      </c>
    </row>
    <row r="17" spans="1:1" x14ac:dyDescent="0.35">
      <c r="A17" s="6" t="s">
        <v>70</v>
      </c>
    </row>
    <row r="18" spans="1:1" x14ac:dyDescent="0.35">
      <c r="A18" s="7" t="s">
        <v>71</v>
      </c>
    </row>
    <row r="19" spans="1:1" x14ac:dyDescent="0.35">
      <c r="A19" s="11" t="s">
        <v>75</v>
      </c>
    </row>
    <row r="20" spans="1:1" x14ac:dyDescent="0.35">
      <c r="A20" s="11" t="s">
        <v>74</v>
      </c>
    </row>
  </sheetData>
  <conditionalFormatting sqref="A14">
    <cfRule type="containsText" dxfId="4" priority="1" operator="containsText" text="Atrasado">
      <formula>NOT(ISERROR(SEARCH("Atrasado",A14)))</formula>
    </cfRule>
    <cfRule type="containsText" dxfId="3" priority="2" operator="containsText" text="Al corriente">
      <formula>NOT(ISERROR(SEARCH("Al corriente",A14)))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7CD4-392F-4403-9052-D01662EC8CC5}">
  <dimension ref="A1:D22"/>
  <sheetViews>
    <sheetView zoomScale="80" zoomScaleNormal="80" workbookViewId="0">
      <selection activeCell="G9" sqref="G9"/>
    </sheetView>
  </sheetViews>
  <sheetFormatPr defaultRowHeight="14.5" x14ac:dyDescent="0.35"/>
  <cols>
    <col min="1" max="1" width="10.1796875" style="1" bestFit="1" customWidth="1"/>
    <col min="2" max="2" width="16.54296875" bestFit="1" customWidth="1"/>
    <col min="3" max="3" width="9.6328125" bestFit="1" customWidth="1"/>
    <col min="4" max="4" width="13.36328125" bestFit="1" customWidth="1"/>
  </cols>
  <sheetData>
    <row r="1" spans="1:4" x14ac:dyDescent="0.35">
      <c r="A1" s="1" t="s">
        <v>25</v>
      </c>
      <c r="B1" t="s">
        <v>43</v>
      </c>
      <c r="C1" t="s">
        <v>22</v>
      </c>
      <c r="D1" t="s">
        <v>30</v>
      </c>
    </row>
    <row r="2" spans="1:4" x14ac:dyDescent="0.35">
      <c r="A2" s="1" t="e">
        <f>VLOOKUP(C2,cuentas!A:O,15,0)</f>
        <v>#N/A</v>
      </c>
      <c r="B2" s="2">
        <v>43869</v>
      </c>
      <c r="D2" t="s">
        <v>46</v>
      </c>
    </row>
    <row r="3" spans="1:4" x14ac:dyDescent="0.35">
      <c r="A3" s="1" t="e">
        <f>VLOOKUP(C3,cuentas!A:O,15,0)</f>
        <v>#N/A</v>
      </c>
      <c r="B3" s="2">
        <v>43845</v>
      </c>
      <c r="D3" t="s">
        <v>47</v>
      </c>
    </row>
    <row r="4" spans="1:4" x14ac:dyDescent="0.35">
      <c r="A4" s="1" t="e">
        <f>VLOOKUP(C4,cuentas!A:O,15,0)</f>
        <v>#N/A</v>
      </c>
      <c r="B4" s="2">
        <v>43850</v>
      </c>
      <c r="D4" t="s">
        <v>48</v>
      </c>
    </row>
    <row r="5" spans="1:4" x14ac:dyDescent="0.35">
      <c r="A5" s="1" t="e">
        <f>VLOOKUP(C5,cuentas!A:O,15,0)</f>
        <v>#N/A</v>
      </c>
      <c r="B5" s="2">
        <v>43832</v>
      </c>
      <c r="D5" t="s">
        <v>49</v>
      </c>
    </row>
    <row r="6" spans="1:4" x14ac:dyDescent="0.35">
      <c r="A6" s="1" t="e">
        <f>VLOOKUP(C6,cuentas!A:O,15,0)</f>
        <v>#N/A</v>
      </c>
      <c r="B6" s="2">
        <v>43832</v>
      </c>
      <c r="D6" t="s">
        <v>50</v>
      </c>
    </row>
    <row r="7" spans="1:4" x14ac:dyDescent="0.35">
      <c r="A7" s="1" t="e">
        <f>VLOOKUP(C7,cuentas!A:O,15,0)</f>
        <v>#N/A</v>
      </c>
      <c r="B7" s="2">
        <v>43832</v>
      </c>
      <c r="D7" t="s">
        <v>51</v>
      </c>
    </row>
    <row r="8" spans="1:4" x14ac:dyDescent="0.35">
      <c r="A8" s="1" t="e">
        <f>VLOOKUP(C8,cuentas!A:O,15,0)</f>
        <v>#N/A</v>
      </c>
      <c r="B8" s="2">
        <v>43876</v>
      </c>
      <c r="D8" t="s">
        <v>52</v>
      </c>
    </row>
    <row r="9" spans="1:4" x14ac:dyDescent="0.35">
      <c r="A9" s="1" t="e">
        <f>VLOOKUP(C9,cuentas!A:O,15,0)</f>
        <v>#N/A</v>
      </c>
      <c r="B9" s="2"/>
      <c r="D9" t="s">
        <v>53</v>
      </c>
    </row>
    <row r="10" spans="1:4" x14ac:dyDescent="0.35">
      <c r="A10" s="1" t="e">
        <f>VLOOKUP(C10,cuentas!A:O,15,0)</f>
        <v>#N/A</v>
      </c>
      <c r="B10" s="2"/>
      <c r="D10" t="s">
        <v>54</v>
      </c>
    </row>
    <row r="11" spans="1:4" x14ac:dyDescent="0.35">
      <c r="A11" s="1" t="e">
        <f>VLOOKUP(C11,cuentas!A:O,15,0)</f>
        <v>#N/A</v>
      </c>
      <c r="B11" s="2"/>
      <c r="D11" t="s">
        <v>55</v>
      </c>
    </row>
    <row r="12" spans="1:4" x14ac:dyDescent="0.35">
      <c r="A12" s="1" t="e">
        <f>VLOOKUP(C12,cuentas!A:O,15,0)</f>
        <v>#N/A</v>
      </c>
      <c r="B12" s="2"/>
      <c r="D12" t="s">
        <v>56</v>
      </c>
    </row>
    <row r="13" spans="1:4" x14ac:dyDescent="0.35">
      <c r="A13" s="1" t="e">
        <f>VLOOKUP(C13,cuentas!A:O,15,0)</f>
        <v>#N/A</v>
      </c>
      <c r="B13" s="2"/>
      <c r="D13" t="s">
        <v>57</v>
      </c>
    </row>
    <row r="14" spans="1:4" x14ac:dyDescent="0.35">
      <c r="A14" s="1" t="e">
        <f>VLOOKUP(C14,cuentas!A:O,15,0)</f>
        <v>#N/A</v>
      </c>
      <c r="B14" s="2"/>
      <c r="D14" t="s">
        <v>58</v>
      </c>
    </row>
    <row r="15" spans="1:4" x14ac:dyDescent="0.35">
      <c r="A15" s="1" t="e">
        <f>VLOOKUP(C15,cuentas!A:O,15,0)</f>
        <v>#N/A</v>
      </c>
      <c r="B15" s="2"/>
      <c r="D15" t="s">
        <v>59</v>
      </c>
    </row>
    <row r="16" spans="1:4" x14ac:dyDescent="0.35">
      <c r="A16" s="1" t="e">
        <f>VLOOKUP(C16,cuentas!A:O,15,0)</f>
        <v>#N/A</v>
      </c>
      <c r="B16" s="2"/>
      <c r="D16" t="s">
        <v>60</v>
      </c>
    </row>
    <row r="17" spans="1:4" x14ac:dyDescent="0.35">
      <c r="A17" s="1" t="e">
        <f>VLOOKUP(C17,cuentas!A:O,15,0)</f>
        <v>#N/A</v>
      </c>
      <c r="B17" s="2"/>
      <c r="D17" t="s">
        <v>61</v>
      </c>
    </row>
    <row r="18" spans="1:4" x14ac:dyDescent="0.35">
      <c r="A18" s="1" t="e">
        <f>VLOOKUP(C18,cuentas!A:O,15,0)</f>
        <v>#N/A</v>
      </c>
      <c r="B18" s="2"/>
      <c r="D18" t="s">
        <v>62</v>
      </c>
    </row>
    <row r="19" spans="1:4" x14ac:dyDescent="0.35">
      <c r="A19" s="1" t="e">
        <f>VLOOKUP(C19,cuentas!A:O,15,0)</f>
        <v>#N/A</v>
      </c>
      <c r="B19" s="2"/>
      <c r="D19" t="s">
        <v>63</v>
      </c>
    </row>
    <row r="20" spans="1:4" x14ac:dyDescent="0.35">
      <c r="A20" s="1" t="e">
        <f>VLOOKUP(C20,cuentas!A:O,15,0)</f>
        <v>#N/A</v>
      </c>
      <c r="B20" s="2"/>
      <c r="D20" t="s">
        <v>64</v>
      </c>
    </row>
    <row r="21" spans="1:4" x14ac:dyDescent="0.35">
      <c r="A21" s="1" t="e">
        <f>VLOOKUP(C21,cuentas!A:O,15,0)</f>
        <v>#N/A</v>
      </c>
      <c r="B21" s="2"/>
      <c r="D21" t="s">
        <v>65</v>
      </c>
    </row>
    <row r="22" spans="1:4" x14ac:dyDescent="0.35">
      <c r="A22" s="1" t="e">
        <f>VLOOKUP(C22,cuentas!A:O,15,0)</f>
        <v>#N/A</v>
      </c>
      <c r="B22" s="2"/>
      <c r="D22" t="s">
        <v>66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clientes_data_types</vt:lpstr>
      <vt:lpstr>clientes</vt:lpstr>
      <vt:lpstr>cuentas</vt:lpstr>
      <vt:lpstr>Sheet5</vt:lpstr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Hernandez Zapien</dc:creator>
  <cp:lastModifiedBy>Diego Hernandez Zapien</cp:lastModifiedBy>
  <dcterms:created xsi:type="dcterms:W3CDTF">2020-02-24T00:32:58Z</dcterms:created>
  <dcterms:modified xsi:type="dcterms:W3CDTF">2020-03-19T03:03:22Z</dcterms:modified>
</cp:coreProperties>
</file>