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44083574\CursoAnalitica\"/>
    </mc:Choice>
  </mc:AlternateContent>
  <bookViews>
    <workbookView xWindow="0" yWindow="0" windowWidth="28800" windowHeight="12330"/>
  </bookViews>
  <sheets>
    <sheet name="Entropia" sheetId="3" r:id="rId1"/>
    <sheet name="Metricas" sheetId="1" state="hidden" r:id="rId2"/>
    <sheet name="Particionamiento" sheetId="2" r:id="rId3"/>
  </sheets>
  <definedNames>
    <definedName name="_xlnm._FilterDatabase" localSheetId="0" hidden="1">Entropia!$A$2:$F$18</definedName>
    <definedName name="_xlnm._FilterDatabase" localSheetId="1" hidden="1">Metricas!$A$2:$F$16</definedName>
    <definedName name="_xlnm._FilterDatabase" localSheetId="2" hidden="1">Particionamiento!$A$2:$F$17</definedName>
  </definedNames>
  <calcPr calcId="162913"/>
</workbook>
</file>

<file path=xl/calcChain.xml><?xml version="1.0" encoding="utf-8"?>
<calcChain xmlns="http://schemas.openxmlformats.org/spreadsheetml/2006/main">
  <c r="O23" i="3" l="1"/>
  <c r="P23" i="3"/>
  <c r="J38" i="3"/>
  <c r="J37" i="3"/>
  <c r="O37" i="3"/>
  <c r="N38" i="3"/>
  <c r="L38" i="3"/>
  <c r="N37" i="3"/>
  <c r="O38" i="3"/>
  <c r="L37" i="3"/>
  <c r="L34" i="3"/>
  <c r="O34" i="3" s="1"/>
  <c r="N34" i="3"/>
  <c r="N33" i="3"/>
  <c r="L33" i="3"/>
  <c r="N30" i="3"/>
  <c r="L30" i="3"/>
  <c r="N29" i="3"/>
  <c r="L29" i="3"/>
  <c r="O29" i="3" s="1"/>
  <c r="N28" i="3"/>
  <c r="L28" i="3"/>
  <c r="Q23" i="3"/>
  <c r="O28" i="3"/>
  <c r="O30" i="3"/>
  <c r="J34" i="3"/>
  <c r="J33" i="3"/>
  <c r="O25" i="3"/>
  <c r="J30" i="3"/>
  <c r="J29" i="3"/>
  <c r="J28" i="3"/>
  <c r="N25" i="3"/>
  <c r="L25" i="3"/>
  <c r="L24" i="3"/>
  <c r="N23" i="3"/>
  <c r="L23" i="3"/>
  <c r="M19" i="3"/>
  <c r="J25" i="3"/>
  <c r="J24" i="3"/>
  <c r="J23" i="3"/>
  <c r="L20" i="3"/>
  <c r="L19" i="3"/>
  <c r="J20" i="3"/>
  <c r="J19" i="3"/>
  <c r="P37" i="3" l="1"/>
  <c r="Q37" i="3" s="1"/>
  <c r="O33" i="3"/>
  <c r="P33" i="3" s="1"/>
  <c r="Q33" i="3" s="1"/>
  <c r="P28" i="3"/>
  <c r="Q28" i="3" s="1"/>
  <c r="A17" i="3"/>
  <c r="BG21" i="1" l="1"/>
  <c r="BG20" i="1"/>
  <c r="BG22" i="1"/>
  <c r="BB21" i="1"/>
  <c r="BB20" i="1"/>
  <c r="AW22" i="1"/>
  <c r="AW21" i="1"/>
  <c r="AW20" i="1"/>
  <c r="AW23" i="1" l="1"/>
  <c r="BB22" i="1"/>
  <c r="AR22" i="1" l="1"/>
  <c r="AR21" i="1"/>
  <c r="AR20" i="1"/>
  <c r="S37" i="1"/>
  <c r="BH20" i="1" s="1"/>
  <c r="S33" i="1"/>
  <c r="BC21" i="1" s="1"/>
  <c r="AI28" i="1"/>
  <c r="AX22" i="1" s="1"/>
  <c r="AA28" i="1"/>
  <c r="AX21" i="1" s="1"/>
  <c r="S28" i="1"/>
  <c r="AX20" i="1" s="1"/>
  <c r="U30" i="1"/>
  <c r="S23" i="1"/>
  <c r="AS20" i="1" s="1"/>
  <c r="AA23" i="1"/>
  <c r="AS21" i="1" s="1"/>
  <c r="AK30" i="1"/>
  <c r="AC30" i="1"/>
  <c r="L23" i="1"/>
  <c r="AI23" i="1"/>
  <c r="AS22" i="1" s="1"/>
  <c r="AC25" i="1"/>
  <c r="AK25" i="1"/>
  <c r="U25" i="1"/>
  <c r="AY21" i="1" l="1"/>
  <c r="BD21" i="1"/>
  <c r="BI20" i="1"/>
  <c r="AY22" i="1"/>
  <c r="AY20" i="1"/>
  <c r="AX23" i="1"/>
  <c r="AY23" i="1"/>
  <c r="AW25" i="1" s="1"/>
  <c r="AT20" i="1"/>
  <c r="AT21" i="1"/>
  <c r="AT23" i="1"/>
  <c r="AS23" i="1"/>
  <c r="AT22" i="1"/>
  <c r="AR23" i="1"/>
  <c r="U37" i="1"/>
  <c r="X37" i="1" s="1"/>
  <c r="U33" i="1"/>
  <c r="X33" i="1" s="1"/>
  <c r="U28" i="1"/>
  <c r="X28" i="1" s="1"/>
  <c r="U23" i="1"/>
  <c r="X23" i="1" s="1"/>
  <c r="AC28" i="1"/>
  <c r="AF28" i="1" s="1"/>
  <c r="AK28" i="1"/>
  <c r="AN28" i="1" s="1"/>
  <c r="AC23" i="1"/>
  <c r="AF23" i="1" s="1"/>
  <c r="AK23" i="1"/>
  <c r="AN23" i="1" s="1"/>
  <c r="A17" i="2"/>
  <c r="L29" i="1"/>
  <c r="D46" i="1"/>
  <c r="D49" i="1"/>
  <c r="D48" i="1"/>
  <c r="D47" i="1"/>
  <c r="L38" i="1"/>
  <c r="X38" i="1" s="1"/>
  <c r="L37" i="1"/>
  <c r="L30" i="1"/>
  <c r="N30" i="1" s="1"/>
  <c r="L28" i="1"/>
  <c r="L25" i="1"/>
  <c r="L24" i="1"/>
  <c r="N24" i="1" s="1"/>
  <c r="N23" i="1"/>
  <c r="L34" i="1"/>
  <c r="X34" i="1" s="1"/>
  <c r="L33" i="1"/>
  <c r="N33" i="1" s="1"/>
  <c r="A17" i="1"/>
  <c r="V28" i="1" s="1"/>
  <c r="V29" i="1" s="1"/>
  <c r="AW30" i="1" l="1"/>
  <c r="AX26" i="1"/>
  <c r="AX31" i="1" s="1"/>
  <c r="AX25" i="1"/>
  <c r="AW27" i="1"/>
  <c r="AW32" i="1" s="1"/>
  <c r="AX27" i="1"/>
  <c r="AW26" i="1"/>
  <c r="AW28" i="1" s="1"/>
  <c r="AR25" i="1"/>
  <c r="AR30" i="1" s="1"/>
  <c r="AR27" i="1"/>
  <c r="AR32" i="1" s="1"/>
  <c r="AR26" i="1"/>
  <c r="AR31" i="1" s="1"/>
  <c r="AT31" i="1" s="1"/>
  <c r="AS27" i="1"/>
  <c r="AS32" i="1" s="1"/>
  <c r="AS26" i="1"/>
  <c r="AS31" i="1" s="1"/>
  <c r="AS25" i="1"/>
  <c r="AS30" i="1" s="1"/>
  <c r="N34" i="1"/>
  <c r="O34" i="1" s="1"/>
  <c r="S29" i="1"/>
  <c r="U29" i="1" s="1"/>
  <c r="X29" i="1" s="1"/>
  <c r="AL28" i="1"/>
  <c r="AL29" i="1" s="1"/>
  <c r="V37" i="1"/>
  <c r="AD23" i="1"/>
  <c r="AD24" i="1" s="1"/>
  <c r="AD28" i="1"/>
  <c r="AD29" i="1" s="1"/>
  <c r="AG28" i="1" s="1"/>
  <c r="V23" i="1"/>
  <c r="S24" i="1"/>
  <c r="U24" i="1" s="1"/>
  <c r="X24" i="1" s="1"/>
  <c r="J34" i="1"/>
  <c r="S38" i="1"/>
  <c r="BH21" i="1" s="1"/>
  <c r="S34" i="1"/>
  <c r="BC20" i="1" s="1"/>
  <c r="AL23" i="1"/>
  <c r="AL24" i="1" s="1"/>
  <c r="AA24" i="1"/>
  <c r="AC24" i="1" s="1"/>
  <c r="AA29" i="1"/>
  <c r="AC29" i="1" s="1"/>
  <c r="AF29" i="1" s="1"/>
  <c r="AI29" i="1"/>
  <c r="AK29" i="1" s="1"/>
  <c r="AN29" i="1" s="1"/>
  <c r="AI24" i="1"/>
  <c r="AK24" i="1" s="1"/>
  <c r="AN24" i="1" s="1"/>
  <c r="V33" i="1"/>
  <c r="Y28" i="1"/>
  <c r="E46" i="1"/>
  <c r="O30" i="1"/>
  <c r="N28" i="1"/>
  <c r="O28" i="1" s="1"/>
  <c r="N37" i="1"/>
  <c r="O37" i="1" s="1"/>
  <c r="N29" i="1"/>
  <c r="O29" i="1" s="1"/>
  <c r="N25" i="1"/>
  <c r="O25" i="1" s="1"/>
  <c r="N38" i="1"/>
  <c r="O38" i="1" s="1"/>
  <c r="O23" i="1"/>
  <c r="O33" i="1"/>
  <c r="J37" i="1"/>
  <c r="J28" i="1"/>
  <c r="J38" i="1"/>
  <c r="J30" i="1"/>
  <c r="J29" i="1"/>
  <c r="J24" i="1"/>
  <c r="J19" i="1"/>
  <c r="J25" i="1"/>
  <c r="J20" i="1"/>
  <c r="L20" i="1" s="1"/>
  <c r="J33" i="1"/>
  <c r="J23" i="1"/>
  <c r="AS33" i="1" l="1"/>
  <c r="AT32" i="1"/>
  <c r="AG23" i="1"/>
  <c r="AF24" i="1"/>
  <c r="AX28" i="1"/>
  <c r="AX30" i="1"/>
  <c r="AX33" i="1" s="1"/>
  <c r="BC22" i="1"/>
  <c r="BD22" i="1"/>
  <c r="BD20" i="1"/>
  <c r="AR33" i="1"/>
  <c r="AT30" i="1"/>
  <c r="AT33" i="1"/>
  <c r="AT34" i="1" s="1"/>
  <c r="AY25" i="1"/>
  <c r="BI21" i="1"/>
  <c r="BI22" i="1"/>
  <c r="BG24" i="1" s="1"/>
  <c r="BH22" i="1"/>
  <c r="AY26" i="1"/>
  <c r="AW31" i="1"/>
  <c r="AY28" i="1"/>
  <c r="AY27" i="1"/>
  <c r="AX32" i="1"/>
  <c r="AY32" i="1" s="1"/>
  <c r="AS28" i="1"/>
  <c r="AT26" i="1"/>
  <c r="AT27" i="1"/>
  <c r="Y33" i="1"/>
  <c r="AT28" i="1"/>
  <c r="AT25" i="1"/>
  <c r="AR28" i="1"/>
  <c r="Y37" i="1"/>
  <c r="V38" i="1"/>
  <c r="U38" i="1"/>
  <c r="V24" i="1"/>
  <c r="Y23" i="1" s="1"/>
  <c r="AO23" i="1"/>
  <c r="L19" i="1"/>
  <c r="M19" i="1" s="1"/>
  <c r="X19" i="1"/>
  <c r="AO28" i="1"/>
  <c r="U34" i="1"/>
  <c r="V34" i="1"/>
  <c r="P28" i="1"/>
  <c r="P23" i="1"/>
  <c r="P37" i="1"/>
  <c r="P33" i="1"/>
  <c r="AW33" i="1" l="1"/>
  <c r="AY31" i="1"/>
  <c r="BH25" i="1"/>
  <c r="BH24" i="1"/>
  <c r="BB24" i="1"/>
  <c r="BC24" i="1"/>
  <c r="AY33" i="1"/>
  <c r="AY34" i="1" s="1"/>
  <c r="BG30" i="1"/>
  <c r="BC25" i="1"/>
  <c r="BC31" i="1" s="1"/>
  <c r="BB25" i="1"/>
  <c r="AY30" i="1"/>
  <c r="BG25" i="1"/>
  <c r="BG31" i="1" s="1"/>
  <c r="Q28" i="1"/>
  <c r="Q37" i="1"/>
  <c r="Q33" i="1"/>
  <c r="Q23" i="1"/>
  <c r="BI31" i="1" l="1"/>
  <c r="BC26" i="1"/>
  <c r="BC30" i="1"/>
  <c r="BC32" i="1" s="1"/>
  <c r="BG32" i="1"/>
  <c r="BB31" i="1"/>
  <c r="BD31" i="1" s="1"/>
  <c r="BD25" i="1"/>
  <c r="BB30" i="1"/>
  <c r="BD24" i="1"/>
  <c r="BB26" i="1"/>
  <c r="BD26" i="1"/>
  <c r="BH26" i="1"/>
  <c r="BH30" i="1"/>
  <c r="BH32" i="1" s="1"/>
  <c r="BI26" i="1"/>
  <c r="BG26" i="1"/>
  <c r="BI25" i="1"/>
  <c r="BH31" i="1"/>
  <c r="BI24" i="1"/>
  <c r="BI32" i="1" l="1"/>
  <c r="BI33" i="1" s="1"/>
  <c r="BD30" i="1"/>
  <c r="BB32" i="1"/>
  <c r="BD32" i="1"/>
  <c r="BD33" i="1" s="1"/>
  <c r="BI30" i="1"/>
</calcChain>
</file>

<file path=xl/sharedStrings.xml><?xml version="1.0" encoding="utf-8"?>
<sst xmlns="http://schemas.openxmlformats.org/spreadsheetml/2006/main" count="491" uniqueCount="92">
  <si>
    <t>sunny</t>
  </si>
  <si>
    <t>hot</t>
  </si>
  <si>
    <t>high</t>
  </si>
  <si>
    <t>FALSE</t>
  </si>
  <si>
    <t>no</t>
  </si>
  <si>
    <t>TRUE</t>
  </si>
  <si>
    <t>overcast</t>
  </si>
  <si>
    <t>yes</t>
  </si>
  <si>
    <t>rainy</t>
  </si>
  <si>
    <t>mild</t>
  </si>
  <si>
    <t>cool</t>
  </si>
  <si>
    <t>normal</t>
  </si>
  <si>
    <t>outlook</t>
  </si>
  <si>
    <t>temperature</t>
  </si>
  <si>
    <t>humidity</t>
  </si>
  <si>
    <t>windy</t>
  </si>
  <si>
    <t>play (X)</t>
  </si>
  <si>
    <t>Outlook</t>
  </si>
  <si>
    <t>ID</t>
  </si>
  <si>
    <t>p(Y=no)</t>
  </si>
  <si>
    <t>p(Y=yes)</t>
  </si>
  <si>
    <t>-p(Y=no) log p(Y=no)</t>
  </si>
  <si>
    <t>-p(Y=yes) log p(Y=yes)</t>
  </si>
  <si>
    <t>Play (Y)</t>
  </si>
  <si>
    <t>p(sunny)</t>
  </si>
  <si>
    <t>p(overcast)</t>
  </si>
  <si>
    <t>p(rainy)</t>
  </si>
  <si>
    <t>Humidity</t>
  </si>
  <si>
    <t>p(normal)</t>
  </si>
  <si>
    <t>p(high)</t>
  </si>
  <si>
    <t>H</t>
  </si>
  <si>
    <t>Temperature</t>
  </si>
  <si>
    <t>p(hot)</t>
  </si>
  <si>
    <t>p(mild)</t>
  </si>
  <si>
    <t>p(cool)</t>
  </si>
  <si>
    <t>Windy</t>
  </si>
  <si>
    <t>p(FALSE)</t>
  </si>
  <si>
    <t>p(TRUE)</t>
  </si>
  <si>
    <t>p(yes|normal)</t>
  </si>
  <si>
    <t>p(no|normal)</t>
  </si>
  <si>
    <t>p(yes|high)</t>
  </si>
  <si>
    <t>p(no|high)</t>
  </si>
  <si>
    <t>p(yes|sunny)</t>
  </si>
  <si>
    <t>p(yes|overcast)</t>
  </si>
  <si>
    <t>p(yes|rainy)</t>
  </si>
  <si>
    <t>p(no|sunny)</t>
  </si>
  <si>
    <t>p(no|overcast)</t>
  </si>
  <si>
    <t>p(no|rainy)</t>
  </si>
  <si>
    <t>p(yes|hot)</t>
  </si>
  <si>
    <t>p(yes|mild)</t>
  </si>
  <si>
    <t>p(yes|cool)</t>
  </si>
  <si>
    <t>p(no|hot)</t>
  </si>
  <si>
    <t>p(no|mild)</t>
  </si>
  <si>
    <t>p(no|cool)</t>
  </si>
  <si>
    <t>p(yes|W=TRUE)</t>
  </si>
  <si>
    <t>p(no|W=FALSE)</t>
  </si>
  <si>
    <t>p(no|W=TRUE)</t>
  </si>
  <si>
    <t>p(yes|W=FALSE)</t>
  </si>
  <si>
    <t>GAIN</t>
  </si>
  <si>
    <t>a</t>
  </si>
  <si>
    <t>b</t>
  </si>
  <si>
    <t>p1</t>
  </si>
  <si>
    <t>p2</t>
  </si>
  <si>
    <t>P1</t>
  </si>
  <si>
    <t>p(a)</t>
  </si>
  <si>
    <t>p(b)</t>
  </si>
  <si>
    <t>P2</t>
  </si>
  <si>
    <t>p(yes|a)</t>
  </si>
  <si>
    <t>p(yes|b)</t>
  </si>
  <si>
    <t>p(no|a)</t>
  </si>
  <si>
    <t>p(no|b)</t>
  </si>
  <si>
    <t>Gini</t>
  </si>
  <si>
    <t>Avg.Gini</t>
  </si>
  <si>
    <t>Split</t>
  </si>
  <si>
    <t>(overcast | rainy)</t>
  </si>
  <si>
    <t>(sunny | overcast)</t>
  </si>
  <si>
    <t>n</t>
  </si>
  <si>
    <t>w</t>
  </si>
  <si>
    <t>p</t>
  </si>
  <si>
    <t>(sunny | rainy)</t>
  </si>
  <si>
    <t>(hot | mild)</t>
  </si>
  <si>
    <t>(hot |
cool)</t>
  </si>
  <si>
    <t>(mild |
cool)</t>
  </si>
  <si>
    <t>ID3</t>
  </si>
  <si>
    <t>CART</t>
  </si>
  <si>
    <t>play</t>
  </si>
  <si>
    <t>Observed</t>
  </si>
  <si>
    <t>Expected</t>
  </si>
  <si>
    <t>CHAID</t>
  </si>
  <si>
    <t>CHI2</t>
  </si>
  <si>
    <t xml:space="preserve">1. Calcular el estado inicial de desorden: </t>
  </si>
  <si>
    <t>2. Evaluar cada variable, calcular su ganancia de información a partir de su entropía condicional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</si>
</sst>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0.000"/>
    <numFmt numFmtId="166" formatCode="0.0000"/>
    <numFmt numFmtId="167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0">
    <xf numFmtId="0" fontId="0" fillId="0" borderId="0" xfId="0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0" fillId="37" borderId="22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7" xfId="0" applyFill="1" applyBorder="1" applyAlignment="1">
      <alignment horizontal="center"/>
    </xf>
    <xf numFmtId="164" fontId="0" fillId="0" borderId="26" xfId="1" applyNumberFormat="1" applyFont="1" applyBorder="1"/>
    <xf numFmtId="164" fontId="0" fillId="0" borderId="27" xfId="1" applyNumberFormat="1" applyFont="1" applyBorder="1"/>
    <xf numFmtId="0" fontId="0" fillId="33" borderId="26" xfId="0" quotePrefix="1" applyFill="1" applyBorder="1" applyAlignment="1">
      <alignment horizontal="center"/>
    </xf>
    <xf numFmtId="164" fontId="0" fillId="0" borderId="0" xfId="0" applyNumberFormat="1"/>
    <xf numFmtId="2" fontId="0" fillId="0" borderId="26" xfId="1" applyNumberFormat="1" applyFont="1" applyBorder="1"/>
    <xf numFmtId="2" fontId="0" fillId="0" borderId="27" xfId="1" applyNumberFormat="1" applyFont="1" applyBorder="1"/>
    <xf numFmtId="0" fontId="0" fillId="37" borderId="2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6" borderId="10" xfId="0" applyFill="1" applyBorder="1"/>
    <xf numFmtId="164" fontId="0" fillId="0" borderId="28" xfId="1" applyNumberFormat="1" applyFont="1" applyBorder="1"/>
    <xf numFmtId="0" fontId="0" fillId="33" borderId="27" xfId="0" quotePrefix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2" fontId="0" fillId="0" borderId="0" xfId="1" applyNumberFormat="1" applyFont="1" applyBorder="1"/>
    <xf numFmtId="0" fontId="0" fillId="36" borderId="26" xfId="0" applyFill="1" applyBorder="1"/>
    <xf numFmtId="0" fontId="0" fillId="36" borderId="27" xfId="0" applyFill="1" applyBorder="1"/>
    <xf numFmtId="164" fontId="0" fillId="0" borderId="11" xfId="1" applyNumberFormat="1" applyFont="1" applyBorder="1"/>
    <xf numFmtId="164" fontId="0" fillId="0" borderId="13" xfId="1" applyNumberFormat="1" applyFont="1" applyBorder="1"/>
    <xf numFmtId="165" fontId="0" fillId="39" borderId="26" xfId="0" applyNumberFormat="1" applyFill="1" applyBorder="1"/>
    <xf numFmtId="165" fontId="0" fillId="39" borderId="27" xfId="0" applyNumberFormat="1" applyFill="1" applyBorder="1"/>
    <xf numFmtId="0" fontId="0" fillId="33" borderId="29" xfId="0" applyFill="1" applyBorder="1" applyAlignment="1">
      <alignment horizontal="center"/>
    </xf>
    <xf numFmtId="164" fontId="0" fillId="0" borderId="30" xfId="1" applyNumberFormat="1" applyFont="1" applyBorder="1"/>
    <xf numFmtId="0" fontId="0" fillId="33" borderId="31" xfId="0" applyFill="1" applyBorder="1" applyAlignment="1">
      <alignment horizontal="center"/>
    </xf>
    <xf numFmtId="164" fontId="0" fillId="0" borderId="32" xfId="1" applyNumberFormat="1" applyFont="1" applyBorder="1"/>
    <xf numFmtId="0" fontId="0" fillId="33" borderId="33" xfId="0" applyFill="1" applyBorder="1" applyAlignment="1">
      <alignment horizontal="center"/>
    </xf>
    <xf numFmtId="164" fontId="0" fillId="0" borderId="34" xfId="1" applyNumberFormat="1" applyFont="1" applyBorder="1"/>
    <xf numFmtId="0" fontId="0" fillId="36" borderId="35" xfId="0" applyFill="1" applyBorder="1"/>
    <xf numFmtId="164" fontId="0" fillId="0" borderId="36" xfId="1" applyNumberFormat="1" applyFont="1" applyBorder="1"/>
    <xf numFmtId="0" fontId="0" fillId="36" borderId="36" xfId="0" applyFill="1" applyBorder="1"/>
    <xf numFmtId="165" fontId="0" fillId="39" borderId="36" xfId="0" applyNumberFormat="1" applyFill="1" applyBorder="1"/>
    <xf numFmtId="0" fontId="0" fillId="36" borderId="37" xfId="0" applyFill="1" applyBorder="1"/>
    <xf numFmtId="164" fontId="0" fillId="0" borderId="38" xfId="1" applyNumberFormat="1" applyFont="1" applyBorder="1"/>
    <xf numFmtId="0" fontId="0" fillId="36" borderId="38" xfId="0" applyFill="1" applyBorder="1"/>
    <xf numFmtId="165" fontId="0" fillId="39" borderId="38" xfId="0" applyNumberFormat="1" applyFill="1" applyBorder="1"/>
    <xf numFmtId="0" fontId="0" fillId="36" borderId="39" xfId="0" applyFill="1" applyBorder="1"/>
    <xf numFmtId="164" fontId="0" fillId="0" borderId="40" xfId="1" applyNumberFormat="1" applyFont="1" applyBorder="1"/>
    <xf numFmtId="0" fontId="0" fillId="36" borderId="40" xfId="0" applyFill="1" applyBorder="1"/>
    <xf numFmtId="165" fontId="0" fillId="39" borderId="40" xfId="0" applyNumberFormat="1" applyFill="1" applyBorder="1"/>
    <xf numFmtId="0" fontId="0" fillId="33" borderId="14" xfId="0" applyFill="1" applyBorder="1" applyAlignment="1">
      <alignment horizontal="center" wrapText="1"/>
    </xf>
    <xf numFmtId="0" fontId="0" fillId="33" borderId="15" xfId="0" applyFill="1" applyBorder="1" applyAlignment="1">
      <alignment horizontal="center" wrapText="1"/>
    </xf>
    <xf numFmtId="0" fontId="0" fillId="33" borderId="16" xfId="0" applyFill="1" applyBorder="1" applyAlignment="1">
      <alignment horizontal="center" wrapText="1"/>
    </xf>
    <xf numFmtId="0" fontId="0" fillId="40" borderId="21" xfId="0" applyFill="1" applyBorder="1"/>
    <xf numFmtId="0" fontId="0" fillId="40" borderId="24" xfId="0" applyFill="1" applyBorder="1"/>
    <xf numFmtId="0" fontId="0" fillId="38" borderId="28" xfId="0" applyFill="1" applyBorder="1"/>
    <xf numFmtId="0" fontId="0" fillId="41" borderId="28" xfId="0" applyFill="1" applyBorder="1"/>
    <xf numFmtId="0" fontId="0" fillId="41" borderId="12" xfId="0" applyFill="1" applyBorder="1"/>
    <xf numFmtId="0" fontId="0" fillId="38" borderId="27" xfId="0" applyFill="1" applyBorder="1"/>
    <xf numFmtId="0" fontId="0" fillId="38" borderId="12" xfId="0" applyFill="1" applyBorder="1"/>
    <xf numFmtId="0" fontId="0" fillId="38" borderId="13" xfId="0" applyFill="1" applyBorder="1"/>
    <xf numFmtId="0" fontId="0" fillId="33" borderId="14" xfId="0" applyFill="1" applyBorder="1" applyAlignment="1">
      <alignment horizontal="center" wrapText="1"/>
    </xf>
    <xf numFmtId="0" fontId="0" fillId="33" borderId="15" xfId="0" applyFill="1" applyBorder="1" applyAlignment="1">
      <alignment horizontal="center" wrapText="1"/>
    </xf>
    <xf numFmtId="0" fontId="0" fillId="33" borderId="16" xfId="0" applyFill="1" applyBorder="1" applyAlignment="1">
      <alignment horizontal="center" wrapText="1"/>
    </xf>
    <xf numFmtId="165" fontId="0" fillId="0" borderId="27" xfId="0" applyNumberFormat="1" applyBorder="1"/>
    <xf numFmtId="165" fontId="0" fillId="0" borderId="41" xfId="1" applyNumberFormat="1" applyFont="1" applyBorder="1"/>
    <xf numFmtId="165" fontId="0" fillId="0" borderId="43" xfId="1" applyNumberFormat="1" applyFont="1" applyBorder="1"/>
    <xf numFmtId="0" fontId="0" fillId="0" borderId="41" xfId="0" applyBorder="1" applyAlignment="1">
      <alignment horizontal="center" vertical="center" wrapText="1"/>
    </xf>
    <xf numFmtId="1" fontId="0" fillId="0" borderId="41" xfId="1" applyNumberFormat="1" applyFont="1" applyBorder="1" applyAlignment="1">
      <alignment horizontal="center" vertical="center"/>
    </xf>
    <xf numFmtId="164" fontId="0" fillId="0" borderId="41" xfId="1" applyNumberFormat="1" applyFont="1" applyBorder="1" applyAlignment="1">
      <alignment horizontal="center" vertical="center"/>
    </xf>
    <xf numFmtId="164" fontId="0" fillId="0" borderId="27" xfId="1" applyNumberFormat="1" applyFon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65" fontId="0" fillId="0" borderId="43" xfId="1" applyNumberFormat="1" applyFont="1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36" borderId="28" xfId="0" applyFill="1" applyBorder="1" applyAlignment="1">
      <alignment horizontal="center" vertical="center"/>
    </xf>
    <xf numFmtId="0" fontId="0" fillId="36" borderId="27" xfId="0" applyFill="1" applyBorder="1" applyAlignment="1">
      <alignment horizontal="center" vertical="center"/>
    </xf>
    <xf numFmtId="1" fontId="0" fillId="0" borderId="48" xfId="0" applyNumberFormat="1" applyBorder="1" applyAlignment="1">
      <alignment horizontal="center" vertical="center"/>
    </xf>
    <xf numFmtId="1" fontId="0" fillId="0" borderId="49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1" fontId="0" fillId="0" borderId="51" xfId="0" applyNumberFormat="1" applyBorder="1" applyAlignment="1">
      <alignment horizontal="center" vertical="center"/>
    </xf>
    <xf numFmtId="1" fontId="0" fillId="0" borderId="41" xfId="0" applyNumberFormat="1" applyBorder="1" applyAlignment="1">
      <alignment horizontal="center" vertical="center"/>
    </xf>
    <xf numFmtId="1" fontId="0" fillId="0" borderId="42" xfId="0" applyNumberFormat="1" applyBorder="1" applyAlignment="1">
      <alignment horizontal="center" vertical="center"/>
    </xf>
    <xf numFmtId="1" fontId="0" fillId="0" borderId="43" xfId="0" applyNumberFormat="1" applyBorder="1" applyAlignment="1">
      <alignment horizontal="center" vertical="center"/>
    </xf>
    <xf numFmtId="1" fontId="0" fillId="0" borderId="52" xfId="0" applyNumberFormat="1" applyBorder="1" applyAlignment="1">
      <alignment horizontal="center" vertical="center"/>
    </xf>
    <xf numFmtId="1" fontId="0" fillId="0" borderId="53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54" xfId="0" applyNumberFormat="1" applyBorder="1" applyAlignment="1">
      <alignment horizontal="center" vertical="center"/>
    </xf>
    <xf numFmtId="1" fontId="0" fillId="0" borderId="55" xfId="0" applyNumberFormat="1" applyBorder="1" applyAlignment="1">
      <alignment horizontal="center" vertical="center"/>
    </xf>
    <xf numFmtId="0" fontId="0" fillId="36" borderId="52" xfId="0" applyFill="1" applyBorder="1" applyAlignment="1">
      <alignment horizontal="center" vertical="center"/>
    </xf>
    <xf numFmtId="0" fontId="0" fillId="36" borderId="53" xfId="0" applyFill="1" applyBorder="1" applyAlignment="1">
      <alignment horizontal="center" vertical="center"/>
    </xf>
    <xf numFmtId="167" fontId="0" fillId="0" borderId="55" xfId="0" applyNumberFormat="1" applyBorder="1" applyAlignment="1">
      <alignment horizontal="center" vertical="center"/>
    </xf>
    <xf numFmtId="167" fontId="0" fillId="0" borderId="41" xfId="0" applyNumberFormat="1" applyBorder="1" applyAlignment="1">
      <alignment horizontal="center" vertical="center"/>
    </xf>
    <xf numFmtId="167" fontId="0" fillId="0" borderId="48" xfId="0" applyNumberFormat="1" applyBorder="1" applyAlignment="1">
      <alignment horizontal="center" vertical="center"/>
    </xf>
    <xf numFmtId="167" fontId="0" fillId="0" borderId="42" xfId="0" applyNumberFormat="1" applyBorder="1" applyAlignment="1">
      <alignment horizontal="center" vertical="center"/>
    </xf>
    <xf numFmtId="167" fontId="0" fillId="0" borderId="50" xfId="0" applyNumberFormat="1" applyBorder="1" applyAlignment="1">
      <alignment horizontal="center" vertical="center"/>
    </xf>
    <xf numFmtId="167" fontId="0" fillId="0" borderId="43" xfId="0" applyNumberFormat="1" applyBorder="1" applyAlignment="1">
      <alignment horizontal="center" vertical="center"/>
    </xf>
    <xf numFmtId="167" fontId="0" fillId="0" borderId="52" xfId="0" applyNumberFormat="1" applyBorder="1" applyAlignment="1">
      <alignment horizontal="center" vertical="center"/>
    </xf>
    <xf numFmtId="167" fontId="0" fillId="0" borderId="53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0" fillId="36" borderId="26" xfId="0" applyFill="1" applyBorder="1" applyAlignment="1">
      <alignment horizontal="center" vertical="center"/>
    </xf>
    <xf numFmtId="167" fontId="0" fillId="0" borderId="46" xfId="0" applyNumberFormat="1" applyBorder="1" applyAlignment="1">
      <alignment horizontal="center" vertical="center"/>
    </xf>
    <xf numFmtId="167" fontId="0" fillId="0" borderId="47" xfId="0" applyNumberFormat="1" applyBorder="1" applyAlignment="1">
      <alignment horizontal="center" vertical="center"/>
    </xf>
    <xf numFmtId="167" fontId="0" fillId="0" borderId="56" xfId="0" applyNumberFormat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2" fontId="0" fillId="0" borderId="46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55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6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5" fontId="0" fillId="40" borderId="10" xfId="0" applyNumberFormat="1" applyFill="1" applyBorder="1" applyAlignment="1">
      <alignment horizontal="center" vertical="center"/>
    </xf>
    <xf numFmtId="166" fontId="14" fillId="40" borderId="10" xfId="0" applyNumberFormat="1" applyFont="1" applyFill="1" applyBorder="1" applyAlignment="1">
      <alignment horizontal="center" vertical="center"/>
    </xf>
    <xf numFmtId="0" fontId="0" fillId="33" borderId="14" xfId="0" applyFill="1" applyBorder="1" applyAlignment="1">
      <alignment horizontal="center" wrapText="1"/>
    </xf>
    <xf numFmtId="0" fontId="0" fillId="33" borderId="15" xfId="0" applyFill="1" applyBorder="1" applyAlignment="1">
      <alignment horizontal="center" wrapText="1"/>
    </xf>
    <xf numFmtId="0" fontId="0" fillId="33" borderId="16" xfId="0" applyFill="1" applyBorder="1" applyAlignment="1">
      <alignment horizontal="center" wrapText="1"/>
    </xf>
    <xf numFmtId="0" fontId="0" fillId="35" borderId="25" xfId="0" applyFill="1" applyBorder="1" applyAlignment="1">
      <alignment horizontal="center"/>
    </xf>
    <xf numFmtId="0" fontId="18" fillId="0" borderId="0" xfId="0" applyFont="1"/>
    <xf numFmtId="165" fontId="0" fillId="34" borderId="26" xfId="0" applyNumberFormat="1" applyFill="1" applyBorder="1" applyAlignment="1">
      <alignment horizontal="center"/>
    </xf>
    <xf numFmtId="165" fontId="0" fillId="34" borderId="27" xfId="0" applyNumberFormat="1" applyFill="1" applyBorder="1" applyAlignment="1">
      <alignment horizontal="center"/>
    </xf>
    <xf numFmtId="165" fontId="0" fillId="39" borderId="30" xfId="0" applyNumberFormat="1" applyFill="1" applyBorder="1" applyAlignment="1">
      <alignment horizontal="center" vertical="center"/>
    </xf>
    <xf numFmtId="165" fontId="0" fillId="39" borderId="32" xfId="0" applyNumberFormat="1" applyFill="1" applyBorder="1" applyAlignment="1">
      <alignment horizontal="center" vertical="center"/>
    </xf>
    <xf numFmtId="165" fontId="0" fillId="39" borderId="34" xfId="0" applyNumberFormat="1" applyFill="1" applyBorder="1" applyAlignment="1">
      <alignment horizontal="center" vertical="center"/>
    </xf>
    <xf numFmtId="165" fontId="0" fillId="40" borderId="26" xfId="0" applyNumberFormat="1" applyFill="1" applyBorder="1" applyAlignment="1">
      <alignment horizontal="center" vertical="center"/>
    </xf>
    <xf numFmtId="0" fontId="0" fillId="40" borderId="28" xfId="0" applyFill="1" applyBorder="1" applyAlignment="1">
      <alignment horizontal="center" vertical="center"/>
    </xf>
    <xf numFmtId="0" fontId="0" fillId="40" borderId="27" xfId="0" applyFill="1" applyBorder="1" applyAlignment="1">
      <alignment horizontal="center" vertical="center"/>
    </xf>
    <xf numFmtId="0" fontId="0" fillId="41" borderId="14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165" fontId="0" fillId="39" borderId="26" xfId="0" applyNumberFormat="1" applyFill="1" applyBorder="1" applyAlignment="1">
      <alignment horizontal="center" vertical="center"/>
    </xf>
    <xf numFmtId="165" fontId="0" fillId="39" borderId="27" xfId="0" applyNumberFormat="1" applyFill="1" applyBorder="1" applyAlignment="1">
      <alignment horizontal="center" vertical="center"/>
    </xf>
    <xf numFmtId="165" fontId="0" fillId="40" borderId="27" xfId="0" applyNumberFormat="1" applyFill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0" fontId="0" fillId="36" borderId="44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164" fontId="0" fillId="0" borderId="45" xfId="1" applyNumberFormat="1" applyFont="1" applyBorder="1" applyAlignment="1">
      <alignment horizontal="center" vertical="center"/>
    </xf>
    <xf numFmtId="164" fontId="0" fillId="0" borderId="27" xfId="1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65" fontId="0" fillId="0" borderId="45" xfId="1" applyNumberFormat="1" applyFont="1" applyBorder="1" applyAlignment="1">
      <alignment horizontal="center" vertical="center"/>
    </xf>
    <xf numFmtId="165" fontId="0" fillId="0" borderId="27" xfId="1" applyNumberFormat="1" applyFont="1" applyBorder="1" applyAlignment="1">
      <alignment horizontal="center" vertical="center"/>
    </xf>
    <xf numFmtId="1" fontId="0" fillId="0" borderId="45" xfId="1" applyNumberFormat="1" applyFont="1" applyBorder="1" applyAlignment="1">
      <alignment horizontal="center" vertical="center"/>
    </xf>
    <xf numFmtId="1" fontId="0" fillId="0" borderId="27" xfId="1" applyNumberFormat="1" applyFont="1" applyBorder="1" applyAlignment="1">
      <alignment horizontal="center" vertical="center"/>
    </xf>
    <xf numFmtId="165" fontId="14" fillId="40" borderId="26" xfId="0" applyNumberFormat="1" applyFont="1" applyFill="1" applyBorder="1" applyAlignment="1">
      <alignment horizontal="center" vertical="center"/>
    </xf>
    <xf numFmtId="0" fontId="14" fillId="40" borderId="28" xfId="0" applyFont="1" applyFill="1" applyBorder="1" applyAlignment="1">
      <alignment horizontal="center" vertical="center"/>
    </xf>
    <xf numFmtId="0" fontId="14" fillId="40" borderId="27" xfId="0" applyFont="1" applyFill="1" applyBorder="1" applyAlignment="1">
      <alignment horizontal="center" vertical="center"/>
    </xf>
    <xf numFmtId="165" fontId="0" fillId="34" borderId="0" xfId="0" applyNumberFormat="1" applyFill="1" applyBorder="1" applyAlignment="1">
      <alignment horizontal="center" vertical="center"/>
    </xf>
    <xf numFmtId="0" fontId="0" fillId="33" borderId="14" xfId="0" applyFill="1" applyBorder="1" applyAlignment="1">
      <alignment horizontal="center" wrapText="1"/>
    </xf>
    <xf numFmtId="0" fontId="0" fillId="33" borderId="15" xfId="0" applyFill="1" applyBorder="1" applyAlignment="1">
      <alignment horizontal="center" wrapText="1"/>
    </xf>
    <xf numFmtId="0" fontId="0" fillId="33" borderId="16" xfId="0" applyFill="1" applyBorder="1" applyAlignment="1">
      <alignment horizontal="center" wrapText="1"/>
    </xf>
    <xf numFmtId="2" fontId="0" fillId="0" borderId="10" xfId="1" applyNumberFormat="1" applyFont="1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742950</xdr:colOff>
      <xdr:row>18</xdr:row>
      <xdr:rowOff>28576</xdr:rowOff>
    </xdr:from>
    <xdr:to>
      <xdr:col>7</xdr:col>
      <xdr:colOff>171450</xdr:colOff>
      <xdr:row>19</xdr:row>
      <xdr:rowOff>87671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3505201"/>
          <a:ext cx="3190875" cy="25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18001</xdr:rowOff>
    </xdr:from>
    <xdr:to>
      <xdr:col>5</xdr:col>
      <xdr:colOff>390525</xdr:colOff>
      <xdr:row>24</xdr:row>
      <xdr:rowOff>57149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4447126"/>
          <a:ext cx="2657475" cy="239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161925</xdr:colOff>
      <xdr:row>23</xdr:row>
      <xdr:rowOff>9525</xdr:rowOff>
    </xdr:from>
    <xdr:to>
      <xdr:col>4</xdr:col>
      <xdr:colOff>142875</xdr:colOff>
      <xdr:row>24</xdr:row>
      <xdr:rowOff>66675</xdr:rowOff>
    </xdr:to>
    <xdr:sp macro="" textlink="">
      <xdr:nvSpPr>
        <xdr:cNvPr id="6" name="Rectángulo redondeado 5"/>
        <xdr:cNvSpPr/>
      </xdr:nvSpPr>
      <xdr:spPr>
        <a:xfrm>
          <a:off x="1905000" y="4438650"/>
          <a:ext cx="723900" cy="257175"/>
        </a:xfrm>
        <a:prstGeom prst="roundRect">
          <a:avLst/>
        </a:prstGeom>
        <a:noFill/>
        <a:ln w="254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523875</xdr:colOff>
      <xdr:row>22</xdr:row>
      <xdr:rowOff>114300</xdr:rowOff>
    </xdr:from>
    <xdr:to>
      <xdr:col>9</xdr:col>
      <xdr:colOff>47625</xdr:colOff>
      <xdr:row>23</xdr:row>
      <xdr:rowOff>9525</xdr:rowOff>
    </xdr:to>
    <xdr:cxnSp macro="">
      <xdr:nvCxnSpPr>
        <xdr:cNvPr id="8" name="Conector recto de flecha 7"/>
        <xdr:cNvCxnSpPr>
          <a:stCxn id="6" idx="0"/>
        </xdr:cNvCxnSpPr>
      </xdr:nvCxnSpPr>
      <xdr:spPr>
        <a:xfrm flipV="1">
          <a:off x="2266950" y="4362450"/>
          <a:ext cx="2838450" cy="762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22</xdr:row>
      <xdr:rowOff>0</xdr:rowOff>
    </xdr:from>
    <xdr:to>
      <xdr:col>9</xdr:col>
      <xdr:colOff>342899</xdr:colOff>
      <xdr:row>24</xdr:row>
      <xdr:rowOff>180975</xdr:rowOff>
    </xdr:to>
    <xdr:sp macro="" textlink="">
      <xdr:nvSpPr>
        <xdr:cNvPr id="9" name="Rectángulo redondeado 8"/>
        <xdr:cNvSpPr/>
      </xdr:nvSpPr>
      <xdr:spPr>
        <a:xfrm>
          <a:off x="5086350" y="4248150"/>
          <a:ext cx="314324" cy="561975"/>
        </a:xfrm>
        <a:prstGeom prst="roundRect">
          <a:avLst/>
        </a:prstGeom>
        <a:noFill/>
        <a:ln w="254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257175</xdr:colOff>
      <xdr:row>23</xdr:row>
      <xdr:rowOff>9525</xdr:rowOff>
    </xdr:from>
    <xdr:to>
      <xdr:col>5</xdr:col>
      <xdr:colOff>390525</xdr:colOff>
      <xdr:row>24</xdr:row>
      <xdr:rowOff>66675</xdr:rowOff>
    </xdr:to>
    <xdr:sp macro="" textlink="">
      <xdr:nvSpPr>
        <xdr:cNvPr id="11" name="Rectángulo redondeado 10"/>
        <xdr:cNvSpPr/>
      </xdr:nvSpPr>
      <xdr:spPr>
        <a:xfrm>
          <a:off x="2743200" y="4438650"/>
          <a:ext cx="895350" cy="257175"/>
        </a:xfrm>
        <a:prstGeom prst="round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704850</xdr:colOff>
      <xdr:row>24</xdr:row>
      <xdr:rowOff>66675</xdr:rowOff>
    </xdr:from>
    <xdr:to>
      <xdr:col>14</xdr:col>
      <xdr:colOff>180976</xdr:colOff>
      <xdr:row>25</xdr:row>
      <xdr:rowOff>0</xdr:rowOff>
    </xdr:to>
    <xdr:cxnSp macro="">
      <xdr:nvCxnSpPr>
        <xdr:cNvPr id="12" name="Conector recto de flecha 11"/>
        <xdr:cNvCxnSpPr>
          <a:stCxn id="11" idx="2"/>
        </xdr:cNvCxnSpPr>
      </xdr:nvCxnSpPr>
      <xdr:spPr>
        <a:xfrm>
          <a:off x="3190875" y="4695825"/>
          <a:ext cx="5486401" cy="133350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47625</xdr:colOff>
      <xdr:row>16</xdr:row>
      <xdr:rowOff>38100</xdr:rowOff>
    </xdr:from>
    <xdr:to>
      <xdr:col>19</xdr:col>
      <xdr:colOff>276225</xdr:colOff>
      <xdr:row>18</xdr:row>
      <xdr:rowOff>133350</xdr:rowOff>
    </xdr:to>
    <xdr:pic>
      <xdr:nvPicPr>
        <xdr:cNvPr id="19" name="Imagen 1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3114675"/>
          <a:ext cx="36290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223838</xdr:colOff>
      <xdr:row>18</xdr:row>
      <xdr:rowOff>104775</xdr:rowOff>
    </xdr:from>
    <xdr:to>
      <xdr:col>17</xdr:col>
      <xdr:colOff>38100</xdr:colOff>
      <xdr:row>22</xdr:row>
      <xdr:rowOff>19050</xdr:rowOff>
    </xdr:to>
    <xdr:cxnSp macro="">
      <xdr:nvCxnSpPr>
        <xdr:cNvPr id="21" name="Conector recto de flecha 20"/>
        <xdr:cNvCxnSpPr>
          <a:stCxn id="26" idx="2"/>
          <a:endCxn id="29" idx="0"/>
        </xdr:cNvCxnSpPr>
      </xdr:nvCxnSpPr>
      <xdr:spPr>
        <a:xfrm flipH="1">
          <a:off x="6948488" y="3581400"/>
          <a:ext cx="2709862" cy="685800"/>
        </a:xfrm>
        <a:prstGeom prst="straightConnector1">
          <a:avLst/>
        </a:prstGeom>
        <a:ln w="1905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200025</xdr:colOff>
      <xdr:row>18</xdr:row>
      <xdr:rowOff>123825</xdr:rowOff>
    </xdr:from>
    <xdr:to>
      <xdr:col>17</xdr:col>
      <xdr:colOff>19051</xdr:colOff>
      <xdr:row>22</xdr:row>
      <xdr:rowOff>19050</xdr:rowOff>
    </xdr:to>
    <xdr:cxnSp macro="">
      <xdr:nvCxnSpPr>
        <xdr:cNvPr id="24" name="Conector recto de flecha 23"/>
        <xdr:cNvCxnSpPr>
          <a:endCxn id="30" idx="0"/>
        </xdr:cNvCxnSpPr>
      </xdr:nvCxnSpPr>
      <xdr:spPr>
        <a:xfrm flipH="1">
          <a:off x="8305800" y="3600450"/>
          <a:ext cx="1333501" cy="666750"/>
        </a:xfrm>
        <a:prstGeom prst="straightConnector1">
          <a:avLst/>
        </a:prstGeom>
        <a:ln w="1905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17</xdr:row>
      <xdr:rowOff>38100</xdr:rowOff>
    </xdr:from>
    <xdr:to>
      <xdr:col>18</xdr:col>
      <xdr:colOff>438150</xdr:colOff>
      <xdr:row>18</xdr:row>
      <xdr:rowOff>104775</xdr:rowOff>
    </xdr:to>
    <xdr:sp macro="" textlink="">
      <xdr:nvSpPr>
        <xdr:cNvPr id="26" name="Rectángulo redondeado 25"/>
        <xdr:cNvSpPr/>
      </xdr:nvSpPr>
      <xdr:spPr>
        <a:xfrm>
          <a:off x="9115425" y="3314700"/>
          <a:ext cx="1085850" cy="266700"/>
        </a:xfrm>
        <a:prstGeom prst="roundRect">
          <a:avLst/>
        </a:prstGeom>
        <a:noFill/>
        <a:ln w="2540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9525</xdr:colOff>
      <xdr:row>22</xdr:row>
      <xdr:rowOff>19050</xdr:rowOff>
    </xdr:from>
    <xdr:to>
      <xdr:col>11</xdr:col>
      <xdr:colOff>438150</xdr:colOff>
      <xdr:row>24</xdr:row>
      <xdr:rowOff>171450</xdr:rowOff>
    </xdr:to>
    <xdr:sp macro="" textlink="">
      <xdr:nvSpPr>
        <xdr:cNvPr id="29" name="Rectángulo redondeado 28"/>
        <xdr:cNvSpPr/>
      </xdr:nvSpPr>
      <xdr:spPr>
        <a:xfrm>
          <a:off x="6734175" y="4267200"/>
          <a:ext cx="428625" cy="533400"/>
        </a:xfrm>
        <a:prstGeom prst="roundRect">
          <a:avLst/>
        </a:prstGeom>
        <a:noFill/>
        <a:ln w="2540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28575</xdr:colOff>
      <xdr:row>22</xdr:row>
      <xdr:rowOff>19050</xdr:rowOff>
    </xdr:from>
    <xdr:to>
      <xdr:col>13</xdr:col>
      <xdr:colOff>371475</xdr:colOff>
      <xdr:row>24</xdr:row>
      <xdr:rowOff>171450</xdr:rowOff>
    </xdr:to>
    <xdr:sp macro="" textlink="">
      <xdr:nvSpPr>
        <xdr:cNvPr id="30" name="Rectángulo redondeado 29"/>
        <xdr:cNvSpPr/>
      </xdr:nvSpPr>
      <xdr:spPr>
        <a:xfrm>
          <a:off x="8134350" y="4267200"/>
          <a:ext cx="342900" cy="533400"/>
        </a:xfrm>
        <a:prstGeom prst="roundRect">
          <a:avLst/>
        </a:prstGeom>
        <a:noFill/>
        <a:ln w="2540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38100</xdr:colOff>
      <xdr:row>16</xdr:row>
      <xdr:rowOff>19050</xdr:rowOff>
    </xdr:from>
    <xdr:to>
      <xdr:col>15</xdr:col>
      <xdr:colOff>142875</xdr:colOff>
      <xdr:row>17</xdr:row>
      <xdr:rowOff>76200</xdr:rowOff>
    </xdr:to>
    <xdr:sp macro="" textlink="">
      <xdr:nvSpPr>
        <xdr:cNvPr id="34" name="Rectángulo redondeado 33"/>
        <xdr:cNvSpPr/>
      </xdr:nvSpPr>
      <xdr:spPr>
        <a:xfrm>
          <a:off x="8143875" y="3095625"/>
          <a:ext cx="857250" cy="257175"/>
        </a:xfrm>
        <a:prstGeom prst="round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742950</xdr:colOff>
      <xdr:row>23</xdr:row>
      <xdr:rowOff>0</xdr:rowOff>
    </xdr:from>
    <xdr:to>
      <xdr:col>2</xdr:col>
      <xdr:colOff>590550</xdr:colOff>
      <xdr:row>24</xdr:row>
      <xdr:rowOff>57150</xdr:rowOff>
    </xdr:to>
    <xdr:sp macro="" textlink="">
      <xdr:nvSpPr>
        <xdr:cNvPr id="35" name="Rectángulo redondeado 34"/>
        <xdr:cNvSpPr/>
      </xdr:nvSpPr>
      <xdr:spPr>
        <a:xfrm>
          <a:off x="962025" y="4429125"/>
          <a:ext cx="609600" cy="257175"/>
        </a:xfrm>
        <a:prstGeom prst="roundRect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showGridLines="0" tabSelected="1" topLeftCell="A7" workbookViewId="0">
      <selection activeCell="T12" sqref="T12"/>
    </sheetView>
  </sheetViews>
  <sheetFormatPr baseColWidth="10" defaultRowHeight="15" x14ac:dyDescent="0.25"/>
  <cols>
    <col min="1" max="1" width="3.28515625" customWidth="1"/>
    <col min="4" max="4" width="11.140625" bestFit="1" customWidth="1"/>
    <col min="6" max="6" width="7.42578125" bestFit="1" customWidth="1"/>
    <col min="7" max="8" width="3.5703125" customWidth="1"/>
    <col min="9" max="9" width="12.5703125" bestFit="1" customWidth="1"/>
    <col min="10" max="10" width="6.85546875" customWidth="1"/>
    <col min="11" max="11" width="19.140625" bestFit="1" customWidth="1"/>
    <col min="12" max="12" width="7.140625" bestFit="1" customWidth="1"/>
    <col min="13" max="13" width="13.85546875" bestFit="1" customWidth="1"/>
    <col min="14" max="14" width="7.140625" bestFit="1" customWidth="1"/>
    <col min="15" max="15" width="8.85546875" customWidth="1"/>
    <col min="16" max="16" width="5.42578125" bestFit="1" customWidth="1"/>
    <col min="17" max="17" width="16" customWidth="1"/>
    <col min="18" max="18" width="2.140625" customWidth="1"/>
  </cols>
  <sheetData>
    <row r="1" spans="1:17" ht="15.75" thickBot="1" x14ac:dyDescent="0.3"/>
    <row r="2" spans="1:17" ht="15.75" thickBot="1" x14ac:dyDescent="0.3">
      <c r="A2" t="s">
        <v>18</v>
      </c>
      <c r="B2" s="5" t="s">
        <v>12</v>
      </c>
      <c r="C2" s="6" t="s">
        <v>13</v>
      </c>
      <c r="D2" s="6" t="s">
        <v>14</v>
      </c>
      <c r="E2" s="6" t="s">
        <v>15</v>
      </c>
      <c r="F2" s="7" t="s">
        <v>16</v>
      </c>
    </row>
    <row r="3" spans="1:17" x14ac:dyDescent="0.25">
      <c r="A3">
        <v>1</v>
      </c>
      <c r="B3" s="1" t="s">
        <v>0</v>
      </c>
      <c r="C3" s="2" t="s">
        <v>1</v>
      </c>
      <c r="D3" s="2" t="s">
        <v>2</v>
      </c>
      <c r="E3" s="2" t="s">
        <v>3</v>
      </c>
      <c r="F3" s="8" t="s">
        <v>4</v>
      </c>
    </row>
    <row r="4" spans="1:17" x14ac:dyDescent="0.25">
      <c r="A4">
        <v>2</v>
      </c>
      <c r="B4" s="1" t="s">
        <v>0</v>
      </c>
      <c r="C4" s="2" t="s">
        <v>1</v>
      </c>
      <c r="D4" s="2" t="s">
        <v>2</v>
      </c>
      <c r="E4" s="2" t="s">
        <v>5</v>
      </c>
      <c r="F4" s="8" t="s">
        <v>4</v>
      </c>
    </row>
    <row r="5" spans="1:17" x14ac:dyDescent="0.25">
      <c r="A5">
        <v>3</v>
      </c>
      <c r="B5" s="1" t="s">
        <v>6</v>
      </c>
      <c r="C5" s="2" t="s">
        <v>1</v>
      </c>
      <c r="D5" s="2" t="s">
        <v>2</v>
      </c>
      <c r="E5" s="2" t="s">
        <v>3</v>
      </c>
      <c r="F5" s="9" t="s">
        <v>7</v>
      </c>
    </row>
    <row r="6" spans="1:17" x14ac:dyDescent="0.25">
      <c r="A6">
        <v>4</v>
      </c>
      <c r="B6" s="1" t="s">
        <v>8</v>
      </c>
      <c r="C6" s="2" t="s">
        <v>9</v>
      </c>
      <c r="D6" s="2" t="s">
        <v>2</v>
      </c>
      <c r="E6" s="2" t="s">
        <v>3</v>
      </c>
      <c r="F6" s="9" t="s">
        <v>7</v>
      </c>
    </row>
    <row r="7" spans="1:17" x14ac:dyDescent="0.25">
      <c r="A7">
        <v>5</v>
      </c>
      <c r="B7" s="1" t="s">
        <v>8</v>
      </c>
      <c r="C7" s="2" t="s">
        <v>10</v>
      </c>
      <c r="D7" s="2" t="s">
        <v>11</v>
      </c>
      <c r="E7" s="2" t="s">
        <v>3</v>
      </c>
      <c r="F7" s="9" t="s">
        <v>7</v>
      </c>
    </row>
    <row r="8" spans="1:17" x14ac:dyDescent="0.25">
      <c r="A8">
        <v>6</v>
      </c>
      <c r="B8" s="1" t="s">
        <v>8</v>
      </c>
      <c r="C8" s="2" t="s">
        <v>10</v>
      </c>
      <c r="D8" s="2" t="s">
        <v>11</v>
      </c>
      <c r="E8" s="2" t="s">
        <v>5</v>
      </c>
      <c r="F8" s="8" t="s">
        <v>4</v>
      </c>
    </row>
    <row r="9" spans="1:17" x14ac:dyDescent="0.25">
      <c r="A9">
        <v>7</v>
      </c>
      <c r="B9" s="1" t="s">
        <v>6</v>
      </c>
      <c r="C9" s="2" t="s">
        <v>10</v>
      </c>
      <c r="D9" s="2" t="s">
        <v>11</v>
      </c>
      <c r="E9" s="2" t="s">
        <v>5</v>
      </c>
      <c r="F9" s="9" t="s">
        <v>7</v>
      </c>
    </row>
    <row r="10" spans="1:17" x14ac:dyDescent="0.25">
      <c r="A10">
        <v>8</v>
      </c>
      <c r="B10" s="1" t="s">
        <v>0</v>
      </c>
      <c r="C10" s="2" t="s">
        <v>9</v>
      </c>
      <c r="D10" s="2" t="s">
        <v>2</v>
      </c>
      <c r="E10" s="2" t="s">
        <v>3</v>
      </c>
      <c r="F10" s="8" t="s">
        <v>4</v>
      </c>
    </row>
    <row r="11" spans="1:17" x14ac:dyDescent="0.25">
      <c r="A11">
        <v>9</v>
      </c>
      <c r="B11" s="1" t="s">
        <v>0</v>
      </c>
      <c r="C11" s="2" t="s">
        <v>10</v>
      </c>
      <c r="D11" s="2" t="s">
        <v>11</v>
      </c>
      <c r="E11" s="2" t="s">
        <v>3</v>
      </c>
      <c r="F11" s="9" t="s">
        <v>7</v>
      </c>
    </row>
    <row r="12" spans="1:17" x14ac:dyDescent="0.25">
      <c r="A12">
        <v>10</v>
      </c>
      <c r="B12" s="1" t="s">
        <v>8</v>
      </c>
      <c r="C12" s="2" t="s">
        <v>9</v>
      </c>
      <c r="D12" s="2" t="s">
        <v>11</v>
      </c>
      <c r="E12" s="2" t="s">
        <v>3</v>
      </c>
      <c r="F12" s="9" t="s">
        <v>7</v>
      </c>
    </row>
    <row r="13" spans="1:17" x14ac:dyDescent="0.25">
      <c r="A13">
        <v>11</v>
      </c>
      <c r="B13" s="1" t="s">
        <v>0</v>
      </c>
      <c r="C13" s="2" t="s">
        <v>9</v>
      </c>
      <c r="D13" s="2" t="s">
        <v>11</v>
      </c>
      <c r="E13" s="2" t="s">
        <v>5</v>
      </c>
      <c r="F13" s="9" t="s">
        <v>7</v>
      </c>
    </row>
    <row r="14" spans="1:17" x14ac:dyDescent="0.25">
      <c r="A14">
        <v>12</v>
      </c>
      <c r="B14" s="1" t="s">
        <v>6</v>
      </c>
      <c r="C14" s="2" t="s">
        <v>9</v>
      </c>
      <c r="D14" s="2" t="s">
        <v>2</v>
      </c>
      <c r="E14" s="2" t="s">
        <v>5</v>
      </c>
      <c r="F14" s="9" t="s">
        <v>7</v>
      </c>
    </row>
    <row r="15" spans="1:17" ht="15.75" thickBot="1" x14ac:dyDescent="0.3">
      <c r="A15">
        <v>13</v>
      </c>
      <c r="B15" s="1" t="s">
        <v>6</v>
      </c>
      <c r="C15" s="2" t="s">
        <v>1</v>
      </c>
      <c r="D15" s="2" t="s">
        <v>11</v>
      </c>
      <c r="E15" s="2" t="s">
        <v>3</v>
      </c>
      <c r="F15" s="9" t="s">
        <v>7</v>
      </c>
    </row>
    <row r="16" spans="1:17" ht="15" customHeight="1" thickBot="1" x14ac:dyDescent="0.3">
      <c r="A16">
        <v>14</v>
      </c>
      <c r="B16" s="3" t="s">
        <v>8</v>
      </c>
      <c r="C16" s="4" t="s">
        <v>9</v>
      </c>
      <c r="D16" s="4" t="s">
        <v>2</v>
      </c>
      <c r="E16" s="4" t="s">
        <v>5</v>
      </c>
      <c r="F16" s="122" t="s">
        <v>4</v>
      </c>
      <c r="I16" s="132" t="s">
        <v>83</v>
      </c>
      <c r="J16" s="133"/>
      <c r="K16" s="133"/>
      <c r="L16" s="133"/>
      <c r="M16" s="133"/>
      <c r="N16" s="133"/>
      <c r="O16" s="133"/>
      <c r="P16" s="133"/>
      <c r="Q16" s="134"/>
    </row>
    <row r="17" spans="1:17" ht="15.75" thickBot="1" x14ac:dyDescent="0.3">
      <c r="A17" s="21">
        <f>MAX(A3:A16)</f>
        <v>14</v>
      </c>
    </row>
    <row r="18" spans="1:17" ht="15.75" thickBot="1" x14ac:dyDescent="0.3">
      <c r="C18" s="123" t="s">
        <v>90</v>
      </c>
      <c r="I18" s="135" t="s">
        <v>23</v>
      </c>
      <c r="J18" s="136"/>
      <c r="K18" s="136"/>
      <c r="L18" s="137"/>
      <c r="M18" s="24" t="s">
        <v>30</v>
      </c>
    </row>
    <row r="19" spans="1:17" ht="15.75" thickBot="1" x14ac:dyDescent="0.3">
      <c r="I19" s="10" t="s">
        <v>19</v>
      </c>
      <c r="J19" s="12">
        <f>5/14</f>
        <v>0.35714285714285715</v>
      </c>
      <c r="K19" s="14" t="s">
        <v>21</v>
      </c>
      <c r="L19" s="16">
        <f>J19*-LOG(J19,2)</f>
        <v>0.53050958113222912</v>
      </c>
      <c r="M19" s="124">
        <f>L19+L20</f>
        <v>0.94028595867063092</v>
      </c>
    </row>
    <row r="20" spans="1:17" ht="12.75" customHeight="1" thickBot="1" x14ac:dyDescent="0.3">
      <c r="I20" s="11" t="s">
        <v>20</v>
      </c>
      <c r="J20" s="13">
        <f>9/14</f>
        <v>0.6428571428571429</v>
      </c>
      <c r="K20" s="23" t="s">
        <v>22</v>
      </c>
      <c r="L20" s="159">
        <f>J20*-LOG(J20,2)</f>
        <v>0.40977637753840185</v>
      </c>
      <c r="M20" s="125"/>
    </row>
    <row r="21" spans="1:17" ht="15.75" thickBot="1" x14ac:dyDescent="0.3"/>
    <row r="22" spans="1:17" ht="14.45" customHeight="1" thickBot="1" x14ac:dyDescent="0.3">
      <c r="C22" s="141" t="s">
        <v>91</v>
      </c>
      <c r="D22" s="141"/>
      <c r="E22" s="141"/>
      <c r="F22" s="141"/>
      <c r="G22" s="141"/>
      <c r="I22" s="119" t="s">
        <v>17</v>
      </c>
      <c r="J22" s="120"/>
      <c r="K22" s="120"/>
      <c r="L22" s="120"/>
      <c r="M22" s="120"/>
      <c r="N22" s="120"/>
      <c r="O22" s="120"/>
      <c r="P22" s="121"/>
      <c r="Q22" s="24" t="s">
        <v>58</v>
      </c>
    </row>
    <row r="23" spans="1:17" ht="14.45" customHeight="1" thickBot="1" x14ac:dyDescent="0.3">
      <c r="C23" s="141"/>
      <c r="D23" s="141"/>
      <c r="E23" s="141"/>
      <c r="F23" s="141"/>
      <c r="G23" s="141"/>
      <c r="I23" s="32" t="s">
        <v>24</v>
      </c>
      <c r="J23" s="33">
        <f>5/14</f>
        <v>0.35714285714285715</v>
      </c>
      <c r="K23" s="38" t="s">
        <v>42</v>
      </c>
      <c r="L23" s="39">
        <f>2/5</f>
        <v>0.4</v>
      </c>
      <c r="M23" s="40" t="s">
        <v>45</v>
      </c>
      <c r="N23" s="39">
        <f>3/5</f>
        <v>0.6</v>
      </c>
      <c r="O23" s="41">
        <f>L23*-LOG(L23,2)+N23*-LOG(N23,2)</f>
        <v>0.97095059445466858</v>
      </c>
      <c r="P23" s="126">
        <f>J23*O23+J24*O24+J25*O25</f>
        <v>0.69353613889619181</v>
      </c>
      <c r="Q23" s="129">
        <f>M19-P23</f>
        <v>0.24674981977443911</v>
      </c>
    </row>
    <row r="24" spans="1:17" ht="15.75" customHeight="1" thickBot="1" x14ac:dyDescent="0.3">
      <c r="I24" s="34" t="s">
        <v>25</v>
      </c>
      <c r="J24" s="35">
        <f>4/14</f>
        <v>0.2857142857142857</v>
      </c>
      <c r="K24" s="42" t="s">
        <v>43</v>
      </c>
      <c r="L24" s="43">
        <f>4/4</f>
        <v>1</v>
      </c>
      <c r="M24" s="44" t="s">
        <v>46</v>
      </c>
      <c r="N24" s="43">
        <v>0</v>
      </c>
      <c r="O24" s="41">
        <v>0</v>
      </c>
      <c r="P24" s="127"/>
      <c r="Q24" s="130"/>
    </row>
    <row r="25" spans="1:17" ht="15.75" thickBot="1" x14ac:dyDescent="0.3">
      <c r="I25" s="36" t="s">
        <v>26</v>
      </c>
      <c r="J25" s="37">
        <f>5/14</f>
        <v>0.35714285714285715</v>
      </c>
      <c r="K25" s="46" t="s">
        <v>44</v>
      </c>
      <c r="L25" s="47">
        <f>3/5</f>
        <v>0.6</v>
      </c>
      <c r="M25" s="48" t="s">
        <v>47</v>
      </c>
      <c r="N25" s="47">
        <f>2/5</f>
        <v>0.4</v>
      </c>
      <c r="O25" s="41">
        <f t="shared" ref="O24:O25" si="0">L25*-LOG(L25,2)+N25*-LOG(N25,2)</f>
        <v>0.97095059445466858</v>
      </c>
      <c r="P25" s="128"/>
      <c r="Q25" s="131"/>
    </row>
    <row r="26" spans="1:17" ht="15.75" thickBot="1" x14ac:dyDescent="0.3"/>
    <row r="27" spans="1:17" ht="15" customHeight="1" thickBot="1" x14ac:dyDescent="0.3">
      <c r="I27" s="119" t="s">
        <v>31</v>
      </c>
      <c r="J27" s="120"/>
      <c r="K27" s="120"/>
      <c r="L27" s="120"/>
      <c r="M27" s="120"/>
      <c r="N27" s="120"/>
      <c r="O27" s="120"/>
      <c r="P27" s="121"/>
      <c r="Q27" s="24" t="s">
        <v>58</v>
      </c>
    </row>
    <row r="28" spans="1:17" ht="15.75" thickBot="1" x14ac:dyDescent="0.3">
      <c r="I28" s="32" t="s">
        <v>32</v>
      </c>
      <c r="J28" s="33">
        <f>4/14</f>
        <v>0.2857142857142857</v>
      </c>
      <c r="K28" s="38" t="s">
        <v>48</v>
      </c>
      <c r="L28" s="39">
        <f>2/4</f>
        <v>0.5</v>
      </c>
      <c r="M28" s="40" t="s">
        <v>51</v>
      </c>
      <c r="N28" s="39">
        <f>2/4</f>
        <v>0.5</v>
      </c>
      <c r="O28" s="41">
        <f>L28*-LOG(L28,2)+N28*-LOG(N28,2)</f>
        <v>1</v>
      </c>
      <c r="P28" s="126">
        <f>J28*O28+J29*O29+J30*O30</f>
        <v>0.91106339301167627</v>
      </c>
      <c r="Q28" s="129">
        <f>M19-P28</f>
        <v>2.9222565658954647E-2</v>
      </c>
    </row>
    <row r="29" spans="1:17" ht="15.75" customHeight="1" thickBot="1" x14ac:dyDescent="0.3">
      <c r="I29" s="34" t="s">
        <v>33</v>
      </c>
      <c r="J29" s="35">
        <f>6/14</f>
        <v>0.42857142857142855</v>
      </c>
      <c r="K29" s="42" t="s">
        <v>49</v>
      </c>
      <c r="L29" s="43">
        <f>4/6</f>
        <v>0.66666666666666663</v>
      </c>
      <c r="M29" s="44" t="s">
        <v>52</v>
      </c>
      <c r="N29" s="43">
        <f>2/6</f>
        <v>0.33333333333333331</v>
      </c>
      <c r="O29" s="41">
        <f>L29*-LOG(L29,2)+N29*-LOG(N29,2)</f>
        <v>0.91829583405448956</v>
      </c>
      <c r="P29" s="127"/>
      <c r="Q29" s="130"/>
    </row>
    <row r="30" spans="1:17" ht="15.75" thickBot="1" x14ac:dyDescent="0.3">
      <c r="I30" s="36" t="s">
        <v>34</v>
      </c>
      <c r="J30" s="37">
        <f>4/14</f>
        <v>0.2857142857142857</v>
      </c>
      <c r="K30" s="46" t="s">
        <v>50</v>
      </c>
      <c r="L30" s="47">
        <f>3/4</f>
        <v>0.75</v>
      </c>
      <c r="M30" s="48" t="s">
        <v>53</v>
      </c>
      <c r="N30" s="47">
        <f>1/4</f>
        <v>0.25</v>
      </c>
      <c r="O30" s="41">
        <f t="shared" ref="O30" si="1">L30*-LOG(L30,2)+N30*-LOG(N30,2)</f>
        <v>0.81127812445913283</v>
      </c>
      <c r="P30" s="128"/>
      <c r="Q30" s="131"/>
    </row>
    <row r="31" spans="1:17" ht="15.75" thickBot="1" x14ac:dyDescent="0.3"/>
    <row r="32" spans="1:17" ht="15.75" thickBot="1" x14ac:dyDescent="0.3">
      <c r="I32" s="119" t="s">
        <v>27</v>
      </c>
      <c r="J32" s="120"/>
      <c r="K32" s="120"/>
      <c r="L32" s="120"/>
      <c r="M32" s="120"/>
      <c r="N32" s="120"/>
      <c r="O32" s="120"/>
      <c r="P32" s="121"/>
      <c r="Q32" s="24" t="s">
        <v>58</v>
      </c>
    </row>
    <row r="33" spans="9:17" ht="15.75" thickBot="1" x14ac:dyDescent="0.3">
      <c r="I33" s="32" t="s">
        <v>28</v>
      </c>
      <c r="J33" s="33">
        <f>7/14</f>
        <v>0.5</v>
      </c>
      <c r="K33" s="38" t="s">
        <v>38</v>
      </c>
      <c r="L33" s="39">
        <f>6/7</f>
        <v>0.8571428571428571</v>
      </c>
      <c r="M33" s="40" t="s">
        <v>39</v>
      </c>
      <c r="N33" s="39">
        <f>1/7</f>
        <v>0.14285714285714285</v>
      </c>
      <c r="O33" s="41">
        <f>L33*-LOG(L33,2)+N33*-LOG(N33,2)</f>
        <v>0.59167277858232747</v>
      </c>
      <c r="P33" s="126">
        <f>J33*O33+J34*O34</f>
        <v>0.78845045730828955</v>
      </c>
      <c r="Q33" s="129">
        <f>M19-P33</f>
        <v>0.15183550136234136</v>
      </c>
    </row>
    <row r="34" spans="9:17" ht="15.75" thickBot="1" x14ac:dyDescent="0.3">
      <c r="I34" s="36" t="s">
        <v>29</v>
      </c>
      <c r="J34" s="37">
        <f>7/14</f>
        <v>0.5</v>
      </c>
      <c r="K34" s="46" t="s">
        <v>40</v>
      </c>
      <c r="L34" s="47">
        <f>3/7</f>
        <v>0.42857142857142855</v>
      </c>
      <c r="M34" s="48" t="s">
        <v>41</v>
      </c>
      <c r="N34" s="47">
        <f>4/7</f>
        <v>0.5714285714285714</v>
      </c>
      <c r="O34" s="41">
        <f>L34*-LOG(L34,2)+N34*-LOG(N34,2)</f>
        <v>0.98522813603425163</v>
      </c>
      <c r="P34" s="128"/>
      <c r="Q34" s="140"/>
    </row>
    <row r="35" spans="9:17" ht="15.75" thickBot="1" x14ac:dyDescent="0.3"/>
    <row r="36" spans="9:17" ht="15.75" thickBot="1" x14ac:dyDescent="0.3">
      <c r="I36" s="119" t="s">
        <v>35</v>
      </c>
      <c r="J36" s="120"/>
      <c r="K36" s="120"/>
      <c r="L36" s="120"/>
      <c r="M36" s="120"/>
      <c r="N36" s="120"/>
      <c r="O36" s="120"/>
      <c r="P36" s="121"/>
      <c r="Q36" s="24" t="s">
        <v>58</v>
      </c>
    </row>
    <row r="37" spans="9:17" ht="15.75" thickBot="1" x14ac:dyDescent="0.3">
      <c r="I37" s="20" t="s">
        <v>36</v>
      </c>
      <c r="J37" s="22">
        <f>8/14</f>
        <v>0.5714285714285714</v>
      </c>
      <c r="K37" s="26" t="s">
        <v>57</v>
      </c>
      <c r="L37" s="28">
        <f>6/8</f>
        <v>0.75</v>
      </c>
      <c r="M37" s="26" t="s">
        <v>55</v>
      </c>
      <c r="N37" s="28">
        <f>2/8</f>
        <v>0.25</v>
      </c>
      <c r="O37" s="41">
        <f>L37*-LOG(L37,2)+N37*-LOG(N37,2)</f>
        <v>0.81127812445913283</v>
      </c>
      <c r="P37" s="126">
        <f>J37*O37+J38*O38</f>
        <v>0.89215892826236165</v>
      </c>
      <c r="Q37" s="129">
        <f>M19-P37</f>
        <v>4.8127030408269267E-2</v>
      </c>
    </row>
    <row r="38" spans="9:17" ht="15.75" thickBot="1" x14ac:dyDescent="0.3">
      <c r="I38" s="11" t="s">
        <v>37</v>
      </c>
      <c r="J38" s="13">
        <f>6/14</f>
        <v>0.42857142857142855</v>
      </c>
      <c r="K38" s="27" t="s">
        <v>54</v>
      </c>
      <c r="L38" s="29">
        <f>3/6</f>
        <v>0.5</v>
      </c>
      <c r="M38" s="27" t="s">
        <v>56</v>
      </c>
      <c r="N38" s="29">
        <f>3/6</f>
        <v>0.5</v>
      </c>
      <c r="O38" s="41">
        <f>L38*-LOG(L38,2)+N38*-LOG(N38,2)</f>
        <v>1</v>
      </c>
      <c r="P38" s="128"/>
      <c r="Q38" s="140"/>
    </row>
  </sheetData>
  <autoFilter ref="A2:F18">
    <sortState ref="A3:F17">
      <sortCondition ref="A2:A16"/>
    </sortState>
  </autoFilter>
  <mergeCells count="12">
    <mergeCell ref="P37:P38"/>
    <mergeCell ref="Q37:Q38"/>
    <mergeCell ref="C22:G23"/>
    <mergeCell ref="P33:P34"/>
    <mergeCell ref="Q33:Q34"/>
    <mergeCell ref="P28:P30"/>
    <mergeCell ref="Q28:Q30"/>
    <mergeCell ref="M19:M20"/>
    <mergeCell ref="P23:P25"/>
    <mergeCell ref="Q23:Q25"/>
    <mergeCell ref="I16:Q16"/>
    <mergeCell ref="I18:L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9"/>
  <sheetViews>
    <sheetView showGridLines="0" workbookViewId="0">
      <selection activeCell="C1" sqref="C1"/>
    </sheetView>
  </sheetViews>
  <sheetFormatPr baseColWidth="10" defaultRowHeight="15" x14ac:dyDescent="0.25"/>
  <cols>
    <col min="1" max="1" width="3.28515625" customWidth="1"/>
    <col min="4" max="4" width="11.140625" bestFit="1" customWidth="1"/>
    <col min="6" max="6" width="7.42578125" bestFit="1" customWidth="1"/>
    <col min="7" max="8" width="3.5703125" customWidth="1"/>
    <col min="9" max="9" width="10.140625" bestFit="1" customWidth="1"/>
    <col min="10" max="10" width="5.85546875" bestFit="1" customWidth="1"/>
    <col min="11" max="11" width="19.140625" bestFit="1" customWidth="1"/>
    <col min="12" max="12" width="6.85546875" bestFit="1" customWidth="1"/>
    <col min="13" max="13" width="13.85546875" bestFit="1" customWidth="1"/>
    <col min="14" max="14" width="5.85546875" bestFit="1" customWidth="1"/>
    <col min="15" max="16" width="5.42578125" bestFit="1" customWidth="1"/>
    <col min="17" max="17" width="6" bestFit="1" customWidth="1"/>
    <col min="18" max="18" width="2.140625" customWidth="1"/>
    <col min="19" max="19" width="2.85546875" bestFit="1" customWidth="1"/>
    <col min="20" max="20" width="3.5703125" bestFit="1" customWidth="1"/>
    <col min="21" max="22" width="5.85546875" bestFit="1" customWidth="1"/>
    <col min="23" max="23" width="8.7109375" customWidth="1"/>
    <col min="24" max="24" width="5.42578125" bestFit="1" customWidth="1"/>
    <col min="25" max="25" width="7.5703125" bestFit="1" customWidth="1"/>
    <col min="26" max="26" width="1.140625" customWidth="1"/>
    <col min="27" max="27" width="2.85546875" bestFit="1" customWidth="1"/>
    <col min="28" max="28" width="3.5703125" bestFit="1" customWidth="1"/>
    <col min="29" max="29" width="7.85546875" bestFit="1" customWidth="1"/>
    <col min="30" max="30" width="5.85546875" bestFit="1" customWidth="1"/>
    <col min="31" max="31" width="8.7109375" customWidth="1"/>
    <col min="32" max="32" width="5.42578125" bestFit="1" customWidth="1"/>
    <col min="33" max="33" width="7.5703125" bestFit="1" customWidth="1"/>
    <col min="34" max="34" width="1.140625" customWidth="1"/>
    <col min="35" max="35" width="2.85546875" bestFit="1" customWidth="1"/>
    <col min="36" max="36" width="3.5703125" bestFit="1" customWidth="1"/>
    <col min="37" max="37" width="7.85546875" bestFit="1" customWidth="1"/>
    <col min="38" max="38" width="5.85546875" bestFit="1" customWidth="1"/>
    <col min="39" max="39" width="8.42578125" customWidth="1"/>
    <col min="40" max="40" width="5.42578125" bestFit="1" customWidth="1"/>
    <col min="41" max="41" width="7.5703125" bestFit="1" customWidth="1"/>
    <col min="42" max="42" width="2.42578125" customWidth="1"/>
    <col min="43" max="43" width="8.85546875" bestFit="1" customWidth="1"/>
    <col min="44" max="45" width="4.42578125" bestFit="1" customWidth="1"/>
    <col min="46" max="46" width="5.42578125" bestFit="1" customWidth="1"/>
    <col min="47" max="47" width="2.140625" customWidth="1"/>
    <col min="48" max="48" width="11.7109375" bestFit="1" customWidth="1"/>
    <col min="49" max="50" width="4.42578125" bestFit="1" customWidth="1"/>
    <col min="51" max="51" width="5.42578125" bestFit="1" customWidth="1"/>
    <col min="52" max="52" width="2" customWidth="1"/>
    <col min="53" max="53" width="8.85546875" bestFit="1" customWidth="1"/>
    <col min="54" max="55" width="4.42578125" bestFit="1" customWidth="1"/>
    <col min="56" max="56" width="6.42578125" bestFit="1" customWidth="1"/>
    <col min="57" max="57" width="2.140625" customWidth="1"/>
    <col min="58" max="58" width="8.85546875" bestFit="1" customWidth="1"/>
    <col min="59" max="60" width="4.42578125" bestFit="1" customWidth="1"/>
    <col min="61" max="61" width="5.42578125" bestFit="1" customWidth="1"/>
  </cols>
  <sheetData>
    <row r="1" spans="1:61" ht="15.75" thickBot="1" x14ac:dyDescent="0.3"/>
    <row r="2" spans="1:61" ht="15.75" thickBot="1" x14ac:dyDescent="0.3">
      <c r="A2" t="s">
        <v>18</v>
      </c>
      <c r="B2" s="5" t="s">
        <v>12</v>
      </c>
      <c r="C2" s="6" t="s">
        <v>13</v>
      </c>
      <c r="D2" s="6" t="s">
        <v>14</v>
      </c>
      <c r="E2" s="6" t="s">
        <v>15</v>
      </c>
      <c r="F2" s="7" t="s">
        <v>16</v>
      </c>
    </row>
    <row r="3" spans="1:61" x14ac:dyDescent="0.25">
      <c r="A3">
        <v>3</v>
      </c>
      <c r="B3" s="1" t="s">
        <v>6</v>
      </c>
      <c r="C3" s="2" t="s">
        <v>1</v>
      </c>
      <c r="D3" s="2" t="s">
        <v>2</v>
      </c>
      <c r="E3" s="2" t="s">
        <v>3</v>
      </c>
      <c r="F3" s="9" t="s">
        <v>7</v>
      </c>
    </row>
    <row r="4" spans="1:61" x14ac:dyDescent="0.25">
      <c r="A4">
        <v>13</v>
      </c>
      <c r="B4" s="1" t="s">
        <v>6</v>
      </c>
      <c r="C4" s="2" t="s">
        <v>1</v>
      </c>
      <c r="D4" s="2" t="s">
        <v>11</v>
      </c>
      <c r="E4" s="2" t="s">
        <v>3</v>
      </c>
      <c r="F4" s="9" t="s">
        <v>7</v>
      </c>
    </row>
    <row r="5" spans="1:61" x14ac:dyDescent="0.25">
      <c r="A5">
        <v>12</v>
      </c>
      <c r="B5" s="1" t="s">
        <v>6</v>
      </c>
      <c r="C5" s="2" t="s">
        <v>9</v>
      </c>
      <c r="D5" s="2" t="s">
        <v>2</v>
      </c>
      <c r="E5" s="2" t="s">
        <v>5</v>
      </c>
      <c r="F5" s="9" t="s">
        <v>7</v>
      </c>
    </row>
    <row r="6" spans="1:61" x14ac:dyDescent="0.25">
      <c r="A6">
        <v>7</v>
      </c>
      <c r="B6" s="1" t="s">
        <v>6</v>
      </c>
      <c r="C6" s="2" t="s">
        <v>10</v>
      </c>
      <c r="D6" s="2" t="s">
        <v>11</v>
      </c>
      <c r="E6" s="2" t="s">
        <v>5</v>
      </c>
      <c r="F6" s="9" t="s">
        <v>7</v>
      </c>
    </row>
    <row r="7" spans="1:61" x14ac:dyDescent="0.25">
      <c r="A7">
        <v>4</v>
      </c>
      <c r="B7" s="1" t="s">
        <v>8</v>
      </c>
      <c r="C7" s="2" t="s">
        <v>9</v>
      </c>
      <c r="D7" s="2" t="s">
        <v>2</v>
      </c>
      <c r="E7" s="2" t="s">
        <v>3</v>
      </c>
      <c r="F7" s="9" t="s">
        <v>7</v>
      </c>
    </row>
    <row r="8" spans="1:61" x14ac:dyDescent="0.25">
      <c r="A8">
        <v>5</v>
      </c>
      <c r="B8" s="1" t="s">
        <v>8</v>
      </c>
      <c r="C8" s="2" t="s">
        <v>10</v>
      </c>
      <c r="D8" s="2" t="s">
        <v>11</v>
      </c>
      <c r="E8" s="2" t="s">
        <v>3</v>
      </c>
      <c r="F8" s="9" t="s">
        <v>7</v>
      </c>
    </row>
    <row r="9" spans="1:61" x14ac:dyDescent="0.25">
      <c r="A9">
        <v>10</v>
      </c>
      <c r="B9" s="1" t="s">
        <v>8</v>
      </c>
      <c r="C9" s="2" t="s">
        <v>9</v>
      </c>
      <c r="D9" s="2" t="s">
        <v>11</v>
      </c>
      <c r="E9" s="2" t="s">
        <v>3</v>
      </c>
      <c r="F9" s="9" t="s">
        <v>7</v>
      </c>
    </row>
    <row r="10" spans="1:61" x14ac:dyDescent="0.25">
      <c r="A10">
        <v>14</v>
      </c>
      <c r="B10" s="1" t="s">
        <v>8</v>
      </c>
      <c r="C10" s="2" t="s">
        <v>9</v>
      </c>
      <c r="D10" s="2" t="s">
        <v>2</v>
      </c>
      <c r="E10" s="2" t="s">
        <v>5</v>
      </c>
      <c r="F10" s="8" t="s">
        <v>4</v>
      </c>
    </row>
    <row r="11" spans="1:61" x14ac:dyDescent="0.25">
      <c r="A11">
        <v>6</v>
      </c>
      <c r="B11" s="1" t="s">
        <v>8</v>
      </c>
      <c r="C11" s="2" t="s">
        <v>10</v>
      </c>
      <c r="D11" s="2" t="s">
        <v>11</v>
      </c>
      <c r="E11" s="2" t="s">
        <v>5</v>
      </c>
      <c r="F11" s="8" t="s">
        <v>4</v>
      </c>
    </row>
    <row r="12" spans="1:61" x14ac:dyDescent="0.25">
      <c r="A12">
        <v>1</v>
      </c>
      <c r="B12" s="1" t="s">
        <v>0</v>
      </c>
      <c r="C12" s="2" t="s">
        <v>1</v>
      </c>
      <c r="D12" s="2" t="s">
        <v>2</v>
      </c>
      <c r="E12" s="2" t="s">
        <v>3</v>
      </c>
      <c r="F12" s="8" t="s">
        <v>4</v>
      </c>
    </row>
    <row r="13" spans="1:61" x14ac:dyDescent="0.25">
      <c r="A13">
        <v>8</v>
      </c>
      <c r="B13" s="1" t="s">
        <v>0</v>
      </c>
      <c r="C13" s="2" t="s">
        <v>9</v>
      </c>
      <c r="D13" s="2" t="s">
        <v>2</v>
      </c>
      <c r="E13" s="2" t="s">
        <v>3</v>
      </c>
      <c r="F13" s="8" t="s">
        <v>4</v>
      </c>
    </row>
    <row r="14" spans="1:61" x14ac:dyDescent="0.25">
      <c r="A14">
        <v>9</v>
      </c>
      <c r="B14" s="1" t="s">
        <v>0</v>
      </c>
      <c r="C14" s="2" t="s">
        <v>10</v>
      </c>
      <c r="D14" s="2" t="s">
        <v>11</v>
      </c>
      <c r="E14" s="2" t="s">
        <v>3</v>
      </c>
      <c r="F14" s="9" t="s">
        <v>7</v>
      </c>
    </row>
    <row r="15" spans="1:61" ht="15.75" thickBot="1" x14ac:dyDescent="0.3">
      <c r="A15">
        <v>2</v>
      </c>
      <c r="B15" s="1" t="s">
        <v>0</v>
      </c>
      <c r="C15" s="2" t="s">
        <v>1</v>
      </c>
      <c r="D15" s="2" t="s">
        <v>2</v>
      </c>
      <c r="E15" s="2" t="s">
        <v>5</v>
      </c>
      <c r="F15" s="8" t="s">
        <v>4</v>
      </c>
    </row>
    <row r="16" spans="1:61" ht="15" customHeight="1" thickBot="1" x14ac:dyDescent="0.3">
      <c r="A16">
        <v>11</v>
      </c>
      <c r="B16" s="3" t="s">
        <v>0</v>
      </c>
      <c r="C16" s="4" t="s">
        <v>9</v>
      </c>
      <c r="D16" s="4" t="s">
        <v>11</v>
      </c>
      <c r="E16" s="4" t="s">
        <v>5</v>
      </c>
      <c r="F16" s="18" t="s">
        <v>7</v>
      </c>
      <c r="I16" s="132" t="s">
        <v>83</v>
      </c>
      <c r="J16" s="133"/>
      <c r="K16" s="133"/>
      <c r="L16" s="133"/>
      <c r="M16" s="133"/>
      <c r="N16" s="133"/>
      <c r="O16" s="133"/>
      <c r="P16" s="133"/>
      <c r="Q16" s="134"/>
      <c r="S16" s="132" t="s">
        <v>84</v>
      </c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4"/>
      <c r="AQ16" s="132" t="s">
        <v>88</v>
      </c>
      <c r="AR16" s="133"/>
      <c r="AS16" s="133"/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  <c r="BD16" s="133"/>
      <c r="BE16" s="133"/>
      <c r="BF16" s="133"/>
      <c r="BG16" s="133"/>
      <c r="BH16" s="133"/>
      <c r="BI16" s="134"/>
    </row>
    <row r="17" spans="1:61" ht="15.75" thickBot="1" x14ac:dyDescent="0.3">
      <c r="A17" s="21">
        <f>MAX(A3:A16)</f>
        <v>14</v>
      </c>
    </row>
    <row r="18" spans="1:61" ht="15.75" thickBot="1" x14ac:dyDescent="0.3">
      <c r="I18" s="135" t="s">
        <v>23</v>
      </c>
      <c r="J18" s="136"/>
      <c r="K18" s="136"/>
      <c r="L18" s="137"/>
      <c r="M18" s="24" t="s">
        <v>30</v>
      </c>
      <c r="X18" s="24" t="s">
        <v>71</v>
      </c>
      <c r="AQ18" s="104" t="s">
        <v>17</v>
      </c>
      <c r="AR18" s="142" t="s">
        <v>85</v>
      </c>
      <c r="AS18" s="143"/>
      <c r="AV18" s="104" t="s">
        <v>31</v>
      </c>
      <c r="AW18" s="142" t="s">
        <v>85</v>
      </c>
      <c r="AX18" s="143"/>
      <c r="BA18" s="104" t="s">
        <v>27</v>
      </c>
      <c r="BB18" s="142" t="s">
        <v>85</v>
      </c>
      <c r="BC18" s="143"/>
      <c r="BF18" s="104" t="s">
        <v>35</v>
      </c>
      <c r="BG18" s="142" t="s">
        <v>85</v>
      </c>
      <c r="BH18" s="143"/>
    </row>
    <row r="19" spans="1:61" ht="15.75" thickBot="1" x14ac:dyDescent="0.3">
      <c r="I19" s="10" t="s">
        <v>19</v>
      </c>
      <c r="J19" s="12">
        <f>COUNTIF($F$3:$F$16,"no")/$A$17</f>
        <v>0.35714285714285715</v>
      </c>
      <c r="K19" s="14" t="s">
        <v>21</v>
      </c>
      <c r="L19" s="16">
        <f>-J19*LOG(J19,2)</f>
        <v>0.53050958113222912</v>
      </c>
      <c r="M19" s="124">
        <f>SUM(L19:L20)</f>
        <v>0.94028595867063092</v>
      </c>
      <c r="X19" s="64">
        <f>J19^2+(1-J19)^2</f>
        <v>0.54081632653061218</v>
      </c>
      <c r="AQ19" s="104" t="s">
        <v>86</v>
      </c>
      <c r="AR19" s="88" t="s">
        <v>7</v>
      </c>
      <c r="AS19" s="89" t="s">
        <v>4</v>
      </c>
      <c r="AV19" s="104" t="s">
        <v>86</v>
      </c>
      <c r="AW19" s="88" t="s">
        <v>7</v>
      </c>
      <c r="AX19" s="89" t="s">
        <v>4</v>
      </c>
      <c r="BA19" s="104" t="s">
        <v>86</v>
      </c>
      <c r="BB19" s="88" t="s">
        <v>7</v>
      </c>
      <c r="BC19" s="89" t="s">
        <v>4</v>
      </c>
      <c r="BF19" s="104" t="s">
        <v>86</v>
      </c>
      <c r="BG19" s="88" t="s">
        <v>7</v>
      </c>
      <c r="BH19" s="89" t="s">
        <v>4</v>
      </c>
    </row>
    <row r="20" spans="1:61" ht="15.75" thickBot="1" x14ac:dyDescent="0.3">
      <c r="I20" s="11" t="s">
        <v>20</v>
      </c>
      <c r="J20" s="13">
        <f>COUNTIF($F$3:$F$16,"yes")/$A$17</f>
        <v>0.6428571428571429</v>
      </c>
      <c r="K20" s="23" t="s">
        <v>22</v>
      </c>
      <c r="L20" s="17">
        <f>-J20*LOG(J20,2)</f>
        <v>0.40977637753840185</v>
      </c>
      <c r="M20" s="125"/>
      <c r="AQ20" s="74" t="s">
        <v>0</v>
      </c>
      <c r="AR20" s="86">
        <f>T23</f>
        <v>2</v>
      </c>
      <c r="AS20" s="87">
        <f>S23-T23</f>
        <v>3</v>
      </c>
      <c r="AT20" s="80">
        <f>SUM(AR20:AS20)</f>
        <v>5</v>
      </c>
      <c r="AV20" s="74" t="s">
        <v>1</v>
      </c>
      <c r="AW20" s="86">
        <f>T28</f>
        <v>2</v>
      </c>
      <c r="AX20" s="87">
        <f>S28-T28</f>
        <v>2</v>
      </c>
      <c r="AY20" s="80">
        <f>SUM(AW20:AX20)</f>
        <v>4</v>
      </c>
      <c r="BA20" s="74" t="s">
        <v>2</v>
      </c>
      <c r="BB20" s="86">
        <f>T34</f>
        <v>3</v>
      </c>
      <c r="BC20" s="87">
        <f>S34-BB20</f>
        <v>4</v>
      </c>
      <c r="BD20" s="80">
        <f>SUM(BB20:BC20)</f>
        <v>7</v>
      </c>
      <c r="BF20" s="74" t="s">
        <v>3</v>
      </c>
      <c r="BG20" s="86">
        <f>T37</f>
        <v>6</v>
      </c>
      <c r="BH20" s="87">
        <f>S37-BG20</f>
        <v>2</v>
      </c>
      <c r="BI20" s="80">
        <f>SUM(BG20:BH20)</f>
        <v>8</v>
      </c>
    </row>
    <row r="21" spans="1:61" ht="15.75" thickBot="1" x14ac:dyDescent="0.3">
      <c r="AQ21" s="74" t="s">
        <v>6</v>
      </c>
      <c r="AR21" s="76">
        <f>AB23</f>
        <v>4</v>
      </c>
      <c r="AS21" s="77">
        <f>AA23-AB23</f>
        <v>0</v>
      </c>
      <c r="AT21" s="81">
        <f>SUM(AR21:AS21)</f>
        <v>4</v>
      </c>
      <c r="AV21" s="74" t="s">
        <v>9</v>
      </c>
      <c r="AW21" s="76">
        <f>AB28</f>
        <v>4</v>
      </c>
      <c r="AX21" s="77">
        <f>AA28-AB28</f>
        <v>2</v>
      </c>
      <c r="AY21" s="81">
        <f>SUM(AW21:AX21)</f>
        <v>6</v>
      </c>
      <c r="BA21" s="75" t="s">
        <v>11</v>
      </c>
      <c r="BB21" s="78">
        <f>T33</f>
        <v>6</v>
      </c>
      <c r="BC21" s="79">
        <f>S33-BB21</f>
        <v>1</v>
      </c>
      <c r="BD21" s="82">
        <f>SUM(BB21:BC21)</f>
        <v>7</v>
      </c>
      <c r="BF21" s="75" t="s">
        <v>5</v>
      </c>
      <c r="BG21" s="78">
        <f>T38</f>
        <v>3</v>
      </c>
      <c r="BH21" s="79">
        <f>S38-BG21</f>
        <v>3</v>
      </c>
      <c r="BI21" s="82">
        <f>SUM(BG21:BH21)</f>
        <v>6</v>
      </c>
    </row>
    <row r="22" spans="1:61" ht="14.45" customHeight="1" thickBot="1" x14ac:dyDescent="0.3">
      <c r="I22" s="61" t="s">
        <v>17</v>
      </c>
      <c r="J22" s="62"/>
      <c r="K22" s="62"/>
      <c r="L22" s="62"/>
      <c r="M22" s="62"/>
      <c r="N22" s="62"/>
      <c r="O22" s="62"/>
      <c r="P22" s="63"/>
      <c r="Q22" s="24" t="s">
        <v>58</v>
      </c>
      <c r="S22" s="24" t="s">
        <v>76</v>
      </c>
      <c r="T22" s="24" t="s">
        <v>7</v>
      </c>
      <c r="U22" s="24" t="s">
        <v>78</v>
      </c>
      <c r="V22" s="24" t="s">
        <v>77</v>
      </c>
      <c r="W22" s="24" t="s">
        <v>73</v>
      </c>
      <c r="X22" s="24" t="s">
        <v>71</v>
      </c>
      <c r="Y22" s="24" t="s">
        <v>72</v>
      </c>
      <c r="AA22" s="24" t="s">
        <v>76</v>
      </c>
      <c r="AB22" s="24" t="s">
        <v>7</v>
      </c>
      <c r="AC22" s="24" t="s">
        <v>78</v>
      </c>
      <c r="AD22" s="24" t="s">
        <v>77</v>
      </c>
      <c r="AE22" s="24" t="s">
        <v>73</v>
      </c>
      <c r="AF22" s="24" t="s">
        <v>71</v>
      </c>
      <c r="AG22" s="24" t="s">
        <v>72</v>
      </c>
      <c r="AI22" s="24" t="s">
        <v>76</v>
      </c>
      <c r="AJ22" s="24" t="s">
        <v>7</v>
      </c>
      <c r="AK22" s="24" t="s">
        <v>78</v>
      </c>
      <c r="AL22" s="24" t="s">
        <v>77</v>
      </c>
      <c r="AM22" s="24" t="s">
        <v>73</v>
      </c>
      <c r="AN22" s="24" t="s">
        <v>71</v>
      </c>
      <c r="AO22" s="24" t="s">
        <v>72</v>
      </c>
      <c r="AQ22" s="75" t="s">
        <v>8</v>
      </c>
      <c r="AR22" s="78">
        <f>AJ23</f>
        <v>3</v>
      </c>
      <c r="AS22" s="79">
        <f>AI23-AJ23</f>
        <v>2</v>
      </c>
      <c r="AT22" s="82">
        <f>SUM(AR22:AS22)</f>
        <v>5</v>
      </c>
      <c r="AV22" s="75" t="s">
        <v>10</v>
      </c>
      <c r="AW22" s="78">
        <f>AJ28</f>
        <v>3</v>
      </c>
      <c r="AX22" s="79">
        <f>AI28-AJ28</f>
        <v>1</v>
      </c>
      <c r="AY22" s="82">
        <f>SUM(AW22:AX22)</f>
        <v>4</v>
      </c>
      <c r="BB22" s="83">
        <f>SUM(BB20:BB21)</f>
        <v>9</v>
      </c>
      <c r="BC22" s="84">
        <f>SUM(BC20:BC21)</f>
        <v>5</v>
      </c>
      <c r="BD22" s="85">
        <f>SUM(BB20:BC21)</f>
        <v>14</v>
      </c>
      <c r="BG22" s="83">
        <f>SUM(BG20:BG21)</f>
        <v>9</v>
      </c>
      <c r="BH22" s="84">
        <f>SUM(BH20:BH21)</f>
        <v>5</v>
      </c>
      <c r="BI22" s="85">
        <f>SUM(BG20:BH21)</f>
        <v>14</v>
      </c>
    </row>
    <row r="23" spans="1:61" ht="14.45" customHeight="1" thickBot="1" x14ac:dyDescent="0.3">
      <c r="I23" s="32" t="s">
        <v>24</v>
      </c>
      <c r="J23" s="33">
        <f>COUNTIF($B$3:$B$16,"sunny")/$A$17</f>
        <v>0.35714285714285715</v>
      </c>
      <c r="K23" s="38" t="s">
        <v>42</v>
      </c>
      <c r="L23" s="39">
        <f>2/COUNTIF($B$3:$B$16,"sunny")</f>
        <v>0.4</v>
      </c>
      <c r="M23" s="40" t="s">
        <v>45</v>
      </c>
      <c r="N23" s="39">
        <f>1-L23</f>
        <v>0.6</v>
      </c>
      <c r="O23" s="41">
        <f>-L23*LOG(L23,2)-N23*LOG(N23,2)</f>
        <v>0.97095059445466858</v>
      </c>
      <c r="P23" s="126">
        <f>J23*O23+J24*O24+J25*O25</f>
        <v>0.69353613889619181</v>
      </c>
      <c r="Q23" s="129">
        <f>$M$19-P23</f>
        <v>0.24674981977443911</v>
      </c>
      <c r="S23" s="68">
        <f>COUNTIF($B$3:$B$16,W23)</f>
        <v>5</v>
      </c>
      <c r="T23" s="68">
        <v>2</v>
      </c>
      <c r="U23" s="69">
        <f>T23/S23</f>
        <v>0.4</v>
      </c>
      <c r="V23" s="69">
        <f>S23/$A$17</f>
        <v>0.35714285714285715</v>
      </c>
      <c r="W23" s="67" t="s">
        <v>0</v>
      </c>
      <c r="X23" s="65">
        <f>1-((U23)^2+(1-U23)^2)</f>
        <v>0.48</v>
      </c>
      <c r="Y23" s="129">
        <f>SUMPRODUCT(V23:V25,X23:X25)</f>
        <v>0.39365079365079358</v>
      </c>
      <c r="AA23" s="68">
        <f>COUNTIF($B$3:$B$16,AE23)</f>
        <v>4</v>
      </c>
      <c r="AB23" s="68">
        <v>4</v>
      </c>
      <c r="AC23" s="69">
        <f>AB23/AA23</f>
        <v>1</v>
      </c>
      <c r="AD23" s="69">
        <f>AA23/$A$17</f>
        <v>0.2857142857142857</v>
      </c>
      <c r="AE23" s="67" t="s">
        <v>6</v>
      </c>
      <c r="AF23" s="65">
        <f>1-((AC23)^2+(1-AC23)^2)</f>
        <v>0</v>
      </c>
      <c r="AG23" s="152">
        <f>SUMPRODUCT(AD23:AD25,AF23:AF25)</f>
        <v>0.35714285714285715</v>
      </c>
      <c r="AI23" s="68">
        <f>COUNTIF($B$3:$B$16,AM23)</f>
        <v>5</v>
      </c>
      <c r="AJ23" s="68">
        <v>3</v>
      </c>
      <c r="AK23" s="69">
        <f>AJ23/AI23</f>
        <v>0.6</v>
      </c>
      <c r="AL23" s="69">
        <f>AI23/$A$17</f>
        <v>0.35714285714285715</v>
      </c>
      <c r="AM23" s="67" t="s">
        <v>8</v>
      </c>
      <c r="AN23" s="65">
        <f>1-((AK23)^2+(1-AK23)^2)</f>
        <v>0.48</v>
      </c>
      <c r="AO23" s="129">
        <f>SUMPRODUCT(AL23:AL25,AN23:AN25)</f>
        <v>0.45714285714285707</v>
      </c>
      <c r="AR23" s="83">
        <f>SUM(AR20:AR22)</f>
        <v>9</v>
      </c>
      <c r="AS23" s="84">
        <f>SUM(AS20:AS22)</f>
        <v>5</v>
      </c>
      <c r="AT23" s="85">
        <f>SUM(AR20:AS22)</f>
        <v>14</v>
      </c>
      <c r="AW23" s="83">
        <f>SUM(AW20:AW22)</f>
        <v>9</v>
      </c>
      <c r="AX23" s="84">
        <f>SUM(AX20:AX22)</f>
        <v>5</v>
      </c>
      <c r="AY23" s="85">
        <f>SUM(AW20:AX22)</f>
        <v>14</v>
      </c>
      <c r="BA23" s="104" t="s">
        <v>87</v>
      </c>
      <c r="BF23" s="104" t="s">
        <v>87</v>
      </c>
    </row>
    <row r="24" spans="1:61" ht="15.75" thickBot="1" x14ac:dyDescent="0.3">
      <c r="I24" s="34" t="s">
        <v>25</v>
      </c>
      <c r="J24" s="35">
        <f>COUNTIF($B$3:$B$16,"overcast")/$A$17</f>
        <v>0.2857142857142857</v>
      </c>
      <c r="K24" s="42" t="s">
        <v>43</v>
      </c>
      <c r="L24" s="43">
        <f>4/COUNTIF($B$3:$B$16,"overcast")</f>
        <v>1</v>
      </c>
      <c r="M24" s="44" t="s">
        <v>46</v>
      </c>
      <c r="N24" s="43">
        <f t="shared" ref="N24:N25" si="0">1-L24</f>
        <v>0</v>
      </c>
      <c r="O24" s="45">
        <v>0</v>
      </c>
      <c r="P24" s="127"/>
      <c r="Q24" s="130"/>
      <c r="S24" s="150">
        <f>$A$17-S23</f>
        <v>9</v>
      </c>
      <c r="T24" s="150">
        <v>7</v>
      </c>
      <c r="U24" s="144">
        <f t="shared" ref="U24:U25" si="1">T24/S24</f>
        <v>0.77777777777777779</v>
      </c>
      <c r="V24" s="144">
        <f>1-V23</f>
        <v>0.64285714285714279</v>
      </c>
      <c r="W24" s="146" t="s">
        <v>74</v>
      </c>
      <c r="X24" s="148">
        <f>1-((U24)^2+(1-U24)^2)</f>
        <v>0.34567901234567899</v>
      </c>
      <c r="Y24" s="130"/>
      <c r="AA24" s="150">
        <f>$A$17-AA23</f>
        <v>10</v>
      </c>
      <c r="AB24" s="150">
        <v>5</v>
      </c>
      <c r="AC24" s="144">
        <f t="shared" ref="AC24:AC25" si="2">AB24/AA24</f>
        <v>0.5</v>
      </c>
      <c r="AD24" s="144">
        <f>1-AD23</f>
        <v>0.7142857142857143</v>
      </c>
      <c r="AE24" s="146" t="s">
        <v>79</v>
      </c>
      <c r="AF24" s="148">
        <f>1-((AC24)^2+(1-AC24)^2)</f>
        <v>0.5</v>
      </c>
      <c r="AG24" s="153"/>
      <c r="AI24" s="150">
        <f>$A$17-AI23</f>
        <v>9</v>
      </c>
      <c r="AJ24" s="150">
        <v>6</v>
      </c>
      <c r="AK24" s="144">
        <f t="shared" ref="AK24:AK25" si="3">AJ24/AI24</f>
        <v>0.66666666666666663</v>
      </c>
      <c r="AL24" s="144">
        <f>1-AL23</f>
        <v>0.64285714285714279</v>
      </c>
      <c r="AM24" s="146" t="s">
        <v>75</v>
      </c>
      <c r="AN24" s="148">
        <f>1-((AK24)^2+(1-AK24)^2)</f>
        <v>0.44444444444444442</v>
      </c>
      <c r="AO24" s="130"/>
      <c r="AQ24" s="104" t="s">
        <v>87</v>
      </c>
      <c r="AV24" s="104" t="s">
        <v>87</v>
      </c>
      <c r="BA24" s="74" t="s">
        <v>1</v>
      </c>
      <c r="BB24" s="101">
        <f>BD20*BB$22/$BD$22</f>
        <v>4.5</v>
      </c>
      <c r="BC24" s="102">
        <f>BD20*BC$22/$BD$22</f>
        <v>2.5</v>
      </c>
      <c r="BD24" s="91">
        <f>SUM(BB24:BC24)</f>
        <v>7</v>
      </c>
      <c r="BF24" s="74" t="s">
        <v>3</v>
      </c>
      <c r="BG24" s="101">
        <f>BG$22*BI20/$BI$22</f>
        <v>5.1428571428571432</v>
      </c>
      <c r="BH24" s="102">
        <f>BH$22*BI20/$BI$22</f>
        <v>2.8571428571428572</v>
      </c>
      <c r="BI24" s="91">
        <f>SUM(BG24:BH24)</f>
        <v>8</v>
      </c>
    </row>
    <row r="25" spans="1:61" ht="15.75" thickBot="1" x14ac:dyDescent="0.3">
      <c r="I25" s="36" t="s">
        <v>26</v>
      </c>
      <c r="J25" s="37">
        <f>COUNTIF($B$3:$B$16,"rainy")/$A$17</f>
        <v>0.35714285714285715</v>
      </c>
      <c r="K25" s="46" t="s">
        <v>44</v>
      </c>
      <c r="L25" s="47">
        <f>3/COUNTIF($B$3:$B$16,"rainy")</f>
        <v>0.6</v>
      </c>
      <c r="M25" s="48" t="s">
        <v>47</v>
      </c>
      <c r="N25" s="47">
        <f t="shared" si="0"/>
        <v>0.4</v>
      </c>
      <c r="O25" s="49">
        <f>-L25*LOG(L25,2)-N25*LOG(N25,2)</f>
        <v>0.97095059445466858</v>
      </c>
      <c r="P25" s="128"/>
      <c r="Q25" s="131"/>
      <c r="S25" s="151"/>
      <c r="T25" s="151"/>
      <c r="U25" s="145" t="e">
        <f t="shared" si="1"/>
        <v>#DIV/0!</v>
      </c>
      <c r="V25" s="145"/>
      <c r="W25" s="147"/>
      <c r="X25" s="149"/>
      <c r="Y25" s="131"/>
      <c r="AA25" s="151"/>
      <c r="AB25" s="151"/>
      <c r="AC25" s="145" t="e">
        <f t="shared" si="2"/>
        <v>#DIV/0!</v>
      </c>
      <c r="AD25" s="145"/>
      <c r="AE25" s="147"/>
      <c r="AF25" s="149"/>
      <c r="AG25" s="154"/>
      <c r="AI25" s="151"/>
      <c r="AJ25" s="151"/>
      <c r="AK25" s="145" t="e">
        <f t="shared" si="3"/>
        <v>#DIV/0!</v>
      </c>
      <c r="AL25" s="145"/>
      <c r="AM25" s="147"/>
      <c r="AN25" s="149"/>
      <c r="AO25" s="131"/>
      <c r="AQ25" s="100" t="s">
        <v>0</v>
      </c>
      <c r="AR25" s="101">
        <f>AR$23*AT20/$AT$23</f>
        <v>3.2142857142857144</v>
      </c>
      <c r="AS25" s="102">
        <f>AS$23*AT20/$AT$23</f>
        <v>1.7857142857142858</v>
      </c>
      <c r="AT25" s="91">
        <f>SUM(AR25:AS25)</f>
        <v>5</v>
      </c>
      <c r="AV25" s="74" t="s">
        <v>1</v>
      </c>
      <c r="AW25" s="101">
        <f>AY20*AW$23/$AY$23</f>
        <v>2.5714285714285716</v>
      </c>
      <c r="AX25" s="102">
        <f>AY20*AX$23/$AY$23</f>
        <v>1.4285714285714286</v>
      </c>
      <c r="AY25" s="91">
        <f>SUM(AW25:AX25)</f>
        <v>4</v>
      </c>
      <c r="BA25" s="75" t="s">
        <v>11</v>
      </c>
      <c r="BB25" s="94">
        <f>BD21*BB$22/$BD$22</f>
        <v>4.5</v>
      </c>
      <c r="BC25" s="103">
        <f>BD21*BC$22/$BD$22</f>
        <v>2.5</v>
      </c>
      <c r="BD25" s="95">
        <f>SUM(BB25:BC25)</f>
        <v>7</v>
      </c>
      <c r="BF25" s="75" t="s">
        <v>5</v>
      </c>
      <c r="BG25" s="94">
        <f>BG$22*BI21/$BI$22</f>
        <v>3.8571428571428572</v>
      </c>
      <c r="BH25" s="103">
        <f>BH$22*BI21/$BI$22</f>
        <v>2.1428571428571428</v>
      </c>
      <c r="BI25" s="95">
        <f>SUM(BG25:BH25)</f>
        <v>6</v>
      </c>
    </row>
    <row r="26" spans="1:61" ht="15.75" thickBot="1" x14ac:dyDescent="0.3">
      <c r="AQ26" s="74" t="s">
        <v>6</v>
      </c>
      <c r="AR26" s="92">
        <f>AR$23*AT21/$AT$23</f>
        <v>2.5714285714285716</v>
      </c>
      <c r="AS26" s="90">
        <f>AS$23*AT21/$AT$23</f>
        <v>1.4285714285714286</v>
      </c>
      <c r="AT26" s="93">
        <f>SUM(AR26:AS26)</f>
        <v>4</v>
      </c>
      <c r="AV26" s="74" t="s">
        <v>9</v>
      </c>
      <c r="AW26" s="92">
        <f>AY21*AW$23/$AY$23</f>
        <v>3.8571428571428572</v>
      </c>
      <c r="AX26" s="90">
        <f>AY21*AX$23/$AY$23</f>
        <v>2.1428571428571428</v>
      </c>
      <c r="AY26" s="93">
        <f>SUM(AW26:AX26)</f>
        <v>6</v>
      </c>
      <c r="BB26" s="96">
        <f>SUM(BB24:BB25)</f>
        <v>9</v>
      </c>
      <c r="BC26" s="97">
        <f>SUM(BC24:BC25)</f>
        <v>5</v>
      </c>
      <c r="BD26" s="98">
        <f>SUM(BB24:BC25)</f>
        <v>14</v>
      </c>
      <c r="BG26" s="96">
        <f>SUM(BG24:BG25)</f>
        <v>9</v>
      </c>
      <c r="BH26" s="97">
        <f>SUM(BH24:BH25)</f>
        <v>5</v>
      </c>
      <c r="BI26" s="98">
        <f>SUM(BG24:BH25)</f>
        <v>14</v>
      </c>
    </row>
    <row r="27" spans="1:61" ht="15" customHeight="1" thickBot="1" x14ac:dyDescent="0.3">
      <c r="I27" s="61" t="s">
        <v>31</v>
      </c>
      <c r="J27" s="62"/>
      <c r="K27" s="62"/>
      <c r="L27" s="62"/>
      <c r="M27" s="62"/>
      <c r="N27" s="62"/>
      <c r="O27" s="62"/>
      <c r="P27" s="63"/>
      <c r="Q27" s="24" t="s">
        <v>58</v>
      </c>
      <c r="S27" s="24" t="s">
        <v>76</v>
      </c>
      <c r="T27" s="24" t="s">
        <v>7</v>
      </c>
      <c r="U27" s="24" t="s">
        <v>78</v>
      </c>
      <c r="V27" s="24" t="s">
        <v>77</v>
      </c>
      <c r="W27" s="24" t="s">
        <v>73</v>
      </c>
      <c r="X27" s="24" t="s">
        <v>71</v>
      </c>
      <c r="Y27" s="24" t="s">
        <v>72</v>
      </c>
      <c r="AA27" s="24" t="s">
        <v>76</v>
      </c>
      <c r="AB27" s="24" t="s">
        <v>7</v>
      </c>
      <c r="AC27" s="24" t="s">
        <v>78</v>
      </c>
      <c r="AD27" s="24" t="s">
        <v>77</v>
      </c>
      <c r="AE27" s="24" t="s">
        <v>73</v>
      </c>
      <c r="AF27" s="24" t="s">
        <v>71</v>
      </c>
      <c r="AG27" s="24" t="s">
        <v>72</v>
      </c>
      <c r="AI27" s="24" t="s">
        <v>76</v>
      </c>
      <c r="AJ27" s="24" t="s">
        <v>7</v>
      </c>
      <c r="AK27" s="24" t="s">
        <v>78</v>
      </c>
      <c r="AL27" s="24" t="s">
        <v>77</v>
      </c>
      <c r="AM27" s="24" t="s">
        <v>73</v>
      </c>
      <c r="AN27" s="24" t="s">
        <v>71</v>
      </c>
      <c r="AO27" s="24" t="s">
        <v>72</v>
      </c>
      <c r="AQ27" s="75" t="s">
        <v>8</v>
      </c>
      <c r="AR27" s="94">
        <f>AR$23*AT22/$AT$23</f>
        <v>3.2142857142857144</v>
      </c>
      <c r="AS27" s="103">
        <f>AS$23*AT22/$AT$23</f>
        <v>1.7857142857142858</v>
      </c>
      <c r="AT27" s="95">
        <f>SUM(AR27:AS27)</f>
        <v>5</v>
      </c>
      <c r="AV27" s="75" t="s">
        <v>10</v>
      </c>
      <c r="AW27" s="94">
        <f>AY22*AW$23/$AY$23</f>
        <v>2.5714285714285716</v>
      </c>
      <c r="AX27" s="103">
        <f>AY22*AX$23/$AY$23</f>
        <v>1.4285714285714286</v>
      </c>
      <c r="AY27" s="95">
        <f>SUM(AW27:AX27)</f>
        <v>4</v>
      </c>
      <c r="BB27" s="99"/>
      <c r="BC27" s="99"/>
      <c r="BG27" s="99"/>
      <c r="BH27" s="99"/>
    </row>
    <row r="28" spans="1:61" ht="15.75" thickBot="1" x14ac:dyDescent="0.3">
      <c r="I28" s="32" t="s">
        <v>32</v>
      </c>
      <c r="J28" s="33">
        <f>COUNTIF($C$3:$C$16,"hot")/$A$17</f>
        <v>0.2857142857142857</v>
      </c>
      <c r="K28" s="38" t="s">
        <v>48</v>
      </c>
      <c r="L28" s="39">
        <f>2/COUNTIF($C$3:$C$16,"hot")</f>
        <v>0.5</v>
      </c>
      <c r="M28" s="40" t="s">
        <v>51</v>
      </c>
      <c r="N28" s="39">
        <f>1-L28</f>
        <v>0.5</v>
      </c>
      <c r="O28" s="41">
        <f>-L28*LOG(L28,2)-N28*LOG(N28,2)</f>
        <v>1</v>
      </c>
      <c r="P28" s="126">
        <f>J28*O28+J29*O29+J30*O30</f>
        <v>0.91106339301167627</v>
      </c>
      <c r="Q28" s="129">
        <f>$M$19-P28</f>
        <v>2.9222565658954647E-2</v>
      </c>
      <c r="S28" s="68">
        <f>COUNTIF($C$3:$C$16,W28)</f>
        <v>4</v>
      </c>
      <c r="T28" s="68">
        <v>2</v>
      </c>
      <c r="U28" s="69">
        <f>T28/S28</f>
        <v>0.5</v>
      </c>
      <c r="V28" s="69">
        <f>S28/$A$17</f>
        <v>0.2857142857142857</v>
      </c>
      <c r="W28" s="67" t="s">
        <v>1</v>
      </c>
      <c r="X28" s="65">
        <f>1-((U28)^2+(1-U28)^2)</f>
        <v>0.5</v>
      </c>
      <c r="Y28" s="129">
        <f>SUMPRODUCT(V28:V30,X28:X30)</f>
        <v>0.44285714285714289</v>
      </c>
      <c r="AA28" s="68">
        <f>COUNTIF($C$3:$C$16,AE28)</f>
        <v>6</v>
      </c>
      <c r="AB28" s="68">
        <v>4</v>
      </c>
      <c r="AC28" s="69">
        <f>AB28/AA28</f>
        <v>0.66666666666666663</v>
      </c>
      <c r="AD28" s="69">
        <f>AA28/$A$17</f>
        <v>0.42857142857142855</v>
      </c>
      <c r="AE28" s="67" t="s">
        <v>9</v>
      </c>
      <c r="AF28" s="65">
        <f>1-((AC28)^2+(1-AC28)^2)</f>
        <v>0.44444444444444442</v>
      </c>
      <c r="AG28" s="129">
        <f>SUMPRODUCT(AD28:AD30,AF28:AF30)</f>
        <v>0.45833333333333331</v>
      </c>
      <c r="AI28" s="68">
        <f>COUNTIF($C$3:$C$16,AM28)</f>
        <v>4</v>
      </c>
      <c r="AJ28" s="68">
        <v>3</v>
      </c>
      <c r="AK28" s="69">
        <f>AJ28/AI28</f>
        <v>0.75</v>
      </c>
      <c r="AL28" s="69">
        <f>AI28/$A$17</f>
        <v>0.2857142857142857</v>
      </c>
      <c r="AM28" s="67" t="s">
        <v>10</v>
      </c>
      <c r="AN28" s="65">
        <f>1-((AK28)^2+(1-AK28)^2)</f>
        <v>0.375</v>
      </c>
      <c r="AO28" s="129">
        <f>SUMPRODUCT(AL28:AL30,AN28:AN30)</f>
        <v>0.45</v>
      </c>
      <c r="AR28" s="96">
        <f>SUM(AR25:AR27)</f>
        <v>9</v>
      </c>
      <c r="AS28" s="97">
        <f>SUM(AS25:AS27)</f>
        <v>5</v>
      </c>
      <c r="AT28" s="98">
        <f>SUM(AR25:AS27)</f>
        <v>14.000000000000002</v>
      </c>
      <c r="AW28" s="96">
        <f>SUM(AW25:AW27)</f>
        <v>9</v>
      </c>
      <c r="AX28" s="97">
        <f>SUM(AX25:AX27)</f>
        <v>5</v>
      </c>
      <c r="AY28" s="98">
        <f>SUM(AW25:AX27)</f>
        <v>14</v>
      </c>
    </row>
    <row r="29" spans="1:61" ht="15.75" thickBot="1" x14ac:dyDescent="0.3">
      <c r="I29" s="34" t="s">
        <v>33</v>
      </c>
      <c r="J29" s="35">
        <f>COUNTIF($C$3:$C$16,"mild")/$A$17</f>
        <v>0.42857142857142855</v>
      </c>
      <c r="K29" s="42" t="s">
        <v>49</v>
      </c>
      <c r="L29" s="43">
        <f>4/COUNTIF($C$3:$C$16,"mild")</f>
        <v>0.66666666666666663</v>
      </c>
      <c r="M29" s="44" t="s">
        <v>52</v>
      </c>
      <c r="N29" s="43">
        <f t="shared" ref="N29:N30" si="4">1-L29</f>
        <v>0.33333333333333337</v>
      </c>
      <c r="O29" s="45">
        <f>-L29*LOG(L29,2)-N29*LOG(N29,2)</f>
        <v>0.91829583405448956</v>
      </c>
      <c r="P29" s="127"/>
      <c r="Q29" s="130"/>
      <c r="S29" s="150">
        <f>$A$17-S28</f>
        <v>10</v>
      </c>
      <c r="T29" s="150">
        <v>7</v>
      </c>
      <c r="U29" s="144">
        <f t="shared" ref="U29:U30" si="5">T29/S29</f>
        <v>0.7</v>
      </c>
      <c r="V29" s="144">
        <f>1-V28</f>
        <v>0.7142857142857143</v>
      </c>
      <c r="W29" s="146" t="s">
        <v>82</v>
      </c>
      <c r="X29" s="148">
        <f>1-((U29)^2+(1-U29)^2)</f>
        <v>0.42000000000000004</v>
      </c>
      <c r="Y29" s="130"/>
      <c r="AA29" s="150">
        <f>$A$17-AA28</f>
        <v>8</v>
      </c>
      <c r="AB29" s="150">
        <v>5</v>
      </c>
      <c r="AC29" s="144">
        <f t="shared" ref="AC29:AC30" si="6">AB29/AA29</f>
        <v>0.625</v>
      </c>
      <c r="AD29" s="144">
        <f>1-AD28</f>
        <v>0.5714285714285714</v>
      </c>
      <c r="AE29" s="146" t="s">
        <v>81</v>
      </c>
      <c r="AF29" s="148">
        <f>1-((AC29)^2+(1-AC29)^2)</f>
        <v>0.46875</v>
      </c>
      <c r="AG29" s="130"/>
      <c r="AI29" s="150">
        <f>$A$17-AI28</f>
        <v>10</v>
      </c>
      <c r="AJ29" s="150">
        <v>6</v>
      </c>
      <c r="AK29" s="144">
        <f t="shared" ref="AK29:AK30" si="7">AJ29/AI29</f>
        <v>0.6</v>
      </c>
      <c r="AL29" s="144">
        <f>1-AL28</f>
        <v>0.7142857142857143</v>
      </c>
      <c r="AM29" s="146" t="s">
        <v>80</v>
      </c>
      <c r="AN29" s="148">
        <f>1-((AK29)^2+(1-AK29)^2)</f>
        <v>0.48</v>
      </c>
      <c r="AO29" s="130"/>
      <c r="AQ29" s="104" t="s">
        <v>89</v>
      </c>
      <c r="AV29" s="104" t="s">
        <v>89</v>
      </c>
      <c r="BA29" s="104" t="s">
        <v>89</v>
      </c>
      <c r="BF29" s="104" t="s">
        <v>89</v>
      </c>
    </row>
    <row r="30" spans="1:61" ht="15.75" thickBot="1" x14ac:dyDescent="0.3">
      <c r="I30" s="36" t="s">
        <v>34</v>
      </c>
      <c r="J30" s="37">
        <f>COUNTIF($C$3:$C$16,"cool")/$A$17</f>
        <v>0.2857142857142857</v>
      </c>
      <c r="K30" s="46" t="s">
        <v>50</v>
      </c>
      <c r="L30" s="47">
        <f>3/COUNTIF($C$3:$C$16,"cool")</f>
        <v>0.75</v>
      </c>
      <c r="M30" s="48" t="s">
        <v>53</v>
      </c>
      <c r="N30" s="47">
        <f t="shared" si="4"/>
        <v>0.25</v>
      </c>
      <c r="O30" s="49">
        <f>-L30*LOG(L30,2)-N30*LOG(N30,2)</f>
        <v>0.81127812445913283</v>
      </c>
      <c r="P30" s="128"/>
      <c r="Q30" s="131"/>
      <c r="S30" s="151"/>
      <c r="T30" s="151"/>
      <c r="U30" s="145" t="e">
        <f t="shared" si="5"/>
        <v>#DIV/0!</v>
      </c>
      <c r="V30" s="145"/>
      <c r="W30" s="147"/>
      <c r="X30" s="149"/>
      <c r="Y30" s="131"/>
      <c r="AA30" s="151"/>
      <c r="AB30" s="151"/>
      <c r="AC30" s="145" t="e">
        <f t="shared" si="6"/>
        <v>#DIV/0!</v>
      </c>
      <c r="AD30" s="145"/>
      <c r="AE30" s="147"/>
      <c r="AF30" s="149"/>
      <c r="AG30" s="131"/>
      <c r="AI30" s="151"/>
      <c r="AJ30" s="151"/>
      <c r="AK30" s="145" t="e">
        <f t="shared" si="7"/>
        <v>#DIV/0!</v>
      </c>
      <c r="AL30" s="145"/>
      <c r="AM30" s="147"/>
      <c r="AN30" s="149"/>
      <c r="AO30" s="131"/>
      <c r="AQ30" s="100" t="s">
        <v>0</v>
      </c>
      <c r="AR30" s="105">
        <f t="shared" ref="AR30:AS32" si="8">(AR20-AR25)^2/AR25</f>
        <v>0.45873015873015877</v>
      </c>
      <c r="AS30" s="106">
        <f t="shared" si="8"/>
        <v>0.82571428571428551</v>
      </c>
      <c r="AT30" s="107">
        <f>SUM(AR30:AS30)</f>
        <v>1.2844444444444443</v>
      </c>
      <c r="AV30" s="74" t="s">
        <v>1</v>
      </c>
      <c r="AW30" s="105">
        <f t="shared" ref="AW30:AX32" si="9">(AW20-AW25)^2/AW25</f>
        <v>0.12698412698412706</v>
      </c>
      <c r="AX30" s="106">
        <f t="shared" si="9"/>
        <v>0.22857142857142854</v>
      </c>
      <c r="AY30" s="107">
        <f>SUM(AW30:AX30)</f>
        <v>0.35555555555555562</v>
      </c>
      <c r="BA30" s="74" t="s">
        <v>1</v>
      </c>
      <c r="BB30" s="105">
        <f>(BB20-BB24)^2/BB24</f>
        <v>0.5</v>
      </c>
      <c r="BC30" s="106">
        <f>(BC20-BC24)^2/BC24</f>
        <v>0.9</v>
      </c>
      <c r="BD30" s="107">
        <f>SUM(BB30:BC30)</f>
        <v>1.4</v>
      </c>
      <c r="BF30" s="74" t="s">
        <v>1</v>
      </c>
      <c r="BG30" s="105">
        <f>(BG20-BG24)^2/BG24</f>
        <v>0.14285714285714274</v>
      </c>
      <c r="BH30" s="106">
        <f>(BH20-BH24)^2/BH24</f>
        <v>0.25714285714285717</v>
      </c>
      <c r="BI30" s="107">
        <f>SUM(BG30:BH30)</f>
        <v>0.39999999999999991</v>
      </c>
    </row>
    <row r="31" spans="1:61" ht="15.75" thickBot="1" x14ac:dyDescent="0.3">
      <c r="AQ31" s="74" t="s">
        <v>6</v>
      </c>
      <c r="AR31" s="108">
        <f t="shared" si="8"/>
        <v>0.79365079365079338</v>
      </c>
      <c r="AS31" s="109">
        <f t="shared" si="8"/>
        <v>1.4285714285714286</v>
      </c>
      <c r="AT31" s="110">
        <f>SUM(AR31:AS31)</f>
        <v>2.2222222222222219</v>
      </c>
      <c r="AV31" s="74" t="s">
        <v>9</v>
      </c>
      <c r="AW31" s="108">
        <f t="shared" si="9"/>
        <v>5.2910052910052864E-3</v>
      </c>
      <c r="AX31" s="109">
        <f t="shared" si="9"/>
        <v>9.523809523809516E-3</v>
      </c>
      <c r="AY31" s="110">
        <f>SUM(AW31:AX31)</f>
        <v>1.4814814814814802E-2</v>
      </c>
      <c r="BA31" s="75" t="s">
        <v>11</v>
      </c>
      <c r="BB31" s="111">
        <f>(BB21-BB25)^2/BB25</f>
        <v>0.5</v>
      </c>
      <c r="BC31" s="112">
        <f>(BC21-BC25)^2/BC25</f>
        <v>0.9</v>
      </c>
      <c r="BD31" s="113">
        <f>SUM(BB31:BC31)</f>
        <v>1.4</v>
      </c>
      <c r="BF31" s="75" t="s">
        <v>11</v>
      </c>
      <c r="BG31" s="111">
        <f>(BG21-BG25)^2/BG25</f>
        <v>0.19047619047619052</v>
      </c>
      <c r="BH31" s="112">
        <f>(BH21-BH25)^2/BH25</f>
        <v>0.34285714285714292</v>
      </c>
      <c r="BI31" s="113">
        <f>SUM(BG31:BH31)</f>
        <v>0.53333333333333344</v>
      </c>
    </row>
    <row r="32" spans="1:61" ht="15.75" thickBot="1" x14ac:dyDescent="0.3">
      <c r="I32" s="61" t="s">
        <v>27</v>
      </c>
      <c r="J32" s="62"/>
      <c r="K32" s="62"/>
      <c r="L32" s="62"/>
      <c r="M32" s="62"/>
      <c r="N32" s="62"/>
      <c r="O32" s="62"/>
      <c r="P32" s="63"/>
      <c r="Q32" s="24" t="s">
        <v>58</v>
      </c>
      <c r="S32" s="24" t="s">
        <v>76</v>
      </c>
      <c r="T32" s="24" t="s">
        <v>7</v>
      </c>
      <c r="U32" s="24" t="s">
        <v>78</v>
      </c>
      <c r="V32" s="24" t="s">
        <v>77</v>
      </c>
      <c r="W32" s="24" t="s">
        <v>73</v>
      </c>
      <c r="X32" s="24" t="s">
        <v>71</v>
      </c>
      <c r="Y32" s="24" t="s">
        <v>72</v>
      </c>
      <c r="AQ32" s="75" t="s">
        <v>8</v>
      </c>
      <c r="AR32" s="111">
        <f t="shared" si="8"/>
        <v>1.4285714285714301E-2</v>
      </c>
      <c r="AS32" s="112">
        <f t="shared" si="8"/>
        <v>2.571428571428569E-2</v>
      </c>
      <c r="AT32" s="113">
        <f>SUM(AR32:AS32)</f>
        <v>3.9999999999999994E-2</v>
      </c>
      <c r="AV32" s="75" t="s">
        <v>10</v>
      </c>
      <c r="AW32" s="111">
        <f t="shared" si="9"/>
        <v>7.1428571428571369E-2</v>
      </c>
      <c r="AX32" s="112">
        <f t="shared" si="9"/>
        <v>0.12857142857142859</v>
      </c>
      <c r="AY32" s="113">
        <f>SUM(AW32:AX32)</f>
        <v>0.19999999999999996</v>
      </c>
      <c r="BB32" s="114">
        <f>SUM(BB30:BB31)</f>
        <v>1</v>
      </c>
      <c r="BC32" s="115">
        <f>SUM(BC30:BC31)</f>
        <v>1.8</v>
      </c>
      <c r="BD32" s="116">
        <f>SUM(BB30:BC31)</f>
        <v>2.8</v>
      </c>
      <c r="BG32" s="114">
        <f>SUM(BG30:BG31)</f>
        <v>0.33333333333333326</v>
      </c>
      <c r="BH32" s="115">
        <f>SUM(BH30:BH31)</f>
        <v>0.60000000000000009</v>
      </c>
      <c r="BI32" s="116">
        <f>SUM(BG30:BH31)</f>
        <v>0.93333333333333335</v>
      </c>
    </row>
    <row r="33" spans="2:61" ht="15.75" thickBot="1" x14ac:dyDescent="0.3">
      <c r="I33" s="32" t="s">
        <v>28</v>
      </c>
      <c r="J33" s="33">
        <f>COUNTIF($D$3:$D$16,"normal")/$A$17</f>
        <v>0.5</v>
      </c>
      <c r="K33" s="38" t="s">
        <v>38</v>
      </c>
      <c r="L33" s="39">
        <f>6/COUNTIF($D$3:$D$16,"normal")</f>
        <v>0.8571428571428571</v>
      </c>
      <c r="M33" s="40" t="s">
        <v>39</v>
      </c>
      <c r="N33" s="39">
        <f>1-L33</f>
        <v>0.1428571428571429</v>
      </c>
      <c r="O33" s="41">
        <f>-L33*LOG(L33,2)-N33*LOG(N33,2)</f>
        <v>0.59167277858232747</v>
      </c>
      <c r="P33" s="126">
        <f>J33*O33+J34*O34</f>
        <v>0.78845045730828955</v>
      </c>
      <c r="Q33" s="129">
        <f>$M$19-P33</f>
        <v>0.15183550136234136</v>
      </c>
      <c r="S33" s="68">
        <f>COUNTIF($D$3:$D$16,W33)</f>
        <v>7</v>
      </c>
      <c r="T33" s="68">
        <v>6</v>
      </c>
      <c r="U33" s="69">
        <f>T33/S33</f>
        <v>0.8571428571428571</v>
      </c>
      <c r="V33" s="69">
        <f>S33/$A$17</f>
        <v>0.5</v>
      </c>
      <c r="W33" s="67" t="s">
        <v>11</v>
      </c>
      <c r="X33" s="65">
        <f>1-((U33)^2+(1-U33)^2)</f>
        <v>0.24489795918367352</v>
      </c>
      <c r="Y33" s="129">
        <f>SUMPRODUCT(J33:J34,X33:X34)</f>
        <v>0.43877551020408168</v>
      </c>
      <c r="AR33" s="114">
        <f>SUM(AR30:AR32)</f>
        <v>1.2666666666666664</v>
      </c>
      <c r="AS33" s="115">
        <f>SUM(AS30:AS32)</f>
        <v>2.2799999999999998</v>
      </c>
      <c r="AT33" s="116">
        <f>SUM(AR30:AS32)</f>
        <v>3.546666666666666</v>
      </c>
      <c r="AW33" s="114">
        <f>SUM(AW30:AW32)</f>
        <v>0.20370370370370372</v>
      </c>
      <c r="AX33" s="115">
        <f>SUM(AX30:AX32)</f>
        <v>0.36666666666666664</v>
      </c>
      <c r="AY33" s="116">
        <f>SUM(AW30:AX32)</f>
        <v>0.57037037037037031</v>
      </c>
      <c r="BB33" s="99"/>
      <c r="BC33" s="99"/>
      <c r="BD33" s="118">
        <f>_xlfn.CHISQ.DIST.RT(BD32,1)</f>
        <v>9.4264306841210302E-2</v>
      </c>
      <c r="BG33" s="99"/>
      <c r="BH33" s="99"/>
      <c r="BI33" s="117">
        <f>_xlfn.CHISQ.DIST.RT(BI32,1)</f>
        <v>0.33399825582199799</v>
      </c>
    </row>
    <row r="34" spans="2:61" ht="15.75" thickBot="1" x14ac:dyDescent="0.3">
      <c r="I34" s="36" t="s">
        <v>29</v>
      </c>
      <c r="J34" s="37">
        <f>COUNTIF($D$3:$D$16,"high")/$A$17</f>
        <v>0.5</v>
      </c>
      <c r="K34" s="46" t="s">
        <v>40</v>
      </c>
      <c r="L34" s="47">
        <f>3/COUNTIF($D$3:$D$16,"high")</f>
        <v>0.42857142857142855</v>
      </c>
      <c r="M34" s="48" t="s">
        <v>41</v>
      </c>
      <c r="N34" s="47">
        <f t="shared" ref="N34" si="10">1-L34</f>
        <v>0.5714285714285714</v>
      </c>
      <c r="O34" s="49">
        <f>-L34*LOG(L34,2)-N34*LOG(N34,2)</f>
        <v>0.98522813603425163</v>
      </c>
      <c r="P34" s="128"/>
      <c r="Q34" s="140"/>
      <c r="S34" s="71">
        <f>$A$17-S33</f>
        <v>7</v>
      </c>
      <c r="T34" s="73">
        <v>3</v>
      </c>
      <c r="U34" s="70">
        <f>T34/S34</f>
        <v>0.42857142857142855</v>
      </c>
      <c r="V34" s="70">
        <f>S34/$A$17</f>
        <v>0.5</v>
      </c>
      <c r="W34" s="73" t="s">
        <v>2</v>
      </c>
      <c r="X34" s="72">
        <f>1-((L34^2)+(L34^2))</f>
        <v>0.63265306122448983</v>
      </c>
      <c r="Y34" s="140"/>
      <c r="AR34" s="99"/>
      <c r="AS34" s="99"/>
      <c r="AT34" s="117">
        <f>_xlfn.CHISQ.DIST.RT(AT33,2)</f>
        <v>0.16976615743981124</v>
      </c>
      <c r="AW34" s="99"/>
      <c r="AX34" s="99"/>
      <c r="AY34" s="117">
        <f>_xlfn.CHISQ.DIST.RT(AY33,2)</f>
        <v>0.75187500531425899</v>
      </c>
    </row>
    <row r="35" spans="2:61" ht="15.75" thickBot="1" x14ac:dyDescent="0.3"/>
    <row r="36" spans="2:61" ht="15.75" thickBot="1" x14ac:dyDescent="0.3">
      <c r="I36" s="50" t="s">
        <v>35</v>
      </c>
      <c r="J36" s="51"/>
      <c r="K36" s="51"/>
      <c r="L36" s="51"/>
      <c r="M36" s="51"/>
      <c r="N36" s="51"/>
      <c r="O36" s="51"/>
      <c r="P36" s="52"/>
      <c r="Q36" s="24" t="s">
        <v>58</v>
      </c>
      <c r="S36" s="24" t="s">
        <v>76</v>
      </c>
      <c r="T36" s="24" t="s">
        <v>7</v>
      </c>
      <c r="U36" s="24" t="s">
        <v>78</v>
      </c>
      <c r="V36" s="24" t="s">
        <v>77</v>
      </c>
      <c r="W36" s="24" t="s">
        <v>73</v>
      </c>
      <c r="X36" s="24" t="s">
        <v>71</v>
      </c>
      <c r="Y36" s="24" t="s">
        <v>72</v>
      </c>
    </row>
    <row r="37" spans="2:61" x14ac:dyDescent="0.25">
      <c r="I37" s="20" t="s">
        <v>36</v>
      </c>
      <c r="J37" s="22">
        <f>COUNTIF($E$3:$E$16,"FALSE")/$A$17</f>
        <v>0.5714285714285714</v>
      </c>
      <c r="K37" s="26" t="s">
        <v>57</v>
      </c>
      <c r="L37" s="28">
        <f>6/COUNTIF($E$3:$E$16,"FALSE")</f>
        <v>0.75</v>
      </c>
      <c r="M37" s="26" t="s">
        <v>55</v>
      </c>
      <c r="N37" s="28">
        <f>1-L37</f>
        <v>0.25</v>
      </c>
      <c r="O37" s="30">
        <f>-L37*LOG(L37,2)-N37*LOG(N37,2)</f>
        <v>0.81127812445913283</v>
      </c>
      <c r="P37" s="138">
        <f>J37*O37+J38*O38</f>
        <v>0.89215892826236165</v>
      </c>
      <c r="Q37" s="129">
        <f>$M$19-P37</f>
        <v>4.8127030408269267E-2</v>
      </c>
      <c r="S37" s="68">
        <f>COUNTIF($E$3:$E$16,W37)</f>
        <v>8</v>
      </c>
      <c r="T37" s="68">
        <v>6</v>
      </c>
      <c r="U37" s="69">
        <f>T37/S37</f>
        <v>0.75</v>
      </c>
      <c r="V37" s="69">
        <f>S37/$A$17</f>
        <v>0.5714285714285714</v>
      </c>
      <c r="W37" s="67" t="s">
        <v>3</v>
      </c>
      <c r="X37" s="65">
        <f>1-((U37)^2+(1-U37)^2)</f>
        <v>0.375</v>
      </c>
      <c r="Y37" s="129">
        <f>SUMPRODUCT(J37:J38,X37:X38)</f>
        <v>0.42857142857142855</v>
      </c>
    </row>
    <row r="38" spans="2:61" ht="15.75" thickBot="1" x14ac:dyDescent="0.3">
      <c r="I38" s="11" t="s">
        <v>37</v>
      </c>
      <c r="J38" s="13">
        <f>COUNTIF($E$3:$E$16,"TRUE")/$A$17</f>
        <v>0.42857142857142855</v>
      </c>
      <c r="K38" s="27" t="s">
        <v>54</v>
      </c>
      <c r="L38" s="29">
        <f>3/COUNTIF($E$3:$E$16,"TRUE")</f>
        <v>0.5</v>
      </c>
      <c r="M38" s="27" t="s">
        <v>56</v>
      </c>
      <c r="N38" s="29">
        <f t="shared" ref="N38" si="11">1-L38</f>
        <v>0.5</v>
      </c>
      <c r="O38" s="31">
        <f>-L38*LOG(L38,2)-N38*LOG(N38,2)</f>
        <v>1</v>
      </c>
      <c r="P38" s="139"/>
      <c r="Q38" s="140"/>
      <c r="S38" s="71">
        <f>$A$17-S37</f>
        <v>6</v>
      </c>
      <c r="T38" s="73">
        <v>3</v>
      </c>
      <c r="U38" s="70">
        <f>T38/S38</f>
        <v>0.5</v>
      </c>
      <c r="V38" s="70">
        <f>S38/$A$17</f>
        <v>0.42857142857142855</v>
      </c>
      <c r="W38" s="73" t="s">
        <v>5</v>
      </c>
      <c r="X38" s="66">
        <f>1-((L38^2)+(L38^2))</f>
        <v>0.5</v>
      </c>
      <c r="Y38" s="140"/>
    </row>
    <row r="46" spans="2:61" x14ac:dyDescent="0.25">
      <c r="B46" s="15">
        <v>0.25</v>
      </c>
      <c r="D46" s="25">
        <f>-B46*LOG(B46,2)</f>
        <v>0.5</v>
      </c>
      <c r="E46" s="155">
        <f>SUM(D46:D49)</f>
        <v>2</v>
      </c>
    </row>
    <row r="47" spans="2:61" x14ac:dyDescent="0.25">
      <c r="B47" s="15">
        <v>0.25</v>
      </c>
      <c r="D47" s="25">
        <f>-B47*LOG(B47,2)</f>
        <v>0.5</v>
      </c>
      <c r="E47" s="155"/>
    </row>
    <row r="48" spans="2:61" x14ac:dyDescent="0.25">
      <c r="B48" s="15">
        <v>0.25</v>
      </c>
      <c r="D48" s="25">
        <f>-B48*LOG(B48,2)</f>
        <v>0.5</v>
      </c>
      <c r="E48" s="155"/>
    </row>
    <row r="49" spans="2:5" x14ac:dyDescent="0.25">
      <c r="B49" s="15">
        <v>0.25</v>
      </c>
      <c r="D49" s="25">
        <f>-B49*LOG(B49,2)</f>
        <v>0.5</v>
      </c>
      <c r="E49" s="155"/>
    </row>
  </sheetData>
  <autoFilter ref="A2:F16">
    <sortState ref="A3:F17">
      <sortCondition ref="B2:B16"/>
    </sortState>
  </autoFilter>
  <mergeCells count="62">
    <mergeCell ref="E46:E49"/>
    <mergeCell ref="P23:P25"/>
    <mergeCell ref="P37:P38"/>
    <mergeCell ref="Q37:Q38"/>
    <mergeCell ref="P28:P30"/>
    <mergeCell ref="M19:M20"/>
    <mergeCell ref="I18:L18"/>
    <mergeCell ref="Q33:Q34"/>
    <mergeCell ref="P33:P34"/>
    <mergeCell ref="Q23:Q25"/>
    <mergeCell ref="Q28:Q30"/>
    <mergeCell ref="Y37:Y38"/>
    <mergeCell ref="W24:W25"/>
    <mergeCell ref="X24:X25"/>
    <mergeCell ref="AG23:AG25"/>
    <mergeCell ref="AG28:AG30"/>
    <mergeCell ref="Y23:Y25"/>
    <mergeCell ref="Y28:Y30"/>
    <mergeCell ref="Y33:Y34"/>
    <mergeCell ref="AF29:AF30"/>
    <mergeCell ref="S24:S25"/>
    <mergeCell ref="V24:V25"/>
    <mergeCell ref="AB24:AB25"/>
    <mergeCell ref="T24:T25"/>
    <mergeCell ref="U24:U25"/>
    <mergeCell ref="AO23:AO25"/>
    <mergeCell ref="AI24:AI25"/>
    <mergeCell ref="AJ24:AJ25"/>
    <mergeCell ref="AK24:AK25"/>
    <mergeCell ref="AL24:AL25"/>
    <mergeCell ref="AM24:AM25"/>
    <mergeCell ref="AN24:AN25"/>
    <mergeCell ref="AI29:AI30"/>
    <mergeCell ref="AJ29:AJ30"/>
    <mergeCell ref="AK29:AK30"/>
    <mergeCell ref="AA24:AA25"/>
    <mergeCell ref="AC24:AC25"/>
    <mergeCell ref="AD24:AD25"/>
    <mergeCell ref="AE24:AE25"/>
    <mergeCell ref="AF24:AF25"/>
    <mergeCell ref="AL29:AL30"/>
    <mergeCell ref="AM29:AM30"/>
    <mergeCell ref="AN29:AN30"/>
    <mergeCell ref="S16:AO16"/>
    <mergeCell ref="AO28:AO30"/>
    <mergeCell ref="S29:S30"/>
    <mergeCell ref="T29:T30"/>
    <mergeCell ref="U29:U30"/>
    <mergeCell ref="V29:V30"/>
    <mergeCell ref="W29:W30"/>
    <mergeCell ref="X29:X30"/>
    <mergeCell ref="AA29:AA30"/>
    <mergeCell ref="AB29:AB30"/>
    <mergeCell ref="AC29:AC30"/>
    <mergeCell ref="AD29:AD30"/>
    <mergeCell ref="AE29:AE30"/>
    <mergeCell ref="BG18:BH18"/>
    <mergeCell ref="AQ16:BI16"/>
    <mergeCell ref="AR18:AS18"/>
    <mergeCell ref="I16:Q16"/>
    <mergeCell ref="AW18:AX18"/>
    <mergeCell ref="BB18:B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showGridLines="0" workbookViewId="0">
      <selection activeCell="T13" sqref="T13"/>
    </sheetView>
  </sheetViews>
  <sheetFormatPr baseColWidth="10" defaultRowHeight="15" x14ac:dyDescent="0.25"/>
  <cols>
    <col min="1" max="1" width="2.85546875" bestFit="1" customWidth="1"/>
    <col min="2" max="2" width="7.85546875" bestFit="1" customWidth="1"/>
    <col min="3" max="3" width="11.42578125" bestFit="1" customWidth="1"/>
    <col min="4" max="4" width="8.140625" bestFit="1" customWidth="1"/>
    <col min="5" max="5" width="5.85546875" hidden="1" customWidth="1"/>
    <col min="6" max="6" width="7" bestFit="1" customWidth="1"/>
    <col min="7" max="7" width="1.42578125" customWidth="1"/>
    <col min="8" max="9" width="3.140625" customWidth="1"/>
    <col min="11" max="11" width="9.140625" bestFit="1" customWidth="1"/>
    <col min="12" max="12" width="5.85546875" bestFit="1" customWidth="1"/>
    <col min="13" max="13" width="20.5703125" bestFit="1" customWidth="1"/>
    <col min="14" max="14" width="7.85546875" bestFit="1" customWidth="1"/>
    <col min="15" max="15" width="8" bestFit="1" customWidth="1"/>
    <col min="16" max="19" width="7.85546875" bestFit="1" customWidth="1"/>
  </cols>
  <sheetData>
    <row r="1" spans="1:19" ht="15.75" thickBot="1" x14ac:dyDescent="0.3"/>
    <row r="2" spans="1:19" ht="15.75" thickBot="1" x14ac:dyDescent="0.3">
      <c r="A2" t="s">
        <v>18</v>
      </c>
      <c r="B2" s="5" t="s">
        <v>12</v>
      </c>
      <c r="C2" s="6" t="s">
        <v>13</v>
      </c>
      <c r="D2" s="6" t="s">
        <v>14</v>
      </c>
      <c r="E2" s="6" t="s">
        <v>15</v>
      </c>
      <c r="F2" s="7" t="s">
        <v>16</v>
      </c>
      <c r="H2" s="24" t="s">
        <v>61</v>
      </c>
      <c r="I2" s="19" t="s">
        <v>62</v>
      </c>
    </row>
    <row r="3" spans="1:19" ht="15.75" thickBot="1" x14ac:dyDescent="0.3">
      <c r="A3">
        <v>5</v>
      </c>
      <c r="B3" s="1" t="s">
        <v>8</v>
      </c>
      <c r="C3" s="2" t="s">
        <v>10</v>
      </c>
      <c r="D3" s="53">
        <v>54</v>
      </c>
      <c r="E3" s="2" t="s">
        <v>3</v>
      </c>
      <c r="F3" s="9" t="s">
        <v>7</v>
      </c>
      <c r="H3" s="56" t="s">
        <v>59</v>
      </c>
      <c r="I3" s="57" t="s">
        <v>59</v>
      </c>
    </row>
    <row r="4" spans="1:19" ht="15.75" thickBot="1" x14ac:dyDescent="0.3">
      <c r="A4">
        <v>6</v>
      </c>
      <c r="B4" s="1" t="s">
        <v>8</v>
      </c>
      <c r="C4" s="2" t="s">
        <v>10</v>
      </c>
      <c r="D4" s="53">
        <v>58</v>
      </c>
      <c r="E4" s="2" t="s">
        <v>5</v>
      </c>
      <c r="F4" s="8" t="s">
        <v>4</v>
      </c>
      <c r="H4" s="56" t="s">
        <v>59</v>
      </c>
      <c r="I4" s="57" t="s">
        <v>59</v>
      </c>
      <c r="K4" s="135" t="s">
        <v>23</v>
      </c>
      <c r="L4" s="136"/>
      <c r="M4" s="136"/>
      <c r="N4" s="137"/>
      <c r="O4" s="24" t="s">
        <v>30</v>
      </c>
    </row>
    <row r="5" spans="1:19" x14ac:dyDescent="0.25">
      <c r="A5">
        <v>10</v>
      </c>
      <c r="B5" s="1" t="s">
        <v>8</v>
      </c>
      <c r="C5" s="2" t="s">
        <v>9</v>
      </c>
      <c r="D5" s="53">
        <v>59</v>
      </c>
      <c r="E5" s="2" t="s">
        <v>3</v>
      </c>
      <c r="F5" s="9" t="s">
        <v>7</v>
      </c>
      <c r="H5" s="56" t="s">
        <v>59</v>
      </c>
      <c r="I5" s="57" t="s">
        <v>59</v>
      </c>
      <c r="K5" s="10" t="s">
        <v>19</v>
      </c>
      <c r="L5" s="12"/>
      <c r="M5" s="14" t="s">
        <v>21</v>
      </c>
      <c r="N5" s="16"/>
      <c r="O5" s="124"/>
    </row>
    <row r="6" spans="1:19" ht="15.75" thickBot="1" x14ac:dyDescent="0.3">
      <c r="A6">
        <v>7</v>
      </c>
      <c r="B6" s="1" t="s">
        <v>6</v>
      </c>
      <c r="C6" s="2" t="s">
        <v>10</v>
      </c>
      <c r="D6" s="53">
        <v>60</v>
      </c>
      <c r="E6" s="2" t="s">
        <v>5</v>
      </c>
      <c r="F6" s="9" t="s">
        <v>7</v>
      </c>
      <c r="H6" s="56" t="s">
        <v>59</v>
      </c>
      <c r="I6" s="57" t="s">
        <v>59</v>
      </c>
      <c r="K6" s="11" t="s">
        <v>20</v>
      </c>
      <c r="L6" s="13"/>
      <c r="M6" s="23" t="s">
        <v>22</v>
      </c>
      <c r="N6" s="17"/>
      <c r="O6" s="125"/>
    </row>
    <row r="7" spans="1:19" ht="15.75" thickBot="1" x14ac:dyDescent="0.3">
      <c r="A7">
        <v>9</v>
      </c>
      <c r="B7" s="1" t="s">
        <v>0</v>
      </c>
      <c r="C7" s="2" t="s">
        <v>10</v>
      </c>
      <c r="D7" s="53">
        <v>60</v>
      </c>
      <c r="E7" s="2" t="s">
        <v>3</v>
      </c>
      <c r="F7" s="9" t="s">
        <v>7</v>
      </c>
      <c r="H7" s="56" t="s">
        <v>59</v>
      </c>
      <c r="I7" s="57" t="s">
        <v>59</v>
      </c>
    </row>
    <row r="8" spans="1:19" ht="15.75" thickBot="1" x14ac:dyDescent="0.3">
      <c r="A8">
        <v>11</v>
      </c>
      <c r="B8" s="1" t="s">
        <v>0</v>
      </c>
      <c r="C8" s="2" t="s">
        <v>9</v>
      </c>
      <c r="D8" s="53">
        <v>62</v>
      </c>
      <c r="E8" s="2" t="s">
        <v>5</v>
      </c>
      <c r="F8" s="9" t="s">
        <v>7</v>
      </c>
      <c r="H8" s="56" t="s">
        <v>59</v>
      </c>
      <c r="I8" s="57" t="s">
        <v>59</v>
      </c>
      <c r="K8" s="156" t="s">
        <v>63</v>
      </c>
      <c r="L8" s="157"/>
      <c r="M8" s="157"/>
      <c r="N8" s="157"/>
      <c r="O8" s="157"/>
      <c r="P8" s="157"/>
      <c r="Q8" s="157"/>
      <c r="R8" s="158"/>
      <c r="S8" s="24" t="s">
        <v>58</v>
      </c>
    </row>
    <row r="9" spans="1:19" x14ac:dyDescent="0.25">
      <c r="A9">
        <v>13</v>
      </c>
      <c r="B9" s="1" t="s">
        <v>6</v>
      </c>
      <c r="C9" s="2" t="s">
        <v>1</v>
      </c>
      <c r="D9" s="53">
        <v>63</v>
      </c>
      <c r="E9" s="2" t="s">
        <v>3</v>
      </c>
      <c r="F9" s="9" t="s">
        <v>7</v>
      </c>
      <c r="H9" s="55" t="s">
        <v>60</v>
      </c>
      <c r="I9" s="57" t="s">
        <v>59</v>
      </c>
      <c r="K9" s="32" t="s">
        <v>64</v>
      </c>
      <c r="L9" s="33"/>
      <c r="M9" s="38" t="s">
        <v>67</v>
      </c>
      <c r="N9" s="39"/>
      <c r="O9" s="40" t="s">
        <v>69</v>
      </c>
      <c r="P9" s="39"/>
      <c r="Q9" s="41"/>
      <c r="R9" s="126"/>
      <c r="S9" s="129"/>
    </row>
    <row r="10" spans="1:19" ht="15.75" thickBot="1" x14ac:dyDescent="0.3">
      <c r="A10">
        <v>3</v>
      </c>
      <c r="B10" s="1" t="s">
        <v>6</v>
      </c>
      <c r="C10" s="2" t="s">
        <v>1</v>
      </c>
      <c r="D10" s="53">
        <v>80</v>
      </c>
      <c r="E10" s="2" t="s">
        <v>3</v>
      </c>
      <c r="F10" s="9" t="s">
        <v>7</v>
      </c>
      <c r="H10" s="55" t="s">
        <v>60</v>
      </c>
      <c r="I10" s="57" t="s">
        <v>59</v>
      </c>
      <c r="K10" s="36" t="s">
        <v>65</v>
      </c>
      <c r="L10" s="37"/>
      <c r="M10" s="46" t="s">
        <v>68</v>
      </c>
      <c r="N10" s="47"/>
      <c r="O10" s="48" t="s">
        <v>70</v>
      </c>
      <c r="P10" s="47"/>
      <c r="Q10" s="49"/>
      <c r="R10" s="128"/>
      <c r="S10" s="140"/>
    </row>
    <row r="11" spans="1:19" ht="15.75" thickBot="1" x14ac:dyDescent="0.3">
      <c r="A11">
        <v>12</v>
      </c>
      <c r="B11" s="1" t="s">
        <v>6</v>
      </c>
      <c r="C11" s="2" t="s">
        <v>9</v>
      </c>
      <c r="D11" s="53">
        <v>81</v>
      </c>
      <c r="E11" s="2" t="s">
        <v>5</v>
      </c>
      <c r="F11" s="9" t="s">
        <v>7</v>
      </c>
      <c r="H11" s="55" t="s">
        <v>60</v>
      </c>
      <c r="I11" s="57" t="s">
        <v>59</v>
      </c>
    </row>
    <row r="12" spans="1:19" ht="15.75" thickBot="1" x14ac:dyDescent="0.3">
      <c r="A12">
        <v>2</v>
      </c>
      <c r="B12" s="1" t="s">
        <v>0</v>
      </c>
      <c r="C12" s="2" t="s">
        <v>1</v>
      </c>
      <c r="D12" s="53">
        <v>89</v>
      </c>
      <c r="E12" s="2" t="s">
        <v>5</v>
      </c>
      <c r="F12" s="8" t="s">
        <v>4</v>
      </c>
      <c r="H12" s="55" t="s">
        <v>60</v>
      </c>
      <c r="I12" s="59" t="s">
        <v>60</v>
      </c>
      <c r="K12" s="156" t="s">
        <v>66</v>
      </c>
      <c r="L12" s="157"/>
      <c r="M12" s="157"/>
      <c r="N12" s="157"/>
      <c r="O12" s="157"/>
      <c r="P12" s="157"/>
      <c r="Q12" s="157"/>
      <c r="R12" s="158"/>
      <c r="S12" s="24" t="s">
        <v>58</v>
      </c>
    </row>
    <row r="13" spans="1:19" x14ac:dyDescent="0.25">
      <c r="A13">
        <v>14</v>
      </c>
      <c r="B13" s="1" t="s">
        <v>8</v>
      </c>
      <c r="C13" s="2" t="s">
        <v>9</v>
      </c>
      <c r="D13" s="53">
        <v>90</v>
      </c>
      <c r="E13" s="2" t="s">
        <v>5</v>
      </c>
      <c r="F13" s="8" t="s">
        <v>4</v>
      </c>
      <c r="H13" s="55" t="s">
        <v>60</v>
      </c>
      <c r="I13" s="59" t="s">
        <v>60</v>
      </c>
      <c r="K13" s="32" t="s">
        <v>64</v>
      </c>
      <c r="L13" s="33"/>
      <c r="M13" s="38" t="s">
        <v>67</v>
      </c>
      <c r="N13" s="39"/>
      <c r="O13" s="40" t="s">
        <v>69</v>
      </c>
      <c r="P13" s="39"/>
      <c r="Q13" s="41"/>
      <c r="R13" s="126"/>
      <c r="S13" s="129"/>
    </row>
    <row r="14" spans="1:19" ht="15.75" thickBot="1" x14ac:dyDescent="0.3">
      <c r="A14">
        <v>1</v>
      </c>
      <c r="B14" s="1" t="s">
        <v>0</v>
      </c>
      <c r="C14" s="2" t="s">
        <v>1</v>
      </c>
      <c r="D14" s="53">
        <v>90</v>
      </c>
      <c r="E14" s="2" t="s">
        <v>3</v>
      </c>
      <c r="F14" s="8" t="s">
        <v>4</v>
      </c>
      <c r="H14" s="55" t="s">
        <v>60</v>
      </c>
      <c r="I14" s="59" t="s">
        <v>60</v>
      </c>
      <c r="K14" s="36" t="s">
        <v>65</v>
      </c>
      <c r="L14" s="37"/>
      <c r="M14" s="46" t="s">
        <v>68</v>
      </c>
      <c r="N14" s="47"/>
      <c r="O14" s="48" t="s">
        <v>70</v>
      </c>
      <c r="P14" s="47"/>
      <c r="Q14" s="49"/>
      <c r="R14" s="128"/>
      <c r="S14" s="140"/>
    </row>
    <row r="15" spans="1:19" x14ac:dyDescent="0.25">
      <c r="A15">
        <v>8</v>
      </c>
      <c r="B15" s="1" t="s">
        <v>0</v>
      </c>
      <c r="C15" s="2" t="s">
        <v>9</v>
      </c>
      <c r="D15" s="53">
        <v>90</v>
      </c>
      <c r="E15" s="2" t="s">
        <v>3</v>
      </c>
      <c r="F15" s="8" t="s">
        <v>4</v>
      </c>
      <c r="H15" s="55" t="s">
        <v>60</v>
      </c>
      <c r="I15" s="59" t="s">
        <v>60</v>
      </c>
    </row>
    <row r="16" spans="1:19" ht="15.75" thickBot="1" x14ac:dyDescent="0.3">
      <c r="A16">
        <v>4</v>
      </c>
      <c r="B16" s="3" t="s">
        <v>8</v>
      </c>
      <c r="C16" s="4" t="s">
        <v>9</v>
      </c>
      <c r="D16" s="54">
        <v>92</v>
      </c>
      <c r="E16" s="4" t="s">
        <v>3</v>
      </c>
      <c r="F16" s="18" t="s">
        <v>7</v>
      </c>
      <c r="H16" s="58" t="s">
        <v>60</v>
      </c>
      <c r="I16" s="60" t="s">
        <v>60</v>
      </c>
    </row>
    <row r="17" spans="1:1" ht="15.75" thickBot="1" x14ac:dyDescent="0.3">
      <c r="A17" s="21">
        <f>MAX(A3:A16)</f>
        <v>14</v>
      </c>
    </row>
    <row r="20" spans="1:1" ht="3.95" customHeight="1" x14ac:dyDescent="0.25"/>
    <row r="25" spans="1:1" ht="2.4500000000000002" customHeight="1" x14ac:dyDescent="0.25"/>
    <row r="26" spans="1:1" ht="15" customHeight="1" x14ac:dyDescent="0.25"/>
    <row r="30" spans="1:1" ht="2.4500000000000002" customHeight="1" x14ac:dyDescent="0.25"/>
    <row r="34" ht="2.4500000000000002" customHeight="1" x14ac:dyDescent="0.25"/>
  </sheetData>
  <sortState ref="A3:F17">
    <sortCondition ref="B3:B17"/>
    <sortCondition ref="C3:C17"/>
  </sortState>
  <mergeCells count="8">
    <mergeCell ref="K12:R12"/>
    <mergeCell ref="R13:R14"/>
    <mergeCell ref="S13:S14"/>
    <mergeCell ref="K4:N4"/>
    <mergeCell ref="O5:O6"/>
    <mergeCell ref="K8:R8"/>
    <mergeCell ref="R9:R10"/>
    <mergeCell ref="S9:S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Entropia</vt:lpstr>
      <vt:lpstr>Metricas</vt:lpstr>
      <vt:lpstr>Particionamiento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Diaz</dc:creator>
  <cp:lastModifiedBy>Diego Andres Lamus Mesa</cp:lastModifiedBy>
  <dcterms:created xsi:type="dcterms:W3CDTF">2016-07-01T00:08:51Z</dcterms:created>
  <dcterms:modified xsi:type="dcterms:W3CDTF">2018-09-25T20:18:16Z</dcterms:modified>
</cp:coreProperties>
</file>