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ropbox\Academic\MEng Space Systems\1. PEL - Propulsión Espacial y Lanzadores\Problemas\"/>
    </mc:Choice>
  </mc:AlternateContent>
  <xr:revisionPtr revIDLastSave="0" documentId="13_ncr:1_{7D7762A0-CF88-4BB0-AFB0-0E42D5EA1084}" xr6:coauthVersionLast="45" xr6:coauthVersionMax="45" xr10:uidLastSave="{00000000-0000-0000-0000-000000000000}"/>
  <bookViews>
    <workbookView xWindow="-108" yWindow="-108" windowWidth="23256" windowHeight="12576" xr2:uid="{E5276449-72DF-47A2-B2C4-A2244645D17D}"/>
  </bookViews>
  <sheets>
    <sheet name="Semana 2 Problema 1" sheetId="1" r:id="rId1"/>
    <sheet name="Semana 2 Problema 2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H9" i="1"/>
  <c r="H10" i="1"/>
  <c r="H11" i="1"/>
  <c r="I8" i="1"/>
  <c r="K8" i="1" s="1"/>
  <c r="H8" i="1"/>
  <c r="I21" i="3"/>
  <c r="K18" i="3"/>
  <c r="J18" i="3"/>
  <c r="I18" i="3"/>
  <c r="I14" i="3"/>
  <c r="I15" i="3"/>
  <c r="I13" i="3"/>
  <c r="R17" i="1"/>
  <c r="S17" i="1"/>
  <c r="R16" i="1"/>
  <c r="K17" i="1"/>
  <c r="I9" i="2"/>
  <c r="I10" i="2"/>
  <c r="I11" i="2"/>
  <c r="H9" i="2"/>
  <c r="H10" i="2"/>
  <c r="H11" i="2"/>
  <c r="I8" i="2"/>
  <c r="K8" i="2" s="1"/>
  <c r="H8" i="2"/>
  <c r="O18" i="3"/>
  <c r="O15" i="3"/>
  <c r="O16" i="3"/>
  <c r="O14" i="3"/>
  <c r="J8" i="3"/>
  <c r="J9" i="3"/>
  <c r="J7" i="3"/>
  <c r="R7" i="3"/>
  <c r="R6" i="3"/>
  <c r="Q6" i="3"/>
  <c r="R5" i="3"/>
  <c r="Q5" i="3"/>
  <c r="R4" i="3"/>
  <c r="P4" i="3"/>
  <c r="O5" i="3" s="1"/>
  <c r="P5" i="3" s="1"/>
  <c r="O6" i="3" s="1"/>
  <c r="P6" i="3" s="1"/>
  <c r="O7" i="3" s="1"/>
  <c r="Q4" i="3"/>
  <c r="O4" i="3"/>
  <c r="K4" i="3"/>
  <c r="J4" i="3"/>
  <c r="I4" i="3"/>
  <c r="H4" i="3"/>
  <c r="F13" i="3"/>
  <c r="F9" i="3"/>
  <c r="F6" i="3"/>
  <c r="F5" i="3"/>
  <c r="F4" i="3"/>
  <c r="H4" i="2"/>
  <c r="K9" i="1"/>
  <c r="S18" i="1"/>
  <c r="S19" i="1"/>
  <c r="S16" i="1"/>
  <c r="R19" i="1"/>
  <c r="R18" i="1"/>
  <c r="J11" i="2"/>
  <c r="K11" i="2" s="1"/>
  <c r="J10" i="2"/>
  <c r="J9" i="2"/>
  <c r="J8" i="2"/>
  <c r="D6" i="2"/>
  <c r="D5" i="2"/>
  <c r="D4" i="2"/>
  <c r="N3" i="2"/>
  <c r="J3" i="2"/>
  <c r="D3" i="2"/>
  <c r="N3" i="1"/>
  <c r="J3" i="1"/>
  <c r="L11" i="1"/>
  <c r="M11" i="1" s="1"/>
  <c r="N11" i="1" s="1"/>
  <c r="S11" i="1" s="1"/>
  <c r="K10" i="1"/>
  <c r="K11" i="1"/>
  <c r="J9" i="1"/>
  <c r="J10" i="1"/>
  <c r="J11" i="1"/>
  <c r="J8" i="1"/>
  <c r="D4" i="1"/>
  <c r="D5" i="1"/>
  <c r="D6" i="1"/>
  <c r="D3" i="1"/>
  <c r="L10" i="1" l="1"/>
  <c r="M10" i="1" s="1"/>
  <c r="N10" i="1" s="1"/>
  <c r="S10" i="1" s="1"/>
  <c r="R11" i="1"/>
  <c r="L8" i="1"/>
  <c r="R8" i="1" s="1"/>
  <c r="L11" i="2"/>
  <c r="M11" i="2" s="1"/>
  <c r="N11" i="2" s="1"/>
  <c r="L8" i="2"/>
  <c r="M8" i="2" s="1"/>
  <c r="L9" i="1"/>
  <c r="M9" i="1" s="1"/>
  <c r="N9" i="1" s="1"/>
  <c r="S9" i="1" s="1"/>
  <c r="R9" i="1"/>
  <c r="K9" i="2"/>
  <c r="K10" i="2"/>
  <c r="R10" i="1" l="1"/>
  <c r="M8" i="1"/>
  <c r="N8" i="1" s="1"/>
  <c r="S8" i="1" s="1"/>
  <c r="N8" i="2"/>
  <c r="L10" i="2"/>
  <c r="M10" i="2" s="1"/>
  <c r="N10" i="2" s="1"/>
  <c r="L9" i="2"/>
  <c r="M9" i="2" s="1"/>
  <c r="N9" i="2" s="1"/>
</calcChain>
</file>

<file path=xl/sharedStrings.xml><?xml version="1.0" encoding="utf-8"?>
<sst xmlns="http://schemas.openxmlformats.org/spreadsheetml/2006/main" count="141" uniqueCount="83">
  <si>
    <t>Sistema Propulsivo</t>
  </si>
  <si>
    <t>Impulso específico Isp(s)</t>
  </si>
  <si>
    <r>
      <t>Dead Weight Ratio (</t>
    </r>
    <r>
      <rPr>
        <b/>
        <sz val="11"/>
        <color theme="1"/>
        <rFont val="Calibri"/>
        <family val="2"/>
      </rPr>
      <t>δ)</t>
    </r>
  </si>
  <si>
    <t>Sólido</t>
  </si>
  <si>
    <t>Líquido (O2-Queroseno)</t>
  </si>
  <si>
    <t>Líquido (O2-H2)</t>
  </si>
  <si>
    <t>Nuclear (H2)</t>
  </si>
  <si>
    <t>σ</t>
  </si>
  <si>
    <t>Δ</t>
  </si>
  <si>
    <t>Mcp</t>
  </si>
  <si>
    <t>tb</t>
  </si>
  <si>
    <t>Mcp (kg)</t>
  </si>
  <si>
    <t>tb (s)</t>
  </si>
  <si>
    <t>ΔD (m/s)</t>
  </si>
  <si>
    <t>g(o) (m/s^2)</t>
  </si>
  <si>
    <t>ΔVg = g(o)*tb (km/s)</t>
  </si>
  <si>
    <t>ΔV</t>
  </si>
  <si>
    <t>ΔV (km/s)</t>
  </si>
  <si>
    <t>Mo/Mb</t>
  </si>
  <si>
    <t>Mp/Mo</t>
  </si>
  <si>
    <t>Ms/Mo</t>
  </si>
  <si>
    <t>R</t>
  </si>
  <si>
    <t>p</t>
  </si>
  <si>
    <t>Mp</t>
  </si>
  <si>
    <t>Ms/Mp</t>
  </si>
  <si>
    <r>
      <t xml:space="preserve">Vorb =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V(ideal) (km/s)</t>
    </r>
  </si>
  <si>
    <t>Mcp/Mo</t>
  </si>
  <si>
    <t>Mo</t>
  </si>
  <si>
    <t>Impulso específico Isp(km/s)</t>
  </si>
  <si>
    <t>δ</t>
  </si>
  <si>
    <t>Initial Mass (metric tons)</t>
  </si>
  <si>
    <t>Propellant Mass  (metric tons)</t>
  </si>
  <si>
    <t>Dead Weight Ratio (δ)</t>
  </si>
  <si>
    <t>Vorb = ΔV(ideal) (km/s)</t>
  </si>
  <si>
    <t>Mcp/Mo (%)</t>
  </si>
  <si>
    <t>Results part a)</t>
  </si>
  <si>
    <t>Results part b)</t>
  </si>
  <si>
    <t>ṁ</t>
  </si>
  <si>
    <t>Rendimiento motor, ηm</t>
  </si>
  <si>
    <t>Empuje, E (N)</t>
  </si>
  <si>
    <t>Wmotor</t>
  </si>
  <si>
    <t>Potencia (kW)</t>
  </si>
  <si>
    <t>Gasto másico (kg/s)</t>
  </si>
  <si>
    <t>this would be in case 7.9 is ΔV and therefore ΔVideal would be it minus ΔVg</t>
  </si>
  <si>
    <t xml:space="preserve">Ms </t>
  </si>
  <si>
    <t>Total Weights (metric tons)</t>
  </si>
  <si>
    <t>ARIANE 1</t>
  </si>
  <si>
    <t>Masa al Despegue (toneladas)</t>
  </si>
  <si>
    <t>Estrucutra</t>
  </si>
  <si>
    <t>Propulsante</t>
  </si>
  <si>
    <t>Fuselaje</t>
  </si>
  <si>
    <t>VEB</t>
  </si>
  <si>
    <t>Tercera Etapa</t>
  </si>
  <si>
    <t>Hidrógeno Líquido</t>
  </si>
  <si>
    <t>Oxígeno Líquido</t>
  </si>
  <si>
    <t>Segunda Etapa</t>
  </si>
  <si>
    <t>UDMH</t>
  </si>
  <si>
    <t>N204</t>
  </si>
  <si>
    <t>Agua</t>
  </si>
  <si>
    <t>Primera Etapa</t>
  </si>
  <si>
    <t>Carga de Pago</t>
  </si>
  <si>
    <t>Item</t>
  </si>
  <si>
    <t>Mb</t>
  </si>
  <si>
    <t>Ms</t>
  </si>
  <si>
    <t>Payload</t>
  </si>
  <si>
    <t>Weights (metric tons)</t>
  </si>
  <si>
    <t>Assuming that gravitational and aerodinamic losses are negligible.</t>
  </si>
  <si>
    <t>Incremento de velocidad (ideal)</t>
  </si>
  <si>
    <t>Etapa</t>
  </si>
  <si>
    <t>Isp (s)</t>
  </si>
  <si>
    <t>Isp (m/s)</t>
  </si>
  <si>
    <t>E (kN)</t>
  </si>
  <si>
    <t>Vo (km/s)</t>
  </si>
  <si>
    <t>km/s</t>
  </si>
  <si>
    <t>ignorando los efectos de las pérdidas aeródinámicas y gravitacionales</t>
  </si>
  <si>
    <t>Stage</t>
  </si>
  <si>
    <t>Total, ΣΔV</t>
  </si>
  <si>
    <t>(a) Incremento de velocidad del Ariane 1 con sus tres etapas:</t>
  </si>
  <si>
    <t>Mpi/Mp</t>
  </si>
  <si>
    <t>Average E (kN)</t>
  </si>
  <si>
    <t>Average Isp (m/s)</t>
  </si>
  <si>
    <t>(b) Incremento de velocidad de Ariane 1 con una etapa:</t>
  </si>
  <si>
    <t>km/s,      for a one stage Ariane 1 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</si>
</sst>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4" fillId="2" borderId="3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2" fillId="0" borderId="4" xfId="0" applyFont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2" fillId="0" borderId="1" xfId="0" applyFont="1" applyBorder="1" applyAlignment="1">
      <alignment wrapText="1"/>
    </xf>
    <xf numFmtId="2" fontId="1" fillId="2" borderId="1" xfId="1" applyNumberForma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2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7" fontId="1" fillId="2" borderId="1" xfId="1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1" fillId="2" borderId="11" xfId="1" applyBorder="1" applyAlignment="1">
      <alignment horizontal="center" vertical="center"/>
    </xf>
    <xf numFmtId="0" fontId="1" fillId="2" borderId="11" xfId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164" fontId="4" fillId="2" borderId="1" xfId="1" applyNumberFormat="1" applyFont="1" applyBorder="1"/>
    <xf numFmtId="2" fontId="4" fillId="2" borderId="1" xfId="1" applyNumberFormat="1" applyFont="1" applyBorder="1"/>
    <xf numFmtId="10" fontId="4" fillId="2" borderId="1" xfId="1" applyNumberFormat="1" applyFont="1" applyBorder="1"/>
    <xf numFmtId="2" fontId="0" fillId="0" borderId="0" xfId="0" applyNumberForma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12" xfId="0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 wrapText="1"/>
    </xf>
    <xf numFmtId="166" fontId="1" fillId="2" borderId="1" xfId="1" applyNumberFormat="1" applyBorder="1" applyAlignment="1">
      <alignment wrapText="1"/>
    </xf>
    <xf numFmtId="2" fontId="1" fillId="2" borderId="1" xfId="1" applyNumberFormat="1" applyBorder="1" applyAlignment="1">
      <alignment wrapText="1"/>
    </xf>
    <xf numFmtId="0" fontId="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6" xfId="1" applyFont="1" applyBorder="1" applyAlignment="1">
      <alignment horizontal="left"/>
    </xf>
    <xf numFmtId="2" fontId="4" fillId="2" borderId="17" xfId="1" applyNumberFormat="1" applyFont="1" applyBorder="1"/>
    <xf numFmtId="0" fontId="4" fillId="2" borderId="18" xfId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Sheet2!$G$8:$G$11</c:f>
              <c:strCache>
                <c:ptCount val="4"/>
                <c:pt idx="0">
                  <c:v>Sólido</c:v>
                </c:pt>
                <c:pt idx="1">
                  <c:v>Líquido (O2-Queroseno)</c:v>
                </c:pt>
                <c:pt idx="2">
                  <c:v>Líquido (O2-H2)</c:v>
                </c:pt>
                <c:pt idx="3">
                  <c:v>Nuclear (H2)</c:v>
                </c:pt>
              </c:strCache>
            </c:strRef>
          </c:cat>
          <c:val>
            <c:numRef>
              <c:f>Sheet2!$L$8:$L$11</c:f>
              <c:numCache>
                <c:formatCode>0.0000</c:formatCode>
                <c:ptCount val="4"/>
                <c:pt idx="0">
                  <c:v>-1.0880202800635825E-2</c:v>
                </c:pt>
                <c:pt idx="1">
                  <c:v>1.2080556031243113E-2</c:v>
                </c:pt>
                <c:pt idx="2">
                  <c:v>3.5221167362952222E-2</c:v>
                </c:pt>
                <c:pt idx="3">
                  <c:v>0.20901201926245783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5-4B38-93D1-388F8CD5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902376"/>
        <c:axId val="478900080"/>
      </c:barChart>
      <c:catAx>
        <c:axId val="47890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00080"/>
        <c:crosses val="autoZero"/>
        <c:auto val="1"/>
        <c:lblAlgn val="ctr"/>
        <c:lblOffset val="100"/>
        <c:noMultiLvlLbl val="0"/>
      </c:catAx>
      <c:valAx>
        <c:axId val="47890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Mcp/Mo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0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Sheet2!$G$8:$G$11</c:f>
              <c:strCache>
                <c:ptCount val="4"/>
                <c:pt idx="0">
                  <c:v>Sólido</c:v>
                </c:pt>
                <c:pt idx="1">
                  <c:v>Líquido (O2-Queroseno)</c:v>
                </c:pt>
                <c:pt idx="2">
                  <c:v>Líquido (O2-H2)</c:v>
                </c:pt>
                <c:pt idx="3">
                  <c:v>Nuclear (H2)</c:v>
                </c:pt>
              </c:strCache>
            </c:strRef>
          </c:cat>
          <c:val>
            <c:numRef>
              <c:f>Sheet2!$N$8:$N$11</c:f>
              <c:numCache>
                <c:formatCode>0.00</c:formatCode>
                <c:ptCount val="4"/>
                <c:pt idx="0">
                  <c:v>-81.784771725457176</c:v>
                </c:pt>
                <c:pt idx="1">
                  <c:v>71.934218833315938</c:v>
                </c:pt>
                <c:pt idx="2">
                  <c:v>23.304090206136713</c:v>
                </c:pt>
                <c:pt idx="3">
                  <c:v>2.9991121016746081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4-475E-9646-FB8CD541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70720"/>
        <c:axId val="707969736"/>
      </c:barChart>
      <c:catAx>
        <c:axId val="707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9736"/>
        <c:crosses val="autoZero"/>
        <c:auto val="1"/>
        <c:lblAlgn val="ctr"/>
        <c:lblOffset val="100"/>
        <c:noMultiLvlLbl val="0"/>
      </c:catAx>
      <c:valAx>
        <c:axId val="7079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Mp Imetric</a:t>
                </a:r>
                <a:r>
                  <a:rPr lang="en-GB" baseline="0"/>
                  <a:t>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87630</xdr:colOff>
      <xdr:row>1</xdr:row>
      <xdr:rowOff>131446</xdr:rowOff>
    </xdr:from>
    <xdr:to>
      <xdr:col>21</xdr:col>
      <xdr:colOff>43815</xdr:colOff>
      <xdr:row>5</xdr:row>
      <xdr:rowOff>699135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FA432-F82F-4568-AA55-EF2879BA3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80008</xdr:colOff>
      <xdr:row>6</xdr:row>
      <xdr:rowOff>26670</xdr:rowOff>
    </xdr:from>
    <xdr:to>
      <xdr:col>21</xdr:col>
      <xdr:colOff>43814</xdr:colOff>
      <xdr:row>13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4E461-F8A3-4F2D-88F6-F511D0476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3D73-4A41-4DC8-BC4D-671E9C44C59D}">
  <dimension ref="B2:S19"/>
  <sheetViews>
    <sheetView tabSelected="1" workbookViewId="0">
      <selection activeCell="E13" sqref="E13"/>
    </sheetView>
  </sheetViews>
  <sheetFormatPr defaultRowHeight="15" x14ac:dyDescent="0.25"/>
  <cols>
    <col min="1" max="1" width="6.7109375" customWidth="1"/>
    <col min="2" max="2" width="12.42578125" customWidth="1"/>
    <col min="3" max="3" width="12.5703125" customWidth="1"/>
    <col min="4" max="4" width="10.42578125" customWidth="1"/>
    <col min="6" max="6" width="11.42578125" customWidth="1"/>
    <col min="7" max="7" width="11.28515625" customWidth="1"/>
    <col min="8" max="8" width="9.85546875" customWidth="1"/>
    <col min="10" max="10" width="10.28515625" customWidth="1"/>
    <col min="11" max="11" width="9.140625" customWidth="1"/>
    <col min="13" max="13" width="10.85546875" customWidth="1"/>
    <col min="14" max="14" width="13" customWidth="1"/>
    <col min="15" max="15" width="10.28515625" customWidth="1"/>
    <col min="17" max="17" width="13.140625" customWidth="1"/>
    <col min="19" max="19" width="12.5703125" customWidth="1"/>
  </cols>
  <sheetData>
    <row r="2" spans="2:19" ht="45" x14ac:dyDescent="0.25">
      <c r="B2" s="28" t="s">
        <v>0</v>
      </c>
      <c r="C2" s="28" t="s">
        <v>1</v>
      </c>
      <c r="D2" s="28" t="s">
        <v>28</v>
      </c>
      <c r="E2" s="28" t="s">
        <v>2</v>
      </c>
      <c r="F2" s="1"/>
      <c r="G2" s="28" t="s">
        <v>25</v>
      </c>
      <c r="H2" s="29" t="s">
        <v>11</v>
      </c>
      <c r="I2" s="28" t="s">
        <v>12</v>
      </c>
      <c r="J2" s="28" t="s">
        <v>15</v>
      </c>
      <c r="K2" s="29" t="s">
        <v>13</v>
      </c>
      <c r="L2" s="28" t="s">
        <v>14</v>
      </c>
      <c r="M2" s="29"/>
      <c r="N2" s="29" t="s">
        <v>17</v>
      </c>
      <c r="P2" s="30" t="s">
        <v>39</v>
      </c>
      <c r="Q2" s="30" t="s">
        <v>38</v>
      </c>
    </row>
    <row r="3" spans="2:19" x14ac:dyDescent="0.25">
      <c r="B3" s="23" t="s">
        <v>3</v>
      </c>
      <c r="C3" s="25">
        <v>249</v>
      </c>
      <c r="D3" s="24">
        <f>C3*9.81/1000</f>
        <v>2.4426900000000002</v>
      </c>
      <c r="E3" s="25">
        <v>0.03</v>
      </c>
      <c r="G3" s="24">
        <v>7.9</v>
      </c>
      <c r="H3" s="24">
        <v>907.18</v>
      </c>
      <c r="I3" s="24">
        <v>180</v>
      </c>
      <c r="J3" s="24">
        <f>I3*L3/1000</f>
        <v>1.7658000000000003</v>
      </c>
      <c r="K3" s="24">
        <v>0</v>
      </c>
      <c r="L3" s="24">
        <v>9.81</v>
      </c>
      <c r="M3" s="25"/>
      <c r="N3" s="24">
        <f>G3+J3+K3</f>
        <v>9.6658000000000008</v>
      </c>
      <c r="P3" s="25">
        <v>100</v>
      </c>
      <c r="Q3" s="25">
        <v>0.5</v>
      </c>
    </row>
    <row r="4" spans="2:19" ht="30" x14ac:dyDescent="0.25">
      <c r="B4" s="23" t="s">
        <v>4</v>
      </c>
      <c r="C4" s="25">
        <v>311</v>
      </c>
      <c r="D4" s="24">
        <f t="shared" ref="D4:D6" si="0">C4*9.81/1000</f>
        <v>3.0509100000000005</v>
      </c>
      <c r="E4" s="25">
        <v>0.03</v>
      </c>
    </row>
    <row r="5" spans="2:19" ht="30" x14ac:dyDescent="0.25">
      <c r="B5" s="23" t="s">
        <v>5</v>
      </c>
      <c r="C5" s="25">
        <v>419</v>
      </c>
      <c r="D5" s="24">
        <f t="shared" si="0"/>
        <v>4.1103900000000007</v>
      </c>
      <c r="E5" s="25">
        <v>0.06</v>
      </c>
      <c r="Q5" t="s">
        <v>35</v>
      </c>
    </row>
    <row r="6" spans="2:19" ht="60" x14ac:dyDescent="0.25">
      <c r="B6" s="22" t="s">
        <v>6</v>
      </c>
      <c r="C6" s="25">
        <v>839</v>
      </c>
      <c r="D6" s="24">
        <f t="shared" si="0"/>
        <v>8.2305899999999994</v>
      </c>
      <c r="E6" s="25">
        <v>0.1</v>
      </c>
      <c r="G6" s="36" t="s">
        <v>0</v>
      </c>
      <c r="H6" s="12" t="s">
        <v>18</v>
      </c>
      <c r="I6" s="36" t="s">
        <v>19</v>
      </c>
      <c r="J6" s="12" t="s">
        <v>20</v>
      </c>
      <c r="K6" s="36" t="s">
        <v>24</v>
      </c>
      <c r="L6" s="8" t="s">
        <v>26</v>
      </c>
      <c r="M6" s="36" t="s">
        <v>30</v>
      </c>
      <c r="N6" s="33" t="s">
        <v>31</v>
      </c>
      <c r="Q6" s="10" t="s">
        <v>0</v>
      </c>
      <c r="R6" s="33" t="s">
        <v>34</v>
      </c>
      <c r="S6" s="33" t="s">
        <v>31</v>
      </c>
    </row>
    <row r="7" spans="2:19" x14ac:dyDescent="0.25">
      <c r="G7" s="37"/>
      <c r="H7" s="13" t="s">
        <v>21</v>
      </c>
      <c r="I7" s="38"/>
      <c r="J7" s="13" t="s">
        <v>29</v>
      </c>
      <c r="K7" s="38" t="s">
        <v>7</v>
      </c>
      <c r="L7" s="9" t="s">
        <v>22</v>
      </c>
      <c r="M7" s="38" t="s">
        <v>27</v>
      </c>
      <c r="N7" s="34" t="s">
        <v>23</v>
      </c>
      <c r="Q7" s="11"/>
      <c r="R7" s="34" t="s">
        <v>22</v>
      </c>
      <c r="S7" s="34" t="s">
        <v>23</v>
      </c>
    </row>
    <row r="8" spans="2:19" x14ac:dyDescent="0.25">
      <c r="G8" s="20" t="s">
        <v>3</v>
      </c>
      <c r="H8" s="24">
        <f>EXP($N$3/D3)</f>
        <v>52.301809981188242</v>
      </c>
      <c r="I8" s="24">
        <f>1-EXP(-$N$3/D3)</f>
        <v>0.98088020280063581</v>
      </c>
      <c r="J8" s="25">
        <f>E3</f>
        <v>0.03</v>
      </c>
      <c r="K8" s="26">
        <f>J8*((I8)^-1)</f>
        <v>3.0584774689450537E-2</v>
      </c>
      <c r="L8" s="27">
        <f>(K8*(1-H8)+1)/H8</f>
        <v>-1.0880202800635825E-2</v>
      </c>
      <c r="M8" s="24">
        <f>($H$3/L8)/1000</f>
        <v>-83.378960541708423</v>
      </c>
      <c r="N8" s="21">
        <f>I8*M8</f>
        <v>-81.784771725457176</v>
      </c>
      <c r="Q8" s="20" t="s">
        <v>3</v>
      </c>
      <c r="R8" s="41">
        <f>L8</f>
        <v>-1.0880202800635825E-2</v>
      </c>
      <c r="S8" s="40">
        <f>N8</f>
        <v>-81.784771725457176</v>
      </c>
    </row>
    <row r="9" spans="2:19" ht="45" x14ac:dyDescent="0.25">
      <c r="G9" s="28" t="s">
        <v>4</v>
      </c>
      <c r="H9" s="24">
        <f t="shared" ref="H9:H11" si="1">EXP($N$3/D4)</f>
        <v>23.763944546206574</v>
      </c>
      <c r="I9" s="24">
        <f t="shared" ref="I9:I11" si="2">1-EXP(-$N$3/D4)</f>
        <v>0.95791944396875683</v>
      </c>
      <c r="J9" s="25">
        <f t="shared" ref="J9:J11" si="3">E4</f>
        <v>0.03</v>
      </c>
      <c r="K9" s="26">
        <f t="shared" ref="K9:K11" si="4">J9*((I9)^-1)</f>
        <v>3.1317873531940196E-2</v>
      </c>
      <c r="L9" s="27">
        <f>(K9*(1-H9)+1)/H9</f>
        <v>1.2080556031243113E-2</v>
      </c>
      <c r="M9" s="24">
        <f>($H$3/L9)/1000</f>
        <v>75.094225601356641</v>
      </c>
      <c r="N9" s="21">
        <f t="shared" ref="N9:N11" si="5">I9*M9</f>
        <v>71.934218833315938</v>
      </c>
      <c r="Q9" s="22" t="s">
        <v>4</v>
      </c>
      <c r="R9" s="41">
        <f t="shared" ref="R9:R11" si="6">L9</f>
        <v>1.2080556031243113E-2</v>
      </c>
      <c r="S9" s="40">
        <f t="shared" ref="S9:S11" si="7">N9</f>
        <v>71.934218833315938</v>
      </c>
    </row>
    <row r="10" spans="2:19" ht="30" x14ac:dyDescent="0.25">
      <c r="G10" s="23" t="s">
        <v>5</v>
      </c>
      <c r="H10" s="24">
        <f t="shared" si="1"/>
        <v>10.501866630014355</v>
      </c>
      <c r="I10" s="24">
        <f t="shared" si="2"/>
        <v>0.90477883263704773</v>
      </c>
      <c r="J10" s="25">
        <f t="shared" si="3"/>
        <v>0.06</v>
      </c>
      <c r="K10" s="26">
        <f t="shared" si="4"/>
        <v>6.6314548744609084E-2</v>
      </c>
      <c r="L10" s="27">
        <f t="shared" ref="L9:L11" si="8">(K10*(1-H10)+1)/H10</f>
        <v>3.5221167362952222E-2</v>
      </c>
      <c r="M10" s="24">
        <f t="shared" ref="M9:M11" si="9">($H$3/L10)/1000</f>
        <v>25.756670432060336</v>
      </c>
      <c r="N10" s="21">
        <f t="shared" si="5"/>
        <v>23.304090206136713</v>
      </c>
      <c r="Q10" s="23" t="s">
        <v>5</v>
      </c>
      <c r="R10" s="41">
        <f t="shared" si="6"/>
        <v>3.5221167362952222E-2</v>
      </c>
      <c r="S10" s="40">
        <f t="shared" si="7"/>
        <v>23.304090206136713</v>
      </c>
    </row>
    <row r="11" spans="2:19" ht="30" x14ac:dyDescent="0.25">
      <c r="G11" s="23" t="s">
        <v>6</v>
      </c>
      <c r="H11" s="24">
        <f t="shared" si="1"/>
        <v>3.2361200783929864</v>
      </c>
      <c r="I11" s="24">
        <f t="shared" si="2"/>
        <v>0.6909879807375422</v>
      </c>
      <c r="J11" s="25">
        <f t="shared" si="3"/>
        <v>0.1</v>
      </c>
      <c r="K11" s="26">
        <f t="shared" si="4"/>
        <v>0.14472031755641054</v>
      </c>
      <c r="L11" s="27">
        <f t="shared" si="8"/>
        <v>0.20901201926245783</v>
      </c>
      <c r="M11" s="24">
        <f>($H$3/L11)/1000</f>
        <v>4.3403245574162312</v>
      </c>
      <c r="N11" s="21">
        <f t="shared" si="5"/>
        <v>2.9991121016746081</v>
      </c>
      <c r="Q11" s="23" t="s">
        <v>6</v>
      </c>
      <c r="R11" s="41">
        <f t="shared" si="6"/>
        <v>0.20901201926245783</v>
      </c>
      <c r="S11" s="40">
        <f t="shared" si="7"/>
        <v>2.9991121016746081</v>
      </c>
    </row>
    <row r="13" spans="2:19" x14ac:dyDescent="0.25">
      <c r="I13" s="42"/>
      <c r="Q13" t="s">
        <v>36</v>
      </c>
    </row>
    <row r="14" spans="2:19" ht="45" x14ac:dyDescent="0.25">
      <c r="Q14" s="31" t="s">
        <v>0</v>
      </c>
      <c r="R14" s="33" t="s">
        <v>42</v>
      </c>
      <c r="S14" s="33" t="s">
        <v>41</v>
      </c>
    </row>
    <row r="15" spans="2:19" x14ac:dyDescent="0.25">
      <c r="Q15" s="32"/>
      <c r="R15" s="34" t="s">
        <v>37</v>
      </c>
      <c r="S15" s="35" t="s">
        <v>40</v>
      </c>
    </row>
    <row r="16" spans="2:19" x14ac:dyDescent="0.25">
      <c r="Q16" s="20" t="s">
        <v>3</v>
      </c>
      <c r="R16" s="39">
        <f>$P$3/(D3*1000)</f>
        <v>4.0938473568074542E-2</v>
      </c>
      <c r="S16" s="40">
        <f>(1/(2*$Q$3))*R16*((D3*1000)^2)/1000</f>
        <v>244.26900000000003</v>
      </c>
    </row>
    <row r="17" spans="11:19" ht="30" x14ac:dyDescent="0.25">
      <c r="K17">
        <f>0.4016*(249*9.81)</f>
        <v>980.98430400000007</v>
      </c>
      <c r="Q17" s="22" t="s">
        <v>4</v>
      </c>
      <c r="R17" s="39">
        <f>$P$3/(D4*1000)</f>
        <v>3.2777105847107905E-2</v>
      </c>
      <c r="S17" s="40">
        <f>(1/(2*$Q$3))*R17*((D4*1000)^2)/1000</f>
        <v>305.09100000000001</v>
      </c>
    </row>
    <row r="18" spans="11:19" ht="30" x14ac:dyDescent="0.25">
      <c r="Q18" s="23" t="s">
        <v>5</v>
      </c>
      <c r="R18" s="39">
        <f>$P$3/(D5*1000)</f>
        <v>2.4328591690812792E-2</v>
      </c>
      <c r="S18" s="40">
        <f>(1/(2*$Q$3))*R18*((D5*1000)^2)/1000</f>
        <v>411.03899999999999</v>
      </c>
    </row>
    <row r="19" spans="11:19" x14ac:dyDescent="0.25">
      <c r="Q19" s="23" t="s">
        <v>6</v>
      </c>
      <c r="R19" s="39">
        <f>$P$3/(D6*1000)</f>
        <v>1.2149797280632372E-2</v>
      </c>
      <c r="S19" s="40">
        <f>(1/(2*$Q$3))*R19*((D6*1000)^2)/1000</f>
        <v>823.05899999999986</v>
      </c>
    </row>
  </sheetData>
  <mergeCells count="2">
    <mergeCell ref="Q6:Q7"/>
    <mergeCell ref="Q14:Q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C08D-E042-4263-A609-50C6CB904D3E}">
  <dimension ref="B2:R21"/>
  <sheetViews>
    <sheetView workbookViewId="0">
      <selection activeCell="N24" sqref="N24"/>
    </sheetView>
  </sheetViews>
  <sheetFormatPr defaultRowHeight="15" x14ac:dyDescent="0.25"/>
  <cols>
    <col min="1" max="1" width="4.7109375" customWidth="1"/>
    <col min="2" max="2" width="9.42578125" customWidth="1"/>
    <col min="3" max="3" width="17.85546875" customWidth="1"/>
    <col min="4" max="4" width="10.42578125" customWidth="1"/>
    <col min="5" max="5" width="11.7109375" bestFit="1" customWidth="1"/>
    <col min="9" max="9" width="12" bestFit="1" customWidth="1"/>
    <col min="10" max="11" width="11" bestFit="1" customWidth="1"/>
    <col min="12" max="12" width="9.140625" customWidth="1"/>
    <col min="13" max="13" width="5.85546875" customWidth="1"/>
    <col min="14" max="14" width="13.5703125" customWidth="1"/>
    <col min="15" max="15" width="12.7109375" customWidth="1"/>
  </cols>
  <sheetData>
    <row r="2" spans="2:18" x14ac:dyDescent="0.25">
      <c r="B2" s="43" t="s">
        <v>46</v>
      </c>
      <c r="C2" s="49"/>
      <c r="D2" s="54" t="s">
        <v>47</v>
      </c>
      <c r="E2" s="55"/>
      <c r="F2" s="56"/>
      <c r="H2" s="54" t="s">
        <v>45</v>
      </c>
      <c r="I2" s="55"/>
      <c r="J2" s="55"/>
      <c r="K2" s="56"/>
      <c r="N2" s="67" t="s">
        <v>75</v>
      </c>
      <c r="O2" s="44" t="s">
        <v>65</v>
      </c>
      <c r="P2" s="44"/>
      <c r="Q2" s="44"/>
      <c r="R2" s="44"/>
    </row>
    <row r="3" spans="2:18" x14ac:dyDescent="0.25">
      <c r="B3" s="43"/>
      <c r="C3" s="49"/>
      <c r="D3" s="57" t="s">
        <v>48</v>
      </c>
      <c r="E3" s="57" t="s">
        <v>49</v>
      </c>
      <c r="F3" s="52" t="s">
        <v>61</v>
      </c>
      <c r="H3" s="59" t="s">
        <v>44</v>
      </c>
      <c r="I3" s="59" t="s">
        <v>23</v>
      </c>
      <c r="J3" s="59" t="s">
        <v>9</v>
      </c>
      <c r="K3" s="59" t="s">
        <v>27</v>
      </c>
      <c r="N3" s="68"/>
      <c r="O3" s="59" t="s">
        <v>27</v>
      </c>
      <c r="P3" s="59" t="s">
        <v>62</v>
      </c>
      <c r="Q3" s="59" t="s">
        <v>23</v>
      </c>
      <c r="R3" s="59" t="s">
        <v>63</v>
      </c>
    </row>
    <row r="4" spans="2:18" x14ac:dyDescent="0.25">
      <c r="B4" s="45" t="s">
        <v>50</v>
      </c>
      <c r="C4" s="50"/>
      <c r="D4" s="58">
        <v>0.84</v>
      </c>
      <c r="E4" s="58"/>
      <c r="F4" s="18">
        <f>D4</f>
        <v>0.84</v>
      </c>
      <c r="H4" s="53">
        <f>SUM(D4:D17)</f>
        <v>19.96</v>
      </c>
      <c r="I4" s="16">
        <f>SUM(E4:E17)</f>
        <v>188.69</v>
      </c>
      <c r="J4" s="16">
        <f>F17</f>
        <v>1.75</v>
      </c>
      <c r="K4" s="19">
        <f>SUM(F4:F17)</f>
        <v>210.39999999999998</v>
      </c>
      <c r="N4" s="60">
        <v>1</v>
      </c>
      <c r="O4" s="25">
        <f>K4</f>
        <v>210.39999999999998</v>
      </c>
      <c r="P4" s="25">
        <f>O4-Q4</f>
        <v>64.049999999999983</v>
      </c>
      <c r="Q4" s="25">
        <f>SUM(E14:E16)</f>
        <v>146.35</v>
      </c>
      <c r="R4" s="25">
        <f>D13</f>
        <v>13.8</v>
      </c>
    </row>
    <row r="5" spans="2:18" x14ac:dyDescent="0.25">
      <c r="B5" s="45" t="s">
        <v>51</v>
      </c>
      <c r="C5" s="50"/>
      <c r="D5" s="58">
        <v>0.32</v>
      </c>
      <c r="E5" s="58"/>
      <c r="F5" s="18">
        <f>D5</f>
        <v>0.32</v>
      </c>
      <c r="N5" s="61">
        <v>2</v>
      </c>
      <c r="O5" s="25">
        <f>P4-R4</f>
        <v>50.249999999999986</v>
      </c>
      <c r="P5" s="25">
        <f>O5-Q5</f>
        <v>16.199999999999989</v>
      </c>
      <c r="Q5" s="25">
        <f>SUM(E10:E12)</f>
        <v>34.049999999999997</v>
      </c>
      <c r="R5" s="25">
        <f>D9</f>
        <v>3.8</v>
      </c>
    </row>
    <row r="6" spans="2:18" x14ac:dyDescent="0.25">
      <c r="B6" s="46" t="s">
        <v>52</v>
      </c>
      <c r="C6" s="51"/>
      <c r="D6" s="58">
        <v>1.2</v>
      </c>
      <c r="E6" s="58"/>
      <c r="F6" s="18">
        <f>D6+E7+E8</f>
        <v>9.49</v>
      </c>
      <c r="H6" s="29" t="s">
        <v>68</v>
      </c>
      <c r="I6" s="29" t="s">
        <v>69</v>
      </c>
      <c r="J6" s="29" t="s">
        <v>70</v>
      </c>
      <c r="K6" s="29" t="s">
        <v>71</v>
      </c>
      <c r="L6" s="29" t="s">
        <v>10</v>
      </c>
      <c r="N6" s="61">
        <v>3</v>
      </c>
      <c r="O6" s="25">
        <f>P5-R5</f>
        <v>12.399999999999988</v>
      </c>
      <c r="P6" s="25">
        <f>O6-Q6</f>
        <v>4.109999999999987</v>
      </c>
      <c r="Q6" s="25">
        <f>SUM(E7:E8)</f>
        <v>8.2900000000000009</v>
      </c>
      <c r="R6" s="25">
        <f>D6</f>
        <v>1.2</v>
      </c>
    </row>
    <row r="7" spans="2:18" x14ac:dyDescent="0.25">
      <c r="B7" s="47"/>
      <c r="C7" s="15" t="s">
        <v>53</v>
      </c>
      <c r="D7" s="58"/>
      <c r="E7" s="58">
        <v>6.74</v>
      </c>
      <c r="F7" s="18"/>
      <c r="H7" s="25">
        <v>1</v>
      </c>
      <c r="I7" s="25">
        <v>281</v>
      </c>
      <c r="J7" s="63">
        <f>I7*9.81</f>
        <v>2756.61</v>
      </c>
      <c r="K7" s="25">
        <v>2800</v>
      </c>
      <c r="L7" s="25">
        <v>135</v>
      </c>
      <c r="N7" s="61" t="s">
        <v>64</v>
      </c>
      <c r="O7" s="25">
        <f>P6-R6</f>
        <v>2.9099999999999868</v>
      </c>
      <c r="P7" s="25"/>
      <c r="Q7" s="25"/>
      <c r="R7" s="25">
        <f>SUM(D4,D5)</f>
        <v>1.1599999999999999</v>
      </c>
    </row>
    <row r="8" spans="2:18" x14ac:dyDescent="0.25">
      <c r="B8" s="48"/>
      <c r="C8" s="16" t="s">
        <v>54</v>
      </c>
      <c r="D8" s="58"/>
      <c r="E8" s="58">
        <v>1.55</v>
      </c>
      <c r="F8" s="18"/>
      <c r="H8" s="25">
        <v>2</v>
      </c>
      <c r="I8" s="25">
        <v>296</v>
      </c>
      <c r="J8" s="63">
        <f t="shared" ref="J8:J9" si="0">I8*9.81</f>
        <v>2903.76</v>
      </c>
      <c r="K8" s="25">
        <v>721</v>
      </c>
      <c r="L8" s="25">
        <v>132</v>
      </c>
    </row>
    <row r="9" spans="2:18" x14ac:dyDescent="0.25">
      <c r="B9" s="46" t="s">
        <v>55</v>
      </c>
      <c r="C9" s="51"/>
      <c r="D9" s="58">
        <v>3.8</v>
      </c>
      <c r="E9" s="58"/>
      <c r="F9" s="18">
        <f>D9+E11+E10+E12</f>
        <v>37.849999999999994</v>
      </c>
      <c r="H9" s="25">
        <v>3</v>
      </c>
      <c r="I9" s="25">
        <v>443</v>
      </c>
      <c r="J9" s="63">
        <f t="shared" si="0"/>
        <v>4345.83</v>
      </c>
      <c r="K9" s="25">
        <v>61.1</v>
      </c>
      <c r="L9" s="25">
        <v>563</v>
      </c>
      <c r="N9" s="6" t="s">
        <v>77</v>
      </c>
      <c r="O9" s="6"/>
      <c r="P9" s="6"/>
      <c r="Q9" s="6"/>
      <c r="R9" s="6"/>
    </row>
    <row r="10" spans="2:18" x14ac:dyDescent="0.25">
      <c r="B10" s="47"/>
      <c r="C10" s="15" t="s">
        <v>56</v>
      </c>
      <c r="D10" s="58"/>
      <c r="E10" s="58">
        <v>11.8</v>
      </c>
      <c r="F10" s="18"/>
      <c r="O10" t="s">
        <v>66</v>
      </c>
    </row>
    <row r="11" spans="2:18" x14ac:dyDescent="0.25">
      <c r="B11" s="47"/>
      <c r="C11" s="15" t="s">
        <v>57</v>
      </c>
      <c r="D11" s="58"/>
      <c r="E11" s="58">
        <v>21.7</v>
      </c>
      <c r="F11" s="18"/>
      <c r="H11" s="6" t="s">
        <v>81</v>
      </c>
      <c r="I11" s="6"/>
    </row>
    <row r="12" spans="2:18" ht="45" x14ac:dyDescent="0.25">
      <c r="B12" s="48"/>
      <c r="C12" s="16" t="s">
        <v>58</v>
      </c>
      <c r="D12" s="58"/>
      <c r="E12" s="58">
        <v>0.55000000000000004</v>
      </c>
      <c r="F12" s="18"/>
      <c r="I12" t="s">
        <v>78</v>
      </c>
      <c r="N12" s="57" t="s">
        <v>75</v>
      </c>
      <c r="O12" s="17" t="s">
        <v>67</v>
      </c>
    </row>
    <row r="13" spans="2:18" x14ac:dyDescent="0.25">
      <c r="B13" s="46" t="s">
        <v>59</v>
      </c>
      <c r="C13" s="51"/>
      <c r="D13" s="58">
        <v>13.8</v>
      </c>
      <c r="E13" s="58"/>
      <c r="F13" s="18">
        <f>D13+E14+E15+E16</f>
        <v>160.14999999999998</v>
      </c>
      <c r="H13">
        <v>1</v>
      </c>
      <c r="I13" s="4">
        <f>Q4/$I$4</f>
        <v>0.77561079018495949</v>
      </c>
      <c r="M13" s="15"/>
      <c r="N13" s="37"/>
      <c r="O13" s="65" t="s">
        <v>72</v>
      </c>
    </row>
    <row r="14" spans="2:18" x14ac:dyDescent="0.25">
      <c r="B14" s="47"/>
      <c r="C14" s="15" t="s">
        <v>56</v>
      </c>
      <c r="D14" s="58"/>
      <c r="E14" s="58">
        <v>50.5</v>
      </c>
      <c r="F14" s="18"/>
      <c r="H14">
        <v>2</v>
      </c>
      <c r="I14" s="4">
        <f t="shared" ref="I14:I15" si="1">Q5/$I$4</f>
        <v>0.18045471408129735</v>
      </c>
      <c r="M14" s="15"/>
      <c r="N14" s="66">
        <v>1</v>
      </c>
      <c r="O14" s="24">
        <f>J7*LN(O4/P4)/1000</f>
        <v>3.2785643244833951</v>
      </c>
    </row>
    <row r="15" spans="2:18" x14ac:dyDescent="0.25">
      <c r="B15" s="47"/>
      <c r="C15" s="15" t="s">
        <v>57</v>
      </c>
      <c r="D15" s="58"/>
      <c r="E15" s="58">
        <v>93.35</v>
      </c>
      <c r="F15" s="18"/>
      <c r="H15">
        <v>3</v>
      </c>
      <c r="I15" s="4">
        <f t="shared" si="1"/>
        <v>4.3934495733743181E-2</v>
      </c>
      <c r="M15" s="15"/>
      <c r="N15" s="61">
        <v>2</v>
      </c>
      <c r="O15" s="24">
        <f t="shared" ref="O15:O17" si="2">J8*LN(O5/P5)/1000</f>
        <v>3.2870543010181321</v>
      </c>
    </row>
    <row r="16" spans="2:18" x14ac:dyDescent="0.25">
      <c r="B16" s="48"/>
      <c r="C16" s="16" t="s">
        <v>58</v>
      </c>
      <c r="D16" s="58"/>
      <c r="E16" s="58">
        <v>2.5</v>
      </c>
      <c r="F16" s="18"/>
      <c r="M16" s="15"/>
      <c r="N16" s="61">
        <v>3</v>
      </c>
      <c r="O16" s="24">
        <f t="shared" si="2"/>
        <v>4.7989846615854894</v>
      </c>
    </row>
    <row r="17" spans="2:17" ht="30.75" thickBot="1" x14ac:dyDescent="0.3">
      <c r="B17" s="45" t="s">
        <v>60</v>
      </c>
      <c r="C17" s="50"/>
      <c r="D17" s="37"/>
      <c r="E17" s="37"/>
      <c r="F17" s="19">
        <v>1.75</v>
      </c>
      <c r="I17" s="1" t="s">
        <v>79</v>
      </c>
      <c r="J17" s="1" t="s">
        <v>80</v>
      </c>
      <c r="M17" s="15"/>
      <c r="N17" s="62"/>
      <c r="O17" s="14"/>
    </row>
    <row r="18" spans="2:17" ht="15.75" thickBot="1" x14ac:dyDescent="0.3">
      <c r="I18" s="7">
        <f>K7*I13+K8*I14+K9*I15</f>
        <v>2304.5024590598337</v>
      </c>
      <c r="J18" s="7">
        <f>I13*J7+I14*J8+I15*J9</f>
        <v>2852.9854904870422</v>
      </c>
      <c r="K18" s="5">
        <f>J18/9.81</f>
        <v>290.82420902008585</v>
      </c>
      <c r="M18" s="15"/>
      <c r="N18" s="78" t="s">
        <v>76</v>
      </c>
      <c r="O18" s="79">
        <f>SUM(O14:O16)</f>
        <v>11.364603287087016</v>
      </c>
      <c r="P18" s="80" t="s">
        <v>73</v>
      </c>
      <c r="Q18" t="s">
        <v>74</v>
      </c>
    </row>
    <row r="21" spans="2:17" x14ac:dyDescent="0.25">
      <c r="H21" t="s">
        <v>16</v>
      </c>
      <c r="I21" s="7">
        <f>J18*LN(K4/(K4-I4))</f>
        <v>6479.807624315089</v>
      </c>
      <c r="J21" t="s">
        <v>82</v>
      </c>
    </row>
  </sheetData>
  <mergeCells count="5">
    <mergeCell ref="B2:C3"/>
    <mergeCell ref="D2:F2"/>
    <mergeCell ref="H2:K2"/>
    <mergeCell ref="O2:R2"/>
    <mergeCell ref="N2:N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3E79-F64F-448A-A90F-0C48F61EC1FB}">
  <dimension ref="A1:P20"/>
  <sheetViews>
    <sheetView workbookViewId="0">
      <selection activeCell="J6" sqref="J6"/>
    </sheetView>
  </sheetViews>
  <sheetFormatPr defaultRowHeight="15" x14ac:dyDescent="0.25"/>
  <cols>
    <col min="1" max="1" width="3.140625" customWidth="1"/>
    <col min="2" max="2" width="11.85546875" customWidth="1"/>
    <col min="3" max="3" width="12" customWidth="1"/>
    <col min="4" max="4" width="12.85546875" customWidth="1"/>
    <col min="8" max="9" width="11.5703125" bestFit="1" customWidth="1"/>
    <col min="12" max="12" width="12.28515625" bestFit="1" customWidth="1"/>
    <col min="14" max="14" width="11.5703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75" x14ac:dyDescent="0.25">
      <c r="A2" s="1"/>
      <c r="B2" s="3" t="s">
        <v>0</v>
      </c>
      <c r="C2" s="3" t="s">
        <v>1</v>
      </c>
      <c r="D2" s="3" t="s">
        <v>28</v>
      </c>
      <c r="E2" s="3" t="s">
        <v>32</v>
      </c>
      <c r="F2" s="1"/>
      <c r="G2" s="1" t="s">
        <v>33</v>
      </c>
      <c r="H2" s="1" t="s">
        <v>11</v>
      </c>
      <c r="I2" s="1" t="s">
        <v>12</v>
      </c>
      <c r="J2" s="1" t="s">
        <v>15</v>
      </c>
      <c r="K2" s="1" t="s">
        <v>13</v>
      </c>
      <c r="L2" s="1" t="s">
        <v>14</v>
      </c>
      <c r="M2" s="1"/>
      <c r="N2" s="1" t="s">
        <v>17</v>
      </c>
      <c r="O2" s="1"/>
      <c r="P2" s="1"/>
    </row>
    <row r="3" spans="1:16" x14ac:dyDescent="0.25">
      <c r="A3" s="1"/>
      <c r="B3" s="3" t="s">
        <v>3</v>
      </c>
      <c r="C3" s="1">
        <v>249</v>
      </c>
      <c r="D3" s="1">
        <f>C3*9.81/1000</f>
        <v>2.4426900000000002</v>
      </c>
      <c r="E3" s="1">
        <v>0.03</v>
      </c>
      <c r="F3" s="1"/>
      <c r="G3" s="1">
        <v>7.9</v>
      </c>
      <c r="H3" s="1">
        <v>907.18</v>
      </c>
      <c r="I3" s="1">
        <v>180</v>
      </c>
      <c r="J3" s="1">
        <f>I3*L3/1000</f>
        <v>1.7658000000000003</v>
      </c>
      <c r="K3" s="1">
        <v>0</v>
      </c>
      <c r="L3" s="1">
        <v>9.81</v>
      </c>
      <c r="M3" s="1"/>
      <c r="N3" s="1">
        <f>G3+J3+K3</f>
        <v>9.6658000000000008</v>
      </c>
      <c r="O3" s="1"/>
      <c r="P3" s="1"/>
    </row>
    <row r="4" spans="1:16" ht="60" x14ac:dyDescent="0.25">
      <c r="A4" s="1"/>
      <c r="B4" s="3" t="s">
        <v>4</v>
      </c>
      <c r="C4" s="1">
        <v>311</v>
      </c>
      <c r="D4" s="1">
        <f t="shared" ref="D4:D6" si="0">C4*9.81/1000</f>
        <v>3.0509100000000005</v>
      </c>
      <c r="E4" s="1">
        <v>0.03</v>
      </c>
      <c r="F4" s="1"/>
      <c r="G4" s="1"/>
      <c r="H4" s="1">
        <f>G3-J3</f>
        <v>6.1341999999999999</v>
      </c>
      <c r="I4" s="2" t="s">
        <v>43</v>
      </c>
      <c r="J4" s="1"/>
      <c r="K4" s="1"/>
      <c r="L4" s="1"/>
      <c r="M4" s="1"/>
      <c r="N4" s="1"/>
      <c r="O4" s="1"/>
      <c r="P4" s="1"/>
    </row>
    <row r="5" spans="1:16" ht="30" x14ac:dyDescent="0.25">
      <c r="A5" s="1"/>
      <c r="B5" s="3" t="s">
        <v>5</v>
      </c>
      <c r="C5" s="1">
        <v>419</v>
      </c>
      <c r="D5" s="1">
        <f t="shared" si="0"/>
        <v>4.1103900000000007</v>
      </c>
      <c r="E5" s="1">
        <v>0.06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60" x14ac:dyDescent="0.25">
      <c r="A6" s="1"/>
      <c r="B6" s="3" t="s">
        <v>6</v>
      </c>
      <c r="C6" s="1">
        <v>839</v>
      </c>
      <c r="D6" s="1">
        <f t="shared" si="0"/>
        <v>8.2305899999999994</v>
      </c>
      <c r="E6" s="1">
        <v>0.1</v>
      </c>
      <c r="F6" s="1"/>
      <c r="G6" s="76"/>
      <c r="H6" s="73" t="s">
        <v>18</v>
      </c>
      <c r="I6" s="28" t="s">
        <v>19</v>
      </c>
      <c r="J6" s="28" t="s">
        <v>20</v>
      </c>
      <c r="K6" s="28" t="s">
        <v>24</v>
      </c>
      <c r="L6" s="70" t="s">
        <v>26</v>
      </c>
      <c r="M6" s="28" t="s">
        <v>30</v>
      </c>
      <c r="N6" s="70" t="s">
        <v>31</v>
      </c>
      <c r="O6" s="1"/>
      <c r="P6" s="1"/>
    </row>
    <row r="7" spans="1:16" x14ac:dyDescent="0.25">
      <c r="A7" s="1"/>
      <c r="B7" s="1"/>
      <c r="C7" s="1"/>
      <c r="D7" s="1"/>
      <c r="E7" s="1"/>
      <c r="F7" s="1"/>
      <c r="G7" s="77"/>
      <c r="H7" s="74" t="s">
        <v>21</v>
      </c>
      <c r="I7" s="64" t="s">
        <v>19</v>
      </c>
      <c r="J7" s="64" t="s">
        <v>29</v>
      </c>
      <c r="K7" s="64" t="s">
        <v>7</v>
      </c>
      <c r="L7" s="70" t="s">
        <v>22</v>
      </c>
      <c r="M7" s="64" t="s">
        <v>27</v>
      </c>
      <c r="N7" s="70" t="s">
        <v>23</v>
      </c>
      <c r="O7" s="1"/>
      <c r="P7" s="1"/>
    </row>
    <row r="8" spans="1:16" x14ac:dyDescent="0.25">
      <c r="A8" s="1"/>
      <c r="B8" s="1"/>
      <c r="C8" s="1"/>
      <c r="D8" s="1"/>
      <c r="E8" s="1"/>
      <c r="F8" s="1"/>
      <c r="G8" s="75" t="s">
        <v>3</v>
      </c>
      <c r="H8" s="69">
        <f>EXP($N$3/D3)</f>
        <v>52.301809981188242</v>
      </c>
      <c r="I8" s="69">
        <f>1-EXP(-$N$3/D3)</f>
        <v>0.98088020280063581</v>
      </c>
      <c r="J8" s="69">
        <f>E3</f>
        <v>0.03</v>
      </c>
      <c r="K8" s="69">
        <f>J8*((I8)^-1)</f>
        <v>3.0584774689450537E-2</v>
      </c>
      <c r="L8" s="71">
        <f>(K8*(1-H8)+1)/H8</f>
        <v>-1.0880202800635825E-2</v>
      </c>
      <c r="M8" s="69">
        <f>($H$3/L8)/1000</f>
        <v>-83.378960541708423</v>
      </c>
      <c r="N8" s="72">
        <f>I8*M8</f>
        <v>-81.784771725457176</v>
      </c>
      <c r="O8" s="1"/>
      <c r="P8" s="1"/>
    </row>
    <row r="9" spans="1:16" ht="60" x14ac:dyDescent="0.25">
      <c r="A9" s="1"/>
      <c r="B9" s="1" t="s">
        <v>7</v>
      </c>
      <c r="C9" s="1"/>
      <c r="D9" s="1"/>
      <c r="E9" s="1"/>
      <c r="F9" s="1"/>
      <c r="G9" s="20" t="s">
        <v>4</v>
      </c>
      <c r="H9" s="69">
        <f t="shared" ref="H9:H11" si="1">EXP($N$3/D4)</f>
        <v>23.763944546206574</v>
      </c>
      <c r="I9" s="69">
        <f t="shared" ref="I9:I11" si="2">1-EXP(-$N$3/D4)</f>
        <v>0.95791944396875683</v>
      </c>
      <c r="J9" s="69">
        <f t="shared" ref="J9:J11" si="3">E4</f>
        <v>0.03</v>
      </c>
      <c r="K9" s="69">
        <f t="shared" ref="K9:K11" si="4">J9*((I9)^-1)</f>
        <v>3.1317873531940196E-2</v>
      </c>
      <c r="L9" s="71">
        <f>(K9*(1-H9)+1)/H9</f>
        <v>1.2080556031243113E-2</v>
      </c>
      <c r="M9" s="69">
        <f>($H$3/L9)/1000</f>
        <v>75.094225601356641</v>
      </c>
      <c r="N9" s="72">
        <f t="shared" ref="N9:N11" si="5">I9*M9</f>
        <v>71.934218833315938</v>
      </c>
      <c r="O9" s="1"/>
      <c r="P9" s="1"/>
    </row>
    <row r="10" spans="1:16" ht="30" x14ac:dyDescent="0.25">
      <c r="A10" s="1"/>
      <c r="B10" s="1" t="s">
        <v>8</v>
      </c>
      <c r="C10" s="1"/>
      <c r="D10" s="1"/>
      <c r="E10" s="1"/>
      <c r="F10" s="1"/>
      <c r="G10" s="20" t="s">
        <v>5</v>
      </c>
      <c r="H10" s="69">
        <f t="shared" si="1"/>
        <v>10.501866630014355</v>
      </c>
      <c r="I10" s="69">
        <f t="shared" si="2"/>
        <v>0.90477883263704773</v>
      </c>
      <c r="J10" s="69">
        <f t="shared" si="3"/>
        <v>0.06</v>
      </c>
      <c r="K10" s="69">
        <f t="shared" si="4"/>
        <v>6.6314548744609084E-2</v>
      </c>
      <c r="L10" s="71">
        <f t="shared" ref="L10:L11" si="6">(K10*(1-H10)+1)/H10</f>
        <v>3.5221167362952222E-2</v>
      </c>
      <c r="M10" s="69">
        <f t="shared" ref="M10:M11" si="7">($H$3/L10)/1000</f>
        <v>25.756670432060336</v>
      </c>
      <c r="N10" s="72">
        <f t="shared" si="5"/>
        <v>23.304090206136713</v>
      </c>
      <c r="O10" s="1"/>
      <c r="P10" s="1"/>
    </row>
    <row r="11" spans="1:16" ht="30" x14ac:dyDescent="0.25">
      <c r="A11" s="1"/>
      <c r="B11" s="1"/>
      <c r="C11" s="1"/>
      <c r="D11" s="1"/>
      <c r="E11" s="1"/>
      <c r="F11" s="1"/>
      <c r="G11" s="20" t="s">
        <v>6</v>
      </c>
      <c r="H11" s="69">
        <f t="shared" si="1"/>
        <v>3.2361200783929864</v>
      </c>
      <c r="I11" s="69">
        <f t="shared" si="2"/>
        <v>0.6909879807375422</v>
      </c>
      <c r="J11" s="69">
        <f t="shared" si="3"/>
        <v>0.1</v>
      </c>
      <c r="K11" s="69">
        <f t="shared" si="4"/>
        <v>0.14472031755641054</v>
      </c>
      <c r="L11" s="71">
        <f t="shared" si="6"/>
        <v>0.20901201926245783</v>
      </c>
      <c r="M11" s="69">
        <f t="shared" si="7"/>
        <v>4.3403245574162312</v>
      </c>
      <c r="N11" s="72">
        <f t="shared" si="5"/>
        <v>2.9991121016746081</v>
      </c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Semana 2 Problema 1</vt:lpstr>
      <vt:lpstr>Semana 2 Problema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Mataix Caballero</dc:creator>
  <cp:lastModifiedBy>Diego Mataix Caballero</cp:lastModifiedBy>
  <dcterms:created xsi:type="dcterms:W3CDTF">2020-09-19T10:54:19Z</dcterms:created>
  <dcterms:modified xsi:type="dcterms:W3CDTF">2020-09-20T11:41:36Z</dcterms:modified>
</cp:coreProperties>
</file>