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Hoja1" sheetId="1" r:id="rId1"/>
  </sheets>
  <definedNames>
    <definedName name="gamma">Hoja1!$C$11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76" i="1" l="1"/>
  <c r="S77" i="1"/>
  <c r="T76" i="1"/>
  <c r="T77" i="1"/>
  <c r="S78" i="1"/>
  <c r="U75" i="1"/>
  <c r="T75" i="1"/>
  <c r="S75" i="1"/>
  <c r="Q84" i="1"/>
  <c r="U84" i="1" s="1"/>
  <c r="U85" i="1" s="1"/>
  <c r="Q82" i="1"/>
  <c r="T82" i="1" s="1"/>
  <c r="T83" i="1" s="1"/>
  <c r="Q80" i="1"/>
  <c r="S80" i="1" s="1"/>
  <c r="S81" i="1" s="1"/>
  <c r="Q78" i="1"/>
  <c r="U78" i="1" s="1"/>
  <c r="U79" i="1" s="1"/>
  <c r="Q76" i="1"/>
  <c r="U76" i="1" s="1"/>
  <c r="U77" i="1" s="1"/>
  <c r="Z71" i="1"/>
  <c r="AA71" i="1" s="1"/>
  <c r="Z72" i="1"/>
  <c r="AA72" i="1" s="1"/>
  <c r="X71" i="1"/>
  <c r="Y71" i="1" s="1"/>
  <c r="X72" i="1"/>
  <c r="Y72" i="1" s="1"/>
  <c r="V71" i="1"/>
  <c r="W71" i="1" s="1"/>
  <c r="V72" i="1"/>
  <c r="W72" i="1" s="1"/>
  <c r="Z70" i="1"/>
  <c r="AA70" i="1" s="1"/>
  <c r="X70" i="1"/>
  <c r="Y70" i="1" s="1"/>
  <c r="V70" i="1"/>
  <c r="W70" i="1" s="1"/>
  <c r="T70" i="1"/>
  <c r="T71" i="1"/>
  <c r="U71" i="1" s="1"/>
  <c r="T72" i="1"/>
  <c r="U72" i="1" s="1"/>
  <c r="U70" i="1"/>
  <c r="R70" i="1"/>
  <c r="R71" i="1"/>
  <c r="S71" i="1" s="1"/>
  <c r="R72" i="1"/>
  <c r="S72" i="1" s="1"/>
  <c r="P71" i="1"/>
  <c r="P72" i="1"/>
  <c r="O71" i="1"/>
  <c r="O72" i="1"/>
  <c r="P70" i="1"/>
  <c r="O70" i="1"/>
  <c r="V68" i="1"/>
  <c r="Q71" i="1"/>
  <c r="Q72" i="1"/>
  <c r="Q70" i="1"/>
  <c r="T68" i="1"/>
  <c r="X68" i="1"/>
  <c r="Z68" i="1"/>
  <c r="R68" i="1"/>
  <c r="S82" i="1" l="1"/>
  <c r="S83" i="1" s="1"/>
  <c r="S79" i="1"/>
  <c r="T80" i="1"/>
  <c r="T81" i="1" s="1"/>
  <c r="U82" i="1"/>
  <c r="U83" i="1" s="1"/>
  <c r="T78" i="1"/>
  <c r="T79" i="1" s="1"/>
  <c r="U80" i="1"/>
  <c r="U81" i="1" s="1"/>
  <c r="S84" i="1"/>
  <c r="S85" i="1" s="1"/>
  <c r="T84" i="1"/>
  <c r="T85" i="1" s="1"/>
  <c r="Q16" i="1"/>
  <c r="Q15" i="1"/>
  <c r="Q14" i="1"/>
  <c r="R54" i="1"/>
  <c r="S8" i="1"/>
  <c r="S9" i="1"/>
  <c r="R41" i="1"/>
  <c r="R22" i="1"/>
  <c r="U27" i="1"/>
  <c r="U40" i="1" s="1"/>
  <c r="U53" i="1" s="1"/>
  <c r="R42" i="1"/>
  <c r="R24" i="1"/>
  <c r="Q28" i="1"/>
  <c r="S28" i="1" s="1"/>
  <c r="Q41" i="1"/>
  <c r="Q42" i="1"/>
  <c r="S29" i="1"/>
  <c r="T29" i="1"/>
  <c r="U29" i="1"/>
  <c r="V29" i="1"/>
  <c r="S30" i="1"/>
  <c r="T30" i="1"/>
  <c r="U30" i="1"/>
  <c r="V30" i="1"/>
  <c r="S31" i="1"/>
  <c r="T31" i="1"/>
  <c r="U31" i="1"/>
  <c r="V31" i="1"/>
  <c r="S32" i="1"/>
  <c r="T32" i="1"/>
  <c r="U32" i="1"/>
  <c r="V32" i="1"/>
  <c r="S33" i="1"/>
  <c r="T33" i="1"/>
  <c r="U33" i="1"/>
  <c r="V33" i="1"/>
  <c r="S34" i="1"/>
  <c r="T34" i="1"/>
  <c r="U34" i="1"/>
  <c r="V34" i="1"/>
  <c r="S35" i="1"/>
  <c r="T35" i="1"/>
  <c r="U35" i="1"/>
  <c r="V35" i="1"/>
  <c r="S36" i="1"/>
  <c r="T36" i="1"/>
  <c r="U36" i="1"/>
  <c r="V36" i="1"/>
  <c r="S37" i="1"/>
  <c r="T37" i="1"/>
  <c r="U37" i="1"/>
  <c r="V37" i="1"/>
  <c r="R29" i="1"/>
  <c r="R30" i="1"/>
  <c r="R31" i="1"/>
  <c r="R32" i="1"/>
  <c r="R33" i="1"/>
  <c r="R34" i="1"/>
  <c r="R35" i="1"/>
  <c r="R36" i="1"/>
  <c r="R37" i="1"/>
  <c r="R40" i="1"/>
  <c r="V53" i="1"/>
  <c r="T53" i="1"/>
  <c r="S53" i="1"/>
  <c r="R53" i="1"/>
  <c r="S40" i="1"/>
  <c r="T40" i="1"/>
  <c r="V40" i="1"/>
  <c r="V24" i="1"/>
  <c r="U24" i="1"/>
  <c r="T24" i="1"/>
  <c r="S24" i="1"/>
  <c r="V22" i="1"/>
  <c r="U22" i="1"/>
  <c r="T22" i="1"/>
  <c r="S22" i="1"/>
  <c r="R21" i="1"/>
  <c r="V27" i="1"/>
  <c r="T27" i="1"/>
  <c r="S27" i="1"/>
  <c r="R27" i="1"/>
  <c r="R28" i="1" l="1"/>
  <c r="V28" i="1"/>
  <c r="U28" i="1"/>
  <c r="T28" i="1"/>
  <c r="M15" i="1"/>
  <c r="M16" i="1"/>
  <c r="M17" i="1"/>
  <c r="M18" i="1"/>
  <c r="M14" i="1"/>
  <c r="K15" i="1"/>
  <c r="K18" i="1"/>
  <c r="J14" i="1"/>
  <c r="H22" i="1" s="1"/>
  <c r="K16" i="1"/>
  <c r="K17" i="1"/>
  <c r="H24" i="1"/>
  <c r="H23" i="1"/>
  <c r="K23" i="1" s="1"/>
  <c r="L23" i="1" s="1"/>
  <c r="S15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I23" i="1"/>
  <c r="H25" i="1"/>
  <c r="H26" i="1"/>
  <c r="C27" i="1"/>
  <c r="C24" i="1"/>
  <c r="C17" i="1"/>
  <c r="I24" i="1" l="1"/>
  <c r="K24" i="1" s="1"/>
  <c r="K14" i="1"/>
  <c r="J23" i="1"/>
  <c r="M23" i="1" s="1"/>
  <c r="C25" i="1"/>
  <c r="D24" i="1"/>
  <c r="D25" i="1" s="1"/>
  <c r="Q29" i="1" l="1"/>
  <c r="I25" i="1"/>
  <c r="K25" i="1" s="1"/>
  <c r="J24" i="1"/>
  <c r="M24" i="1" s="1"/>
  <c r="L24" i="1"/>
  <c r="C7" i="1"/>
  <c r="S41" i="1" l="1"/>
  <c r="Q30" i="1"/>
  <c r="J25" i="1"/>
  <c r="V41" i="1"/>
  <c r="Q54" i="1"/>
  <c r="U54" i="1" s="1"/>
  <c r="T41" i="1"/>
  <c r="U41" i="1"/>
  <c r="I26" i="1"/>
  <c r="K26" i="1" s="1"/>
  <c r="Q43" i="1"/>
  <c r="I27" i="1"/>
  <c r="K27" i="1" s="1"/>
  <c r="M25" i="1"/>
  <c r="L25" i="1"/>
  <c r="D7" i="1"/>
  <c r="D8" i="1" s="1"/>
  <c r="C8" i="1"/>
  <c r="C18" i="1" s="1"/>
  <c r="O3" i="1"/>
  <c r="O4" i="1" s="1"/>
  <c r="O5" i="1" s="1"/>
  <c r="H3" i="1"/>
  <c r="D17" i="1"/>
  <c r="D5" i="1"/>
  <c r="C5" i="1"/>
  <c r="D12" i="1"/>
  <c r="D13" i="1" s="1"/>
  <c r="C12" i="1"/>
  <c r="J26" i="1" l="1"/>
  <c r="L26" i="1" s="1"/>
  <c r="Q31" i="1"/>
  <c r="V54" i="1"/>
  <c r="S54" i="1"/>
  <c r="T54" i="1"/>
  <c r="Q56" i="1"/>
  <c r="S42" i="1"/>
  <c r="T42" i="1"/>
  <c r="U42" i="1"/>
  <c r="V42" i="1"/>
  <c r="Q55" i="1"/>
  <c r="T43" i="1"/>
  <c r="R43" i="1"/>
  <c r="U43" i="1"/>
  <c r="S43" i="1"/>
  <c r="V43" i="1"/>
  <c r="M26" i="1"/>
  <c r="C19" i="1"/>
  <c r="Q44" i="1"/>
  <c r="C13" i="1"/>
  <c r="C14" i="1" s="1"/>
  <c r="D14" i="1"/>
  <c r="D15" i="1" s="1"/>
  <c r="D16" i="1" s="1"/>
  <c r="I28" i="1"/>
  <c r="K28" i="1" s="1"/>
  <c r="Q32" i="1"/>
  <c r="J27" i="1"/>
  <c r="V56" i="1" l="1"/>
  <c r="U56" i="1"/>
  <c r="S56" i="1"/>
  <c r="R56" i="1"/>
  <c r="T56" i="1"/>
  <c r="S44" i="1"/>
  <c r="T44" i="1"/>
  <c r="Q57" i="1"/>
  <c r="V44" i="1"/>
  <c r="R44" i="1"/>
  <c r="U44" i="1"/>
  <c r="S55" i="1"/>
  <c r="T55" i="1"/>
  <c r="R55" i="1"/>
  <c r="U55" i="1"/>
  <c r="V55" i="1"/>
  <c r="C15" i="1"/>
  <c r="C22" i="1"/>
  <c r="C23" i="1" s="1"/>
  <c r="L27" i="1"/>
  <c r="M27" i="1"/>
  <c r="Q45" i="1"/>
  <c r="I29" i="1"/>
  <c r="K29" i="1" s="1"/>
  <c r="Q33" i="1"/>
  <c r="J28" i="1"/>
  <c r="D18" i="1"/>
  <c r="D19" i="1" s="1"/>
  <c r="S57" i="1" l="1"/>
  <c r="T57" i="1"/>
  <c r="V57" i="1"/>
  <c r="U57" i="1"/>
  <c r="R57" i="1"/>
  <c r="V45" i="1"/>
  <c r="R45" i="1"/>
  <c r="T45" i="1"/>
  <c r="Q58" i="1"/>
  <c r="U45" i="1"/>
  <c r="S45" i="1"/>
  <c r="M28" i="1"/>
  <c r="L28" i="1"/>
  <c r="Q46" i="1"/>
  <c r="I30" i="1"/>
  <c r="K30" i="1" s="1"/>
  <c r="Q34" i="1"/>
  <c r="J29" i="1"/>
  <c r="C20" i="1"/>
  <c r="C21" i="1" s="1"/>
  <c r="C16" i="1"/>
  <c r="D20" i="1"/>
  <c r="D21" i="1" s="1"/>
  <c r="D22" i="1"/>
  <c r="D23" i="1" s="1"/>
  <c r="V58" i="1" l="1"/>
  <c r="R58" i="1"/>
  <c r="S58" i="1"/>
  <c r="T58" i="1"/>
  <c r="U58" i="1"/>
  <c r="S46" i="1"/>
  <c r="R46" i="1"/>
  <c r="Q59" i="1"/>
  <c r="T46" i="1"/>
  <c r="U46" i="1"/>
  <c r="V46" i="1"/>
  <c r="I31" i="1"/>
  <c r="K31" i="1" s="1"/>
  <c r="Q35" i="1"/>
  <c r="J30" i="1"/>
  <c r="M30" i="1" s="1"/>
  <c r="M29" i="1"/>
  <c r="L29" i="1"/>
  <c r="Q47" i="1"/>
  <c r="V47" i="1" l="1"/>
  <c r="Q60" i="1"/>
  <c r="U47" i="1"/>
  <c r="R47" i="1"/>
  <c r="S47" i="1"/>
  <c r="T47" i="1"/>
  <c r="R59" i="1"/>
  <c r="S59" i="1"/>
  <c r="T59" i="1"/>
  <c r="U59" i="1"/>
  <c r="V59" i="1"/>
  <c r="I32" i="1"/>
  <c r="K32" i="1" s="1"/>
  <c r="Q36" i="1"/>
  <c r="J31" i="1"/>
  <c r="L30" i="1"/>
  <c r="Q48" i="1"/>
  <c r="V60" i="1" l="1"/>
  <c r="R60" i="1"/>
  <c r="U60" i="1"/>
  <c r="S60" i="1"/>
  <c r="T60" i="1"/>
  <c r="Q61" i="1"/>
  <c r="S48" i="1"/>
  <c r="T48" i="1"/>
  <c r="V48" i="1"/>
  <c r="U48" i="1"/>
  <c r="R48" i="1"/>
  <c r="M31" i="1"/>
  <c r="L31" i="1"/>
  <c r="Q49" i="1"/>
  <c r="I33" i="1"/>
  <c r="Q37" i="1"/>
  <c r="J32" i="1"/>
  <c r="S61" i="1" l="1"/>
  <c r="T61" i="1"/>
  <c r="R61" i="1"/>
  <c r="U61" i="1"/>
  <c r="V61" i="1"/>
  <c r="V49" i="1"/>
  <c r="R49" i="1"/>
  <c r="T49" i="1"/>
  <c r="Q62" i="1"/>
  <c r="S49" i="1"/>
  <c r="U49" i="1"/>
  <c r="L32" i="1"/>
  <c r="M32" i="1"/>
  <c r="Q50" i="1"/>
  <c r="I34" i="1"/>
  <c r="K33" i="1"/>
  <c r="J33" i="1"/>
  <c r="V62" i="1" l="1"/>
  <c r="U62" i="1"/>
  <c r="R62" i="1"/>
  <c r="S62" i="1"/>
  <c r="T62" i="1"/>
  <c r="S50" i="1"/>
  <c r="T50" i="1"/>
  <c r="U50" i="1"/>
  <c r="V50" i="1"/>
  <c r="R50" i="1"/>
  <c r="Q63" i="1"/>
  <c r="K34" i="1"/>
  <c r="J34" i="1"/>
  <c r="I35" i="1"/>
  <c r="L33" i="1"/>
  <c r="M33" i="1"/>
  <c r="S63" i="1" l="1"/>
  <c r="T63" i="1"/>
  <c r="V63" i="1"/>
  <c r="U63" i="1"/>
  <c r="R63" i="1"/>
  <c r="K35" i="1"/>
  <c r="J35" i="1"/>
  <c r="I36" i="1"/>
  <c r="M34" i="1"/>
  <c r="L34" i="1"/>
  <c r="I37" i="1" l="1"/>
  <c r="K36" i="1"/>
  <c r="J36" i="1"/>
  <c r="L35" i="1"/>
  <c r="M35" i="1"/>
  <c r="M36" i="1" l="1"/>
  <c r="L36" i="1"/>
  <c r="I38" i="1"/>
  <c r="K37" i="1"/>
  <c r="J37" i="1"/>
  <c r="L37" i="1" l="1"/>
  <c r="M37" i="1"/>
  <c r="I39" i="1"/>
  <c r="J38" i="1"/>
  <c r="K38" i="1"/>
  <c r="L38" i="1" l="1"/>
  <c r="M38" i="1"/>
  <c r="I40" i="1"/>
  <c r="J39" i="1"/>
  <c r="K39" i="1"/>
  <c r="L39" i="1" l="1"/>
  <c r="M39" i="1"/>
  <c r="I41" i="1"/>
  <c r="K40" i="1"/>
  <c r="J40" i="1"/>
  <c r="L40" i="1" l="1"/>
  <c r="M40" i="1"/>
  <c r="I42" i="1"/>
  <c r="K41" i="1"/>
  <c r="J41" i="1"/>
  <c r="L41" i="1" l="1"/>
  <c r="M41" i="1"/>
  <c r="I43" i="1"/>
  <c r="J42" i="1"/>
  <c r="K42" i="1"/>
  <c r="L42" i="1" l="1"/>
  <c r="M42" i="1"/>
  <c r="I44" i="1"/>
  <c r="J43" i="1"/>
  <c r="K43" i="1"/>
  <c r="M43" i="1" l="1"/>
  <c r="L43" i="1"/>
  <c r="I45" i="1"/>
  <c r="J44" i="1"/>
  <c r="K44" i="1"/>
  <c r="M44" i="1" l="1"/>
  <c r="L44" i="1"/>
  <c r="I46" i="1"/>
  <c r="K45" i="1"/>
  <c r="J45" i="1"/>
  <c r="I47" i="1" l="1"/>
  <c r="K46" i="1"/>
  <c r="J46" i="1"/>
  <c r="L45" i="1"/>
  <c r="M45" i="1"/>
  <c r="M46" i="1" l="1"/>
  <c r="L46" i="1"/>
  <c r="I48" i="1"/>
  <c r="K47" i="1"/>
  <c r="J47" i="1"/>
  <c r="M47" i="1" l="1"/>
  <c r="L47" i="1"/>
  <c r="I49" i="1"/>
  <c r="K48" i="1"/>
  <c r="J48" i="1"/>
  <c r="L48" i="1" l="1"/>
  <c r="M48" i="1"/>
  <c r="I50" i="1"/>
  <c r="J49" i="1"/>
  <c r="K49" i="1"/>
  <c r="I51" i="1" l="1"/>
  <c r="J50" i="1"/>
  <c r="K50" i="1"/>
  <c r="L49" i="1"/>
  <c r="M49" i="1"/>
  <c r="M50" i="1" l="1"/>
  <c r="L50" i="1"/>
  <c r="I52" i="1"/>
  <c r="J51" i="1"/>
  <c r="K51" i="1"/>
  <c r="I53" i="1" l="1"/>
  <c r="K52" i="1"/>
  <c r="J52" i="1"/>
  <c r="L51" i="1"/>
  <c r="M51" i="1"/>
  <c r="M52" i="1" l="1"/>
  <c r="L52" i="1"/>
  <c r="I54" i="1"/>
  <c r="J53" i="1"/>
  <c r="K53" i="1"/>
  <c r="M53" i="1" l="1"/>
  <c r="L53" i="1"/>
  <c r="I55" i="1"/>
  <c r="J54" i="1"/>
  <c r="K54" i="1"/>
  <c r="M54" i="1" l="1"/>
  <c r="L54" i="1"/>
  <c r="I56" i="1"/>
  <c r="K55" i="1"/>
  <c r="J55" i="1"/>
  <c r="M55" i="1" l="1"/>
  <c r="L55" i="1"/>
  <c r="I57" i="1"/>
  <c r="K56" i="1"/>
  <c r="J56" i="1"/>
  <c r="M56" i="1" l="1"/>
  <c r="L56" i="1"/>
  <c r="I58" i="1"/>
  <c r="J57" i="1"/>
  <c r="K57" i="1"/>
  <c r="L57" i="1" l="1"/>
  <c r="M57" i="1"/>
  <c r="I59" i="1"/>
  <c r="J58" i="1"/>
  <c r="K58" i="1"/>
  <c r="M58" i="1" l="1"/>
  <c r="L58" i="1"/>
  <c r="I60" i="1"/>
  <c r="K59" i="1"/>
  <c r="J59" i="1"/>
  <c r="L59" i="1" l="1"/>
  <c r="M59" i="1"/>
  <c r="I61" i="1"/>
  <c r="K60" i="1"/>
  <c r="J60" i="1"/>
  <c r="M60" i="1" l="1"/>
  <c r="L60" i="1"/>
  <c r="I62" i="1"/>
  <c r="J61" i="1"/>
  <c r="K61" i="1"/>
  <c r="L61" i="1" l="1"/>
  <c r="M61" i="1"/>
  <c r="I63" i="1"/>
  <c r="J62" i="1"/>
  <c r="K62" i="1"/>
  <c r="M62" i="1" l="1"/>
  <c r="L62" i="1"/>
  <c r="I64" i="1"/>
  <c r="J63" i="1"/>
  <c r="K63" i="1"/>
  <c r="I65" i="1" l="1"/>
  <c r="J64" i="1"/>
  <c r="K64" i="1"/>
  <c r="L63" i="1"/>
  <c r="M63" i="1"/>
  <c r="M64" i="1" l="1"/>
  <c r="L64" i="1"/>
  <c r="I66" i="1"/>
  <c r="K65" i="1"/>
  <c r="J65" i="1"/>
  <c r="I67" i="1" l="1"/>
  <c r="J66" i="1"/>
  <c r="K66" i="1"/>
  <c r="L65" i="1"/>
  <c r="M65" i="1"/>
  <c r="M66" i="1" l="1"/>
  <c r="L66" i="1"/>
  <c r="I68" i="1"/>
  <c r="J67" i="1"/>
  <c r="K67" i="1"/>
  <c r="L67" i="1" l="1"/>
  <c r="M67" i="1"/>
  <c r="I69" i="1"/>
  <c r="K68" i="1"/>
  <c r="J68" i="1"/>
  <c r="M68" i="1" l="1"/>
  <c r="L68" i="1"/>
  <c r="I70" i="1"/>
  <c r="K69" i="1"/>
  <c r="J69" i="1"/>
  <c r="L69" i="1" l="1"/>
  <c r="M69" i="1"/>
  <c r="I71" i="1"/>
  <c r="J70" i="1"/>
  <c r="K70" i="1"/>
  <c r="L70" i="1" l="1"/>
  <c r="M70" i="1"/>
  <c r="I72" i="1"/>
  <c r="J71" i="1"/>
  <c r="K71" i="1"/>
  <c r="L71" i="1" l="1"/>
  <c r="M71" i="1"/>
  <c r="I73" i="1"/>
  <c r="K72" i="1"/>
  <c r="J72" i="1"/>
  <c r="L72" i="1" l="1"/>
  <c r="M72" i="1"/>
  <c r="I74" i="1"/>
  <c r="J73" i="1"/>
  <c r="K73" i="1"/>
  <c r="L73" i="1" l="1"/>
  <c r="M73" i="1"/>
  <c r="I75" i="1"/>
  <c r="J74" i="1"/>
  <c r="K74" i="1"/>
  <c r="L74" i="1" l="1"/>
  <c r="M74" i="1"/>
  <c r="I76" i="1"/>
  <c r="K75" i="1"/>
  <c r="J75" i="1"/>
  <c r="L75" i="1" l="1"/>
  <c r="M75" i="1"/>
  <c r="I77" i="1"/>
  <c r="K76" i="1"/>
  <c r="J76" i="1"/>
  <c r="M76" i="1" l="1"/>
  <c r="L76" i="1"/>
  <c r="I78" i="1"/>
  <c r="J77" i="1"/>
  <c r="K77" i="1"/>
  <c r="M77" i="1" l="1"/>
  <c r="L77" i="1"/>
  <c r="I79" i="1"/>
  <c r="J78" i="1"/>
  <c r="K78" i="1"/>
  <c r="L78" i="1" l="1"/>
  <c r="M78" i="1"/>
  <c r="I80" i="1"/>
  <c r="J79" i="1"/>
  <c r="K79" i="1"/>
  <c r="M79" i="1" l="1"/>
  <c r="L79" i="1"/>
  <c r="I81" i="1"/>
  <c r="K80" i="1"/>
  <c r="J80" i="1"/>
  <c r="M80" i="1" l="1"/>
  <c r="L80" i="1"/>
  <c r="I82" i="1"/>
  <c r="K81" i="1"/>
  <c r="J81" i="1"/>
  <c r="L81" i="1" l="1"/>
  <c r="M81" i="1"/>
  <c r="I83" i="1"/>
  <c r="K82" i="1"/>
  <c r="J82" i="1"/>
  <c r="M82" i="1" l="1"/>
  <c r="L82" i="1"/>
  <c r="I84" i="1"/>
  <c r="K83" i="1"/>
  <c r="J83" i="1"/>
  <c r="M83" i="1" l="1"/>
  <c r="L83" i="1"/>
  <c r="I85" i="1"/>
  <c r="K84" i="1"/>
  <c r="J84" i="1"/>
  <c r="L84" i="1" l="1"/>
  <c r="M84" i="1"/>
  <c r="I86" i="1"/>
  <c r="K85" i="1"/>
  <c r="J85" i="1"/>
  <c r="L85" i="1" l="1"/>
  <c r="M85" i="1"/>
  <c r="I87" i="1"/>
  <c r="K86" i="1"/>
  <c r="J86" i="1"/>
  <c r="I88" i="1" l="1"/>
  <c r="K87" i="1"/>
  <c r="J87" i="1"/>
  <c r="M86" i="1"/>
  <c r="L86" i="1"/>
  <c r="M87" i="1" l="1"/>
  <c r="L87" i="1"/>
  <c r="I89" i="1"/>
  <c r="J88" i="1"/>
  <c r="K88" i="1"/>
  <c r="L88" i="1" l="1"/>
  <c r="M88" i="1"/>
  <c r="I90" i="1"/>
  <c r="K89" i="1"/>
  <c r="J89" i="1"/>
  <c r="I91" i="1" l="1"/>
  <c r="J90" i="1"/>
  <c r="K90" i="1"/>
  <c r="L89" i="1"/>
  <c r="M89" i="1"/>
  <c r="M90" i="1" l="1"/>
  <c r="L90" i="1"/>
  <c r="I92" i="1"/>
  <c r="J91" i="1"/>
  <c r="K91" i="1"/>
  <c r="M91" i="1" l="1"/>
  <c r="L91" i="1"/>
  <c r="I93" i="1"/>
  <c r="K92" i="1"/>
  <c r="J92" i="1"/>
  <c r="I94" i="1" l="1"/>
  <c r="K93" i="1"/>
  <c r="J93" i="1"/>
  <c r="L92" i="1"/>
  <c r="M92" i="1"/>
  <c r="M93" i="1" l="1"/>
  <c r="L93" i="1"/>
  <c r="I95" i="1"/>
  <c r="K94" i="1"/>
  <c r="J94" i="1"/>
  <c r="I96" i="1" l="1"/>
  <c r="J95" i="1"/>
  <c r="K95" i="1"/>
  <c r="L94" i="1"/>
  <c r="M94" i="1"/>
  <c r="L95" i="1" l="1"/>
  <c r="M95" i="1"/>
  <c r="I97" i="1"/>
  <c r="J96" i="1"/>
  <c r="K96" i="1"/>
  <c r="I98" i="1" l="1"/>
  <c r="K97" i="1"/>
  <c r="J97" i="1"/>
  <c r="M96" i="1"/>
  <c r="L96" i="1"/>
  <c r="M97" i="1" l="1"/>
  <c r="L97" i="1"/>
  <c r="I99" i="1"/>
  <c r="K98" i="1"/>
  <c r="J98" i="1"/>
  <c r="M98" i="1" l="1"/>
  <c r="L98" i="1"/>
  <c r="I100" i="1"/>
  <c r="J99" i="1"/>
  <c r="K99" i="1"/>
  <c r="I101" i="1" l="1"/>
  <c r="J100" i="1"/>
  <c r="K100" i="1"/>
  <c r="M99" i="1"/>
  <c r="L99" i="1"/>
  <c r="M100" i="1" l="1"/>
  <c r="L100" i="1"/>
  <c r="I102" i="1"/>
  <c r="J101" i="1"/>
  <c r="K101" i="1"/>
  <c r="I103" i="1" l="1"/>
  <c r="J102" i="1"/>
  <c r="K102" i="1"/>
  <c r="M101" i="1"/>
  <c r="L101" i="1"/>
  <c r="L102" i="1" l="1"/>
  <c r="M102" i="1"/>
  <c r="I104" i="1"/>
  <c r="J103" i="1"/>
  <c r="K103" i="1"/>
  <c r="I105" i="1" l="1"/>
  <c r="J104" i="1"/>
  <c r="K104" i="1"/>
  <c r="L103" i="1"/>
  <c r="M103" i="1"/>
  <c r="M104" i="1" l="1"/>
  <c r="L104" i="1"/>
  <c r="I106" i="1"/>
  <c r="K105" i="1"/>
  <c r="J105" i="1"/>
  <c r="I107" i="1" l="1"/>
  <c r="J106" i="1"/>
  <c r="K106" i="1"/>
  <c r="M105" i="1"/>
  <c r="L105" i="1"/>
  <c r="L106" i="1" l="1"/>
  <c r="M106" i="1"/>
  <c r="I108" i="1"/>
  <c r="J107" i="1"/>
  <c r="K107" i="1"/>
  <c r="I109" i="1" l="1"/>
  <c r="K108" i="1"/>
  <c r="J108" i="1"/>
  <c r="L107" i="1"/>
  <c r="M107" i="1"/>
  <c r="L108" i="1" l="1"/>
  <c r="M108" i="1"/>
  <c r="I110" i="1"/>
  <c r="K109" i="1"/>
  <c r="J109" i="1"/>
  <c r="I111" i="1" l="1"/>
  <c r="J110" i="1"/>
  <c r="K110" i="1"/>
  <c r="M109" i="1"/>
  <c r="L109" i="1"/>
  <c r="L110" i="1" l="1"/>
  <c r="M110" i="1"/>
  <c r="I112" i="1"/>
  <c r="J111" i="1"/>
  <c r="K111" i="1"/>
  <c r="I113" i="1" l="1"/>
  <c r="J112" i="1"/>
  <c r="K112" i="1"/>
  <c r="L111" i="1"/>
  <c r="M111" i="1"/>
  <c r="L112" i="1" l="1"/>
  <c r="M112" i="1"/>
  <c r="I114" i="1"/>
  <c r="J113" i="1"/>
  <c r="K113" i="1"/>
  <c r="L113" i="1" l="1"/>
  <c r="M113" i="1"/>
  <c r="I115" i="1"/>
  <c r="K114" i="1"/>
  <c r="J114" i="1"/>
  <c r="I116" i="1" l="1"/>
  <c r="J115" i="1"/>
  <c r="K115" i="1"/>
  <c r="M114" i="1"/>
  <c r="L114" i="1"/>
  <c r="M115" i="1" l="1"/>
  <c r="L115" i="1"/>
  <c r="I117" i="1"/>
  <c r="J116" i="1"/>
  <c r="K116" i="1"/>
  <c r="I118" i="1" l="1"/>
  <c r="K117" i="1"/>
  <c r="J117" i="1"/>
  <c r="M116" i="1"/>
  <c r="L116" i="1"/>
  <c r="L117" i="1" l="1"/>
  <c r="M117" i="1"/>
  <c r="I119" i="1"/>
  <c r="J118" i="1"/>
  <c r="K118" i="1"/>
  <c r="M118" i="1" l="1"/>
  <c r="L118" i="1"/>
  <c r="I120" i="1"/>
  <c r="K119" i="1"/>
  <c r="J119" i="1"/>
  <c r="I121" i="1" l="1"/>
  <c r="K120" i="1"/>
  <c r="J120" i="1"/>
  <c r="L119" i="1"/>
  <c r="M119" i="1"/>
  <c r="L120" i="1" l="1"/>
  <c r="M120" i="1"/>
  <c r="I122" i="1"/>
  <c r="J121" i="1"/>
  <c r="K121" i="1"/>
  <c r="L121" i="1" l="1"/>
  <c r="M121" i="1"/>
  <c r="I123" i="1"/>
  <c r="J122" i="1"/>
  <c r="K122" i="1"/>
  <c r="L122" i="1" l="1"/>
  <c r="M122" i="1"/>
  <c r="I124" i="1"/>
  <c r="K123" i="1"/>
  <c r="J123" i="1"/>
  <c r="I125" i="1" l="1"/>
  <c r="J124" i="1"/>
  <c r="K124" i="1"/>
  <c r="M123" i="1"/>
  <c r="L123" i="1"/>
  <c r="L124" i="1" l="1"/>
  <c r="M124" i="1"/>
  <c r="I126" i="1"/>
  <c r="J125" i="1"/>
  <c r="K125" i="1"/>
  <c r="L125" i="1" l="1"/>
  <c r="M125" i="1"/>
  <c r="I127" i="1"/>
  <c r="K126" i="1"/>
  <c r="J126" i="1"/>
  <c r="M126" i="1" l="1"/>
  <c r="L126" i="1"/>
  <c r="I128" i="1"/>
  <c r="K127" i="1"/>
  <c r="J127" i="1"/>
  <c r="L127" i="1" l="1"/>
  <c r="M127" i="1"/>
  <c r="I129" i="1"/>
  <c r="K128" i="1"/>
  <c r="J128" i="1"/>
  <c r="L128" i="1" l="1"/>
  <c r="M128" i="1"/>
  <c r="I130" i="1"/>
  <c r="J129" i="1"/>
  <c r="K129" i="1"/>
  <c r="I131" i="1" l="1"/>
  <c r="J130" i="1"/>
  <c r="K130" i="1"/>
  <c r="L129" i="1"/>
  <c r="M129" i="1"/>
  <c r="M130" i="1" l="1"/>
  <c r="L130" i="1"/>
  <c r="I132" i="1"/>
  <c r="J131" i="1"/>
  <c r="K131" i="1"/>
  <c r="I133" i="1" l="1"/>
  <c r="J132" i="1"/>
  <c r="K132" i="1"/>
  <c r="M131" i="1"/>
  <c r="L131" i="1"/>
  <c r="M132" i="1" l="1"/>
  <c r="L132" i="1"/>
  <c r="I134" i="1"/>
  <c r="K133" i="1"/>
  <c r="J133" i="1"/>
  <c r="I135" i="1" l="1"/>
  <c r="J134" i="1"/>
  <c r="K134" i="1"/>
  <c r="M133" i="1"/>
  <c r="L133" i="1"/>
  <c r="L134" i="1" l="1"/>
  <c r="M134" i="1"/>
  <c r="I136" i="1"/>
  <c r="K135" i="1"/>
  <c r="J135" i="1"/>
  <c r="L135" i="1" l="1"/>
  <c r="M135" i="1"/>
  <c r="I137" i="1"/>
  <c r="K136" i="1"/>
  <c r="J136" i="1"/>
  <c r="M136" i="1" l="1"/>
  <c r="L136" i="1"/>
  <c r="I138" i="1"/>
  <c r="K137" i="1"/>
  <c r="J137" i="1"/>
  <c r="I139" i="1" l="1"/>
  <c r="K138" i="1"/>
  <c r="J138" i="1"/>
  <c r="L137" i="1"/>
  <c r="M137" i="1"/>
  <c r="M138" i="1" l="1"/>
  <c r="L138" i="1"/>
  <c r="I140" i="1"/>
  <c r="K139" i="1"/>
  <c r="J139" i="1"/>
  <c r="I141" i="1" l="1"/>
  <c r="K140" i="1"/>
  <c r="J140" i="1"/>
  <c r="M139" i="1"/>
  <c r="L139" i="1"/>
  <c r="M140" i="1" l="1"/>
  <c r="L140" i="1"/>
  <c r="I142" i="1"/>
  <c r="K141" i="1"/>
  <c r="I143" i="1" l="1"/>
  <c r="K142" i="1"/>
  <c r="I144" i="1" l="1"/>
  <c r="K143" i="1"/>
  <c r="I145" i="1" l="1"/>
  <c r="K144" i="1"/>
  <c r="I146" i="1" l="1"/>
  <c r="K145" i="1"/>
  <c r="I147" i="1" l="1"/>
  <c r="K146" i="1"/>
  <c r="I148" i="1" l="1"/>
  <c r="K147" i="1"/>
  <c r="I149" i="1" l="1"/>
  <c r="K148" i="1"/>
  <c r="I150" i="1" l="1"/>
  <c r="K149" i="1"/>
  <c r="I151" i="1" l="1"/>
  <c r="K150" i="1"/>
  <c r="I152" i="1" l="1"/>
  <c r="K151" i="1"/>
  <c r="I153" i="1" l="1"/>
  <c r="K152" i="1"/>
  <c r="I154" i="1" l="1"/>
  <c r="K153" i="1"/>
  <c r="I155" i="1" l="1"/>
  <c r="K154" i="1"/>
  <c r="I156" i="1" l="1"/>
  <c r="K155" i="1"/>
  <c r="I157" i="1" l="1"/>
  <c r="K156" i="1"/>
  <c r="I158" i="1" l="1"/>
  <c r="K157" i="1"/>
  <c r="I159" i="1" l="1"/>
  <c r="K158" i="1"/>
  <c r="I160" i="1" l="1"/>
  <c r="K159" i="1"/>
  <c r="I161" i="1" l="1"/>
  <c r="K160" i="1"/>
  <c r="I162" i="1" l="1"/>
  <c r="K161" i="1"/>
  <c r="I163" i="1" l="1"/>
  <c r="K162" i="1"/>
  <c r="I164" i="1" l="1"/>
  <c r="K163" i="1"/>
  <c r="I165" i="1" l="1"/>
  <c r="I166" i="1" s="1"/>
  <c r="I167" i="1" s="1"/>
  <c r="I168" i="1" s="1"/>
  <c r="K164" i="1"/>
  <c r="S70" i="1"/>
</calcChain>
</file>

<file path=xl/sharedStrings.xml><?xml version="1.0" encoding="utf-8"?>
<sst xmlns="http://schemas.openxmlformats.org/spreadsheetml/2006/main" count="147" uniqueCount="92">
  <si>
    <t>Pc</t>
  </si>
  <si>
    <t>(Pc/Ps)</t>
  </si>
  <si>
    <t>Tob1</t>
  </si>
  <si>
    <t>Tob2</t>
  </si>
  <si>
    <t>E</t>
  </si>
  <si>
    <t>Cp,prod</t>
  </si>
  <si>
    <t>gamma</t>
  </si>
  <si>
    <t>Mprod</t>
  </si>
  <si>
    <t>R</t>
  </si>
  <si>
    <t>Pa</t>
  </si>
  <si>
    <t>N</t>
  </si>
  <si>
    <t>J/molK</t>
  </si>
  <si>
    <t>g/mol</t>
  </si>
  <si>
    <t>Gamma</t>
  </si>
  <si>
    <t>As/Ag</t>
  </si>
  <si>
    <t>Ps/Pc</t>
  </si>
  <si>
    <t>c_E</t>
  </si>
  <si>
    <t>Ag</t>
  </si>
  <si>
    <t>m^2</t>
  </si>
  <si>
    <t>mm^2</t>
  </si>
  <si>
    <t>ΔHreacc</t>
  </si>
  <si>
    <t>Productos</t>
  </si>
  <si>
    <t>Reactivos</t>
  </si>
  <si>
    <t>ΔH_NH3</t>
  </si>
  <si>
    <t>ΔH_N2H4</t>
  </si>
  <si>
    <t>T_ref</t>
  </si>
  <si>
    <t>K</t>
  </si>
  <si>
    <t>Tc</t>
  </si>
  <si>
    <t>KJ/molK</t>
  </si>
  <si>
    <t>KJ/mol</t>
  </si>
  <si>
    <t>c_est</t>
  </si>
  <si>
    <t>gasto</t>
  </si>
  <si>
    <t>kg/s</t>
  </si>
  <si>
    <t>Isp</t>
  </si>
  <si>
    <t>m/s</t>
  </si>
  <si>
    <t>g</t>
  </si>
  <si>
    <t>m/s^2</t>
  </si>
  <si>
    <t>s</t>
  </si>
  <si>
    <t>J/kgK</t>
  </si>
  <si>
    <t>Mtotal,prod</t>
  </si>
  <si>
    <t>g0</t>
  </si>
  <si>
    <t>Cp_NH3</t>
  </si>
  <si>
    <t>Cp_N2</t>
  </si>
  <si>
    <t>Cp_H2</t>
  </si>
  <si>
    <t>Cp_N2H4</t>
  </si>
  <si>
    <t>Piny</t>
  </si>
  <si>
    <t>bar</t>
  </si>
  <si>
    <t>rho</t>
  </si>
  <si>
    <t>Tanque</t>
  </si>
  <si>
    <t>V</t>
  </si>
  <si>
    <t>kg/m^3</t>
  </si>
  <si>
    <t>m^3</t>
  </si>
  <si>
    <t>M</t>
  </si>
  <si>
    <t>kg</t>
  </si>
  <si>
    <t>Ultimo Apartado</t>
  </si>
  <si>
    <t>Gases</t>
  </si>
  <si>
    <t>Materiales</t>
  </si>
  <si>
    <t>VD (m^3)</t>
  </si>
  <si>
    <t>PD0 (bar)</t>
  </si>
  <si>
    <t>Mg (kg)</t>
  </si>
  <si>
    <t>Mm (kg)</t>
  </si>
  <si>
    <t>H2</t>
  </si>
  <si>
    <t>He</t>
  </si>
  <si>
    <t>Ar</t>
  </si>
  <si>
    <t>Aluminio</t>
  </si>
  <si>
    <t>M. Comp.</t>
  </si>
  <si>
    <t>g/s</t>
  </si>
  <si>
    <t>PD0 (Pa)</t>
  </si>
  <si>
    <t>R (J/kgK)</t>
  </si>
  <si>
    <t>TD0 (K)</t>
  </si>
  <si>
    <r>
      <rPr>
        <sz val="11"/>
        <color theme="1"/>
        <rFont val="Calibri"/>
        <family val="2"/>
      </rPr>
      <t>σ</t>
    </r>
    <r>
      <rPr>
        <sz val="11"/>
        <color theme="1"/>
        <rFont val="Calibri"/>
        <family val="2"/>
        <scheme val="minor"/>
      </rPr>
      <t xml:space="preserve"> (Pa)</t>
    </r>
  </si>
  <si>
    <t>ρ (kg/m^3)</t>
  </si>
  <si>
    <t>γ</t>
  </si>
  <si>
    <t>α</t>
  </si>
  <si>
    <t>Gas</t>
  </si>
  <si>
    <t>Material</t>
  </si>
  <si>
    <t>Valor</t>
  </si>
  <si>
    <t>Inicial</t>
  </si>
  <si>
    <t>Final</t>
  </si>
  <si>
    <t>Pasos</t>
  </si>
  <si>
    <t>?? Para sigma</t>
  </si>
  <si>
    <t>Acero inox</t>
  </si>
  <si>
    <t>M(g/mol)</t>
  </si>
  <si>
    <t>Aire seco</t>
  </si>
  <si>
    <t>Wg (kg)</t>
  </si>
  <si>
    <t>Wm (kg)</t>
  </si>
  <si>
    <t>Pd0 (bar)</t>
  </si>
  <si>
    <t>CO2</t>
  </si>
  <si>
    <t>sigma</t>
  </si>
  <si>
    <t>Pd0</t>
  </si>
  <si>
    <t>Wd (kg)</t>
  </si>
  <si>
    <t>Pd0 = 13bar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</si>
</sst>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Volumen del depósito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Hoja1!$R$27</c:f>
              <c:strCache>
                <c:ptCount val="1"/>
                <c:pt idx="0">
                  <c:v>H2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Hoja1!$Q$28:$Q$37</c:f>
              <c:numCache>
                <c:formatCode>General</c:formatCode>
                <c:ptCount val="10"/>
                <c:pt idx="0">
                  <c:v>13</c:v>
                </c:pt>
                <c:pt idx="1">
                  <c:v>14</c:v>
                </c:pt>
                <c:pt idx="2">
                  <c:v>15</c:v>
                </c:pt>
                <c:pt idx="3">
                  <c:v>16</c:v>
                </c:pt>
                <c:pt idx="4">
                  <c:v>17</c:v>
                </c:pt>
                <c:pt idx="5">
                  <c:v>18</c:v>
                </c:pt>
                <c:pt idx="6">
                  <c:v>19</c:v>
                </c:pt>
                <c:pt idx="7">
                  <c:v>20</c:v>
                </c:pt>
                <c:pt idx="8">
                  <c:v>21</c:v>
                </c:pt>
                <c:pt idx="9">
                  <c:v>22</c:v>
                </c:pt>
              </c:numCache>
            </c:numRef>
          </c:cat>
          <c:val>
            <c:numRef>
              <c:f>Hoja1!$R$28:$R$37</c:f>
              <c:numCache>
                <c:formatCode>0.000</c:formatCode>
                <c:ptCount val="10"/>
                <c:pt idx="0">
                  <c:v>5.0669435215946601</c:v>
                </c:pt>
                <c:pt idx="1">
                  <c:v>1.3136520241171394</c:v>
                </c:pt>
                <c:pt idx="2">
                  <c:v>0.75465116279069766</c:v>
                </c:pt>
                <c:pt idx="3">
                  <c:v>0.52938215897257868</c:v>
                </c:pt>
                <c:pt idx="4">
                  <c:v>0.40768511093290555</c:v>
                </c:pt>
                <c:pt idx="5">
                  <c:v>0.33148228645946515</c:v>
                </c:pt>
                <c:pt idx="6">
                  <c:v>0.27928035158395892</c:v>
                </c:pt>
                <c:pt idx="7">
                  <c:v>0.24128302483784209</c:v>
                </c:pt>
                <c:pt idx="8">
                  <c:v>0.21238685419857953</c:v>
                </c:pt>
                <c:pt idx="9">
                  <c:v>0.18967168262653894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A8-46F0-808C-7D1E55DCCB82}"/>
            </c:ext>
          </c:extLst>
        </c:ser>
        <c:ser>
          <c:idx val="2"/>
          <c:order val="1"/>
          <c:tx>
            <c:strRef>
              <c:f>Hoja1!$S$27</c:f>
              <c:strCache>
                <c:ptCount val="1"/>
                <c:pt idx="0">
                  <c:v>He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Hoja1!$Q$28:$Q$37</c:f>
              <c:numCache>
                <c:formatCode>General</c:formatCode>
                <c:ptCount val="10"/>
                <c:pt idx="0">
                  <c:v>13</c:v>
                </c:pt>
                <c:pt idx="1">
                  <c:v>14</c:v>
                </c:pt>
                <c:pt idx="2">
                  <c:v>15</c:v>
                </c:pt>
                <c:pt idx="3">
                  <c:v>16</c:v>
                </c:pt>
                <c:pt idx="4">
                  <c:v>17</c:v>
                </c:pt>
                <c:pt idx="5">
                  <c:v>18</c:v>
                </c:pt>
                <c:pt idx="6">
                  <c:v>19</c:v>
                </c:pt>
                <c:pt idx="7">
                  <c:v>20</c:v>
                </c:pt>
                <c:pt idx="8">
                  <c:v>21</c:v>
                </c:pt>
                <c:pt idx="9">
                  <c:v>22</c:v>
                </c:pt>
              </c:numCache>
            </c:numRef>
          </c:cat>
          <c:val>
            <c:numRef>
              <c:f>Hoja1!$S$28:$S$37</c:f>
              <c:numCache>
                <c:formatCode>0.000</c:formatCode>
                <c:ptCount val="10"/>
                <c:pt idx="0">
                  <c:v>5.9653377630121529</c:v>
                </c:pt>
                <c:pt idx="1">
                  <c:v>1.5465690496698239</c:v>
                </c:pt>
                <c:pt idx="2">
                  <c:v>0.8884545604486227</c:v>
                </c:pt>
                <c:pt idx="3">
                  <c:v>0.62324424389679478</c:v>
                </c:pt>
                <c:pt idx="4">
                  <c:v>0.47996970506994552</c:v>
                </c:pt>
                <c:pt idx="5">
                  <c:v>0.39025574150546966</c:v>
                </c:pt>
                <c:pt idx="6">
                  <c:v>0.32879814441799415</c:v>
                </c:pt>
                <c:pt idx="7">
                  <c:v>0.28406370300058004</c:v>
                </c:pt>
                <c:pt idx="8">
                  <c:v>0.25004409785080994</c:v>
                </c:pt>
                <c:pt idx="9">
                  <c:v>0.22330141358869124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2A8-46F0-808C-7D1E55DCCB82}"/>
            </c:ext>
          </c:extLst>
        </c:ser>
        <c:ser>
          <c:idx val="3"/>
          <c:order val="2"/>
          <c:tx>
            <c:strRef>
              <c:f>Hoja1!$T$27</c:f>
              <c:strCache>
                <c:ptCount val="1"/>
                <c:pt idx="0">
                  <c:v>Aire seco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Hoja1!$Q$28:$Q$37</c:f>
              <c:numCache>
                <c:formatCode>General</c:formatCode>
                <c:ptCount val="10"/>
                <c:pt idx="0">
                  <c:v>13</c:v>
                </c:pt>
                <c:pt idx="1">
                  <c:v>14</c:v>
                </c:pt>
                <c:pt idx="2">
                  <c:v>15</c:v>
                </c:pt>
                <c:pt idx="3">
                  <c:v>16</c:v>
                </c:pt>
                <c:pt idx="4">
                  <c:v>17</c:v>
                </c:pt>
                <c:pt idx="5">
                  <c:v>18</c:v>
                </c:pt>
                <c:pt idx="6">
                  <c:v>19</c:v>
                </c:pt>
                <c:pt idx="7">
                  <c:v>20</c:v>
                </c:pt>
                <c:pt idx="8">
                  <c:v>21</c:v>
                </c:pt>
                <c:pt idx="9">
                  <c:v>22</c:v>
                </c:pt>
              </c:numCache>
            </c:numRef>
          </c:cat>
          <c:val>
            <c:numRef>
              <c:f>Hoja1!$T$28:$T$37</c:f>
              <c:numCache>
                <c:formatCode>0.000</c:formatCode>
                <c:ptCount val="10"/>
                <c:pt idx="0">
                  <c:v>5.0310077519379597</c:v>
                </c:pt>
                <c:pt idx="1">
                  <c:v>1.304335343095032</c:v>
                </c:pt>
                <c:pt idx="2">
                  <c:v>0.74929902688438055</c:v>
                </c:pt>
                <c:pt idx="3">
                  <c:v>0.52562767557560997</c:v>
                </c:pt>
                <c:pt idx="4">
                  <c:v>0.4047937271674239</c:v>
                </c:pt>
                <c:pt idx="5">
                  <c:v>0.32913134825762497</c:v>
                </c:pt>
                <c:pt idx="6">
                  <c:v>0.27729963987059747</c:v>
                </c:pt>
                <c:pt idx="7">
                  <c:v>0.23957179771133255</c:v>
                </c:pt>
                <c:pt idx="8">
                  <c:v>0.21088056445249029</c:v>
                </c:pt>
                <c:pt idx="9">
                  <c:v>0.18832649338805285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2A8-46F0-808C-7D1E55DCCB82}"/>
            </c:ext>
          </c:extLst>
        </c:ser>
        <c:ser>
          <c:idx val="4"/>
          <c:order val="3"/>
          <c:tx>
            <c:strRef>
              <c:f>Hoja1!$U$27</c:f>
              <c:strCache>
                <c:ptCount val="1"/>
                <c:pt idx="0">
                  <c:v>CO2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Hoja1!$Q$28:$Q$37</c:f>
              <c:numCache>
                <c:formatCode>General</c:formatCode>
                <c:ptCount val="10"/>
                <c:pt idx="0">
                  <c:v>13</c:v>
                </c:pt>
                <c:pt idx="1">
                  <c:v>14</c:v>
                </c:pt>
                <c:pt idx="2">
                  <c:v>15</c:v>
                </c:pt>
                <c:pt idx="3">
                  <c:v>16</c:v>
                </c:pt>
                <c:pt idx="4">
                  <c:v>17</c:v>
                </c:pt>
                <c:pt idx="5">
                  <c:v>18</c:v>
                </c:pt>
                <c:pt idx="6">
                  <c:v>19</c:v>
                </c:pt>
                <c:pt idx="7">
                  <c:v>20</c:v>
                </c:pt>
                <c:pt idx="8">
                  <c:v>21</c:v>
                </c:pt>
                <c:pt idx="9">
                  <c:v>22</c:v>
                </c:pt>
              </c:numCache>
            </c:numRef>
          </c:cat>
          <c:val>
            <c:numRef>
              <c:f>Hoja1!$U$28:$U$37</c:f>
              <c:numCache>
                <c:formatCode>0.000</c:formatCode>
                <c:ptCount val="10"/>
                <c:pt idx="0">
                  <c:v>4.6716500553709635</c:v>
                </c:pt>
                <c:pt idx="1">
                  <c:v>1.2111685328739585</c:v>
                </c:pt>
                <c:pt idx="2">
                  <c:v>0.69577766782121064</c:v>
                </c:pt>
                <c:pt idx="3">
                  <c:v>0.48808284160592369</c:v>
                </c:pt>
                <c:pt idx="4">
                  <c:v>0.37587988951260798</c:v>
                </c:pt>
                <c:pt idx="5">
                  <c:v>0.30562196623922322</c:v>
                </c:pt>
                <c:pt idx="6">
                  <c:v>0.25749252273698342</c:v>
                </c:pt>
                <c:pt idx="7">
                  <c:v>0.2224595264462374</c:v>
                </c:pt>
                <c:pt idx="8">
                  <c:v>0.19581766699159817</c:v>
                </c:pt>
                <c:pt idx="9">
                  <c:v>0.17487460100319197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2A8-46F0-808C-7D1E55DCCB82}"/>
            </c:ext>
          </c:extLst>
        </c:ser>
        <c:ser>
          <c:idx val="5"/>
          <c:order val="4"/>
          <c:tx>
            <c:strRef>
              <c:f>Hoja1!$V$27</c:f>
              <c:strCache>
                <c:ptCount val="1"/>
                <c:pt idx="0">
                  <c:v>Ar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Hoja1!$Q$28:$Q$37</c:f>
              <c:numCache>
                <c:formatCode>General</c:formatCode>
                <c:ptCount val="10"/>
                <c:pt idx="0">
                  <c:v>13</c:v>
                </c:pt>
                <c:pt idx="1">
                  <c:v>14</c:v>
                </c:pt>
                <c:pt idx="2">
                  <c:v>15</c:v>
                </c:pt>
                <c:pt idx="3">
                  <c:v>16</c:v>
                </c:pt>
                <c:pt idx="4">
                  <c:v>17</c:v>
                </c:pt>
                <c:pt idx="5">
                  <c:v>18</c:v>
                </c:pt>
                <c:pt idx="6">
                  <c:v>19</c:v>
                </c:pt>
                <c:pt idx="7">
                  <c:v>20</c:v>
                </c:pt>
                <c:pt idx="8">
                  <c:v>21</c:v>
                </c:pt>
                <c:pt idx="9">
                  <c:v>22</c:v>
                </c:pt>
              </c:numCache>
            </c:numRef>
          </c:cat>
          <c:val>
            <c:numRef>
              <c:f>Hoja1!$V$28:$V$37</c:f>
              <c:numCache>
                <c:formatCode>0.000</c:formatCode>
                <c:ptCount val="10"/>
                <c:pt idx="0">
                  <c:v>6.0012735326688533</c:v>
                </c:pt>
                <c:pt idx="1">
                  <c:v>1.5558857306919314</c:v>
                </c:pt>
                <c:pt idx="2">
                  <c:v>0.89380669635493981</c:v>
                </c:pt>
                <c:pt idx="3">
                  <c:v>0.62699872729376349</c:v>
                </c:pt>
                <c:pt idx="4">
                  <c:v>0.48286108883542717</c:v>
                </c:pt>
                <c:pt idx="5">
                  <c:v>0.39260667970730984</c:v>
                </c:pt>
                <c:pt idx="6">
                  <c:v>0.3307788561313556</c:v>
                </c:pt>
                <c:pt idx="7">
                  <c:v>0.28577493012708954</c:v>
                </c:pt>
                <c:pt idx="8">
                  <c:v>0.25155038759689918</c:v>
                </c:pt>
                <c:pt idx="9">
                  <c:v>0.22464660282717736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2A8-46F0-808C-7D1E55DCCB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7030688"/>
        <c:axId val="667040672"/>
      </c:lineChart>
      <c:catAx>
        <c:axId val="667030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Presión</a:t>
                </a:r>
                <a:r>
                  <a:rPr lang="es-ES" baseline="0"/>
                  <a:t> inicial del depósito (bar)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67040672"/>
        <c:crosses val="autoZero"/>
        <c:auto val="1"/>
        <c:lblAlgn val="ctr"/>
        <c:lblOffset val="100"/>
        <c:noMultiLvlLbl val="0"/>
      </c:catAx>
      <c:valAx>
        <c:axId val="66704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V</a:t>
                </a:r>
                <a:r>
                  <a:rPr lang="es-ES" baseline="0"/>
                  <a:t> (m</a:t>
                </a:r>
                <a:r>
                  <a:rPr lang="es-ES" baseline="0">
                    <a:latin typeface="Calibri" panose="020F0502020204030204" pitchFamily="34" charset="0"/>
                    <a:cs typeface="Calibri" panose="020F0502020204030204" pitchFamily="34" charset="0"/>
                  </a:rPr>
                  <a:t>³)</a:t>
                </a:r>
                <a:endParaRPr lang="es-E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67030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Peso del</a:t>
            </a:r>
            <a:r>
              <a:rPr lang="es-ES" baseline="0"/>
              <a:t> gas</a:t>
            </a:r>
            <a:endParaRPr lang="es-E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Hoja1!$R$27</c:f>
              <c:strCache>
                <c:ptCount val="1"/>
                <c:pt idx="0">
                  <c:v>H2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Hoja1!$Q$41:$Q$50</c:f>
              <c:numCache>
                <c:formatCode>General</c:formatCode>
                <c:ptCount val="10"/>
                <c:pt idx="0">
                  <c:v>13</c:v>
                </c:pt>
                <c:pt idx="1">
                  <c:v>14</c:v>
                </c:pt>
                <c:pt idx="2">
                  <c:v>15</c:v>
                </c:pt>
                <c:pt idx="3">
                  <c:v>16</c:v>
                </c:pt>
                <c:pt idx="4">
                  <c:v>17</c:v>
                </c:pt>
                <c:pt idx="5">
                  <c:v>18</c:v>
                </c:pt>
                <c:pt idx="6">
                  <c:v>19</c:v>
                </c:pt>
                <c:pt idx="7">
                  <c:v>20</c:v>
                </c:pt>
                <c:pt idx="8">
                  <c:v>21</c:v>
                </c:pt>
                <c:pt idx="9">
                  <c:v>22</c:v>
                </c:pt>
              </c:numCache>
            </c:numRef>
          </c:cat>
          <c:val>
            <c:numRef>
              <c:f>Hoja1!$R$41:$R$50</c:f>
              <c:numCache>
                <c:formatCode>0.000</c:formatCode>
                <c:ptCount val="10"/>
                <c:pt idx="0">
                  <c:v>5.4459198014776424</c:v>
                </c:pt>
                <c:pt idx="1">
                  <c:v>1.5205132209253878</c:v>
                </c:pt>
                <c:pt idx="2">
                  <c:v>0.93587819828994301</c:v>
                </c:pt>
                <c:pt idx="3">
                  <c:v>0.70027901006371818</c:v>
                </c:pt>
                <c:pt idx="4">
                  <c:v>0.57300128768863168</c:v>
                </c:pt>
                <c:pt idx="5">
                  <c:v>0.49330402227619385</c:v>
                </c:pt>
                <c:pt idx="6">
                  <c:v>0.43870825778105971</c:v>
                </c:pt>
                <c:pt idx="7">
                  <c:v>0.39896848362473758</c:v>
                </c:pt>
                <c:pt idx="8">
                  <c:v>0.36874721824837264</c:v>
                </c:pt>
                <c:pt idx="9">
                  <c:v>0.34499039466374359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4C-41AD-BBEB-5E0C13E3E5E2}"/>
            </c:ext>
          </c:extLst>
        </c:ser>
        <c:ser>
          <c:idx val="2"/>
          <c:order val="1"/>
          <c:tx>
            <c:strRef>
              <c:f>Hoja1!$S$27</c:f>
              <c:strCache>
                <c:ptCount val="1"/>
                <c:pt idx="0">
                  <c:v>He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Hoja1!$Q$41:$Q$50</c:f>
              <c:numCache>
                <c:formatCode>General</c:formatCode>
                <c:ptCount val="10"/>
                <c:pt idx="0">
                  <c:v>13</c:v>
                </c:pt>
                <c:pt idx="1">
                  <c:v>14</c:v>
                </c:pt>
                <c:pt idx="2">
                  <c:v>15</c:v>
                </c:pt>
                <c:pt idx="3">
                  <c:v>16</c:v>
                </c:pt>
                <c:pt idx="4">
                  <c:v>17</c:v>
                </c:pt>
                <c:pt idx="5">
                  <c:v>18</c:v>
                </c:pt>
                <c:pt idx="6">
                  <c:v>19</c:v>
                </c:pt>
                <c:pt idx="7">
                  <c:v>20</c:v>
                </c:pt>
                <c:pt idx="8">
                  <c:v>21</c:v>
                </c:pt>
                <c:pt idx="9">
                  <c:v>22</c:v>
                </c:pt>
              </c:numCache>
            </c:numRef>
          </c:cat>
          <c:val>
            <c:numRef>
              <c:f>Hoja1!$S$41:$S$50</c:f>
              <c:numCache>
                <c:formatCode>0.000</c:formatCode>
                <c:ptCount val="10"/>
                <c:pt idx="0">
                  <c:v>12.74024661960336</c:v>
                </c:pt>
                <c:pt idx="1">
                  <c:v>3.5571058937924063</c:v>
                </c:pt>
                <c:pt idx="2">
                  <c:v>2.1894040835652357</c:v>
                </c:pt>
                <c:pt idx="3">
                  <c:v>1.638240667503539</c:v>
                </c:pt>
                <c:pt idx="4">
                  <c:v>1.3404857185966461</c:v>
                </c:pt>
                <c:pt idx="5">
                  <c:v>1.1540410309633575</c:v>
                </c:pt>
                <c:pt idx="6">
                  <c:v>1.0263190795925223</c:v>
                </c:pt>
                <c:pt idx="7">
                  <c:v>0.93335140070354716</c:v>
                </c:pt>
                <c:pt idx="8">
                  <c:v>0.86265142933288919</c:v>
                </c:pt>
                <c:pt idx="9">
                  <c:v>0.80707444649071425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4C-41AD-BBEB-5E0C13E3E5E2}"/>
            </c:ext>
          </c:extLst>
        </c:ser>
        <c:ser>
          <c:idx val="3"/>
          <c:order val="2"/>
          <c:tx>
            <c:strRef>
              <c:f>Hoja1!$T$27</c:f>
              <c:strCache>
                <c:ptCount val="1"/>
                <c:pt idx="0">
                  <c:v>Aire seco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Hoja1!$Q$41:$Q$50</c:f>
              <c:numCache>
                <c:formatCode>General</c:formatCode>
                <c:ptCount val="10"/>
                <c:pt idx="0">
                  <c:v>13</c:v>
                </c:pt>
                <c:pt idx="1">
                  <c:v>14</c:v>
                </c:pt>
                <c:pt idx="2">
                  <c:v>15</c:v>
                </c:pt>
                <c:pt idx="3">
                  <c:v>16</c:v>
                </c:pt>
                <c:pt idx="4">
                  <c:v>17</c:v>
                </c:pt>
                <c:pt idx="5">
                  <c:v>18</c:v>
                </c:pt>
                <c:pt idx="6">
                  <c:v>19</c:v>
                </c:pt>
                <c:pt idx="7">
                  <c:v>20</c:v>
                </c:pt>
                <c:pt idx="8">
                  <c:v>21</c:v>
                </c:pt>
                <c:pt idx="9">
                  <c:v>22</c:v>
                </c:pt>
              </c:numCache>
            </c:numRef>
          </c:cat>
          <c:val>
            <c:numRef>
              <c:f>Hoja1!$T$41:$T$50</c:f>
              <c:numCache>
                <c:formatCode>0.000</c:formatCode>
                <c:ptCount val="10"/>
                <c:pt idx="0">
                  <c:v>77.780224706603477</c:v>
                </c:pt>
                <c:pt idx="1">
                  <c:v>21.716416014949207</c:v>
                </c:pt>
                <c:pt idx="2">
                  <c:v>13.366487060873002</c:v>
                </c:pt>
                <c:pt idx="3">
                  <c:v>10.001590318185563</c:v>
                </c:pt>
                <c:pt idx="4">
                  <c:v>8.1837725376532759</c:v>
                </c:pt>
                <c:pt idx="5">
                  <c:v>7.0455128059181025</c:v>
                </c:pt>
                <c:pt idx="6">
                  <c:v>6.265760076304244</c:v>
                </c:pt>
                <c:pt idx="7">
                  <c:v>5.6981849601907575</c:v>
                </c:pt>
                <c:pt idx="8">
                  <c:v>5.2665559796733126</c:v>
                </c:pt>
                <c:pt idx="9">
                  <c:v>4.9272540538120078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4C-41AD-BBEB-5E0C13E3E5E2}"/>
            </c:ext>
          </c:extLst>
        </c:ser>
        <c:ser>
          <c:idx val="4"/>
          <c:order val="3"/>
          <c:tx>
            <c:strRef>
              <c:f>Hoja1!$U$27</c:f>
              <c:strCache>
                <c:ptCount val="1"/>
                <c:pt idx="0">
                  <c:v>CO2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Hoja1!$Q$41:$Q$50</c:f>
              <c:numCache>
                <c:formatCode>General</c:formatCode>
                <c:ptCount val="10"/>
                <c:pt idx="0">
                  <c:v>13</c:v>
                </c:pt>
                <c:pt idx="1">
                  <c:v>14</c:v>
                </c:pt>
                <c:pt idx="2">
                  <c:v>15</c:v>
                </c:pt>
                <c:pt idx="3">
                  <c:v>16</c:v>
                </c:pt>
                <c:pt idx="4">
                  <c:v>17</c:v>
                </c:pt>
                <c:pt idx="5">
                  <c:v>18</c:v>
                </c:pt>
                <c:pt idx="6">
                  <c:v>19</c:v>
                </c:pt>
                <c:pt idx="7">
                  <c:v>20</c:v>
                </c:pt>
                <c:pt idx="8">
                  <c:v>21</c:v>
                </c:pt>
                <c:pt idx="9">
                  <c:v>22</c:v>
                </c:pt>
              </c:numCache>
            </c:numRef>
          </c:cat>
          <c:val>
            <c:numRef>
              <c:f>Hoja1!$U$41:$U$50</c:f>
              <c:numCache>
                <c:formatCode>0.000</c:formatCode>
                <c:ptCount val="10"/>
                <c:pt idx="0">
                  <c:v>109.72040031902227</c:v>
                </c:pt>
                <c:pt idx="1">
                  <c:v>30.63418584405763</c:v>
                </c:pt>
                <c:pt idx="2">
                  <c:v>18.855387943530925</c:v>
                </c:pt>
                <c:pt idx="3">
                  <c:v>14.108708192572385</c:v>
                </c:pt>
                <c:pt idx="4">
                  <c:v>11.544409936307437</c:v>
                </c:pt>
                <c:pt idx="5">
                  <c:v>9.9387278506088172</c:v>
                </c:pt>
                <c:pt idx="6">
                  <c:v>8.8387724060751243</c:v>
                </c:pt>
                <c:pt idx="7">
                  <c:v>8.0381245654961759</c:v>
                </c:pt>
                <c:pt idx="8">
                  <c:v>7.4292486627804459</c:v>
                </c:pt>
                <c:pt idx="9">
                  <c:v>6.9506135948702221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94C-41AD-BBEB-5E0C13E3E5E2}"/>
            </c:ext>
          </c:extLst>
        </c:ser>
        <c:ser>
          <c:idx val="5"/>
          <c:order val="4"/>
          <c:tx>
            <c:strRef>
              <c:f>Hoja1!$V$27</c:f>
              <c:strCache>
                <c:ptCount val="1"/>
                <c:pt idx="0">
                  <c:v>Ar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Hoja1!$Q$41:$Q$50</c:f>
              <c:numCache>
                <c:formatCode>General</c:formatCode>
                <c:ptCount val="10"/>
                <c:pt idx="0">
                  <c:v>13</c:v>
                </c:pt>
                <c:pt idx="1">
                  <c:v>14</c:v>
                </c:pt>
                <c:pt idx="2">
                  <c:v>15</c:v>
                </c:pt>
                <c:pt idx="3">
                  <c:v>16</c:v>
                </c:pt>
                <c:pt idx="4">
                  <c:v>17</c:v>
                </c:pt>
                <c:pt idx="5">
                  <c:v>18</c:v>
                </c:pt>
                <c:pt idx="6">
                  <c:v>19</c:v>
                </c:pt>
                <c:pt idx="7">
                  <c:v>20</c:v>
                </c:pt>
                <c:pt idx="8">
                  <c:v>21</c:v>
                </c:pt>
                <c:pt idx="9">
                  <c:v>22</c:v>
                </c:pt>
              </c:numCache>
            </c:numRef>
          </c:cat>
          <c:val>
            <c:numRef>
              <c:f>Hoja1!$V$41:$V$50</c:f>
              <c:numCache>
                <c:formatCode>0.000</c:formatCode>
                <c:ptCount val="10"/>
                <c:pt idx="0">
                  <c:v>127.91373913618798</c:v>
                </c:pt>
                <c:pt idx="1">
                  <c:v>35.71380750810961</c:v>
                </c:pt>
                <c:pt idx="2">
                  <c:v>21.981902797544681</c:v>
                </c:pt>
                <c:pt idx="3">
                  <c:v>16.448150152988653</c:v>
                </c:pt>
                <c:pt idx="4">
                  <c:v>13.458651597883676</c:v>
                </c:pt>
                <c:pt idx="5">
                  <c:v>11.586722596088967</c:v>
                </c:pt>
                <c:pt idx="6">
                  <c:v>10.3043775318674</c:v>
                </c:pt>
                <c:pt idx="7">
                  <c:v>9.3709699000870756</c:v>
                </c:pt>
                <c:pt idx="8">
                  <c:v>8.6611329585535319</c:v>
                </c:pt>
                <c:pt idx="9">
                  <c:v>8.1031327959576451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94C-41AD-BBEB-5E0C13E3E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7030688"/>
        <c:axId val="667040672"/>
      </c:lineChart>
      <c:catAx>
        <c:axId val="667030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Presión</a:t>
                </a:r>
                <a:r>
                  <a:rPr lang="es-ES" baseline="0"/>
                  <a:t> inicial del depósito (bar)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67040672"/>
        <c:crosses val="autoZero"/>
        <c:auto val="1"/>
        <c:lblAlgn val="ctr"/>
        <c:lblOffset val="100"/>
        <c:noMultiLvlLbl val="0"/>
      </c:catAx>
      <c:valAx>
        <c:axId val="66704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baseline="0"/>
                  <a:t>W (kg</a:t>
                </a:r>
                <a:r>
                  <a:rPr lang="es-ES" baseline="0">
                    <a:latin typeface="Calibri" panose="020F0502020204030204" pitchFamily="34" charset="0"/>
                    <a:cs typeface="Calibri" panose="020F0502020204030204" pitchFamily="34" charset="0"/>
                  </a:rPr>
                  <a:t>)</a:t>
                </a:r>
                <a:endParaRPr lang="es-E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67030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Peso del depósito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Hoja1!$R$27</c:f>
              <c:strCache>
                <c:ptCount val="1"/>
                <c:pt idx="0">
                  <c:v>H2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Hoja1!$Q$54:$Q$63</c:f>
              <c:numCache>
                <c:formatCode>General</c:formatCode>
                <c:ptCount val="10"/>
                <c:pt idx="0">
                  <c:v>13</c:v>
                </c:pt>
                <c:pt idx="1">
                  <c:v>14</c:v>
                </c:pt>
                <c:pt idx="2">
                  <c:v>15</c:v>
                </c:pt>
                <c:pt idx="3">
                  <c:v>16</c:v>
                </c:pt>
                <c:pt idx="4">
                  <c:v>17</c:v>
                </c:pt>
                <c:pt idx="5">
                  <c:v>18</c:v>
                </c:pt>
                <c:pt idx="6">
                  <c:v>19</c:v>
                </c:pt>
                <c:pt idx="7">
                  <c:v>20</c:v>
                </c:pt>
                <c:pt idx="8">
                  <c:v>21</c:v>
                </c:pt>
                <c:pt idx="9">
                  <c:v>22</c:v>
                </c:pt>
              </c:numCache>
            </c:numRef>
          </c:cat>
          <c:val>
            <c:numRef>
              <c:f>Hoja1!$R$54:$R$63</c:f>
              <c:numCache>
                <c:formatCode>0.000</c:formatCode>
                <c:ptCount val="10"/>
                <c:pt idx="0">
                  <c:v>4.1602273124671942</c:v>
                </c:pt>
                <c:pt idx="1">
                  <c:v>1.161544947640418</c:v>
                </c:pt>
                <c:pt idx="2">
                  <c:v>0.71493268053855574</c:v>
                </c:pt>
                <c:pt idx="3">
                  <c:v>0.53495460275123741</c:v>
                </c:pt>
                <c:pt idx="4">
                  <c:v>0.43772506647533016</c:v>
                </c:pt>
                <c:pt idx="5">
                  <c:v>0.37684302039602358</c:v>
                </c:pt>
                <c:pt idx="6">
                  <c:v>0.33513642190075071</c:v>
                </c:pt>
                <c:pt idx="7">
                  <c:v>0.3047785576899058</c:v>
                </c:pt>
                <c:pt idx="8">
                  <c:v>0.28169203820022126</c:v>
                </c:pt>
                <c:pt idx="9">
                  <c:v>0.26354381164950674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7A-4EAC-8362-C1F75AACB32B}"/>
            </c:ext>
          </c:extLst>
        </c:ser>
        <c:ser>
          <c:idx val="2"/>
          <c:order val="1"/>
          <c:tx>
            <c:strRef>
              <c:f>Hoja1!$S$27</c:f>
              <c:strCache>
                <c:ptCount val="1"/>
                <c:pt idx="0">
                  <c:v>He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Hoja1!$Q$54:$Q$63</c:f>
              <c:numCache>
                <c:formatCode>General</c:formatCode>
                <c:ptCount val="10"/>
                <c:pt idx="0">
                  <c:v>13</c:v>
                </c:pt>
                <c:pt idx="1">
                  <c:v>14</c:v>
                </c:pt>
                <c:pt idx="2">
                  <c:v>15</c:v>
                </c:pt>
                <c:pt idx="3">
                  <c:v>16</c:v>
                </c:pt>
                <c:pt idx="4">
                  <c:v>17</c:v>
                </c:pt>
                <c:pt idx="5">
                  <c:v>18</c:v>
                </c:pt>
                <c:pt idx="6">
                  <c:v>19</c:v>
                </c:pt>
                <c:pt idx="7">
                  <c:v>20</c:v>
                </c:pt>
                <c:pt idx="8">
                  <c:v>21</c:v>
                </c:pt>
                <c:pt idx="9">
                  <c:v>22</c:v>
                </c:pt>
              </c:numCache>
            </c:numRef>
          </c:cat>
          <c:val>
            <c:numRef>
              <c:f>Hoja1!$S$54:$S$63</c:f>
              <c:numCache>
                <c:formatCode>0.000</c:formatCode>
                <c:ptCount val="10"/>
                <c:pt idx="0">
                  <c:v>4.8978562685783986</c:v>
                </c:pt>
                <c:pt idx="1">
                  <c:v>1.3674926333922655</c:v>
                </c:pt>
                <c:pt idx="2">
                  <c:v>0.84169379410922152</c:v>
                </c:pt>
                <c:pt idx="3">
                  <c:v>0.62980470962202428</c:v>
                </c:pt>
                <c:pt idx="4">
                  <c:v>0.51533589386457312</c:v>
                </c:pt>
                <c:pt idx="5">
                  <c:v>0.44365915876411283</c:v>
                </c:pt>
                <c:pt idx="6">
                  <c:v>0.39455777330159303</c:v>
                </c:pt>
                <c:pt idx="7">
                  <c:v>0.35881730905336423</c:v>
                </c:pt>
                <c:pt idx="8">
                  <c:v>0.3316374350442321</c:v>
                </c:pt>
                <c:pt idx="9">
                  <c:v>0.31027143782849731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7A-4EAC-8362-C1F75AACB32B}"/>
            </c:ext>
          </c:extLst>
        </c:ser>
        <c:ser>
          <c:idx val="3"/>
          <c:order val="2"/>
          <c:tx>
            <c:strRef>
              <c:f>Hoja1!$T$27</c:f>
              <c:strCache>
                <c:ptCount val="1"/>
                <c:pt idx="0">
                  <c:v>Aire seco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Hoja1!$Q$54:$Q$63</c:f>
              <c:numCache>
                <c:formatCode>General</c:formatCode>
                <c:ptCount val="10"/>
                <c:pt idx="0">
                  <c:v>13</c:v>
                </c:pt>
                <c:pt idx="1">
                  <c:v>14</c:v>
                </c:pt>
                <c:pt idx="2">
                  <c:v>15</c:v>
                </c:pt>
                <c:pt idx="3">
                  <c:v>16</c:v>
                </c:pt>
                <c:pt idx="4">
                  <c:v>17</c:v>
                </c:pt>
                <c:pt idx="5">
                  <c:v>18</c:v>
                </c:pt>
                <c:pt idx="6">
                  <c:v>19</c:v>
                </c:pt>
                <c:pt idx="7">
                  <c:v>20</c:v>
                </c:pt>
                <c:pt idx="8">
                  <c:v>21</c:v>
                </c:pt>
                <c:pt idx="9">
                  <c:v>22</c:v>
                </c:pt>
              </c:numCache>
            </c:numRef>
          </c:cat>
          <c:val>
            <c:numRef>
              <c:f>Hoja1!$T$54:$T$63</c:f>
              <c:numCache>
                <c:formatCode>0.000</c:formatCode>
                <c:ptCount val="10"/>
                <c:pt idx="0">
                  <c:v>4.1307221542227452</c:v>
                </c:pt>
                <c:pt idx="1">
                  <c:v>1.1533070402103442</c:v>
                </c:pt>
                <c:pt idx="2">
                  <c:v>0.70986223599572895</c:v>
                </c:pt>
                <c:pt idx="3">
                  <c:v>0.53116059847640584</c:v>
                </c:pt>
                <c:pt idx="4">
                  <c:v>0.43462063337976042</c:v>
                </c:pt>
                <c:pt idx="5">
                  <c:v>0.37417037486129995</c:v>
                </c:pt>
                <c:pt idx="6">
                  <c:v>0.332759567844717</c:v>
                </c:pt>
                <c:pt idx="7">
                  <c:v>0.30261700763536742</c:v>
                </c:pt>
                <c:pt idx="8">
                  <c:v>0.2796942223264608</c:v>
                </c:pt>
                <c:pt idx="9">
                  <c:v>0.26167470660234715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87A-4EAC-8362-C1F75AACB32B}"/>
            </c:ext>
          </c:extLst>
        </c:ser>
        <c:ser>
          <c:idx val="4"/>
          <c:order val="3"/>
          <c:tx>
            <c:strRef>
              <c:f>Hoja1!$U$27</c:f>
              <c:strCache>
                <c:ptCount val="1"/>
                <c:pt idx="0">
                  <c:v>CO2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Hoja1!$Q$54:$Q$63</c:f>
              <c:numCache>
                <c:formatCode>General</c:formatCode>
                <c:ptCount val="10"/>
                <c:pt idx="0">
                  <c:v>13</c:v>
                </c:pt>
                <c:pt idx="1">
                  <c:v>14</c:v>
                </c:pt>
                <c:pt idx="2">
                  <c:v>15</c:v>
                </c:pt>
                <c:pt idx="3">
                  <c:v>16</c:v>
                </c:pt>
                <c:pt idx="4">
                  <c:v>17</c:v>
                </c:pt>
                <c:pt idx="5">
                  <c:v>18</c:v>
                </c:pt>
                <c:pt idx="6">
                  <c:v>19</c:v>
                </c:pt>
                <c:pt idx="7">
                  <c:v>20</c:v>
                </c:pt>
                <c:pt idx="8">
                  <c:v>21</c:v>
                </c:pt>
                <c:pt idx="9">
                  <c:v>22</c:v>
                </c:pt>
              </c:numCache>
            </c:numRef>
          </c:cat>
          <c:val>
            <c:numRef>
              <c:f>Hoja1!$U$54:$U$63</c:f>
              <c:numCache>
                <c:formatCode>0.000</c:formatCode>
                <c:ptCount val="10"/>
                <c:pt idx="0">
                  <c:v>3.8356705717782642</c:v>
                </c:pt>
                <c:pt idx="1">
                  <c:v>1.0709279659096054</c:v>
                </c:pt>
                <c:pt idx="2">
                  <c:v>0.65915779056746271</c:v>
                </c:pt>
                <c:pt idx="3">
                  <c:v>0.49322055572809131</c:v>
                </c:pt>
                <c:pt idx="4">
                  <c:v>0.40357630242406328</c:v>
                </c:pt>
                <c:pt idx="5">
                  <c:v>0.34744391951406428</c:v>
                </c:pt>
                <c:pt idx="6">
                  <c:v>0.30899102728438005</c:v>
                </c:pt>
                <c:pt idx="7">
                  <c:v>0.28100150708998406</c:v>
                </c:pt>
                <c:pt idx="8">
                  <c:v>0.25971606358885652</c:v>
                </c:pt>
                <c:pt idx="9">
                  <c:v>0.24298365613075096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87A-4EAC-8362-C1F75AACB32B}"/>
            </c:ext>
          </c:extLst>
        </c:ser>
        <c:ser>
          <c:idx val="5"/>
          <c:order val="4"/>
          <c:tx>
            <c:strRef>
              <c:f>Hoja1!$V$27</c:f>
              <c:strCache>
                <c:ptCount val="1"/>
                <c:pt idx="0">
                  <c:v>Ar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Hoja1!$Q$54:$Q$63</c:f>
              <c:numCache>
                <c:formatCode>General</c:formatCode>
                <c:ptCount val="10"/>
                <c:pt idx="0">
                  <c:v>13</c:v>
                </c:pt>
                <c:pt idx="1">
                  <c:v>14</c:v>
                </c:pt>
                <c:pt idx="2">
                  <c:v>15</c:v>
                </c:pt>
                <c:pt idx="3">
                  <c:v>16</c:v>
                </c:pt>
                <c:pt idx="4">
                  <c:v>17</c:v>
                </c:pt>
                <c:pt idx="5">
                  <c:v>18</c:v>
                </c:pt>
                <c:pt idx="6">
                  <c:v>19</c:v>
                </c:pt>
                <c:pt idx="7">
                  <c:v>20</c:v>
                </c:pt>
                <c:pt idx="8">
                  <c:v>21</c:v>
                </c:pt>
                <c:pt idx="9">
                  <c:v>22</c:v>
                </c:pt>
              </c:numCache>
            </c:numRef>
          </c:cat>
          <c:val>
            <c:numRef>
              <c:f>Hoja1!$V$54:$V$63</c:f>
              <c:numCache>
                <c:formatCode>0.000</c:formatCode>
                <c:ptCount val="10"/>
                <c:pt idx="0">
                  <c:v>4.9273614268228485</c:v>
                </c:pt>
                <c:pt idx="1">
                  <c:v>1.3757305408223393</c:v>
                </c:pt>
                <c:pt idx="2">
                  <c:v>0.8467642386520482</c:v>
                </c:pt>
                <c:pt idx="3">
                  <c:v>0.63359871389685563</c:v>
                </c:pt>
                <c:pt idx="4">
                  <c:v>0.51844032696014286</c:v>
                </c:pt>
                <c:pt idx="5">
                  <c:v>0.44633180429883645</c:v>
                </c:pt>
                <c:pt idx="6">
                  <c:v>0.39693462735762669</c:v>
                </c:pt>
                <c:pt idx="7">
                  <c:v>0.36097885910790256</c:v>
                </c:pt>
                <c:pt idx="8">
                  <c:v>0.33363525091799257</c:v>
                </c:pt>
                <c:pt idx="9">
                  <c:v>0.31214054287565696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87A-4EAC-8362-C1F75AACB3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7030688"/>
        <c:axId val="667040672"/>
      </c:lineChart>
      <c:catAx>
        <c:axId val="667030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Presión</a:t>
                </a:r>
                <a:r>
                  <a:rPr lang="es-ES" baseline="0"/>
                  <a:t> inicial del depósito (bar)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67040672"/>
        <c:crosses val="autoZero"/>
        <c:auto val="1"/>
        <c:lblAlgn val="ctr"/>
        <c:lblOffset val="100"/>
        <c:noMultiLvlLbl val="0"/>
      </c:catAx>
      <c:valAx>
        <c:axId val="66704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baseline="0"/>
                  <a:t>W (kg</a:t>
                </a:r>
                <a:r>
                  <a:rPr lang="es-ES" baseline="0">
                    <a:latin typeface="Calibri" panose="020F0502020204030204" pitchFamily="34" charset="0"/>
                    <a:cs typeface="Calibri" panose="020F0502020204030204" pitchFamily="34" charset="0"/>
                  </a:rPr>
                  <a:t>)</a:t>
                </a:r>
                <a:endParaRPr lang="es-E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67030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536575</xdr:colOff>
      <xdr:row>25</xdr:row>
      <xdr:rowOff>149225</xdr:rowOff>
    </xdr:from>
    <xdr:to>
      <xdr:col>30</xdr:col>
      <xdr:colOff>231775</xdr:colOff>
      <xdr:row>40</xdr:row>
      <xdr:rowOff>130175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0</xdr:colOff>
      <xdr:row>44</xdr:row>
      <xdr:rowOff>0</xdr:rowOff>
    </xdr:from>
    <xdr:to>
      <xdr:col>30</xdr:col>
      <xdr:colOff>304800</xdr:colOff>
      <xdr:row>58</xdr:row>
      <xdr:rowOff>165100</xdr:rowOff>
    </xdr:to>
    <xdr:graphicFrame macro="">
      <xdr:nvGraphicFramePr>
        <xdr:cNvPr id="7" name="Gráfico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6350</xdr:colOff>
      <xdr:row>51</xdr:row>
      <xdr:rowOff>25400</xdr:rowOff>
    </xdr:from>
    <xdr:to>
      <xdr:col>30</xdr:col>
      <xdr:colOff>311150</xdr:colOff>
      <xdr:row>66</xdr:row>
      <xdr:rowOff>6350</xdr:rowOff>
    </xdr:to>
    <xdr:graphicFrame macro="">
      <xdr:nvGraphicFramePr>
        <xdr:cNvPr id="8" name="Gráfico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168"/>
  <sheetViews>
    <sheetView tabSelected="1" topLeftCell="K20" workbookViewId="0">
      <selection activeCell="P26" sqref="P26"/>
    </sheetView>
  </sheetViews>
  <sheetFormatPr baseColWidth="10" defaultColWidth="8.7265625" defaultRowHeight="14.5" x14ac:dyDescent="0.35"/>
  <cols>
    <col min="1" max="1" width="7.08984375" style="1" bestFit="1" customWidth="1"/>
    <col min="2" max="2" width="10.81640625" style="1" bestFit="1" customWidth="1"/>
    <col min="3" max="4" width="11.81640625" style="1" bestFit="1" customWidth="1"/>
    <col min="5" max="5" width="7.453125" style="1" bestFit="1" customWidth="1"/>
    <col min="6" max="6" width="8.7265625" style="1"/>
    <col min="7" max="7" width="9.81640625" style="1" bestFit="1" customWidth="1"/>
    <col min="8" max="8" width="11.81640625" style="1" bestFit="1" customWidth="1"/>
    <col min="9" max="9" width="8.6328125" style="1" bestFit="1" customWidth="1"/>
    <col min="10" max="10" width="8.7265625" style="4" bestFit="1" customWidth="1"/>
    <col min="11" max="13" width="11.81640625" style="1" bestFit="1" customWidth="1"/>
    <col min="14" max="14" width="5.453125" style="1" bestFit="1" customWidth="1"/>
    <col min="15" max="15" width="9.6328125" style="1" bestFit="1" customWidth="1"/>
    <col min="16" max="17" width="10.81640625" style="1" bestFit="1" customWidth="1"/>
    <col min="18" max="19" width="11.81640625" style="1" bestFit="1" customWidth="1"/>
    <col min="20" max="20" width="12.08984375" style="1" bestFit="1" customWidth="1"/>
    <col min="21" max="21" width="10.81640625" style="1" bestFit="1" customWidth="1"/>
    <col min="22" max="22" width="11.81640625" style="1" bestFit="1" customWidth="1"/>
    <col min="23" max="23" width="7.26953125" style="1" bestFit="1" customWidth="1"/>
    <col min="24" max="24" width="7.81640625" style="1" bestFit="1" customWidth="1"/>
    <col min="25" max="25" width="7.26953125" style="1" bestFit="1" customWidth="1"/>
    <col min="26" max="26" width="7.81640625" style="1" bestFit="1" customWidth="1"/>
    <col min="27" max="27" width="7.26953125" style="1" bestFit="1" customWidth="1"/>
    <col min="28" max="16384" width="8.7265625" style="1"/>
  </cols>
  <sheetData>
    <row r="2" spans="2:20" x14ac:dyDescent="0.35">
      <c r="C2" s="1" t="s">
        <v>2</v>
      </c>
      <c r="D2" s="1" t="s">
        <v>3</v>
      </c>
      <c r="G2" s="17" t="s">
        <v>8</v>
      </c>
      <c r="H2" s="1">
        <v>8.3144600000000004</v>
      </c>
      <c r="I2" s="1" t="s">
        <v>11</v>
      </c>
      <c r="L2" s="17" t="s">
        <v>21</v>
      </c>
      <c r="M2" s="1" t="s">
        <v>23</v>
      </c>
      <c r="N2" s="1">
        <v>-45.9</v>
      </c>
      <c r="O2" s="1" t="s">
        <v>29</v>
      </c>
    </row>
    <row r="3" spans="2:20" x14ac:dyDescent="0.35">
      <c r="B3" s="1" t="s">
        <v>0</v>
      </c>
      <c r="C3" s="2">
        <v>1000000</v>
      </c>
      <c r="D3" s="2">
        <v>1000000</v>
      </c>
      <c r="E3" s="1" t="s">
        <v>9</v>
      </c>
      <c r="G3" s="17"/>
      <c r="H3" s="1">
        <f>H2/C9*1000</f>
        <v>571.83356258596984</v>
      </c>
      <c r="I3" s="1" t="s">
        <v>38</v>
      </c>
      <c r="L3" s="17"/>
      <c r="M3" s="1" t="s">
        <v>41</v>
      </c>
      <c r="N3" s="1">
        <v>54</v>
      </c>
      <c r="O3" s="1" t="str">
        <f>O7</f>
        <v>J/molK</v>
      </c>
    </row>
    <row r="4" spans="2:20" x14ac:dyDescent="0.35">
      <c r="B4" s="1" t="s">
        <v>1</v>
      </c>
      <c r="C4" s="1">
        <v>80</v>
      </c>
      <c r="D4" s="1">
        <v>80</v>
      </c>
      <c r="G4" s="1" t="s">
        <v>25</v>
      </c>
      <c r="H4" s="1">
        <v>298.14999999999998</v>
      </c>
      <c r="I4" s="1" t="s">
        <v>26</v>
      </c>
      <c r="L4" s="17"/>
      <c r="M4" s="1" t="s">
        <v>42</v>
      </c>
      <c r="N4" s="1">
        <v>32.1</v>
      </c>
      <c r="O4" s="1" t="str">
        <f>O3</f>
        <v>J/molK</v>
      </c>
    </row>
    <row r="5" spans="2:20" x14ac:dyDescent="0.35">
      <c r="B5" s="1" t="s">
        <v>15</v>
      </c>
      <c r="C5" s="1">
        <f>1/C4</f>
        <v>1.2500000000000001E-2</v>
      </c>
      <c r="D5" s="1">
        <f>1/D4</f>
        <v>1.2500000000000001E-2</v>
      </c>
      <c r="G5" s="1" t="s">
        <v>40</v>
      </c>
      <c r="H5" s="1">
        <v>9.81</v>
      </c>
      <c r="I5" s="1" t="s">
        <v>36</v>
      </c>
      <c r="L5" s="17"/>
      <c r="M5" s="1" t="s">
        <v>43</v>
      </c>
      <c r="N5" s="1">
        <v>29.9</v>
      </c>
      <c r="O5" s="1" t="str">
        <f>O4</f>
        <v>J/molK</v>
      </c>
    </row>
    <row r="6" spans="2:20" x14ac:dyDescent="0.35">
      <c r="B6" s="1" t="s">
        <v>4</v>
      </c>
      <c r="C6" s="1">
        <v>8</v>
      </c>
      <c r="D6" s="1">
        <v>0.7</v>
      </c>
      <c r="E6" s="1" t="s">
        <v>10</v>
      </c>
      <c r="G6" s="1" t="s">
        <v>52</v>
      </c>
      <c r="H6" s="1">
        <v>118</v>
      </c>
      <c r="I6" s="1" t="s">
        <v>53</v>
      </c>
      <c r="L6" s="17" t="s">
        <v>22</v>
      </c>
      <c r="M6" s="1" t="s">
        <v>24</v>
      </c>
      <c r="N6" s="1">
        <v>50.6</v>
      </c>
      <c r="O6" s="1" t="s">
        <v>29</v>
      </c>
    </row>
    <row r="7" spans="2:20" x14ac:dyDescent="0.35">
      <c r="B7" s="17" t="s">
        <v>5</v>
      </c>
      <c r="C7" s="1">
        <f>(4/3*(1-0.4)*N3+1/3*(1+2*0.4)*N4+2*0.4*N5)/(4/3*(1-0.4)+1/3*(1+2*0.4)+2*0.4)</f>
        <v>39.263636363636358</v>
      </c>
      <c r="D7" s="1">
        <f>C7</f>
        <v>39.263636363636358</v>
      </c>
      <c r="E7" s="1" t="s">
        <v>11</v>
      </c>
      <c r="L7" s="17"/>
      <c r="M7" s="1" t="s">
        <v>44</v>
      </c>
      <c r="N7" s="1">
        <v>98.8</v>
      </c>
      <c r="O7" s="1" t="s">
        <v>11</v>
      </c>
    </row>
    <row r="8" spans="2:20" x14ac:dyDescent="0.35">
      <c r="B8" s="17"/>
      <c r="C8" s="1">
        <f>C7/C9*1000</f>
        <v>2700.3876453670123</v>
      </c>
      <c r="D8" s="1">
        <f>D7/D9*1000</f>
        <v>2700.3876453670123</v>
      </c>
      <c r="E8" s="1" t="s">
        <v>38</v>
      </c>
      <c r="R8" s="1" t="s">
        <v>47</v>
      </c>
      <c r="S8" s="5">
        <f>VLOOKUP($P$52,$P$14:$R$16,3,FALSE)</f>
        <v>1600</v>
      </c>
    </row>
    <row r="9" spans="2:20" x14ac:dyDescent="0.35">
      <c r="B9" s="1" t="s">
        <v>7</v>
      </c>
      <c r="C9" s="1">
        <v>14.54</v>
      </c>
      <c r="D9" s="1">
        <v>14.54</v>
      </c>
      <c r="E9" s="1" t="s">
        <v>12</v>
      </c>
      <c r="R9" s="1" t="s">
        <v>88</v>
      </c>
      <c r="S9" s="5">
        <f>VLOOKUP($P$52,$P$14:$R$16,2,FALSE)</f>
        <v>3800000000</v>
      </c>
    </row>
    <row r="10" spans="2:20" x14ac:dyDescent="0.35">
      <c r="B10" s="1" t="s">
        <v>39</v>
      </c>
      <c r="C10" s="1">
        <v>32</v>
      </c>
      <c r="D10" s="1">
        <v>32</v>
      </c>
      <c r="E10" s="1" t="s">
        <v>35</v>
      </c>
    </row>
    <row r="11" spans="2:20" x14ac:dyDescent="0.35">
      <c r="B11" s="1" t="s">
        <v>6</v>
      </c>
      <c r="C11" s="1">
        <v>1.268</v>
      </c>
      <c r="D11" s="1">
        <v>1.268</v>
      </c>
    </row>
    <row r="12" spans="2:20" x14ac:dyDescent="0.35">
      <c r="B12" s="1" t="s">
        <v>13</v>
      </c>
      <c r="C12" s="1">
        <f>SQRT(C11)*(2/(C11+1))^((C11+1)/(2*(C11-1)))</f>
        <v>0.66141348507147923</v>
      </c>
      <c r="D12" s="1">
        <f>SQRT(D11)*(2/(D11+1))^((D11+1)/(2*(D11-1)))</f>
        <v>0.66141348507147923</v>
      </c>
      <c r="H12" s="17" t="s">
        <v>54</v>
      </c>
      <c r="I12" s="17"/>
      <c r="J12" s="17"/>
      <c r="K12" s="3" t="s">
        <v>73</v>
      </c>
      <c r="L12" s="1">
        <v>0.15</v>
      </c>
    </row>
    <row r="13" spans="2:20" x14ac:dyDescent="0.35">
      <c r="B13" s="1" t="s">
        <v>14</v>
      </c>
      <c r="C13" s="1">
        <f>C12*C4^(1/C11)/SQRT(2*C11/(C11-1)*(1-C4^(-(C11-1)/C11)))</f>
        <v>8.7666035071894708</v>
      </c>
      <c r="D13" s="1">
        <f>D12*D4^(1/D11)/SQRT(2*D11/(D11-1)*(1-D4^(-(D11-1)/D11)))</f>
        <v>8.7666035071894708</v>
      </c>
      <c r="J13" s="7" t="s">
        <v>82</v>
      </c>
      <c r="K13" s="7" t="s">
        <v>68</v>
      </c>
      <c r="L13" s="11" t="s">
        <v>72</v>
      </c>
      <c r="M13" s="7" t="s">
        <v>69</v>
      </c>
      <c r="N13" s="4"/>
      <c r="O13" s="4"/>
      <c r="P13" s="4"/>
      <c r="Q13" s="4" t="s">
        <v>70</v>
      </c>
      <c r="R13" s="4" t="s">
        <v>71</v>
      </c>
      <c r="S13" s="4"/>
      <c r="T13" s="4"/>
    </row>
    <row r="14" spans="2:20" x14ac:dyDescent="0.35">
      <c r="B14" s="1" t="s">
        <v>16</v>
      </c>
      <c r="C14" s="1">
        <f>C12*SQRT(2*gamma/(gamma-1)*(1-C5^((gamma-1)/gamma)))+C13*C5</f>
        <v>1.6907371467412871</v>
      </c>
      <c r="D14" s="1">
        <f>D12*SQRT(2*gamma/(gamma-1)*(1-D5^((gamma-1)/gamma)))+D13*D5</f>
        <v>1.6907371467412871</v>
      </c>
      <c r="H14" s="17" t="s">
        <v>55</v>
      </c>
      <c r="I14" s="7" t="s">
        <v>61</v>
      </c>
      <c r="J14" s="7">
        <f>2*1.007</f>
        <v>2.0139999999999998</v>
      </c>
      <c r="K14" s="7">
        <f>8.314/J14*1000</f>
        <v>4128.1032770605761</v>
      </c>
      <c r="L14" s="7">
        <v>1.41</v>
      </c>
      <c r="M14" s="7">
        <f>20+273</f>
        <v>293</v>
      </c>
      <c r="N14" s="4"/>
      <c r="O14" s="17" t="s">
        <v>56</v>
      </c>
      <c r="P14" s="4" t="s">
        <v>64</v>
      </c>
      <c r="Q14" s="4">
        <f>450*1000000</f>
        <v>450000000</v>
      </c>
      <c r="R14" s="4">
        <v>2810</v>
      </c>
      <c r="S14" s="4"/>
      <c r="T14" s="4"/>
    </row>
    <row r="15" spans="2:20" x14ac:dyDescent="0.35">
      <c r="B15" s="17" t="s">
        <v>17</v>
      </c>
      <c r="C15" s="2">
        <f>C6/(C3*C14)</f>
        <v>4.7316639463556677E-6</v>
      </c>
      <c r="D15" s="2">
        <f>D6/(D3*D14)</f>
        <v>4.1402059530612087E-7</v>
      </c>
      <c r="E15" s="1" t="s">
        <v>18</v>
      </c>
      <c r="H15" s="17"/>
      <c r="I15" s="7" t="s">
        <v>62</v>
      </c>
      <c r="J15" s="7">
        <v>4.0019999999999998</v>
      </c>
      <c r="K15" s="7">
        <f t="shared" ref="K15:K18" si="0">8.314/J15*1000</f>
        <v>2077.4612693653175</v>
      </c>
      <c r="L15" s="7">
        <v>1.66</v>
      </c>
      <c r="M15" s="7">
        <f t="shared" ref="M15:M18" si="1">20+273</f>
        <v>293</v>
      </c>
      <c r="N15" s="4"/>
      <c r="O15" s="17"/>
      <c r="P15" s="4" t="s">
        <v>81</v>
      </c>
      <c r="Q15" s="4">
        <f>540*1000000</f>
        <v>540000000</v>
      </c>
      <c r="R15" s="4">
        <v>8190</v>
      </c>
      <c r="S15" s="4">
        <f>65*9.81</f>
        <v>637.65</v>
      </c>
      <c r="T15" s="4" t="s">
        <v>80</v>
      </c>
    </row>
    <row r="16" spans="2:20" x14ac:dyDescent="0.35">
      <c r="B16" s="17"/>
      <c r="C16" s="2">
        <f>C15*1000000</f>
        <v>4.7316639463556678</v>
      </c>
      <c r="D16" s="2">
        <f>D15*1000000</f>
        <v>0.41402059530612084</v>
      </c>
      <c r="E16" s="1" t="s">
        <v>19</v>
      </c>
      <c r="H16" s="17"/>
      <c r="I16" s="7" t="s">
        <v>83</v>
      </c>
      <c r="J16" s="7">
        <v>28.97</v>
      </c>
      <c r="K16" s="7">
        <f t="shared" si="0"/>
        <v>286.98653779772184</v>
      </c>
      <c r="L16" s="7">
        <v>1.4</v>
      </c>
      <c r="M16" s="7">
        <f t="shared" si="1"/>
        <v>293</v>
      </c>
      <c r="N16" s="4"/>
      <c r="O16" s="17"/>
      <c r="P16" s="4" t="s">
        <v>65</v>
      </c>
      <c r="Q16" s="4">
        <f>3800*1000000</f>
        <v>3800000000</v>
      </c>
      <c r="R16" s="4">
        <v>1600</v>
      </c>
      <c r="S16" s="4"/>
      <c r="T16" s="4"/>
    </row>
    <row r="17" spans="1:23" x14ac:dyDescent="0.35">
      <c r="B17" s="3" t="s">
        <v>20</v>
      </c>
      <c r="C17" s="1">
        <f>$N$6-4/5*$N$2</f>
        <v>87.32</v>
      </c>
      <c r="D17" s="1">
        <f>$N$6-4/5*$N$2</f>
        <v>87.32</v>
      </c>
      <c r="E17" s="1" t="s">
        <v>28</v>
      </c>
      <c r="H17" s="17"/>
      <c r="I17" s="7" t="s">
        <v>87</v>
      </c>
      <c r="J17" s="7">
        <v>44.01</v>
      </c>
      <c r="K17" s="7">
        <f t="shared" si="0"/>
        <v>188.91161099750059</v>
      </c>
      <c r="L17" s="7">
        <v>1.3</v>
      </c>
      <c r="M17" s="7">
        <f t="shared" si="1"/>
        <v>293</v>
      </c>
      <c r="N17" s="4"/>
      <c r="O17" s="4"/>
      <c r="P17" s="4"/>
      <c r="Q17" s="4"/>
      <c r="R17" s="4"/>
      <c r="S17" s="4"/>
      <c r="T17" s="4"/>
    </row>
    <row r="18" spans="1:23" x14ac:dyDescent="0.35">
      <c r="B18" s="1" t="s">
        <v>27</v>
      </c>
      <c r="C18" s="1">
        <f>$H$4+1000*C17/(C10/1000*C8)</f>
        <v>1308.6530678397778</v>
      </c>
      <c r="D18" s="1">
        <f>$H$4+1000*D17/(D10/1000*D8)</f>
        <v>1308.6530678397778</v>
      </c>
      <c r="E18" s="1" t="s">
        <v>26</v>
      </c>
      <c r="H18" s="17"/>
      <c r="I18" s="7" t="s">
        <v>63</v>
      </c>
      <c r="J18" s="7">
        <v>39.94</v>
      </c>
      <c r="K18" s="7">
        <f t="shared" si="0"/>
        <v>208.16224336504757</v>
      </c>
      <c r="L18" s="7">
        <v>1.67</v>
      </c>
      <c r="M18" s="7">
        <f t="shared" si="1"/>
        <v>293</v>
      </c>
      <c r="N18" s="4"/>
      <c r="O18" s="4"/>
      <c r="P18" s="4"/>
      <c r="Q18" s="4"/>
      <c r="R18" s="4"/>
      <c r="S18" s="4"/>
      <c r="T18" s="4"/>
    </row>
    <row r="19" spans="1:23" x14ac:dyDescent="0.35">
      <c r="B19" s="1" t="s">
        <v>30</v>
      </c>
      <c r="C19" s="1">
        <f>SQRT($H$3*C18)/C12</f>
        <v>1307.8984934512914</v>
      </c>
      <c r="D19" s="1">
        <f>SQRT($H$3*D18)/D12</f>
        <v>1307.8984934512914</v>
      </c>
      <c r="E19" s="1" t="s">
        <v>34</v>
      </c>
      <c r="L19" s="2"/>
    </row>
    <row r="20" spans="1:23" x14ac:dyDescent="0.35">
      <c r="B20" s="17" t="s">
        <v>31</v>
      </c>
      <c r="C20" s="2">
        <f>C3*C15/C19</f>
        <v>3.6177608354526969E-3</v>
      </c>
      <c r="D20" s="2">
        <f>D3*D15/D19</f>
        <v>3.1655407310211093E-4</v>
      </c>
      <c r="E20" s="1" t="s">
        <v>32</v>
      </c>
      <c r="G20" s="7" t="s">
        <v>74</v>
      </c>
      <c r="H20" s="7" t="s">
        <v>83</v>
      </c>
      <c r="J20" s="1" t="s">
        <v>76</v>
      </c>
      <c r="K20" s="1" t="s">
        <v>77</v>
      </c>
      <c r="L20" s="9">
        <v>13</v>
      </c>
      <c r="M20" s="1" t="s">
        <v>79</v>
      </c>
      <c r="N20" s="1">
        <v>10</v>
      </c>
      <c r="Q20" s="5"/>
      <c r="R20" s="5" t="s">
        <v>61</v>
      </c>
      <c r="S20" s="5" t="s">
        <v>62</v>
      </c>
      <c r="T20" s="5" t="s">
        <v>83</v>
      </c>
      <c r="U20" s="5" t="s">
        <v>87</v>
      </c>
      <c r="V20" s="5" t="s">
        <v>63</v>
      </c>
    </row>
    <row r="21" spans="1:23" s="4" customFormat="1" x14ac:dyDescent="0.35">
      <c r="B21" s="17"/>
      <c r="C21" s="6">
        <f>C20*1000</f>
        <v>3.6177608354526969</v>
      </c>
      <c r="D21" s="6">
        <f>D20*1000</f>
        <v>0.31655407310211092</v>
      </c>
      <c r="E21" s="4" t="s">
        <v>66</v>
      </c>
      <c r="G21" s="7" t="s">
        <v>75</v>
      </c>
      <c r="H21" s="7" t="s">
        <v>81</v>
      </c>
      <c r="K21" s="4" t="s">
        <v>78</v>
      </c>
      <c r="L21" s="4">
        <v>22</v>
      </c>
      <c r="Q21" s="5" t="s">
        <v>82</v>
      </c>
      <c r="R21" s="5">
        <f>2*1.007</f>
        <v>2.0139999999999998</v>
      </c>
      <c r="S21" s="5">
        <v>4.0019999999999998</v>
      </c>
      <c r="T21" s="5">
        <v>28.97</v>
      </c>
      <c r="U21" s="5">
        <v>44.01</v>
      </c>
      <c r="V21" s="5">
        <v>39.94</v>
      </c>
    </row>
    <row r="22" spans="1:23" x14ac:dyDescent="0.35">
      <c r="B22" s="17" t="s">
        <v>33</v>
      </c>
      <c r="C22" s="1">
        <f>C19*C14</f>
        <v>2211.3125670450645</v>
      </c>
      <c r="D22" s="1">
        <f>D19*D14</f>
        <v>2211.3125670450645</v>
      </c>
      <c r="E22" s="1" t="s">
        <v>34</v>
      </c>
      <c r="G22" s="4" t="s">
        <v>68</v>
      </c>
      <c r="H22" s="1">
        <f>VLOOKUP($H$20,$I$14:$M$18,3,FALSE)</f>
        <v>286.98653779772184</v>
      </c>
      <c r="I22" s="7" t="s">
        <v>58</v>
      </c>
      <c r="J22" s="7" t="s">
        <v>67</v>
      </c>
      <c r="K22" s="7" t="s">
        <v>57</v>
      </c>
      <c r="L22" s="7" t="s">
        <v>59</v>
      </c>
      <c r="M22" s="7" t="s">
        <v>60</v>
      </c>
      <c r="Q22" s="5" t="s">
        <v>68</v>
      </c>
      <c r="R22" s="5">
        <f>8.314/R21*1000</f>
        <v>4128.1032770605761</v>
      </c>
      <c r="S22" s="5">
        <f>8.314/S21*1000</f>
        <v>2077.4612693653175</v>
      </c>
      <c r="T22" s="5">
        <f>8.314/T21*1000</f>
        <v>286.98653779772184</v>
      </c>
      <c r="U22" s="5">
        <f>8.314/U21*1000</f>
        <v>188.91161099750059</v>
      </c>
      <c r="V22" s="5">
        <f>8.314/V21*1000</f>
        <v>208.16224336504757</v>
      </c>
    </row>
    <row r="23" spans="1:23" x14ac:dyDescent="0.35">
      <c r="B23" s="17"/>
      <c r="C23" s="1">
        <f>C22/$H$5</f>
        <v>225.41412508104631</v>
      </c>
      <c r="D23" s="1">
        <f>D22/$H$5</f>
        <v>225.41412508104631</v>
      </c>
      <c r="E23" s="1" t="s">
        <v>37</v>
      </c>
      <c r="G23" s="3" t="s">
        <v>72</v>
      </c>
      <c r="H23" s="4">
        <f>VLOOKUP($H$20,$I$14:$M$18,4,FALSE)</f>
        <v>1.4</v>
      </c>
      <c r="I23" s="7">
        <f>L20</f>
        <v>13</v>
      </c>
      <c r="J23" s="7">
        <f>IF(I23&lt;&gt;"",I23*100000,"")</f>
        <v>1300000</v>
      </c>
      <c r="K23" s="8">
        <f>IF(I23&lt;&gt;"",$C$27*$H$23/(I23/$C$25-(1+$L$12)),"")</f>
        <v>5.0310077519379597</v>
      </c>
      <c r="L23" s="7">
        <f>IF(J23&lt;&gt;"",J23*K23/$H$22/$H$24,"")</f>
        <v>77.780224706603477</v>
      </c>
      <c r="M23" s="7">
        <f>IF(J23&lt;&gt;"",3/2*J23*K23*$H$26/$H$25,"")</f>
        <v>148.79205426356515</v>
      </c>
      <c r="Q23" s="3" t="s">
        <v>72</v>
      </c>
      <c r="R23" s="5">
        <v>1.41</v>
      </c>
      <c r="S23" s="5">
        <v>1.66</v>
      </c>
      <c r="T23" s="5">
        <v>1.4</v>
      </c>
      <c r="U23" s="5">
        <v>1.3</v>
      </c>
      <c r="V23" s="5">
        <v>1.67</v>
      </c>
    </row>
    <row r="24" spans="1:23" x14ac:dyDescent="0.35">
      <c r="B24" s="17" t="s">
        <v>45</v>
      </c>
      <c r="C24" s="2">
        <f>C3*1.1</f>
        <v>1100000</v>
      </c>
      <c r="D24" s="2">
        <f>D3*1.1</f>
        <v>1100000</v>
      </c>
      <c r="E24" s="1" t="s">
        <v>9</v>
      </c>
      <c r="G24" s="4" t="s">
        <v>69</v>
      </c>
      <c r="H24" s="4">
        <f>VLOOKUP($H$20,$I$14:$M$18,5,FALSE)</f>
        <v>293</v>
      </c>
      <c r="I24" s="7">
        <f>IF(I23&lt;$L$21,I23+($L$21-$L$20)/($N$20-1),"")</f>
        <v>14</v>
      </c>
      <c r="J24" s="7">
        <f t="shared" ref="J24:J87" si="2">IF(I24&lt;&gt;"",I24*100000,"")</f>
        <v>1400000</v>
      </c>
      <c r="K24" s="8">
        <f t="shared" ref="K24:K32" si="3">IF(I24&lt;&gt;"",$C$27*$H$23/(I24/$C$25-(1+$L$12)),"")</f>
        <v>1.304335343095032</v>
      </c>
      <c r="L24" s="7">
        <f t="shared" ref="L24:L87" si="4">IF(J24&lt;&gt;"",J24*K24/$H$22/$H$24,"")</f>
        <v>21.716416014949207</v>
      </c>
      <c r="M24" s="7">
        <f t="shared" ref="M24:M87" si="5">IF(J24&lt;&gt;"",3/2*J24*K24*$H$26/$H$25,"")</f>
        <v>41.543080677576775</v>
      </c>
      <c r="Q24" s="5" t="s">
        <v>69</v>
      </c>
      <c r="R24" s="5">
        <f>20+273</f>
        <v>293</v>
      </c>
      <c r="S24" s="5">
        <f>20+273</f>
        <v>293</v>
      </c>
      <c r="T24" s="5">
        <f>20+273</f>
        <v>293</v>
      </c>
      <c r="U24" s="5">
        <f>20+273</f>
        <v>293</v>
      </c>
      <c r="V24" s="5">
        <f>20+273</f>
        <v>293</v>
      </c>
    </row>
    <row r="25" spans="1:23" x14ac:dyDescent="0.35">
      <c r="B25" s="17"/>
      <c r="C25" s="2">
        <f>C24/100000</f>
        <v>11</v>
      </c>
      <c r="D25" s="2">
        <f>D24/100000</f>
        <v>11</v>
      </c>
      <c r="E25" s="1" t="s">
        <v>46</v>
      </c>
      <c r="G25" s="4" t="s">
        <v>70</v>
      </c>
      <c r="H25" s="4">
        <f>VLOOKUP($H$21,$P$14:$R$16,2,FALSE)</f>
        <v>540000000</v>
      </c>
      <c r="I25" s="7">
        <f t="shared" ref="I25:I88" si="6">IF(I24&lt;$L$21,I24+($L$21-$L$20)/($N$20-1),"")</f>
        <v>15</v>
      </c>
      <c r="J25" s="7">
        <f t="shared" si="2"/>
        <v>1500000</v>
      </c>
      <c r="K25" s="8">
        <f t="shared" si="3"/>
        <v>0.74929902688438055</v>
      </c>
      <c r="L25" s="7">
        <f t="shared" si="4"/>
        <v>13.366487060873002</v>
      </c>
      <c r="M25" s="7">
        <f t="shared" si="5"/>
        <v>25.569829292429485</v>
      </c>
    </row>
    <row r="26" spans="1:23" x14ac:dyDescent="0.35">
      <c r="A26" s="17" t="s">
        <v>48</v>
      </c>
      <c r="B26" s="1" t="s">
        <v>47</v>
      </c>
      <c r="C26" s="17">
        <v>1032</v>
      </c>
      <c r="D26" s="17"/>
      <c r="E26" s="1" t="s">
        <v>50</v>
      </c>
      <c r="G26" s="4" t="s">
        <v>71</v>
      </c>
      <c r="H26" s="4">
        <f>VLOOKUP($H$21,$P$14:$R$16,3,FALSE)</f>
        <v>8190</v>
      </c>
      <c r="I26" s="7">
        <f t="shared" si="6"/>
        <v>16</v>
      </c>
      <c r="J26" s="7">
        <f t="shared" si="2"/>
        <v>1600000</v>
      </c>
      <c r="K26" s="8">
        <f t="shared" si="3"/>
        <v>0.52562767557560997</v>
      </c>
      <c r="L26" s="7">
        <f t="shared" si="4"/>
        <v>10.001590318185563</v>
      </c>
      <c r="M26" s="7">
        <f t="shared" si="5"/>
        <v>19.132847390952207</v>
      </c>
      <c r="O26" s="4" t="s">
        <v>75</v>
      </c>
      <c r="P26" s="7" t="s">
        <v>64</v>
      </c>
      <c r="Q26" s="4"/>
      <c r="R26" s="18" t="s">
        <v>57</v>
      </c>
      <c r="S26" s="19"/>
      <c r="T26" s="19"/>
      <c r="U26" s="19"/>
      <c r="V26" s="20"/>
      <c r="W26" s="14"/>
    </row>
    <row r="27" spans="1:23" x14ac:dyDescent="0.35">
      <c r="A27" s="17"/>
      <c r="B27" s="1" t="s">
        <v>49</v>
      </c>
      <c r="C27" s="17">
        <f>H6/C26</f>
        <v>0.11434108527131782</v>
      </c>
      <c r="D27" s="17"/>
      <c r="E27" s="1" t="s">
        <v>51</v>
      </c>
      <c r="I27" s="7">
        <f t="shared" si="6"/>
        <v>17</v>
      </c>
      <c r="J27" s="7">
        <f t="shared" si="2"/>
        <v>1700000</v>
      </c>
      <c r="K27" s="8">
        <f t="shared" si="3"/>
        <v>0.4047937271674239</v>
      </c>
      <c r="L27" s="7">
        <f t="shared" si="4"/>
        <v>8.1837725376532759</v>
      </c>
      <c r="M27" s="7">
        <f t="shared" si="5"/>
        <v>15.655397398200121</v>
      </c>
      <c r="Q27" s="7" t="s">
        <v>86</v>
      </c>
      <c r="R27" s="7" t="str">
        <f>I14</f>
        <v>H2</v>
      </c>
      <c r="S27" s="7" t="str">
        <f>I15</f>
        <v>He</v>
      </c>
      <c r="T27" s="7" t="str">
        <f>I16</f>
        <v>Aire seco</v>
      </c>
      <c r="U27" s="7" t="str">
        <f>I17</f>
        <v>CO2</v>
      </c>
      <c r="V27" s="7" t="str">
        <f>I18</f>
        <v>Ar</v>
      </c>
      <c r="W27" s="7"/>
    </row>
    <row r="28" spans="1:23" x14ac:dyDescent="0.35">
      <c r="I28" s="7">
        <f t="shared" si="6"/>
        <v>18</v>
      </c>
      <c r="J28" s="7">
        <f t="shared" si="2"/>
        <v>1800000</v>
      </c>
      <c r="K28" s="8">
        <f t="shared" si="3"/>
        <v>0.32913134825762497</v>
      </c>
      <c r="L28" s="7">
        <f t="shared" si="4"/>
        <v>7.0455128059181025</v>
      </c>
      <c r="M28" s="7">
        <f t="shared" si="5"/>
        <v>13.477928711149742</v>
      </c>
      <c r="P28" s="12"/>
      <c r="Q28" s="7">
        <f t="shared" ref="Q28:Q37" si="7">I23</f>
        <v>13</v>
      </c>
      <c r="R28" s="13">
        <f>$C$27*R$23/($Q28/$C$25-(1+$L$12))</f>
        <v>5.0669435215946601</v>
      </c>
      <c r="S28" s="13">
        <f t="shared" ref="S28:V28" si="8">$C$27*S$23/($Q28/$C$25-(1+$L$12))</f>
        <v>5.9653377630121529</v>
      </c>
      <c r="T28" s="13">
        <f t="shared" si="8"/>
        <v>5.0310077519379597</v>
      </c>
      <c r="U28" s="13">
        <f t="shared" si="8"/>
        <v>4.6716500553709635</v>
      </c>
      <c r="V28" s="13">
        <f t="shared" si="8"/>
        <v>6.0012735326688533</v>
      </c>
      <c r="W28" s="7"/>
    </row>
    <row r="29" spans="1:23" x14ac:dyDescent="0.35">
      <c r="E29" s="2"/>
      <c r="I29" s="7">
        <f t="shared" si="6"/>
        <v>19</v>
      </c>
      <c r="J29" s="7">
        <f t="shared" si="2"/>
        <v>1900000</v>
      </c>
      <c r="K29" s="8">
        <f t="shared" si="3"/>
        <v>0.27729963987059747</v>
      </c>
      <c r="L29" s="7">
        <f t="shared" si="4"/>
        <v>6.265760076304244</v>
      </c>
      <c r="M29" s="7">
        <f t="shared" si="5"/>
        <v>11.986276933406575</v>
      </c>
      <c r="P29" s="12"/>
      <c r="Q29" s="7">
        <f t="shared" si="7"/>
        <v>14</v>
      </c>
      <c r="R29" s="13">
        <f t="shared" ref="R29:V37" si="9">$C$27*R$23/($Q29/$C$25-(1+$L$12))</f>
        <v>1.3136520241171394</v>
      </c>
      <c r="S29" s="13">
        <f t="shared" si="9"/>
        <v>1.5465690496698239</v>
      </c>
      <c r="T29" s="13">
        <f t="shared" si="9"/>
        <v>1.304335343095032</v>
      </c>
      <c r="U29" s="13">
        <f t="shared" si="9"/>
        <v>1.2111685328739585</v>
      </c>
      <c r="V29" s="13">
        <f t="shared" si="9"/>
        <v>1.5558857306919314</v>
      </c>
      <c r="W29" s="7"/>
    </row>
    <row r="30" spans="1:23" x14ac:dyDescent="0.35">
      <c r="I30" s="7">
        <f t="shared" si="6"/>
        <v>20</v>
      </c>
      <c r="J30" s="7">
        <f t="shared" si="2"/>
        <v>2000000</v>
      </c>
      <c r="K30" s="8">
        <f t="shared" si="3"/>
        <v>0.23957179771133255</v>
      </c>
      <c r="L30" s="7">
        <f t="shared" si="4"/>
        <v>5.6981849601907575</v>
      </c>
      <c r="M30" s="7">
        <f t="shared" si="5"/>
        <v>10.900516795865631</v>
      </c>
      <c r="P30" s="12"/>
      <c r="Q30" s="7">
        <f t="shared" si="7"/>
        <v>15</v>
      </c>
      <c r="R30" s="13">
        <f t="shared" si="9"/>
        <v>0.75465116279069766</v>
      </c>
      <c r="S30" s="13">
        <f t="shared" si="9"/>
        <v>0.8884545604486227</v>
      </c>
      <c r="T30" s="13">
        <f t="shared" si="9"/>
        <v>0.74929902688438055</v>
      </c>
      <c r="U30" s="13">
        <f t="shared" si="9"/>
        <v>0.69577766782121064</v>
      </c>
      <c r="V30" s="13">
        <f t="shared" si="9"/>
        <v>0.89380669635493981</v>
      </c>
      <c r="W30" s="7"/>
    </row>
    <row r="31" spans="1:23" x14ac:dyDescent="0.35">
      <c r="I31" s="7">
        <f t="shared" si="6"/>
        <v>21</v>
      </c>
      <c r="J31" s="7">
        <f t="shared" si="2"/>
        <v>2100000</v>
      </c>
      <c r="K31" s="8">
        <f t="shared" si="3"/>
        <v>0.21088056445249029</v>
      </c>
      <c r="L31" s="7">
        <f t="shared" si="4"/>
        <v>5.2665559796733126</v>
      </c>
      <c r="M31" s="7">
        <f t="shared" si="5"/>
        <v>10.074818966717723</v>
      </c>
      <c r="P31" s="12"/>
      <c r="Q31" s="7">
        <f t="shared" si="7"/>
        <v>16</v>
      </c>
      <c r="R31" s="13">
        <f t="shared" si="9"/>
        <v>0.52938215897257868</v>
      </c>
      <c r="S31" s="13">
        <f t="shared" si="9"/>
        <v>0.62324424389679478</v>
      </c>
      <c r="T31" s="13">
        <f t="shared" si="9"/>
        <v>0.52562767557560997</v>
      </c>
      <c r="U31" s="13">
        <f t="shared" si="9"/>
        <v>0.48808284160592369</v>
      </c>
      <c r="V31" s="13">
        <f t="shared" si="9"/>
        <v>0.62699872729376349</v>
      </c>
      <c r="W31" s="7"/>
    </row>
    <row r="32" spans="1:23" x14ac:dyDescent="0.35">
      <c r="I32" s="7">
        <f t="shared" si="6"/>
        <v>22</v>
      </c>
      <c r="J32" s="7">
        <f t="shared" si="2"/>
        <v>2200000</v>
      </c>
      <c r="K32" s="8">
        <f t="shared" si="3"/>
        <v>0.18832649338805285</v>
      </c>
      <c r="L32" s="7">
        <f t="shared" si="4"/>
        <v>4.9272540538120078</v>
      </c>
      <c r="M32" s="7">
        <f t="shared" si="5"/>
        <v>9.4257409940720454</v>
      </c>
      <c r="P32" s="12"/>
      <c r="Q32" s="7">
        <f t="shared" si="7"/>
        <v>17</v>
      </c>
      <c r="R32" s="13">
        <f t="shared" si="9"/>
        <v>0.40768511093290555</v>
      </c>
      <c r="S32" s="13">
        <f t="shared" si="9"/>
        <v>0.47996970506994552</v>
      </c>
      <c r="T32" s="13">
        <f t="shared" si="9"/>
        <v>0.4047937271674239</v>
      </c>
      <c r="U32" s="13">
        <f t="shared" si="9"/>
        <v>0.37587988951260798</v>
      </c>
      <c r="V32" s="13">
        <f t="shared" si="9"/>
        <v>0.48286108883542717</v>
      </c>
      <c r="W32" s="7"/>
    </row>
    <row r="33" spans="9:23" x14ac:dyDescent="0.35">
      <c r="I33" s="7" t="str">
        <f t="shared" si="6"/>
        <v/>
      </c>
      <c r="J33" s="7" t="str">
        <f t="shared" si="2"/>
        <v/>
      </c>
      <c r="K33" s="8" t="str">
        <f t="shared" ref="K33:K87" si="10">IF(I33&lt;&gt;"",$C$27*$H$23/(I33*(1+$L$12)/$C$25),"")</f>
        <v/>
      </c>
      <c r="L33" s="7" t="str">
        <f t="shared" si="4"/>
        <v/>
      </c>
      <c r="M33" s="7" t="str">
        <f t="shared" si="5"/>
        <v/>
      </c>
      <c r="P33" s="12"/>
      <c r="Q33" s="7">
        <f t="shared" si="7"/>
        <v>18</v>
      </c>
      <c r="R33" s="13">
        <f t="shared" si="9"/>
        <v>0.33148228645946515</v>
      </c>
      <c r="S33" s="13">
        <f t="shared" si="9"/>
        <v>0.39025574150546966</v>
      </c>
      <c r="T33" s="13">
        <f t="shared" si="9"/>
        <v>0.32913134825762497</v>
      </c>
      <c r="U33" s="13">
        <f t="shared" si="9"/>
        <v>0.30562196623922322</v>
      </c>
      <c r="V33" s="13">
        <f t="shared" si="9"/>
        <v>0.39260667970730984</v>
      </c>
      <c r="W33" s="7"/>
    </row>
    <row r="34" spans="9:23" x14ac:dyDescent="0.35">
      <c r="I34" s="7" t="str">
        <f t="shared" si="6"/>
        <v/>
      </c>
      <c r="J34" s="7" t="str">
        <f t="shared" si="2"/>
        <v/>
      </c>
      <c r="K34" s="8" t="str">
        <f t="shared" si="10"/>
        <v/>
      </c>
      <c r="L34" s="7" t="str">
        <f t="shared" si="4"/>
        <v/>
      </c>
      <c r="M34" s="7" t="str">
        <f t="shared" si="5"/>
        <v/>
      </c>
      <c r="P34" s="12"/>
      <c r="Q34" s="7">
        <f t="shared" si="7"/>
        <v>19</v>
      </c>
      <c r="R34" s="13">
        <f t="shared" si="9"/>
        <v>0.27928035158395892</v>
      </c>
      <c r="S34" s="13">
        <f t="shared" si="9"/>
        <v>0.32879814441799415</v>
      </c>
      <c r="T34" s="13">
        <f t="shared" si="9"/>
        <v>0.27729963987059747</v>
      </c>
      <c r="U34" s="13">
        <f t="shared" si="9"/>
        <v>0.25749252273698342</v>
      </c>
      <c r="V34" s="13">
        <f t="shared" si="9"/>
        <v>0.3307788561313556</v>
      </c>
      <c r="W34" s="7"/>
    </row>
    <row r="35" spans="9:23" x14ac:dyDescent="0.35">
      <c r="I35" s="7" t="str">
        <f t="shared" si="6"/>
        <v/>
      </c>
      <c r="J35" s="7" t="str">
        <f t="shared" si="2"/>
        <v/>
      </c>
      <c r="K35" s="8" t="str">
        <f t="shared" si="10"/>
        <v/>
      </c>
      <c r="L35" s="7" t="str">
        <f t="shared" si="4"/>
        <v/>
      </c>
      <c r="M35" s="7" t="str">
        <f t="shared" si="5"/>
        <v/>
      </c>
      <c r="P35" s="12"/>
      <c r="Q35" s="7">
        <f t="shared" si="7"/>
        <v>20</v>
      </c>
      <c r="R35" s="13">
        <f t="shared" si="9"/>
        <v>0.24128302483784209</v>
      </c>
      <c r="S35" s="13">
        <f t="shared" si="9"/>
        <v>0.28406370300058004</v>
      </c>
      <c r="T35" s="13">
        <f t="shared" si="9"/>
        <v>0.23957179771133255</v>
      </c>
      <c r="U35" s="13">
        <f t="shared" si="9"/>
        <v>0.2224595264462374</v>
      </c>
      <c r="V35" s="13">
        <f t="shared" si="9"/>
        <v>0.28577493012708954</v>
      </c>
      <c r="W35" s="7"/>
    </row>
    <row r="36" spans="9:23" x14ac:dyDescent="0.35">
      <c r="I36" s="7" t="str">
        <f t="shared" si="6"/>
        <v/>
      </c>
      <c r="J36" s="7" t="str">
        <f t="shared" si="2"/>
        <v/>
      </c>
      <c r="K36" s="8" t="str">
        <f t="shared" si="10"/>
        <v/>
      </c>
      <c r="L36" s="7" t="str">
        <f t="shared" si="4"/>
        <v/>
      </c>
      <c r="M36" s="7" t="str">
        <f t="shared" si="5"/>
        <v/>
      </c>
      <c r="P36" s="12"/>
      <c r="Q36" s="7">
        <f t="shared" si="7"/>
        <v>21</v>
      </c>
      <c r="R36" s="13">
        <f t="shared" si="9"/>
        <v>0.21238685419857953</v>
      </c>
      <c r="S36" s="13">
        <f t="shared" si="9"/>
        <v>0.25004409785080994</v>
      </c>
      <c r="T36" s="13">
        <f t="shared" si="9"/>
        <v>0.21088056445249029</v>
      </c>
      <c r="U36" s="13">
        <f t="shared" si="9"/>
        <v>0.19581766699159817</v>
      </c>
      <c r="V36" s="13">
        <f t="shared" si="9"/>
        <v>0.25155038759689918</v>
      </c>
      <c r="W36" s="7"/>
    </row>
    <row r="37" spans="9:23" x14ac:dyDescent="0.35">
      <c r="I37" s="7" t="str">
        <f t="shared" si="6"/>
        <v/>
      </c>
      <c r="J37" s="7" t="str">
        <f t="shared" si="2"/>
        <v/>
      </c>
      <c r="K37" s="8" t="str">
        <f t="shared" si="10"/>
        <v/>
      </c>
      <c r="L37" s="7" t="str">
        <f t="shared" si="4"/>
        <v/>
      </c>
      <c r="M37" s="7" t="str">
        <f t="shared" si="5"/>
        <v/>
      </c>
      <c r="P37" s="12"/>
      <c r="Q37" s="7">
        <f t="shared" si="7"/>
        <v>22</v>
      </c>
      <c r="R37" s="13">
        <f t="shared" si="9"/>
        <v>0.18967168262653894</v>
      </c>
      <c r="S37" s="13">
        <f t="shared" si="9"/>
        <v>0.22330141358869124</v>
      </c>
      <c r="T37" s="13">
        <f t="shared" si="9"/>
        <v>0.18832649338805285</v>
      </c>
      <c r="U37" s="13">
        <f t="shared" si="9"/>
        <v>0.17487460100319197</v>
      </c>
      <c r="V37" s="13">
        <f t="shared" si="9"/>
        <v>0.22464660282717736</v>
      </c>
      <c r="W37" s="7"/>
    </row>
    <row r="38" spans="9:23" x14ac:dyDescent="0.35">
      <c r="I38" s="7" t="str">
        <f t="shared" si="6"/>
        <v/>
      </c>
      <c r="J38" s="7" t="str">
        <f t="shared" si="2"/>
        <v/>
      </c>
      <c r="K38" s="8" t="str">
        <f t="shared" si="10"/>
        <v/>
      </c>
      <c r="L38" s="7" t="str">
        <f t="shared" si="4"/>
        <v/>
      </c>
      <c r="M38" s="7" t="str">
        <f t="shared" si="5"/>
        <v/>
      </c>
    </row>
    <row r="39" spans="9:23" x14ac:dyDescent="0.35">
      <c r="I39" s="7" t="str">
        <f t="shared" si="6"/>
        <v/>
      </c>
      <c r="J39" s="7" t="str">
        <f t="shared" si="2"/>
        <v/>
      </c>
      <c r="K39" s="8" t="str">
        <f t="shared" si="10"/>
        <v/>
      </c>
      <c r="L39" s="7" t="str">
        <f t="shared" si="4"/>
        <v/>
      </c>
      <c r="M39" s="7" t="str">
        <f t="shared" si="5"/>
        <v/>
      </c>
      <c r="O39" s="5" t="s">
        <v>75</v>
      </c>
      <c r="P39" s="7" t="s">
        <v>65</v>
      </c>
      <c r="R39" s="15" t="s">
        <v>84</v>
      </c>
      <c r="S39" s="15"/>
      <c r="T39" s="15"/>
      <c r="U39" s="15"/>
      <c r="V39" s="15"/>
      <c r="W39" s="12"/>
    </row>
    <row r="40" spans="9:23" x14ac:dyDescent="0.35">
      <c r="I40" s="7" t="str">
        <f t="shared" si="6"/>
        <v/>
      </c>
      <c r="J40" s="7" t="str">
        <f t="shared" si="2"/>
        <v/>
      </c>
      <c r="K40" s="8" t="str">
        <f t="shared" si="10"/>
        <v/>
      </c>
      <c r="L40" s="7" t="str">
        <f t="shared" si="4"/>
        <v/>
      </c>
      <c r="M40" s="7" t="str">
        <f t="shared" si="5"/>
        <v/>
      </c>
      <c r="Q40" s="7" t="s">
        <v>86</v>
      </c>
      <c r="R40" s="7" t="str">
        <f>R27</f>
        <v>H2</v>
      </c>
      <c r="S40" s="7" t="str">
        <f t="shared" ref="S40:V40" si="11">S27</f>
        <v>He</v>
      </c>
      <c r="T40" s="7" t="str">
        <f t="shared" si="11"/>
        <v>Aire seco</v>
      </c>
      <c r="U40" s="7" t="str">
        <f t="shared" si="11"/>
        <v>CO2</v>
      </c>
      <c r="V40" s="7" t="str">
        <f t="shared" si="11"/>
        <v>Ar</v>
      </c>
    </row>
    <row r="41" spans="9:23" x14ac:dyDescent="0.35">
      <c r="I41" s="7" t="str">
        <f t="shared" si="6"/>
        <v/>
      </c>
      <c r="J41" s="7" t="str">
        <f t="shared" si="2"/>
        <v/>
      </c>
      <c r="K41" s="8" t="str">
        <f t="shared" si="10"/>
        <v/>
      </c>
      <c r="L41" s="7" t="str">
        <f t="shared" si="4"/>
        <v/>
      </c>
      <c r="M41" s="7" t="str">
        <f t="shared" si="5"/>
        <v/>
      </c>
      <c r="Q41" s="7">
        <f t="shared" ref="Q41:Q50" si="12">Q28</f>
        <v>13</v>
      </c>
      <c r="R41" s="13">
        <f>($Q41*100000)*R28/(R$22*R$24)</f>
        <v>5.4459198014776424</v>
      </c>
      <c r="S41" s="13">
        <f>($Q41*100000)*S28/S$22/S$24</f>
        <v>12.74024661960336</v>
      </c>
      <c r="T41" s="13">
        <f t="shared" ref="T41:V41" si="13">($Q41*100000)*T28/T$22/T$24</f>
        <v>77.780224706603477</v>
      </c>
      <c r="U41" s="13">
        <f t="shared" si="13"/>
        <v>109.72040031902227</v>
      </c>
      <c r="V41" s="13">
        <f t="shared" si="13"/>
        <v>127.91373913618798</v>
      </c>
    </row>
    <row r="42" spans="9:23" x14ac:dyDescent="0.35">
      <c r="I42" s="7" t="str">
        <f t="shared" si="6"/>
        <v/>
      </c>
      <c r="J42" s="7" t="str">
        <f t="shared" si="2"/>
        <v/>
      </c>
      <c r="K42" s="8" t="str">
        <f t="shared" si="10"/>
        <v/>
      </c>
      <c r="L42" s="7" t="str">
        <f t="shared" si="4"/>
        <v/>
      </c>
      <c r="M42" s="7" t="str">
        <f t="shared" si="5"/>
        <v/>
      </c>
      <c r="Q42" s="7">
        <f t="shared" si="12"/>
        <v>14</v>
      </c>
      <c r="R42" s="13">
        <f>($Q42*100000)*R29/R$22/R$24</f>
        <v>1.5205132209253878</v>
      </c>
      <c r="S42" s="13">
        <f t="shared" ref="R42:V50" si="14">($Q42*100000)*S29/S$22/S$24</f>
        <v>3.5571058937924063</v>
      </c>
      <c r="T42" s="13">
        <f t="shared" si="14"/>
        <v>21.716416014949207</v>
      </c>
      <c r="U42" s="13">
        <f t="shared" si="14"/>
        <v>30.63418584405763</v>
      </c>
      <c r="V42" s="13">
        <f t="shared" si="14"/>
        <v>35.71380750810961</v>
      </c>
    </row>
    <row r="43" spans="9:23" x14ac:dyDescent="0.35">
      <c r="I43" s="7" t="str">
        <f t="shared" si="6"/>
        <v/>
      </c>
      <c r="J43" s="7" t="str">
        <f t="shared" si="2"/>
        <v/>
      </c>
      <c r="K43" s="8" t="str">
        <f t="shared" si="10"/>
        <v/>
      </c>
      <c r="L43" s="7" t="str">
        <f t="shared" si="4"/>
        <v/>
      </c>
      <c r="M43" s="7" t="str">
        <f t="shared" si="5"/>
        <v/>
      </c>
      <c r="Q43" s="7">
        <f t="shared" si="12"/>
        <v>15</v>
      </c>
      <c r="R43" s="13">
        <f t="shared" si="14"/>
        <v>0.93587819828994301</v>
      </c>
      <c r="S43" s="13">
        <f t="shared" si="14"/>
        <v>2.1894040835652357</v>
      </c>
      <c r="T43" s="13">
        <f t="shared" si="14"/>
        <v>13.366487060873002</v>
      </c>
      <c r="U43" s="13">
        <f t="shared" si="14"/>
        <v>18.855387943530925</v>
      </c>
      <c r="V43" s="13">
        <f t="shared" si="14"/>
        <v>21.981902797544681</v>
      </c>
    </row>
    <row r="44" spans="9:23" x14ac:dyDescent="0.35">
      <c r="I44" s="7" t="str">
        <f t="shared" si="6"/>
        <v/>
      </c>
      <c r="J44" s="7" t="str">
        <f t="shared" si="2"/>
        <v/>
      </c>
      <c r="K44" s="8" t="str">
        <f t="shared" si="10"/>
        <v/>
      </c>
      <c r="L44" s="7" t="str">
        <f t="shared" si="4"/>
        <v/>
      </c>
      <c r="M44" s="7" t="str">
        <f t="shared" si="5"/>
        <v/>
      </c>
      <c r="Q44" s="7">
        <f t="shared" si="12"/>
        <v>16</v>
      </c>
      <c r="R44" s="13">
        <f t="shared" si="14"/>
        <v>0.70027901006371818</v>
      </c>
      <c r="S44" s="13">
        <f t="shared" si="14"/>
        <v>1.638240667503539</v>
      </c>
      <c r="T44" s="13">
        <f t="shared" si="14"/>
        <v>10.001590318185563</v>
      </c>
      <c r="U44" s="13">
        <f t="shared" si="14"/>
        <v>14.108708192572385</v>
      </c>
      <c r="V44" s="13">
        <f t="shared" si="14"/>
        <v>16.448150152988653</v>
      </c>
    </row>
    <row r="45" spans="9:23" x14ac:dyDescent="0.35">
      <c r="I45" s="7" t="str">
        <f t="shared" si="6"/>
        <v/>
      </c>
      <c r="J45" s="7" t="str">
        <f t="shared" si="2"/>
        <v/>
      </c>
      <c r="K45" s="8" t="str">
        <f t="shared" si="10"/>
        <v/>
      </c>
      <c r="L45" s="7" t="str">
        <f t="shared" si="4"/>
        <v/>
      </c>
      <c r="M45" s="7" t="str">
        <f t="shared" si="5"/>
        <v/>
      </c>
      <c r="Q45" s="7">
        <f t="shared" si="12"/>
        <v>17</v>
      </c>
      <c r="R45" s="13">
        <f t="shared" si="14"/>
        <v>0.57300128768863168</v>
      </c>
      <c r="S45" s="13">
        <f t="shared" si="14"/>
        <v>1.3404857185966461</v>
      </c>
      <c r="T45" s="13">
        <f t="shared" si="14"/>
        <v>8.1837725376532759</v>
      </c>
      <c r="U45" s="13">
        <f t="shared" si="14"/>
        <v>11.544409936307437</v>
      </c>
      <c r="V45" s="13">
        <f t="shared" si="14"/>
        <v>13.458651597883676</v>
      </c>
    </row>
    <row r="46" spans="9:23" x14ac:dyDescent="0.35">
      <c r="I46" s="7" t="str">
        <f t="shared" si="6"/>
        <v/>
      </c>
      <c r="J46" s="7" t="str">
        <f t="shared" si="2"/>
        <v/>
      </c>
      <c r="K46" s="8" t="str">
        <f t="shared" si="10"/>
        <v/>
      </c>
      <c r="L46" s="7" t="str">
        <f t="shared" si="4"/>
        <v/>
      </c>
      <c r="M46" s="7" t="str">
        <f t="shared" si="5"/>
        <v/>
      </c>
      <c r="Q46" s="7">
        <f t="shared" si="12"/>
        <v>18</v>
      </c>
      <c r="R46" s="13">
        <f t="shared" si="14"/>
        <v>0.49330402227619385</v>
      </c>
      <c r="S46" s="13">
        <f t="shared" si="14"/>
        <v>1.1540410309633575</v>
      </c>
      <c r="T46" s="13">
        <f t="shared" si="14"/>
        <v>7.0455128059181025</v>
      </c>
      <c r="U46" s="13">
        <f t="shared" si="14"/>
        <v>9.9387278506088172</v>
      </c>
      <c r="V46" s="13">
        <f t="shared" si="14"/>
        <v>11.586722596088967</v>
      </c>
    </row>
    <row r="47" spans="9:23" x14ac:dyDescent="0.35">
      <c r="I47" s="7" t="str">
        <f t="shared" si="6"/>
        <v/>
      </c>
      <c r="J47" s="7" t="str">
        <f t="shared" si="2"/>
        <v/>
      </c>
      <c r="K47" s="8" t="str">
        <f t="shared" si="10"/>
        <v/>
      </c>
      <c r="L47" s="7" t="str">
        <f t="shared" si="4"/>
        <v/>
      </c>
      <c r="M47" s="7" t="str">
        <f t="shared" si="5"/>
        <v/>
      </c>
      <c r="Q47" s="7">
        <f t="shared" si="12"/>
        <v>19</v>
      </c>
      <c r="R47" s="13">
        <f t="shared" si="14"/>
        <v>0.43870825778105971</v>
      </c>
      <c r="S47" s="13">
        <f t="shared" si="14"/>
        <v>1.0263190795925223</v>
      </c>
      <c r="T47" s="13">
        <f t="shared" si="14"/>
        <v>6.265760076304244</v>
      </c>
      <c r="U47" s="13">
        <f t="shared" si="14"/>
        <v>8.8387724060751243</v>
      </c>
      <c r="V47" s="13">
        <f t="shared" si="14"/>
        <v>10.3043775318674</v>
      </c>
    </row>
    <row r="48" spans="9:23" x14ac:dyDescent="0.35">
      <c r="I48" s="7" t="str">
        <f t="shared" si="6"/>
        <v/>
      </c>
      <c r="J48" s="7" t="str">
        <f t="shared" si="2"/>
        <v/>
      </c>
      <c r="K48" s="8" t="str">
        <f t="shared" si="10"/>
        <v/>
      </c>
      <c r="L48" s="7" t="str">
        <f t="shared" si="4"/>
        <v/>
      </c>
      <c r="M48" s="7" t="str">
        <f t="shared" si="5"/>
        <v/>
      </c>
      <c r="Q48" s="7">
        <f t="shared" si="12"/>
        <v>20</v>
      </c>
      <c r="R48" s="13">
        <f t="shared" si="14"/>
        <v>0.39896848362473758</v>
      </c>
      <c r="S48" s="13">
        <f t="shared" si="14"/>
        <v>0.93335140070354716</v>
      </c>
      <c r="T48" s="13">
        <f t="shared" si="14"/>
        <v>5.6981849601907575</v>
      </c>
      <c r="U48" s="13">
        <f t="shared" si="14"/>
        <v>8.0381245654961759</v>
      </c>
      <c r="V48" s="13">
        <f t="shared" si="14"/>
        <v>9.3709699000870756</v>
      </c>
    </row>
    <row r="49" spans="9:23" x14ac:dyDescent="0.35">
      <c r="I49" s="7" t="str">
        <f t="shared" si="6"/>
        <v/>
      </c>
      <c r="J49" s="7" t="str">
        <f t="shared" si="2"/>
        <v/>
      </c>
      <c r="K49" s="8" t="str">
        <f t="shared" si="10"/>
        <v/>
      </c>
      <c r="L49" s="7" t="str">
        <f t="shared" si="4"/>
        <v/>
      </c>
      <c r="M49" s="7" t="str">
        <f t="shared" si="5"/>
        <v/>
      </c>
      <c r="Q49" s="7">
        <f t="shared" si="12"/>
        <v>21</v>
      </c>
      <c r="R49" s="13">
        <f t="shared" si="14"/>
        <v>0.36874721824837264</v>
      </c>
      <c r="S49" s="13">
        <f t="shared" si="14"/>
        <v>0.86265142933288919</v>
      </c>
      <c r="T49" s="13">
        <f t="shared" si="14"/>
        <v>5.2665559796733126</v>
      </c>
      <c r="U49" s="13">
        <f t="shared" si="14"/>
        <v>7.4292486627804459</v>
      </c>
      <c r="V49" s="13">
        <f t="shared" si="14"/>
        <v>8.6611329585535319</v>
      </c>
    </row>
    <row r="50" spans="9:23" x14ac:dyDescent="0.35">
      <c r="I50" s="7" t="str">
        <f t="shared" si="6"/>
        <v/>
      </c>
      <c r="J50" s="7" t="str">
        <f t="shared" si="2"/>
        <v/>
      </c>
      <c r="K50" s="8" t="str">
        <f t="shared" si="10"/>
        <v/>
      </c>
      <c r="L50" s="7" t="str">
        <f t="shared" si="4"/>
        <v/>
      </c>
      <c r="M50" s="7" t="str">
        <f t="shared" si="5"/>
        <v/>
      </c>
      <c r="Q50" s="7">
        <f t="shared" si="12"/>
        <v>22</v>
      </c>
      <c r="R50" s="13">
        <f t="shared" si="14"/>
        <v>0.34499039466374359</v>
      </c>
      <c r="S50" s="13">
        <f t="shared" si="14"/>
        <v>0.80707444649071425</v>
      </c>
      <c r="T50" s="13">
        <f t="shared" si="14"/>
        <v>4.9272540538120078</v>
      </c>
      <c r="U50" s="13">
        <f t="shared" si="14"/>
        <v>6.9506135948702221</v>
      </c>
      <c r="V50" s="13">
        <f t="shared" si="14"/>
        <v>8.1031327959576451</v>
      </c>
    </row>
    <row r="51" spans="9:23" x14ac:dyDescent="0.35">
      <c r="I51" s="7" t="str">
        <f t="shared" si="6"/>
        <v/>
      </c>
      <c r="J51" s="7" t="str">
        <f t="shared" si="2"/>
        <v/>
      </c>
      <c r="K51" s="8" t="str">
        <f t="shared" si="10"/>
        <v/>
      </c>
      <c r="L51" s="7" t="str">
        <f t="shared" si="4"/>
        <v/>
      </c>
      <c r="M51" s="7" t="str">
        <f t="shared" si="5"/>
        <v/>
      </c>
    </row>
    <row r="52" spans="9:23" x14ac:dyDescent="0.35">
      <c r="I52" s="7" t="str">
        <f t="shared" si="6"/>
        <v/>
      </c>
      <c r="J52" s="7" t="str">
        <f t="shared" si="2"/>
        <v/>
      </c>
      <c r="K52" s="8" t="str">
        <f t="shared" si="10"/>
        <v/>
      </c>
      <c r="L52" s="7" t="str">
        <f t="shared" si="4"/>
        <v/>
      </c>
      <c r="M52" s="7" t="str">
        <f t="shared" si="5"/>
        <v/>
      </c>
      <c r="O52" s="5" t="s">
        <v>75</v>
      </c>
      <c r="P52" s="7" t="s">
        <v>65</v>
      </c>
      <c r="R52" s="16" t="s">
        <v>85</v>
      </c>
      <c r="S52" s="16"/>
      <c r="T52" s="16"/>
      <c r="U52" s="16"/>
      <c r="V52" s="16"/>
      <c r="W52" s="12"/>
    </row>
    <row r="53" spans="9:23" x14ac:dyDescent="0.35">
      <c r="I53" s="7" t="str">
        <f t="shared" si="6"/>
        <v/>
      </c>
      <c r="J53" s="7" t="str">
        <f t="shared" si="2"/>
        <v/>
      </c>
      <c r="K53" s="8" t="str">
        <f t="shared" si="10"/>
        <v/>
      </c>
      <c r="L53" s="7" t="str">
        <f t="shared" si="4"/>
        <v/>
      </c>
      <c r="M53" s="7" t="str">
        <f t="shared" si="5"/>
        <v/>
      </c>
      <c r="O53" s="5"/>
      <c r="P53" s="5"/>
      <c r="Q53" s="7" t="s">
        <v>86</v>
      </c>
      <c r="R53" s="7" t="str">
        <f>R40</f>
        <v>H2</v>
      </c>
      <c r="S53" s="7" t="str">
        <f t="shared" ref="S53:V53" si="15">S40</f>
        <v>He</v>
      </c>
      <c r="T53" s="7" t="str">
        <f t="shared" si="15"/>
        <v>Aire seco</v>
      </c>
      <c r="U53" s="7" t="str">
        <f t="shared" si="15"/>
        <v>CO2</v>
      </c>
      <c r="V53" s="7" t="str">
        <f t="shared" si="15"/>
        <v>Ar</v>
      </c>
      <c r="W53" s="5"/>
    </row>
    <row r="54" spans="9:23" x14ac:dyDescent="0.35">
      <c r="I54" s="7" t="str">
        <f t="shared" si="6"/>
        <v/>
      </c>
      <c r="J54" s="7" t="str">
        <f t="shared" si="2"/>
        <v/>
      </c>
      <c r="K54" s="8" t="str">
        <f t="shared" si="10"/>
        <v/>
      </c>
      <c r="L54" s="7" t="str">
        <f t="shared" si="4"/>
        <v/>
      </c>
      <c r="M54" s="7" t="str">
        <f t="shared" si="5"/>
        <v/>
      </c>
      <c r="O54" s="5"/>
      <c r="P54" s="5"/>
      <c r="Q54" s="7">
        <f>Q41</f>
        <v>13</v>
      </c>
      <c r="R54" s="13">
        <f>3/2*($Q54*100000)*R28*VLOOKUP($P$52,$P$14:$R$16,3,FALSE)/VLOOKUP($P$52,$P$14:$R$16,2,FALSE)</f>
        <v>4.1602273124671942</v>
      </c>
      <c r="S54" s="13">
        <f t="shared" ref="S54:V54" si="16">3/2*($Q54*100000)*S28*VLOOKUP($P$52,$P$14:$R$16,3,FALSE)/VLOOKUP($P$52,$P$14:$R$16,2,FALSE)</f>
        <v>4.8978562685783986</v>
      </c>
      <c r="T54" s="13">
        <f t="shared" si="16"/>
        <v>4.1307221542227452</v>
      </c>
      <c r="U54" s="13">
        <f>3/2*($Q54*100000)*U28*VLOOKUP($P$52,$P$14:$R$16,3,FALSE)/VLOOKUP($P$52,$P$14:$R$16,2,FALSE)</f>
        <v>3.8356705717782642</v>
      </c>
      <c r="V54" s="13">
        <f t="shared" si="16"/>
        <v>4.9273614268228485</v>
      </c>
      <c r="W54" s="5"/>
    </row>
    <row r="55" spans="9:23" x14ac:dyDescent="0.35">
      <c r="I55" s="7" t="str">
        <f t="shared" si="6"/>
        <v/>
      </c>
      <c r="J55" s="7" t="str">
        <f t="shared" si="2"/>
        <v/>
      </c>
      <c r="K55" s="8" t="str">
        <f t="shared" si="10"/>
        <v/>
      </c>
      <c r="L55" s="7" t="str">
        <f t="shared" si="4"/>
        <v/>
      </c>
      <c r="M55" s="7" t="str">
        <f t="shared" si="5"/>
        <v/>
      </c>
      <c r="O55" s="5"/>
      <c r="P55" s="5"/>
      <c r="Q55" s="7">
        <f t="shared" ref="Q55:Q63" si="17">Q42</f>
        <v>14</v>
      </c>
      <c r="R55" s="13">
        <f>3/2*($Q55*100000)*R29*VLOOKUP($P$52,$P$14:$R$16,3,FALSE)/VLOOKUP($P$52,$P$14:$R$16,2,FALSE)</f>
        <v>1.161544947640418</v>
      </c>
      <c r="S55" s="13">
        <f t="shared" ref="R55:V63" si="18">3/2*($Q55*100000)*S29*VLOOKUP($P$52,$P$14:$R$16,3,FALSE)/VLOOKUP($P$52,$P$14:$R$16,2,FALSE)</f>
        <v>1.3674926333922655</v>
      </c>
      <c r="T55" s="13">
        <f t="shared" si="18"/>
        <v>1.1533070402103442</v>
      </c>
      <c r="U55" s="13">
        <f t="shared" si="18"/>
        <v>1.0709279659096054</v>
      </c>
      <c r="V55" s="13">
        <f t="shared" si="18"/>
        <v>1.3757305408223393</v>
      </c>
      <c r="W55" s="5"/>
    </row>
    <row r="56" spans="9:23" x14ac:dyDescent="0.35">
      <c r="I56" s="7" t="str">
        <f t="shared" si="6"/>
        <v/>
      </c>
      <c r="J56" s="7" t="str">
        <f t="shared" si="2"/>
        <v/>
      </c>
      <c r="K56" s="8" t="str">
        <f t="shared" si="10"/>
        <v/>
      </c>
      <c r="L56" s="7" t="str">
        <f t="shared" si="4"/>
        <v/>
      </c>
      <c r="M56" s="7" t="str">
        <f t="shared" si="5"/>
        <v/>
      </c>
      <c r="O56" s="5"/>
      <c r="P56" s="5"/>
      <c r="Q56" s="7">
        <f t="shared" si="17"/>
        <v>15</v>
      </c>
      <c r="R56" s="13">
        <f t="shared" si="18"/>
        <v>0.71493268053855574</v>
      </c>
      <c r="S56" s="13">
        <f t="shared" si="18"/>
        <v>0.84169379410922152</v>
      </c>
      <c r="T56" s="13">
        <f t="shared" si="18"/>
        <v>0.70986223599572895</v>
      </c>
      <c r="U56" s="13">
        <f t="shared" si="18"/>
        <v>0.65915779056746271</v>
      </c>
      <c r="V56" s="13">
        <f t="shared" si="18"/>
        <v>0.8467642386520482</v>
      </c>
      <c r="W56" s="5"/>
    </row>
    <row r="57" spans="9:23" x14ac:dyDescent="0.35">
      <c r="I57" s="7" t="str">
        <f t="shared" si="6"/>
        <v/>
      </c>
      <c r="J57" s="7" t="str">
        <f t="shared" si="2"/>
        <v/>
      </c>
      <c r="K57" s="8" t="str">
        <f t="shared" si="10"/>
        <v/>
      </c>
      <c r="L57" s="7" t="str">
        <f t="shared" si="4"/>
        <v/>
      </c>
      <c r="M57" s="7" t="str">
        <f t="shared" si="5"/>
        <v/>
      </c>
      <c r="O57" s="5"/>
      <c r="P57" s="5"/>
      <c r="Q57" s="7">
        <f t="shared" si="17"/>
        <v>16</v>
      </c>
      <c r="R57" s="13">
        <f t="shared" si="18"/>
        <v>0.53495460275123741</v>
      </c>
      <c r="S57" s="13">
        <f t="shared" si="18"/>
        <v>0.62980470962202428</v>
      </c>
      <c r="T57" s="13">
        <f t="shared" si="18"/>
        <v>0.53116059847640584</v>
      </c>
      <c r="U57" s="13">
        <f t="shared" si="18"/>
        <v>0.49322055572809131</v>
      </c>
      <c r="V57" s="13">
        <f t="shared" si="18"/>
        <v>0.63359871389685563</v>
      </c>
      <c r="W57" s="5"/>
    </row>
    <row r="58" spans="9:23" x14ac:dyDescent="0.35">
      <c r="I58" s="7" t="str">
        <f t="shared" si="6"/>
        <v/>
      </c>
      <c r="J58" s="7" t="str">
        <f t="shared" si="2"/>
        <v/>
      </c>
      <c r="K58" s="8" t="str">
        <f t="shared" si="10"/>
        <v/>
      </c>
      <c r="L58" s="7" t="str">
        <f t="shared" si="4"/>
        <v/>
      </c>
      <c r="M58" s="7" t="str">
        <f t="shared" si="5"/>
        <v/>
      </c>
      <c r="O58" s="5"/>
      <c r="P58" s="5"/>
      <c r="Q58" s="7">
        <f t="shared" si="17"/>
        <v>17</v>
      </c>
      <c r="R58" s="13">
        <f t="shared" si="18"/>
        <v>0.43772506647533016</v>
      </c>
      <c r="S58" s="13">
        <f t="shared" si="18"/>
        <v>0.51533589386457312</v>
      </c>
      <c r="T58" s="13">
        <f t="shared" si="18"/>
        <v>0.43462063337976042</v>
      </c>
      <c r="U58" s="13">
        <f t="shared" si="18"/>
        <v>0.40357630242406328</v>
      </c>
      <c r="V58" s="13">
        <f t="shared" si="18"/>
        <v>0.51844032696014286</v>
      </c>
      <c r="W58" s="5"/>
    </row>
    <row r="59" spans="9:23" x14ac:dyDescent="0.35">
      <c r="I59" s="7" t="str">
        <f t="shared" si="6"/>
        <v/>
      </c>
      <c r="J59" s="7" t="str">
        <f t="shared" si="2"/>
        <v/>
      </c>
      <c r="K59" s="8" t="str">
        <f t="shared" si="10"/>
        <v/>
      </c>
      <c r="L59" s="7" t="str">
        <f t="shared" si="4"/>
        <v/>
      </c>
      <c r="M59" s="7" t="str">
        <f t="shared" si="5"/>
        <v/>
      </c>
      <c r="O59" s="5"/>
      <c r="P59" s="5"/>
      <c r="Q59" s="7">
        <f t="shared" si="17"/>
        <v>18</v>
      </c>
      <c r="R59" s="13">
        <f t="shared" si="18"/>
        <v>0.37684302039602358</v>
      </c>
      <c r="S59" s="13">
        <f t="shared" si="18"/>
        <v>0.44365915876411283</v>
      </c>
      <c r="T59" s="13">
        <f t="shared" si="18"/>
        <v>0.37417037486129995</v>
      </c>
      <c r="U59" s="13">
        <f t="shared" si="18"/>
        <v>0.34744391951406428</v>
      </c>
      <c r="V59" s="13">
        <f t="shared" si="18"/>
        <v>0.44633180429883645</v>
      </c>
      <c r="W59" s="5"/>
    </row>
    <row r="60" spans="9:23" x14ac:dyDescent="0.35">
      <c r="I60" s="7" t="str">
        <f t="shared" si="6"/>
        <v/>
      </c>
      <c r="J60" s="7" t="str">
        <f t="shared" si="2"/>
        <v/>
      </c>
      <c r="K60" s="8" t="str">
        <f t="shared" si="10"/>
        <v/>
      </c>
      <c r="L60" s="7" t="str">
        <f t="shared" si="4"/>
        <v/>
      </c>
      <c r="M60" s="7" t="str">
        <f t="shared" si="5"/>
        <v/>
      </c>
      <c r="O60" s="5"/>
      <c r="P60" s="5"/>
      <c r="Q60" s="7">
        <f t="shared" si="17"/>
        <v>19</v>
      </c>
      <c r="R60" s="13">
        <f t="shared" si="18"/>
        <v>0.33513642190075071</v>
      </c>
      <c r="S60" s="13">
        <f t="shared" si="18"/>
        <v>0.39455777330159303</v>
      </c>
      <c r="T60" s="13">
        <f t="shared" si="18"/>
        <v>0.332759567844717</v>
      </c>
      <c r="U60" s="13">
        <f t="shared" si="18"/>
        <v>0.30899102728438005</v>
      </c>
      <c r="V60" s="13">
        <f t="shared" si="18"/>
        <v>0.39693462735762669</v>
      </c>
      <c r="W60" s="5"/>
    </row>
    <row r="61" spans="9:23" x14ac:dyDescent="0.35">
      <c r="I61" s="7" t="str">
        <f t="shared" si="6"/>
        <v/>
      </c>
      <c r="J61" s="7" t="str">
        <f t="shared" si="2"/>
        <v/>
      </c>
      <c r="K61" s="8" t="str">
        <f t="shared" si="10"/>
        <v/>
      </c>
      <c r="L61" s="7" t="str">
        <f t="shared" si="4"/>
        <v/>
      </c>
      <c r="M61" s="7" t="str">
        <f t="shared" si="5"/>
        <v/>
      </c>
      <c r="O61" s="5"/>
      <c r="P61" s="5"/>
      <c r="Q61" s="7">
        <f t="shared" si="17"/>
        <v>20</v>
      </c>
      <c r="R61" s="13">
        <f t="shared" si="18"/>
        <v>0.3047785576899058</v>
      </c>
      <c r="S61" s="13">
        <f t="shared" si="18"/>
        <v>0.35881730905336423</v>
      </c>
      <c r="T61" s="13">
        <f t="shared" si="18"/>
        <v>0.30261700763536742</v>
      </c>
      <c r="U61" s="13">
        <f t="shared" si="18"/>
        <v>0.28100150708998406</v>
      </c>
      <c r="V61" s="13">
        <f t="shared" si="18"/>
        <v>0.36097885910790256</v>
      </c>
      <c r="W61" s="5"/>
    </row>
    <row r="62" spans="9:23" x14ac:dyDescent="0.35">
      <c r="I62" s="7" t="str">
        <f t="shared" si="6"/>
        <v/>
      </c>
      <c r="J62" s="7" t="str">
        <f t="shared" si="2"/>
        <v/>
      </c>
      <c r="K62" s="8" t="str">
        <f t="shared" si="10"/>
        <v/>
      </c>
      <c r="L62" s="7" t="str">
        <f t="shared" si="4"/>
        <v/>
      </c>
      <c r="M62" s="7" t="str">
        <f t="shared" si="5"/>
        <v/>
      </c>
      <c r="O62" s="5"/>
      <c r="P62" s="5"/>
      <c r="Q62" s="7">
        <f t="shared" si="17"/>
        <v>21</v>
      </c>
      <c r="R62" s="13">
        <f t="shared" si="18"/>
        <v>0.28169203820022126</v>
      </c>
      <c r="S62" s="13">
        <f t="shared" si="18"/>
        <v>0.3316374350442321</v>
      </c>
      <c r="T62" s="13">
        <f t="shared" si="18"/>
        <v>0.2796942223264608</v>
      </c>
      <c r="U62" s="13">
        <f t="shared" si="18"/>
        <v>0.25971606358885652</v>
      </c>
      <c r="V62" s="13">
        <f t="shared" si="18"/>
        <v>0.33363525091799257</v>
      </c>
      <c r="W62" s="5"/>
    </row>
    <row r="63" spans="9:23" x14ac:dyDescent="0.35">
      <c r="I63" s="7" t="str">
        <f t="shared" si="6"/>
        <v/>
      </c>
      <c r="J63" s="7" t="str">
        <f t="shared" si="2"/>
        <v/>
      </c>
      <c r="K63" s="8" t="str">
        <f t="shared" si="10"/>
        <v/>
      </c>
      <c r="L63" s="7" t="str">
        <f t="shared" si="4"/>
        <v/>
      </c>
      <c r="M63" s="7" t="str">
        <f t="shared" si="5"/>
        <v/>
      </c>
      <c r="O63" s="5"/>
      <c r="P63" s="5"/>
      <c r="Q63" s="7">
        <f t="shared" si="17"/>
        <v>22</v>
      </c>
      <c r="R63" s="13">
        <f t="shared" si="18"/>
        <v>0.26354381164950674</v>
      </c>
      <c r="S63" s="13">
        <f t="shared" si="18"/>
        <v>0.31027143782849731</v>
      </c>
      <c r="T63" s="13">
        <f t="shared" si="18"/>
        <v>0.26167470660234715</v>
      </c>
      <c r="U63" s="13">
        <f t="shared" si="18"/>
        <v>0.24298365613075096</v>
      </c>
      <c r="V63" s="13">
        <f t="shared" si="18"/>
        <v>0.31214054287565696</v>
      </c>
      <c r="W63" s="5"/>
    </row>
    <row r="64" spans="9:23" x14ac:dyDescent="0.35">
      <c r="I64" s="7" t="str">
        <f t="shared" si="6"/>
        <v/>
      </c>
      <c r="J64" s="7" t="str">
        <f t="shared" si="2"/>
        <v/>
      </c>
      <c r="K64" s="8" t="str">
        <f t="shared" si="10"/>
        <v/>
      </c>
      <c r="L64" s="7" t="str">
        <f t="shared" si="4"/>
        <v/>
      </c>
      <c r="M64" s="7" t="str">
        <f t="shared" si="5"/>
        <v/>
      </c>
    </row>
    <row r="65" spans="9:27" x14ac:dyDescent="0.35">
      <c r="I65" s="7" t="str">
        <f t="shared" si="6"/>
        <v/>
      </c>
      <c r="J65" s="7" t="str">
        <f t="shared" si="2"/>
        <v/>
      </c>
      <c r="K65" s="8" t="str">
        <f t="shared" si="10"/>
        <v/>
      </c>
      <c r="L65" s="7" t="str">
        <f t="shared" si="4"/>
        <v/>
      </c>
      <c r="M65" s="7" t="str">
        <f t="shared" si="5"/>
        <v/>
      </c>
    </row>
    <row r="66" spans="9:27" x14ac:dyDescent="0.35">
      <c r="I66" s="7" t="str">
        <f t="shared" si="6"/>
        <v/>
      </c>
      <c r="J66" s="7" t="str">
        <f t="shared" si="2"/>
        <v/>
      </c>
      <c r="K66" s="8" t="str">
        <f t="shared" si="10"/>
        <v/>
      </c>
      <c r="L66" s="7" t="str">
        <f t="shared" si="4"/>
        <v/>
      </c>
      <c r="M66" s="7" t="str">
        <f t="shared" si="5"/>
        <v/>
      </c>
    </row>
    <row r="67" spans="9:27" x14ac:dyDescent="0.35">
      <c r="I67" s="7" t="str">
        <f t="shared" si="6"/>
        <v/>
      </c>
      <c r="J67" s="7" t="str">
        <f t="shared" si="2"/>
        <v/>
      </c>
      <c r="K67" s="8" t="str">
        <f t="shared" si="10"/>
        <v/>
      </c>
      <c r="L67" s="7" t="str">
        <f t="shared" si="4"/>
        <v/>
      </c>
      <c r="M67" s="7" t="str">
        <f t="shared" si="5"/>
        <v/>
      </c>
    </row>
    <row r="68" spans="9:27" x14ac:dyDescent="0.35">
      <c r="I68" s="7" t="str">
        <f t="shared" si="6"/>
        <v/>
      </c>
      <c r="J68" s="7" t="str">
        <f t="shared" si="2"/>
        <v/>
      </c>
      <c r="K68" s="8" t="str">
        <f t="shared" si="10"/>
        <v/>
      </c>
      <c r="L68" s="7" t="str">
        <f t="shared" si="4"/>
        <v/>
      </c>
      <c r="M68" s="7" t="str">
        <f t="shared" si="5"/>
        <v/>
      </c>
      <c r="O68" s="1" t="s">
        <v>89</v>
      </c>
      <c r="P68" s="1">
        <v>13</v>
      </c>
      <c r="Q68" s="17" t="s">
        <v>91</v>
      </c>
      <c r="R68" s="21" t="str">
        <f>R53</f>
        <v>H2</v>
      </c>
      <c r="S68" s="21"/>
      <c r="T68" s="21" t="str">
        <f>S53</f>
        <v>He</v>
      </c>
      <c r="U68" s="21"/>
      <c r="V68" s="21" t="str">
        <f>T53</f>
        <v>Aire seco</v>
      </c>
      <c r="W68" s="21"/>
      <c r="X68" s="21" t="str">
        <f>U53</f>
        <v>CO2</v>
      </c>
      <c r="Y68" s="21"/>
      <c r="Z68" s="21" t="str">
        <f>V53</f>
        <v>Ar</v>
      </c>
      <c r="AA68" s="21"/>
    </row>
    <row r="69" spans="9:27" x14ac:dyDescent="0.35">
      <c r="I69" s="7" t="str">
        <f t="shared" si="6"/>
        <v/>
      </c>
      <c r="J69" s="7" t="str">
        <f t="shared" si="2"/>
        <v/>
      </c>
      <c r="K69" s="8" t="str">
        <f t="shared" si="10"/>
        <v/>
      </c>
      <c r="L69" s="7" t="str">
        <f t="shared" si="4"/>
        <v/>
      </c>
      <c r="M69" s="7" t="str">
        <f t="shared" si="5"/>
        <v/>
      </c>
      <c r="O69" s="1" t="s">
        <v>47</v>
      </c>
      <c r="P69" s="1" t="s">
        <v>88</v>
      </c>
      <c r="Q69" s="17"/>
      <c r="R69" s="22" t="s">
        <v>85</v>
      </c>
      <c r="S69" s="22" t="s">
        <v>90</v>
      </c>
      <c r="T69" s="22" t="s">
        <v>85</v>
      </c>
      <c r="U69" s="22" t="s">
        <v>90</v>
      </c>
      <c r="V69" s="22" t="s">
        <v>85</v>
      </c>
      <c r="W69" s="22" t="s">
        <v>90</v>
      </c>
      <c r="X69" s="22" t="s">
        <v>85</v>
      </c>
      <c r="Y69" s="22" t="s">
        <v>90</v>
      </c>
      <c r="Z69" s="22" t="s">
        <v>85</v>
      </c>
      <c r="AA69" s="22" t="s">
        <v>90</v>
      </c>
    </row>
    <row r="70" spans="9:27" x14ac:dyDescent="0.35">
      <c r="I70" s="7" t="str">
        <f t="shared" si="6"/>
        <v/>
      </c>
      <c r="J70" s="7" t="str">
        <f t="shared" si="2"/>
        <v/>
      </c>
      <c r="K70" s="8" t="str">
        <f t="shared" si="10"/>
        <v/>
      </c>
      <c r="L70" s="7" t="str">
        <f t="shared" si="4"/>
        <v/>
      </c>
      <c r="M70" s="7" t="str">
        <f t="shared" si="5"/>
        <v/>
      </c>
      <c r="O70" s="1">
        <f>VLOOKUP($Q70,$P$14:$R$16,3,FALSE)</f>
        <v>2810</v>
      </c>
      <c r="P70" s="10">
        <f>VLOOKUP($Q70,$P$14:$R$16,2,FALSE)</f>
        <v>450000000</v>
      </c>
      <c r="Q70" s="23" t="str">
        <f>P14</f>
        <v>Aluminio</v>
      </c>
      <c r="R70" s="13">
        <f>3/2*$P$68*100000*HLOOKUP(R$68,$R$27:$V$28,2,FALSE)*$O70/$P70</f>
        <v>61.698482281284313</v>
      </c>
      <c r="S70" s="13">
        <f>R70+$R$41</f>
        <v>67.144402082761957</v>
      </c>
      <c r="T70" s="13">
        <f>3/2*$P$68*100000*HLOOKUP(T$68,$R$27:$V$28,2,FALSE)*$O70/$P70</f>
        <v>72.637929494277984</v>
      </c>
      <c r="U70" s="13">
        <f>T70+$S$41</f>
        <v>85.378176113881338</v>
      </c>
      <c r="V70" s="13">
        <f>3/2*$P$68*100000*HLOOKUP(V$68,$R$27:$V$28,2,FALSE)*$O70/$P70</f>
        <v>61.260904392764552</v>
      </c>
      <c r="W70" s="13">
        <f>V70+$T$41</f>
        <v>139.04112909936802</v>
      </c>
      <c r="X70" s="13">
        <f>3/2*$P$68*100000*HLOOKUP(X$68,$R$27:$V$28,2,FALSE)*$O70/$P70</f>
        <v>56.885125507567096</v>
      </c>
      <c r="Y70" s="13">
        <f>X70+$U$41</f>
        <v>166.60552582658937</v>
      </c>
      <c r="Z70" s="13">
        <f>3/2*$P$68*100000*HLOOKUP(Z$68,$R$27:$V$28,2,FALSE)*$O70/$P70</f>
        <v>73.075507382797738</v>
      </c>
      <c r="AA70" s="13">
        <f>Z70+$V$41</f>
        <v>200.98924651898574</v>
      </c>
    </row>
    <row r="71" spans="9:27" x14ac:dyDescent="0.35">
      <c r="I71" s="7" t="str">
        <f t="shared" si="6"/>
        <v/>
      </c>
      <c r="J71" s="7" t="str">
        <f t="shared" si="2"/>
        <v/>
      </c>
      <c r="K71" s="8" t="str">
        <f t="shared" si="10"/>
        <v/>
      </c>
      <c r="L71" s="7" t="str">
        <f t="shared" si="4"/>
        <v/>
      </c>
      <c r="M71" s="7" t="str">
        <f t="shared" si="5"/>
        <v/>
      </c>
      <c r="O71" s="10">
        <f t="shared" ref="O71:O72" si="19">VLOOKUP($Q71,$P$14:$R$16,3,FALSE)</f>
        <v>8190</v>
      </c>
      <c r="P71" s="10">
        <f t="shared" ref="P71:P72" si="20">VLOOKUP($Q71,$P$14:$R$16,2,FALSE)</f>
        <v>540000000</v>
      </c>
      <c r="Q71" s="23" t="str">
        <f t="shared" ref="Q71:Q73" si="21">P15</f>
        <v>Acero inox</v>
      </c>
      <c r="R71" s="13">
        <f t="shared" ref="R71:R72" si="22">3/2*$P$68*100000*HLOOKUP(R$68,$R$27:$V$28,2,FALSE)*$O71/$P71</f>
        <v>149.85485465116207</v>
      </c>
      <c r="S71" s="13">
        <f t="shared" ref="S71:S72" si="23">R71+$R$41</f>
        <v>155.3007744526397</v>
      </c>
      <c r="T71" s="13">
        <f t="shared" ref="T71:T72" si="24">3/2*$P$68*100000*HLOOKUP(T$68,$R$27:$V$28,2,FALSE)*$O71/$P71</f>
        <v>176.42486434108443</v>
      </c>
      <c r="U71" s="13">
        <f t="shared" ref="U71:U72" si="25">T71+$S$41</f>
        <v>189.1651109606878</v>
      </c>
      <c r="V71" s="13">
        <f t="shared" ref="V71:V72" si="26">3/2*$P$68*100000*HLOOKUP(V$68,$R$27:$V$28,2,FALSE)*$O71/$P71</f>
        <v>148.79205426356515</v>
      </c>
      <c r="W71" s="13">
        <f t="shared" ref="W71:W72" si="27">V71+$T$41</f>
        <v>226.57227897016861</v>
      </c>
      <c r="X71" s="13">
        <f t="shared" ref="X71:X72" si="28">3/2*$P$68*100000*HLOOKUP(X$68,$R$27:$V$28,2,FALSE)*$O71/$P71</f>
        <v>138.16405038759623</v>
      </c>
      <c r="Y71" s="13">
        <f t="shared" ref="Y71:Y72" si="29">X71+$U$41</f>
        <v>247.88445070661851</v>
      </c>
      <c r="Z71" s="13">
        <f t="shared" ref="Z71:Z72" si="30">3/2*$P$68*100000*HLOOKUP(Z$68,$R$27:$V$28,2,FALSE)*$O71/$P71</f>
        <v>177.48766472868135</v>
      </c>
      <c r="AA71" s="13">
        <f t="shared" ref="AA71:AA72" si="31">Z71+$V$41</f>
        <v>305.40140386486934</v>
      </c>
    </row>
    <row r="72" spans="9:27" x14ac:dyDescent="0.35">
      <c r="I72" s="7" t="str">
        <f t="shared" si="6"/>
        <v/>
      </c>
      <c r="J72" s="7" t="str">
        <f t="shared" si="2"/>
        <v/>
      </c>
      <c r="K72" s="8" t="str">
        <f t="shared" si="10"/>
        <v/>
      </c>
      <c r="L72" s="7" t="str">
        <f t="shared" si="4"/>
        <v/>
      </c>
      <c r="M72" s="7" t="str">
        <f t="shared" si="5"/>
        <v/>
      </c>
      <c r="O72" s="10">
        <f t="shared" si="19"/>
        <v>1600</v>
      </c>
      <c r="P72" s="10">
        <f t="shared" si="20"/>
        <v>3800000000</v>
      </c>
      <c r="Q72" s="23" t="str">
        <f t="shared" si="21"/>
        <v>M. Comp.</v>
      </c>
      <c r="R72" s="13">
        <f t="shared" si="22"/>
        <v>4.1602273124671942</v>
      </c>
      <c r="S72" s="13">
        <f>R72+$R$41</f>
        <v>9.6061471139448358</v>
      </c>
      <c r="T72" s="13">
        <f t="shared" si="24"/>
        <v>4.8978562685783986</v>
      </c>
      <c r="U72" s="13">
        <f t="shared" si="25"/>
        <v>17.638102888181759</v>
      </c>
      <c r="V72" s="13">
        <f t="shared" si="26"/>
        <v>4.1307221542227452</v>
      </c>
      <c r="W72" s="13">
        <f t="shared" si="27"/>
        <v>81.910946860826215</v>
      </c>
      <c r="X72" s="13">
        <f t="shared" si="28"/>
        <v>3.8356705717782642</v>
      </c>
      <c r="Y72" s="13">
        <f t="shared" si="29"/>
        <v>113.55607089080054</v>
      </c>
      <c r="Z72" s="13">
        <f t="shared" si="30"/>
        <v>4.9273614268228485</v>
      </c>
      <c r="AA72" s="13">
        <f t="shared" si="31"/>
        <v>132.84110056301083</v>
      </c>
    </row>
    <row r="73" spans="9:27" x14ac:dyDescent="0.35">
      <c r="I73" s="7" t="str">
        <f t="shared" si="6"/>
        <v/>
      </c>
      <c r="J73" s="7" t="str">
        <f t="shared" si="2"/>
        <v/>
      </c>
      <c r="K73" s="8" t="str">
        <f t="shared" si="10"/>
        <v/>
      </c>
      <c r="L73" s="7" t="str">
        <f t="shared" si="4"/>
        <v/>
      </c>
      <c r="M73" s="7" t="str">
        <f t="shared" si="5"/>
        <v/>
      </c>
      <c r="Q73" s="10"/>
    </row>
    <row r="74" spans="9:27" x14ac:dyDescent="0.35">
      <c r="I74" s="7" t="str">
        <f t="shared" si="6"/>
        <v/>
      </c>
      <c r="J74" s="7" t="str">
        <f t="shared" si="2"/>
        <v/>
      </c>
      <c r="K74" s="8" t="str">
        <f t="shared" si="10"/>
        <v/>
      </c>
      <c r="L74" s="7" t="str">
        <f t="shared" si="4"/>
        <v/>
      </c>
      <c r="M74" s="7" t="str">
        <f t="shared" si="5"/>
        <v/>
      </c>
    </row>
    <row r="75" spans="9:27" x14ac:dyDescent="0.35">
      <c r="I75" s="7" t="str">
        <f t="shared" si="6"/>
        <v/>
      </c>
      <c r="J75" s="7" t="str">
        <f t="shared" si="2"/>
        <v/>
      </c>
      <c r="K75" s="8" t="str">
        <f t="shared" si="10"/>
        <v/>
      </c>
      <c r="L75" s="7" t="str">
        <f t="shared" si="4"/>
        <v/>
      </c>
      <c r="M75" s="7" t="str">
        <f t="shared" si="5"/>
        <v/>
      </c>
      <c r="Q75" s="17" t="s">
        <v>91</v>
      </c>
      <c r="R75" s="17"/>
      <c r="S75" s="23" t="str">
        <f>Q70</f>
        <v>Aluminio</v>
      </c>
      <c r="T75" s="23" t="str">
        <f>Q71</f>
        <v>Acero inox</v>
      </c>
      <c r="U75" s="23" t="str">
        <f>Q72</f>
        <v>M. Comp.</v>
      </c>
    </row>
    <row r="76" spans="9:27" x14ac:dyDescent="0.35">
      <c r="I76" s="7" t="str">
        <f t="shared" si="6"/>
        <v/>
      </c>
      <c r="J76" s="7" t="str">
        <f t="shared" si="2"/>
        <v/>
      </c>
      <c r="K76" s="8" t="str">
        <f t="shared" si="10"/>
        <v/>
      </c>
      <c r="L76" s="7" t="str">
        <f t="shared" si="4"/>
        <v/>
      </c>
      <c r="M76" s="7" t="str">
        <f t="shared" si="5"/>
        <v/>
      </c>
      <c r="Q76" s="21" t="str">
        <f>R68</f>
        <v>H2</v>
      </c>
      <c r="R76" s="22" t="s">
        <v>85</v>
      </c>
      <c r="S76" s="13">
        <f>R70</f>
        <v>61.698482281284313</v>
      </c>
      <c r="T76" s="13">
        <f>3/2*$P$68*100000*HLOOKUP($Q76,$R$27:$V$28,2,FALSE)*$O71/$P71</f>
        <v>149.85485465116207</v>
      </c>
      <c r="U76" s="13">
        <f>3/2*$P$68*100000*HLOOKUP($Q76,$R$27:$V$28,2,FALSE)*$O72/$P72</f>
        <v>4.1602273124671942</v>
      </c>
    </row>
    <row r="77" spans="9:27" x14ac:dyDescent="0.35">
      <c r="I77" s="7" t="str">
        <f t="shared" si="6"/>
        <v/>
      </c>
      <c r="J77" s="7" t="str">
        <f t="shared" si="2"/>
        <v/>
      </c>
      <c r="K77" s="8" t="str">
        <f t="shared" si="10"/>
        <v/>
      </c>
      <c r="L77" s="7" t="str">
        <f t="shared" si="4"/>
        <v/>
      </c>
      <c r="M77" s="7" t="str">
        <f t="shared" si="5"/>
        <v/>
      </c>
      <c r="Q77" s="21"/>
      <c r="R77" s="22" t="s">
        <v>90</v>
      </c>
      <c r="S77" s="24">
        <f>S76+$R$41</f>
        <v>67.144402082761957</v>
      </c>
      <c r="T77" s="24">
        <f>T76+$R$41</f>
        <v>155.3007744526397</v>
      </c>
      <c r="U77" s="24">
        <f>U76+$R$41</f>
        <v>9.6061471139448358</v>
      </c>
    </row>
    <row r="78" spans="9:27" x14ac:dyDescent="0.35">
      <c r="I78" s="7" t="str">
        <f t="shared" si="6"/>
        <v/>
      </c>
      <c r="J78" s="7" t="str">
        <f t="shared" si="2"/>
        <v/>
      </c>
      <c r="K78" s="8" t="str">
        <f t="shared" si="10"/>
        <v/>
      </c>
      <c r="L78" s="7" t="str">
        <f t="shared" si="4"/>
        <v/>
      </c>
      <c r="M78" s="7" t="str">
        <f t="shared" si="5"/>
        <v/>
      </c>
      <c r="Q78" s="21" t="str">
        <f>T68</f>
        <v>He</v>
      </c>
      <c r="R78" s="22" t="s">
        <v>85</v>
      </c>
      <c r="S78" s="13">
        <f>3/2*$P$68*100000*HLOOKUP($Q78,$R$27:$V$28,2,FALSE)*$O70/$P70</f>
        <v>72.637929494277984</v>
      </c>
      <c r="T78" s="13">
        <f>3/2*$P$68*100000*HLOOKUP($Q78,$R$27:$V$28,2,FALSE)*$O71/$P71</f>
        <v>176.42486434108443</v>
      </c>
      <c r="U78" s="13">
        <f>3/2*$P$68*100000*HLOOKUP($Q78,$R$27:$V$28,2,FALSE)*$O72/$P72</f>
        <v>4.8978562685783986</v>
      </c>
    </row>
    <row r="79" spans="9:27" x14ac:dyDescent="0.35">
      <c r="I79" s="7" t="str">
        <f t="shared" si="6"/>
        <v/>
      </c>
      <c r="J79" s="7" t="str">
        <f t="shared" si="2"/>
        <v/>
      </c>
      <c r="K79" s="8" t="str">
        <f t="shared" si="10"/>
        <v/>
      </c>
      <c r="L79" s="7" t="str">
        <f t="shared" si="4"/>
        <v/>
      </c>
      <c r="M79" s="7" t="str">
        <f t="shared" si="5"/>
        <v/>
      </c>
      <c r="Q79" s="21"/>
      <c r="R79" s="22" t="s">
        <v>90</v>
      </c>
      <c r="S79" s="24">
        <f>S78+$S$41</f>
        <v>85.378176113881338</v>
      </c>
      <c r="T79" s="24">
        <f>T78+$S$41</f>
        <v>189.1651109606878</v>
      </c>
      <c r="U79" s="24">
        <f>U78+$S$41</f>
        <v>17.638102888181759</v>
      </c>
    </row>
    <row r="80" spans="9:27" x14ac:dyDescent="0.35">
      <c r="I80" s="7" t="str">
        <f t="shared" si="6"/>
        <v/>
      </c>
      <c r="J80" s="7" t="str">
        <f t="shared" si="2"/>
        <v/>
      </c>
      <c r="K80" s="8" t="str">
        <f t="shared" si="10"/>
        <v/>
      </c>
      <c r="L80" s="7" t="str">
        <f t="shared" si="4"/>
        <v/>
      </c>
      <c r="M80" s="7" t="str">
        <f t="shared" si="5"/>
        <v/>
      </c>
      <c r="Q80" s="21" t="str">
        <f>V68</f>
        <v>Aire seco</v>
      </c>
      <c r="R80" s="22" t="s">
        <v>85</v>
      </c>
      <c r="S80" s="13">
        <f>3/2*$P$68*100000*HLOOKUP($Q80,$R$27:$V$28,2,FALSE)*$O70/$P70</f>
        <v>61.260904392764552</v>
      </c>
      <c r="T80" s="13">
        <f>3/2*$P$68*100000*HLOOKUP($Q80,$R$27:$V$28,2,FALSE)*$O71/$P71</f>
        <v>148.79205426356515</v>
      </c>
      <c r="U80" s="13">
        <f>3/2*$P$68*100000*HLOOKUP($Q80,$R$27:$V$28,2,FALSE)*$O72/$P72</f>
        <v>4.1307221542227452</v>
      </c>
    </row>
    <row r="81" spans="9:21" x14ac:dyDescent="0.35">
      <c r="I81" s="7" t="str">
        <f t="shared" si="6"/>
        <v/>
      </c>
      <c r="J81" s="7" t="str">
        <f t="shared" si="2"/>
        <v/>
      </c>
      <c r="K81" s="8" t="str">
        <f t="shared" si="10"/>
        <v/>
      </c>
      <c r="L81" s="7" t="str">
        <f t="shared" si="4"/>
        <v/>
      </c>
      <c r="M81" s="7" t="str">
        <f t="shared" si="5"/>
        <v/>
      </c>
      <c r="Q81" s="21"/>
      <c r="R81" s="22" t="s">
        <v>90</v>
      </c>
      <c r="S81" s="24">
        <f>S80+$T$41</f>
        <v>139.04112909936802</v>
      </c>
      <c r="T81" s="24">
        <f>T80+$T$41</f>
        <v>226.57227897016861</v>
      </c>
      <c r="U81" s="24">
        <f>U80+$T$41</f>
        <v>81.910946860826215</v>
      </c>
    </row>
    <row r="82" spans="9:21" x14ac:dyDescent="0.35">
      <c r="I82" s="7" t="str">
        <f t="shared" si="6"/>
        <v/>
      </c>
      <c r="J82" s="7" t="str">
        <f t="shared" si="2"/>
        <v/>
      </c>
      <c r="K82" s="8" t="str">
        <f t="shared" si="10"/>
        <v/>
      </c>
      <c r="L82" s="7" t="str">
        <f t="shared" si="4"/>
        <v/>
      </c>
      <c r="M82" s="7" t="str">
        <f t="shared" si="5"/>
        <v/>
      </c>
      <c r="Q82" s="21" t="str">
        <f>X68</f>
        <v>CO2</v>
      </c>
      <c r="R82" s="22" t="s">
        <v>85</v>
      </c>
      <c r="S82" s="13">
        <f>3/2*$P$68*100000*HLOOKUP($Q82,$R$27:$V$28,2,FALSE)*$O70/$P70</f>
        <v>56.885125507567096</v>
      </c>
      <c r="T82" s="13">
        <f>3/2*$P$68*100000*HLOOKUP($Q82,$R$27:$V$28,2,FALSE)*$O71/$P71</f>
        <v>138.16405038759623</v>
      </c>
      <c r="U82" s="13">
        <f>3/2*$P$68*100000*HLOOKUP($Q82,$R$27:$V$28,2,FALSE)*$O72/$P72</f>
        <v>3.8356705717782642</v>
      </c>
    </row>
    <row r="83" spans="9:21" x14ac:dyDescent="0.35">
      <c r="I83" s="7" t="str">
        <f t="shared" si="6"/>
        <v/>
      </c>
      <c r="J83" s="7" t="str">
        <f t="shared" si="2"/>
        <v/>
      </c>
      <c r="K83" s="8" t="str">
        <f t="shared" si="10"/>
        <v/>
      </c>
      <c r="L83" s="7" t="str">
        <f t="shared" si="4"/>
        <v/>
      </c>
      <c r="M83" s="7" t="str">
        <f t="shared" si="5"/>
        <v/>
      </c>
      <c r="Q83" s="21"/>
      <c r="R83" s="22" t="s">
        <v>90</v>
      </c>
      <c r="S83" s="24">
        <f>S82+$U$41</f>
        <v>166.60552582658937</v>
      </c>
      <c r="T83" s="24">
        <f>T82+$U$41</f>
        <v>247.88445070661851</v>
      </c>
      <c r="U83" s="24">
        <f>U82+$U$41</f>
        <v>113.55607089080054</v>
      </c>
    </row>
    <row r="84" spans="9:21" x14ac:dyDescent="0.35">
      <c r="I84" s="7" t="str">
        <f t="shared" si="6"/>
        <v/>
      </c>
      <c r="J84" s="7" t="str">
        <f t="shared" si="2"/>
        <v/>
      </c>
      <c r="K84" s="8" t="str">
        <f t="shared" si="10"/>
        <v/>
      </c>
      <c r="L84" s="7" t="str">
        <f t="shared" si="4"/>
        <v/>
      </c>
      <c r="M84" s="7" t="str">
        <f t="shared" si="5"/>
        <v/>
      </c>
      <c r="Q84" s="21" t="str">
        <f>Z68</f>
        <v>Ar</v>
      </c>
      <c r="R84" s="22" t="s">
        <v>85</v>
      </c>
      <c r="S84" s="13">
        <f>3/2*$P$68*100000*HLOOKUP($Q84,$R$27:$V$28,2,FALSE)*$O70/$P70</f>
        <v>73.075507382797738</v>
      </c>
      <c r="T84" s="13">
        <f>3/2*$P$68*100000*HLOOKUP($Q84,$R$27:$V$28,2,FALSE)*$O71/$P71</f>
        <v>177.48766472868135</v>
      </c>
      <c r="U84" s="13">
        <f>3/2*$P$68*100000*HLOOKUP($Q84,$R$27:$V$28,2,FALSE)*$O72/$P72</f>
        <v>4.9273614268228485</v>
      </c>
    </row>
    <row r="85" spans="9:21" x14ac:dyDescent="0.35">
      <c r="I85" s="7" t="str">
        <f t="shared" si="6"/>
        <v/>
      </c>
      <c r="J85" s="7" t="str">
        <f t="shared" si="2"/>
        <v/>
      </c>
      <c r="K85" s="8" t="str">
        <f t="shared" si="10"/>
        <v/>
      </c>
      <c r="L85" s="7" t="str">
        <f t="shared" si="4"/>
        <v/>
      </c>
      <c r="M85" s="7" t="str">
        <f t="shared" si="5"/>
        <v/>
      </c>
      <c r="Q85" s="21"/>
      <c r="R85" s="22" t="s">
        <v>90</v>
      </c>
      <c r="S85" s="24">
        <f>S84+$V$41</f>
        <v>200.98924651898574</v>
      </c>
      <c r="T85" s="24">
        <f>T84+$V$41</f>
        <v>305.40140386486934</v>
      </c>
      <c r="U85" s="24">
        <f>U84+$V$41</f>
        <v>132.84110056301083</v>
      </c>
    </row>
    <row r="86" spans="9:21" x14ac:dyDescent="0.35">
      <c r="I86" s="7" t="str">
        <f t="shared" si="6"/>
        <v/>
      </c>
      <c r="J86" s="7" t="str">
        <f t="shared" si="2"/>
        <v/>
      </c>
      <c r="K86" s="8" t="str">
        <f t="shared" si="10"/>
        <v/>
      </c>
      <c r="L86" s="7" t="str">
        <f t="shared" si="4"/>
        <v/>
      </c>
      <c r="M86" s="7" t="str">
        <f t="shared" si="5"/>
        <v/>
      </c>
    </row>
    <row r="87" spans="9:21" x14ac:dyDescent="0.35">
      <c r="I87" s="7" t="str">
        <f t="shared" si="6"/>
        <v/>
      </c>
      <c r="J87" s="7" t="str">
        <f t="shared" si="2"/>
        <v/>
      </c>
      <c r="K87" s="8" t="str">
        <f t="shared" si="10"/>
        <v/>
      </c>
      <c r="L87" s="7" t="str">
        <f t="shared" si="4"/>
        <v/>
      </c>
      <c r="M87" s="7" t="str">
        <f t="shared" si="5"/>
        <v/>
      </c>
    </row>
    <row r="88" spans="9:21" x14ac:dyDescent="0.35">
      <c r="I88" s="7" t="str">
        <f t="shared" si="6"/>
        <v/>
      </c>
      <c r="J88" s="7" t="str">
        <f t="shared" ref="J88:J140" si="32">IF(I88&lt;&gt;"",I88*100000,"")</f>
        <v/>
      </c>
      <c r="K88" s="8" t="str">
        <f t="shared" ref="K88:K151" si="33">IF(I88&lt;&gt;"",$C$27*$H$23/(I88*(1+$L$12)/$C$25),"")</f>
        <v/>
      </c>
      <c r="L88" s="7" t="str">
        <f t="shared" ref="L88:L151" si="34">IF(J88&lt;&gt;"",J88*K88/$H$22/$H$24,"")</f>
        <v/>
      </c>
      <c r="M88" s="7" t="str">
        <f t="shared" ref="M88:M151" si="35">IF(J88&lt;&gt;"",3/2*J88*K88*$H$26/$H$25,"")</f>
        <v/>
      </c>
    </row>
    <row r="89" spans="9:21" x14ac:dyDescent="0.35">
      <c r="I89" s="7" t="str">
        <f t="shared" ref="I89:I152" si="36">IF(I88&lt;$L$21,I88+($L$21-$L$20)/($N$20-1),"")</f>
        <v/>
      </c>
      <c r="J89" s="7" t="str">
        <f t="shared" si="32"/>
        <v/>
      </c>
      <c r="K89" s="8" t="str">
        <f t="shared" si="33"/>
        <v/>
      </c>
      <c r="L89" s="7" t="str">
        <f t="shared" si="34"/>
        <v/>
      </c>
      <c r="M89" s="7" t="str">
        <f t="shared" si="35"/>
        <v/>
      </c>
    </row>
    <row r="90" spans="9:21" x14ac:dyDescent="0.35">
      <c r="I90" s="7" t="str">
        <f t="shared" si="36"/>
        <v/>
      </c>
      <c r="J90" s="7" t="str">
        <f t="shared" si="32"/>
        <v/>
      </c>
      <c r="K90" s="8" t="str">
        <f t="shared" si="33"/>
        <v/>
      </c>
      <c r="L90" s="7" t="str">
        <f t="shared" si="34"/>
        <v/>
      </c>
      <c r="M90" s="7" t="str">
        <f t="shared" si="35"/>
        <v/>
      </c>
    </row>
    <row r="91" spans="9:21" x14ac:dyDescent="0.35">
      <c r="I91" s="7" t="str">
        <f t="shared" si="36"/>
        <v/>
      </c>
      <c r="J91" s="7" t="str">
        <f t="shared" si="32"/>
        <v/>
      </c>
      <c r="K91" s="8" t="str">
        <f t="shared" si="33"/>
        <v/>
      </c>
      <c r="L91" s="7" t="str">
        <f t="shared" si="34"/>
        <v/>
      </c>
      <c r="M91" s="7" t="str">
        <f t="shared" si="35"/>
        <v/>
      </c>
    </row>
    <row r="92" spans="9:21" x14ac:dyDescent="0.35">
      <c r="I92" s="7" t="str">
        <f t="shared" si="36"/>
        <v/>
      </c>
      <c r="J92" s="7" t="str">
        <f t="shared" si="32"/>
        <v/>
      </c>
      <c r="K92" s="8" t="str">
        <f t="shared" si="33"/>
        <v/>
      </c>
      <c r="L92" s="7" t="str">
        <f t="shared" si="34"/>
        <v/>
      </c>
      <c r="M92" s="7" t="str">
        <f t="shared" si="35"/>
        <v/>
      </c>
    </row>
    <row r="93" spans="9:21" x14ac:dyDescent="0.35">
      <c r="I93" s="7" t="str">
        <f t="shared" si="36"/>
        <v/>
      </c>
      <c r="J93" s="7" t="str">
        <f t="shared" si="32"/>
        <v/>
      </c>
      <c r="K93" s="8" t="str">
        <f t="shared" si="33"/>
        <v/>
      </c>
      <c r="L93" s="7" t="str">
        <f t="shared" si="34"/>
        <v/>
      </c>
      <c r="M93" s="7" t="str">
        <f t="shared" si="35"/>
        <v/>
      </c>
    </row>
    <row r="94" spans="9:21" x14ac:dyDescent="0.35">
      <c r="I94" s="7" t="str">
        <f t="shared" si="36"/>
        <v/>
      </c>
      <c r="J94" s="7" t="str">
        <f t="shared" si="32"/>
        <v/>
      </c>
      <c r="K94" s="8" t="str">
        <f t="shared" si="33"/>
        <v/>
      </c>
      <c r="L94" s="7" t="str">
        <f t="shared" si="34"/>
        <v/>
      </c>
      <c r="M94" s="7" t="str">
        <f t="shared" si="35"/>
        <v/>
      </c>
    </row>
    <row r="95" spans="9:21" x14ac:dyDescent="0.35">
      <c r="I95" s="7" t="str">
        <f t="shared" si="36"/>
        <v/>
      </c>
      <c r="J95" s="7" t="str">
        <f t="shared" si="32"/>
        <v/>
      </c>
      <c r="K95" s="8" t="str">
        <f t="shared" si="33"/>
        <v/>
      </c>
      <c r="L95" s="7" t="str">
        <f t="shared" si="34"/>
        <v/>
      </c>
      <c r="M95" s="7" t="str">
        <f t="shared" si="35"/>
        <v/>
      </c>
    </row>
    <row r="96" spans="9:21" x14ac:dyDescent="0.35">
      <c r="I96" s="7" t="str">
        <f t="shared" si="36"/>
        <v/>
      </c>
      <c r="J96" s="7" t="str">
        <f t="shared" si="32"/>
        <v/>
      </c>
      <c r="K96" s="8" t="str">
        <f t="shared" si="33"/>
        <v/>
      </c>
      <c r="L96" s="7" t="str">
        <f t="shared" si="34"/>
        <v/>
      </c>
      <c r="M96" s="7" t="str">
        <f t="shared" si="35"/>
        <v/>
      </c>
    </row>
    <row r="97" spans="9:13" x14ac:dyDescent="0.35">
      <c r="I97" s="7" t="str">
        <f t="shared" si="36"/>
        <v/>
      </c>
      <c r="J97" s="7" t="str">
        <f t="shared" si="32"/>
        <v/>
      </c>
      <c r="K97" s="8" t="str">
        <f t="shared" si="33"/>
        <v/>
      </c>
      <c r="L97" s="7" t="str">
        <f t="shared" si="34"/>
        <v/>
      </c>
      <c r="M97" s="7" t="str">
        <f t="shared" si="35"/>
        <v/>
      </c>
    </row>
    <row r="98" spans="9:13" x14ac:dyDescent="0.35">
      <c r="I98" s="7" t="str">
        <f t="shared" si="36"/>
        <v/>
      </c>
      <c r="J98" s="7" t="str">
        <f t="shared" si="32"/>
        <v/>
      </c>
      <c r="K98" s="8" t="str">
        <f t="shared" si="33"/>
        <v/>
      </c>
      <c r="L98" s="7" t="str">
        <f t="shared" si="34"/>
        <v/>
      </c>
      <c r="M98" s="7" t="str">
        <f t="shared" si="35"/>
        <v/>
      </c>
    </row>
    <row r="99" spans="9:13" x14ac:dyDescent="0.35">
      <c r="I99" s="7" t="str">
        <f t="shared" si="36"/>
        <v/>
      </c>
      <c r="J99" s="7" t="str">
        <f t="shared" si="32"/>
        <v/>
      </c>
      <c r="K99" s="8" t="str">
        <f t="shared" si="33"/>
        <v/>
      </c>
      <c r="L99" s="7" t="str">
        <f t="shared" si="34"/>
        <v/>
      </c>
      <c r="M99" s="7" t="str">
        <f t="shared" si="35"/>
        <v/>
      </c>
    </row>
    <row r="100" spans="9:13" x14ac:dyDescent="0.35">
      <c r="I100" s="7" t="str">
        <f t="shared" si="36"/>
        <v/>
      </c>
      <c r="J100" s="7" t="str">
        <f t="shared" si="32"/>
        <v/>
      </c>
      <c r="K100" s="8" t="str">
        <f t="shared" si="33"/>
        <v/>
      </c>
      <c r="L100" s="7" t="str">
        <f t="shared" si="34"/>
        <v/>
      </c>
      <c r="M100" s="7" t="str">
        <f t="shared" si="35"/>
        <v/>
      </c>
    </row>
    <row r="101" spans="9:13" x14ac:dyDescent="0.35">
      <c r="I101" s="7" t="str">
        <f t="shared" si="36"/>
        <v/>
      </c>
      <c r="J101" s="7" t="str">
        <f t="shared" si="32"/>
        <v/>
      </c>
      <c r="K101" s="8" t="str">
        <f t="shared" si="33"/>
        <v/>
      </c>
      <c r="L101" s="7" t="str">
        <f t="shared" si="34"/>
        <v/>
      </c>
      <c r="M101" s="7" t="str">
        <f t="shared" si="35"/>
        <v/>
      </c>
    </row>
    <row r="102" spans="9:13" x14ac:dyDescent="0.35">
      <c r="I102" s="7" t="str">
        <f t="shared" si="36"/>
        <v/>
      </c>
      <c r="J102" s="7" t="str">
        <f t="shared" si="32"/>
        <v/>
      </c>
      <c r="K102" s="8" t="str">
        <f t="shared" si="33"/>
        <v/>
      </c>
      <c r="L102" s="7" t="str">
        <f t="shared" si="34"/>
        <v/>
      </c>
      <c r="M102" s="7" t="str">
        <f t="shared" si="35"/>
        <v/>
      </c>
    </row>
    <row r="103" spans="9:13" x14ac:dyDescent="0.35">
      <c r="I103" s="7" t="str">
        <f t="shared" si="36"/>
        <v/>
      </c>
      <c r="J103" s="7" t="str">
        <f t="shared" si="32"/>
        <v/>
      </c>
      <c r="K103" s="8" t="str">
        <f t="shared" si="33"/>
        <v/>
      </c>
      <c r="L103" s="7" t="str">
        <f t="shared" si="34"/>
        <v/>
      </c>
      <c r="M103" s="7" t="str">
        <f t="shared" si="35"/>
        <v/>
      </c>
    </row>
    <row r="104" spans="9:13" x14ac:dyDescent="0.35">
      <c r="I104" s="7" t="str">
        <f t="shared" si="36"/>
        <v/>
      </c>
      <c r="J104" s="7" t="str">
        <f t="shared" si="32"/>
        <v/>
      </c>
      <c r="K104" s="8" t="str">
        <f t="shared" si="33"/>
        <v/>
      </c>
      <c r="L104" s="7" t="str">
        <f t="shared" si="34"/>
        <v/>
      </c>
      <c r="M104" s="7" t="str">
        <f t="shared" si="35"/>
        <v/>
      </c>
    </row>
    <row r="105" spans="9:13" x14ac:dyDescent="0.35">
      <c r="I105" s="7" t="str">
        <f t="shared" si="36"/>
        <v/>
      </c>
      <c r="J105" s="7" t="str">
        <f t="shared" si="32"/>
        <v/>
      </c>
      <c r="K105" s="8" t="str">
        <f t="shared" si="33"/>
        <v/>
      </c>
      <c r="L105" s="7" t="str">
        <f t="shared" si="34"/>
        <v/>
      </c>
      <c r="M105" s="7" t="str">
        <f t="shared" si="35"/>
        <v/>
      </c>
    </row>
    <row r="106" spans="9:13" x14ac:dyDescent="0.35">
      <c r="I106" s="7" t="str">
        <f t="shared" si="36"/>
        <v/>
      </c>
      <c r="J106" s="7" t="str">
        <f t="shared" si="32"/>
        <v/>
      </c>
      <c r="K106" s="8" t="str">
        <f t="shared" si="33"/>
        <v/>
      </c>
      <c r="L106" s="7" t="str">
        <f t="shared" si="34"/>
        <v/>
      </c>
      <c r="M106" s="7" t="str">
        <f t="shared" si="35"/>
        <v/>
      </c>
    </row>
    <row r="107" spans="9:13" x14ac:dyDescent="0.35">
      <c r="I107" s="7" t="str">
        <f t="shared" si="36"/>
        <v/>
      </c>
      <c r="J107" s="7" t="str">
        <f t="shared" si="32"/>
        <v/>
      </c>
      <c r="K107" s="8" t="str">
        <f t="shared" si="33"/>
        <v/>
      </c>
      <c r="L107" s="7" t="str">
        <f t="shared" si="34"/>
        <v/>
      </c>
      <c r="M107" s="7" t="str">
        <f t="shared" si="35"/>
        <v/>
      </c>
    </row>
    <row r="108" spans="9:13" x14ac:dyDescent="0.35">
      <c r="I108" s="7" t="str">
        <f t="shared" si="36"/>
        <v/>
      </c>
      <c r="J108" s="7" t="str">
        <f t="shared" si="32"/>
        <v/>
      </c>
      <c r="K108" s="8" t="str">
        <f t="shared" si="33"/>
        <v/>
      </c>
      <c r="L108" s="7" t="str">
        <f t="shared" si="34"/>
        <v/>
      </c>
      <c r="M108" s="7" t="str">
        <f t="shared" si="35"/>
        <v/>
      </c>
    </row>
    <row r="109" spans="9:13" x14ac:dyDescent="0.35">
      <c r="I109" s="7" t="str">
        <f t="shared" si="36"/>
        <v/>
      </c>
      <c r="J109" s="7" t="str">
        <f t="shared" si="32"/>
        <v/>
      </c>
      <c r="K109" s="8" t="str">
        <f t="shared" si="33"/>
        <v/>
      </c>
      <c r="L109" s="7" t="str">
        <f t="shared" si="34"/>
        <v/>
      </c>
      <c r="M109" s="7" t="str">
        <f t="shared" si="35"/>
        <v/>
      </c>
    </row>
    <row r="110" spans="9:13" x14ac:dyDescent="0.35">
      <c r="I110" s="7" t="str">
        <f t="shared" si="36"/>
        <v/>
      </c>
      <c r="J110" s="7" t="str">
        <f t="shared" si="32"/>
        <v/>
      </c>
      <c r="K110" s="8" t="str">
        <f t="shared" si="33"/>
        <v/>
      </c>
      <c r="L110" s="7" t="str">
        <f t="shared" si="34"/>
        <v/>
      </c>
      <c r="M110" s="7" t="str">
        <f t="shared" si="35"/>
        <v/>
      </c>
    </row>
    <row r="111" spans="9:13" x14ac:dyDescent="0.35">
      <c r="I111" s="7" t="str">
        <f t="shared" si="36"/>
        <v/>
      </c>
      <c r="J111" s="7" t="str">
        <f t="shared" si="32"/>
        <v/>
      </c>
      <c r="K111" s="8" t="str">
        <f t="shared" si="33"/>
        <v/>
      </c>
      <c r="L111" s="7" t="str">
        <f t="shared" si="34"/>
        <v/>
      </c>
      <c r="M111" s="7" t="str">
        <f t="shared" si="35"/>
        <v/>
      </c>
    </row>
    <row r="112" spans="9:13" x14ac:dyDescent="0.35">
      <c r="I112" s="7" t="str">
        <f t="shared" si="36"/>
        <v/>
      </c>
      <c r="J112" s="7" t="str">
        <f t="shared" si="32"/>
        <v/>
      </c>
      <c r="K112" s="8" t="str">
        <f t="shared" si="33"/>
        <v/>
      </c>
      <c r="L112" s="7" t="str">
        <f t="shared" si="34"/>
        <v/>
      </c>
      <c r="M112" s="7" t="str">
        <f t="shared" si="35"/>
        <v/>
      </c>
    </row>
    <row r="113" spans="9:13" x14ac:dyDescent="0.35">
      <c r="I113" s="7" t="str">
        <f t="shared" si="36"/>
        <v/>
      </c>
      <c r="J113" s="7" t="str">
        <f t="shared" si="32"/>
        <v/>
      </c>
      <c r="K113" s="8" t="str">
        <f t="shared" si="33"/>
        <v/>
      </c>
      <c r="L113" s="7" t="str">
        <f t="shared" si="34"/>
        <v/>
      </c>
      <c r="M113" s="7" t="str">
        <f t="shared" si="35"/>
        <v/>
      </c>
    </row>
    <row r="114" spans="9:13" x14ac:dyDescent="0.35">
      <c r="I114" s="7" t="str">
        <f t="shared" si="36"/>
        <v/>
      </c>
      <c r="J114" s="7" t="str">
        <f t="shared" si="32"/>
        <v/>
      </c>
      <c r="K114" s="8" t="str">
        <f t="shared" si="33"/>
        <v/>
      </c>
      <c r="L114" s="7" t="str">
        <f t="shared" si="34"/>
        <v/>
      </c>
      <c r="M114" s="7" t="str">
        <f t="shared" si="35"/>
        <v/>
      </c>
    </row>
    <row r="115" spans="9:13" x14ac:dyDescent="0.35">
      <c r="I115" s="7" t="str">
        <f t="shared" si="36"/>
        <v/>
      </c>
      <c r="J115" s="7" t="str">
        <f t="shared" si="32"/>
        <v/>
      </c>
      <c r="K115" s="8" t="str">
        <f t="shared" si="33"/>
        <v/>
      </c>
      <c r="L115" s="7" t="str">
        <f t="shared" si="34"/>
        <v/>
      </c>
      <c r="M115" s="7" t="str">
        <f t="shared" si="35"/>
        <v/>
      </c>
    </row>
    <row r="116" spans="9:13" x14ac:dyDescent="0.35">
      <c r="I116" s="7" t="str">
        <f t="shared" si="36"/>
        <v/>
      </c>
      <c r="J116" s="7" t="str">
        <f t="shared" si="32"/>
        <v/>
      </c>
      <c r="K116" s="8" t="str">
        <f t="shared" si="33"/>
        <v/>
      </c>
      <c r="L116" s="7" t="str">
        <f t="shared" si="34"/>
        <v/>
      </c>
      <c r="M116" s="7" t="str">
        <f t="shared" si="35"/>
        <v/>
      </c>
    </row>
    <row r="117" spans="9:13" x14ac:dyDescent="0.35">
      <c r="I117" s="7" t="str">
        <f t="shared" si="36"/>
        <v/>
      </c>
      <c r="J117" s="7" t="str">
        <f t="shared" si="32"/>
        <v/>
      </c>
      <c r="K117" s="8" t="str">
        <f t="shared" si="33"/>
        <v/>
      </c>
      <c r="L117" s="7" t="str">
        <f t="shared" si="34"/>
        <v/>
      </c>
      <c r="M117" s="7" t="str">
        <f t="shared" si="35"/>
        <v/>
      </c>
    </row>
    <row r="118" spans="9:13" x14ac:dyDescent="0.35">
      <c r="I118" s="7" t="str">
        <f t="shared" si="36"/>
        <v/>
      </c>
      <c r="J118" s="7" t="str">
        <f t="shared" si="32"/>
        <v/>
      </c>
      <c r="K118" s="8" t="str">
        <f t="shared" si="33"/>
        <v/>
      </c>
      <c r="L118" s="7" t="str">
        <f t="shared" si="34"/>
        <v/>
      </c>
      <c r="M118" s="7" t="str">
        <f t="shared" si="35"/>
        <v/>
      </c>
    </row>
    <row r="119" spans="9:13" x14ac:dyDescent="0.35">
      <c r="I119" s="7" t="str">
        <f t="shared" si="36"/>
        <v/>
      </c>
      <c r="J119" s="7" t="str">
        <f t="shared" si="32"/>
        <v/>
      </c>
      <c r="K119" s="8" t="str">
        <f t="shared" si="33"/>
        <v/>
      </c>
      <c r="L119" s="7" t="str">
        <f t="shared" si="34"/>
        <v/>
      </c>
      <c r="M119" s="7" t="str">
        <f t="shared" si="35"/>
        <v/>
      </c>
    </row>
    <row r="120" spans="9:13" x14ac:dyDescent="0.35">
      <c r="I120" s="7" t="str">
        <f t="shared" si="36"/>
        <v/>
      </c>
      <c r="J120" s="7" t="str">
        <f t="shared" si="32"/>
        <v/>
      </c>
      <c r="K120" s="8" t="str">
        <f t="shared" si="33"/>
        <v/>
      </c>
      <c r="L120" s="7" t="str">
        <f t="shared" si="34"/>
        <v/>
      </c>
      <c r="M120" s="7" t="str">
        <f t="shared" si="35"/>
        <v/>
      </c>
    </row>
    <row r="121" spans="9:13" x14ac:dyDescent="0.35">
      <c r="I121" s="7" t="str">
        <f t="shared" si="36"/>
        <v/>
      </c>
      <c r="J121" s="7" t="str">
        <f t="shared" si="32"/>
        <v/>
      </c>
      <c r="K121" s="8" t="str">
        <f t="shared" si="33"/>
        <v/>
      </c>
      <c r="L121" s="7" t="str">
        <f t="shared" si="34"/>
        <v/>
      </c>
      <c r="M121" s="7" t="str">
        <f t="shared" si="35"/>
        <v/>
      </c>
    </row>
    <row r="122" spans="9:13" x14ac:dyDescent="0.35">
      <c r="I122" s="7" t="str">
        <f t="shared" si="36"/>
        <v/>
      </c>
      <c r="J122" s="7" t="str">
        <f t="shared" si="32"/>
        <v/>
      </c>
      <c r="K122" s="8" t="str">
        <f t="shared" si="33"/>
        <v/>
      </c>
      <c r="L122" s="7" t="str">
        <f t="shared" si="34"/>
        <v/>
      </c>
      <c r="M122" s="7" t="str">
        <f t="shared" si="35"/>
        <v/>
      </c>
    </row>
    <row r="123" spans="9:13" x14ac:dyDescent="0.35">
      <c r="I123" s="7" t="str">
        <f t="shared" si="36"/>
        <v/>
      </c>
      <c r="J123" s="7" t="str">
        <f t="shared" si="32"/>
        <v/>
      </c>
      <c r="K123" s="8" t="str">
        <f t="shared" si="33"/>
        <v/>
      </c>
      <c r="L123" s="7" t="str">
        <f t="shared" si="34"/>
        <v/>
      </c>
      <c r="M123" s="7" t="str">
        <f t="shared" si="35"/>
        <v/>
      </c>
    </row>
    <row r="124" spans="9:13" x14ac:dyDescent="0.35">
      <c r="I124" s="7" t="str">
        <f t="shared" si="36"/>
        <v/>
      </c>
      <c r="J124" s="7" t="str">
        <f t="shared" si="32"/>
        <v/>
      </c>
      <c r="K124" s="8" t="str">
        <f t="shared" si="33"/>
        <v/>
      </c>
      <c r="L124" s="7" t="str">
        <f t="shared" si="34"/>
        <v/>
      </c>
      <c r="M124" s="7" t="str">
        <f t="shared" si="35"/>
        <v/>
      </c>
    </row>
    <row r="125" spans="9:13" x14ac:dyDescent="0.35">
      <c r="I125" s="7" t="str">
        <f t="shared" si="36"/>
        <v/>
      </c>
      <c r="J125" s="7" t="str">
        <f t="shared" si="32"/>
        <v/>
      </c>
      <c r="K125" s="8" t="str">
        <f t="shared" si="33"/>
        <v/>
      </c>
      <c r="L125" s="7" t="str">
        <f t="shared" si="34"/>
        <v/>
      </c>
      <c r="M125" s="7" t="str">
        <f t="shared" si="35"/>
        <v/>
      </c>
    </row>
    <row r="126" spans="9:13" x14ac:dyDescent="0.35">
      <c r="I126" s="7" t="str">
        <f t="shared" si="36"/>
        <v/>
      </c>
      <c r="J126" s="7" t="str">
        <f t="shared" si="32"/>
        <v/>
      </c>
      <c r="K126" s="8" t="str">
        <f t="shared" si="33"/>
        <v/>
      </c>
      <c r="L126" s="7" t="str">
        <f t="shared" si="34"/>
        <v/>
      </c>
      <c r="M126" s="7" t="str">
        <f t="shared" si="35"/>
        <v/>
      </c>
    </row>
    <row r="127" spans="9:13" x14ac:dyDescent="0.35">
      <c r="I127" s="7" t="str">
        <f t="shared" si="36"/>
        <v/>
      </c>
      <c r="J127" s="7" t="str">
        <f t="shared" si="32"/>
        <v/>
      </c>
      <c r="K127" s="8" t="str">
        <f t="shared" si="33"/>
        <v/>
      </c>
      <c r="L127" s="7" t="str">
        <f t="shared" si="34"/>
        <v/>
      </c>
      <c r="M127" s="7" t="str">
        <f t="shared" si="35"/>
        <v/>
      </c>
    </row>
    <row r="128" spans="9:13" x14ac:dyDescent="0.35">
      <c r="I128" s="7" t="str">
        <f t="shared" si="36"/>
        <v/>
      </c>
      <c r="J128" s="7" t="str">
        <f t="shared" si="32"/>
        <v/>
      </c>
      <c r="K128" s="8" t="str">
        <f t="shared" si="33"/>
        <v/>
      </c>
      <c r="L128" s="7" t="str">
        <f t="shared" si="34"/>
        <v/>
      </c>
      <c r="M128" s="7" t="str">
        <f t="shared" si="35"/>
        <v/>
      </c>
    </row>
    <row r="129" spans="9:13" x14ac:dyDescent="0.35">
      <c r="I129" s="7" t="str">
        <f t="shared" si="36"/>
        <v/>
      </c>
      <c r="J129" s="7" t="str">
        <f t="shared" si="32"/>
        <v/>
      </c>
      <c r="K129" s="8" t="str">
        <f t="shared" si="33"/>
        <v/>
      </c>
      <c r="L129" s="7" t="str">
        <f t="shared" si="34"/>
        <v/>
      </c>
      <c r="M129" s="7" t="str">
        <f t="shared" si="35"/>
        <v/>
      </c>
    </row>
    <row r="130" spans="9:13" x14ac:dyDescent="0.35">
      <c r="I130" s="7" t="str">
        <f t="shared" si="36"/>
        <v/>
      </c>
      <c r="J130" s="7" t="str">
        <f t="shared" si="32"/>
        <v/>
      </c>
      <c r="K130" s="8" t="str">
        <f t="shared" si="33"/>
        <v/>
      </c>
      <c r="L130" s="7" t="str">
        <f t="shared" si="34"/>
        <v/>
      </c>
      <c r="M130" s="7" t="str">
        <f t="shared" si="35"/>
        <v/>
      </c>
    </row>
    <row r="131" spans="9:13" x14ac:dyDescent="0.35">
      <c r="I131" s="7" t="str">
        <f t="shared" si="36"/>
        <v/>
      </c>
      <c r="J131" s="7" t="str">
        <f t="shared" si="32"/>
        <v/>
      </c>
      <c r="K131" s="8" t="str">
        <f t="shared" si="33"/>
        <v/>
      </c>
      <c r="L131" s="7" t="str">
        <f t="shared" si="34"/>
        <v/>
      </c>
      <c r="M131" s="7" t="str">
        <f t="shared" si="35"/>
        <v/>
      </c>
    </row>
    <row r="132" spans="9:13" x14ac:dyDescent="0.35">
      <c r="I132" s="7" t="str">
        <f t="shared" si="36"/>
        <v/>
      </c>
      <c r="J132" s="7" t="str">
        <f t="shared" si="32"/>
        <v/>
      </c>
      <c r="K132" s="8" t="str">
        <f t="shared" si="33"/>
        <v/>
      </c>
      <c r="L132" s="7" t="str">
        <f t="shared" si="34"/>
        <v/>
      </c>
      <c r="M132" s="7" t="str">
        <f t="shared" si="35"/>
        <v/>
      </c>
    </row>
    <row r="133" spans="9:13" x14ac:dyDescent="0.35">
      <c r="I133" s="7" t="str">
        <f t="shared" si="36"/>
        <v/>
      </c>
      <c r="J133" s="7" t="str">
        <f t="shared" si="32"/>
        <v/>
      </c>
      <c r="K133" s="8" t="str">
        <f t="shared" si="33"/>
        <v/>
      </c>
      <c r="L133" s="7" t="str">
        <f t="shared" si="34"/>
        <v/>
      </c>
      <c r="M133" s="7" t="str">
        <f t="shared" si="35"/>
        <v/>
      </c>
    </row>
    <row r="134" spans="9:13" x14ac:dyDescent="0.35">
      <c r="I134" s="7" t="str">
        <f t="shared" si="36"/>
        <v/>
      </c>
      <c r="J134" s="7" t="str">
        <f t="shared" si="32"/>
        <v/>
      </c>
      <c r="K134" s="8" t="str">
        <f t="shared" si="33"/>
        <v/>
      </c>
      <c r="L134" s="7" t="str">
        <f t="shared" si="34"/>
        <v/>
      </c>
      <c r="M134" s="7" t="str">
        <f t="shared" si="35"/>
        <v/>
      </c>
    </row>
    <row r="135" spans="9:13" x14ac:dyDescent="0.35">
      <c r="I135" s="7" t="str">
        <f t="shared" si="36"/>
        <v/>
      </c>
      <c r="J135" s="7" t="str">
        <f t="shared" si="32"/>
        <v/>
      </c>
      <c r="K135" s="8" t="str">
        <f t="shared" si="33"/>
        <v/>
      </c>
      <c r="L135" s="7" t="str">
        <f t="shared" si="34"/>
        <v/>
      </c>
      <c r="M135" s="7" t="str">
        <f t="shared" si="35"/>
        <v/>
      </c>
    </row>
    <row r="136" spans="9:13" x14ac:dyDescent="0.35">
      <c r="I136" s="7" t="str">
        <f t="shared" si="36"/>
        <v/>
      </c>
      <c r="J136" s="7" t="str">
        <f t="shared" si="32"/>
        <v/>
      </c>
      <c r="K136" s="8" t="str">
        <f t="shared" si="33"/>
        <v/>
      </c>
      <c r="L136" s="7" t="str">
        <f t="shared" si="34"/>
        <v/>
      </c>
      <c r="M136" s="7" t="str">
        <f t="shared" si="35"/>
        <v/>
      </c>
    </row>
    <row r="137" spans="9:13" x14ac:dyDescent="0.35">
      <c r="I137" s="7" t="str">
        <f t="shared" si="36"/>
        <v/>
      </c>
      <c r="J137" s="7" t="str">
        <f t="shared" si="32"/>
        <v/>
      </c>
      <c r="K137" s="8" t="str">
        <f t="shared" si="33"/>
        <v/>
      </c>
      <c r="L137" s="7" t="str">
        <f t="shared" si="34"/>
        <v/>
      </c>
      <c r="M137" s="7" t="str">
        <f t="shared" si="35"/>
        <v/>
      </c>
    </row>
    <row r="138" spans="9:13" x14ac:dyDescent="0.35">
      <c r="I138" s="7" t="str">
        <f t="shared" si="36"/>
        <v/>
      </c>
      <c r="J138" s="7" t="str">
        <f t="shared" si="32"/>
        <v/>
      </c>
      <c r="K138" s="8" t="str">
        <f t="shared" si="33"/>
        <v/>
      </c>
      <c r="L138" s="7" t="str">
        <f t="shared" si="34"/>
        <v/>
      </c>
      <c r="M138" s="7" t="str">
        <f t="shared" si="35"/>
        <v/>
      </c>
    </row>
    <row r="139" spans="9:13" x14ac:dyDescent="0.35">
      <c r="I139" s="7" t="str">
        <f t="shared" si="36"/>
        <v/>
      </c>
      <c r="J139" s="7" t="str">
        <f t="shared" si="32"/>
        <v/>
      </c>
      <c r="K139" s="8" t="str">
        <f t="shared" si="33"/>
        <v/>
      </c>
      <c r="L139" s="7" t="str">
        <f t="shared" si="34"/>
        <v/>
      </c>
      <c r="M139" s="7" t="str">
        <f t="shared" si="35"/>
        <v/>
      </c>
    </row>
    <row r="140" spans="9:13" x14ac:dyDescent="0.35">
      <c r="I140" s="7" t="str">
        <f t="shared" si="36"/>
        <v/>
      </c>
      <c r="J140" s="7" t="str">
        <f t="shared" si="32"/>
        <v/>
      </c>
      <c r="K140" s="8" t="str">
        <f t="shared" si="33"/>
        <v/>
      </c>
      <c r="L140" s="7" t="str">
        <f t="shared" si="34"/>
        <v/>
      </c>
      <c r="M140" s="7" t="str">
        <f t="shared" si="35"/>
        <v/>
      </c>
    </row>
    <row r="141" spans="9:13" x14ac:dyDescent="0.35">
      <c r="I141" s="7" t="str">
        <f t="shared" si="36"/>
        <v/>
      </c>
      <c r="J141" s="7"/>
      <c r="K141" s="8" t="str">
        <f t="shared" si="33"/>
        <v/>
      </c>
      <c r="L141" s="7" t="str">
        <f t="shared" si="34"/>
        <v/>
      </c>
      <c r="M141" s="7" t="str">
        <f t="shared" si="35"/>
        <v/>
      </c>
    </row>
    <row r="142" spans="9:13" x14ac:dyDescent="0.35">
      <c r="I142" s="7" t="str">
        <f t="shared" si="36"/>
        <v/>
      </c>
      <c r="J142" s="7"/>
      <c r="K142" s="8" t="str">
        <f t="shared" si="33"/>
        <v/>
      </c>
      <c r="L142" s="7" t="str">
        <f t="shared" si="34"/>
        <v/>
      </c>
      <c r="M142" s="7" t="str">
        <f t="shared" si="35"/>
        <v/>
      </c>
    </row>
    <row r="143" spans="9:13" x14ac:dyDescent="0.35">
      <c r="I143" s="7" t="str">
        <f t="shared" si="36"/>
        <v/>
      </c>
      <c r="J143" s="7"/>
      <c r="K143" s="8" t="str">
        <f t="shared" si="33"/>
        <v/>
      </c>
      <c r="L143" s="7" t="str">
        <f t="shared" si="34"/>
        <v/>
      </c>
      <c r="M143" s="7" t="str">
        <f t="shared" si="35"/>
        <v/>
      </c>
    </row>
    <row r="144" spans="9:13" x14ac:dyDescent="0.35">
      <c r="I144" s="7" t="str">
        <f t="shared" si="36"/>
        <v/>
      </c>
      <c r="J144" s="7"/>
      <c r="K144" s="8" t="str">
        <f t="shared" si="33"/>
        <v/>
      </c>
      <c r="L144" s="7" t="str">
        <f t="shared" si="34"/>
        <v/>
      </c>
      <c r="M144" s="7" t="str">
        <f t="shared" si="35"/>
        <v/>
      </c>
    </row>
    <row r="145" spans="9:13" x14ac:dyDescent="0.35">
      <c r="I145" s="7" t="str">
        <f t="shared" si="36"/>
        <v/>
      </c>
      <c r="J145" s="7"/>
      <c r="K145" s="8" t="str">
        <f t="shared" si="33"/>
        <v/>
      </c>
      <c r="L145" s="7" t="str">
        <f t="shared" si="34"/>
        <v/>
      </c>
      <c r="M145" s="7" t="str">
        <f t="shared" si="35"/>
        <v/>
      </c>
    </row>
    <row r="146" spans="9:13" x14ac:dyDescent="0.35">
      <c r="I146" s="7" t="str">
        <f t="shared" si="36"/>
        <v/>
      </c>
      <c r="J146" s="7"/>
      <c r="K146" s="8" t="str">
        <f t="shared" si="33"/>
        <v/>
      </c>
      <c r="L146" s="7" t="str">
        <f t="shared" si="34"/>
        <v/>
      </c>
      <c r="M146" s="7" t="str">
        <f t="shared" si="35"/>
        <v/>
      </c>
    </row>
    <row r="147" spans="9:13" x14ac:dyDescent="0.35">
      <c r="I147" s="7" t="str">
        <f t="shared" si="36"/>
        <v/>
      </c>
      <c r="J147" s="7"/>
      <c r="K147" s="8" t="str">
        <f t="shared" si="33"/>
        <v/>
      </c>
      <c r="L147" s="7" t="str">
        <f t="shared" si="34"/>
        <v/>
      </c>
      <c r="M147" s="7" t="str">
        <f t="shared" si="35"/>
        <v/>
      </c>
    </row>
    <row r="148" spans="9:13" x14ac:dyDescent="0.35">
      <c r="I148" s="7" t="str">
        <f t="shared" si="36"/>
        <v/>
      </c>
      <c r="J148" s="7"/>
      <c r="K148" s="8" t="str">
        <f t="shared" si="33"/>
        <v/>
      </c>
      <c r="L148" s="7" t="str">
        <f t="shared" si="34"/>
        <v/>
      </c>
      <c r="M148" s="7" t="str">
        <f t="shared" si="35"/>
        <v/>
      </c>
    </row>
    <row r="149" spans="9:13" x14ac:dyDescent="0.35">
      <c r="I149" s="7" t="str">
        <f t="shared" si="36"/>
        <v/>
      </c>
      <c r="J149" s="7"/>
      <c r="K149" s="8" t="str">
        <f t="shared" si="33"/>
        <v/>
      </c>
      <c r="L149" s="7" t="str">
        <f t="shared" si="34"/>
        <v/>
      </c>
      <c r="M149" s="7" t="str">
        <f t="shared" si="35"/>
        <v/>
      </c>
    </row>
    <row r="150" spans="9:13" x14ac:dyDescent="0.35">
      <c r="I150" s="7" t="str">
        <f t="shared" si="36"/>
        <v/>
      </c>
      <c r="J150" s="7"/>
      <c r="K150" s="8" t="str">
        <f t="shared" si="33"/>
        <v/>
      </c>
      <c r="L150" s="7" t="str">
        <f t="shared" si="34"/>
        <v/>
      </c>
      <c r="M150" s="7" t="str">
        <f t="shared" si="35"/>
        <v/>
      </c>
    </row>
    <row r="151" spans="9:13" x14ac:dyDescent="0.35">
      <c r="I151" s="7" t="str">
        <f t="shared" si="36"/>
        <v/>
      </c>
      <c r="J151" s="7"/>
      <c r="K151" s="8" t="str">
        <f t="shared" si="33"/>
        <v/>
      </c>
      <c r="L151" s="7" t="str">
        <f t="shared" si="34"/>
        <v/>
      </c>
      <c r="M151" s="7" t="str">
        <f t="shared" si="35"/>
        <v/>
      </c>
    </row>
    <row r="152" spans="9:13" x14ac:dyDescent="0.35">
      <c r="I152" s="7" t="str">
        <f t="shared" si="36"/>
        <v/>
      </c>
      <c r="J152" s="7"/>
      <c r="K152" s="8" t="str">
        <f t="shared" ref="K152:K164" si="37">IF(I152&lt;&gt;"",$C$27*$H$23/(I152*(1+$L$12)/$C$25),"")</f>
        <v/>
      </c>
      <c r="L152" s="7" t="str">
        <f t="shared" ref="L152:L168" si="38">IF(J152&lt;&gt;"",J152*K152/$H$22/$H$24,"")</f>
        <v/>
      </c>
      <c r="M152" s="7" t="str">
        <f t="shared" ref="M152:M168" si="39">IF(J152&lt;&gt;"",3/2*J152*K152*$H$26/$H$25,"")</f>
        <v/>
      </c>
    </row>
    <row r="153" spans="9:13" x14ac:dyDescent="0.35">
      <c r="I153" s="7" t="str">
        <f t="shared" ref="I153:I168" si="40">IF(I152&lt;$L$21,I152+($L$21-$L$20)/($N$20-1),"")</f>
        <v/>
      </c>
      <c r="J153" s="7"/>
      <c r="K153" s="8" t="str">
        <f t="shared" si="37"/>
        <v/>
      </c>
      <c r="L153" s="7" t="str">
        <f t="shared" si="38"/>
        <v/>
      </c>
      <c r="M153" s="7" t="str">
        <f t="shared" si="39"/>
        <v/>
      </c>
    </row>
    <row r="154" spans="9:13" x14ac:dyDescent="0.35">
      <c r="I154" s="7" t="str">
        <f t="shared" si="40"/>
        <v/>
      </c>
      <c r="J154" s="7"/>
      <c r="K154" s="8" t="str">
        <f t="shared" si="37"/>
        <v/>
      </c>
      <c r="L154" s="7" t="str">
        <f t="shared" si="38"/>
        <v/>
      </c>
      <c r="M154" s="7" t="str">
        <f t="shared" si="39"/>
        <v/>
      </c>
    </row>
    <row r="155" spans="9:13" x14ac:dyDescent="0.35">
      <c r="I155" s="7" t="str">
        <f t="shared" si="40"/>
        <v/>
      </c>
      <c r="J155" s="7"/>
      <c r="K155" s="8" t="str">
        <f t="shared" si="37"/>
        <v/>
      </c>
      <c r="L155" s="7" t="str">
        <f t="shared" si="38"/>
        <v/>
      </c>
      <c r="M155" s="7" t="str">
        <f t="shared" si="39"/>
        <v/>
      </c>
    </row>
    <row r="156" spans="9:13" x14ac:dyDescent="0.35">
      <c r="I156" s="7" t="str">
        <f t="shared" si="40"/>
        <v/>
      </c>
      <c r="J156" s="7"/>
      <c r="K156" s="8" t="str">
        <f t="shared" si="37"/>
        <v/>
      </c>
      <c r="L156" s="7" t="str">
        <f t="shared" si="38"/>
        <v/>
      </c>
      <c r="M156" s="7" t="str">
        <f t="shared" si="39"/>
        <v/>
      </c>
    </row>
    <row r="157" spans="9:13" x14ac:dyDescent="0.35">
      <c r="I157" s="7" t="str">
        <f t="shared" si="40"/>
        <v/>
      </c>
      <c r="J157" s="7"/>
      <c r="K157" s="8" t="str">
        <f t="shared" si="37"/>
        <v/>
      </c>
      <c r="L157" s="7" t="str">
        <f t="shared" si="38"/>
        <v/>
      </c>
      <c r="M157" s="7" t="str">
        <f t="shared" si="39"/>
        <v/>
      </c>
    </row>
    <row r="158" spans="9:13" x14ac:dyDescent="0.35">
      <c r="I158" s="7" t="str">
        <f t="shared" si="40"/>
        <v/>
      </c>
      <c r="J158" s="7"/>
      <c r="K158" s="8" t="str">
        <f t="shared" si="37"/>
        <v/>
      </c>
      <c r="L158" s="7" t="str">
        <f t="shared" si="38"/>
        <v/>
      </c>
      <c r="M158" s="7" t="str">
        <f t="shared" si="39"/>
        <v/>
      </c>
    </row>
    <row r="159" spans="9:13" x14ac:dyDescent="0.35">
      <c r="I159" s="7" t="str">
        <f t="shared" si="40"/>
        <v/>
      </c>
      <c r="J159" s="7"/>
      <c r="K159" s="8" t="str">
        <f t="shared" si="37"/>
        <v/>
      </c>
      <c r="L159" s="7" t="str">
        <f t="shared" si="38"/>
        <v/>
      </c>
      <c r="M159" s="7" t="str">
        <f t="shared" si="39"/>
        <v/>
      </c>
    </row>
    <row r="160" spans="9:13" x14ac:dyDescent="0.35">
      <c r="I160" s="7" t="str">
        <f t="shared" si="40"/>
        <v/>
      </c>
      <c r="J160" s="7"/>
      <c r="K160" s="8" t="str">
        <f t="shared" si="37"/>
        <v/>
      </c>
      <c r="L160" s="7" t="str">
        <f t="shared" si="38"/>
        <v/>
      </c>
      <c r="M160" s="7" t="str">
        <f t="shared" si="39"/>
        <v/>
      </c>
    </row>
    <row r="161" spans="9:13" x14ac:dyDescent="0.35">
      <c r="I161" s="7" t="str">
        <f t="shared" si="40"/>
        <v/>
      </c>
      <c r="J161" s="7"/>
      <c r="K161" s="8" t="str">
        <f t="shared" si="37"/>
        <v/>
      </c>
      <c r="L161" s="7" t="str">
        <f t="shared" si="38"/>
        <v/>
      </c>
      <c r="M161" s="7" t="str">
        <f t="shared" si="39"/>
        <v/>
      </c>
    </row>
    <row r="162" spans="9:13" x14ac:dyDescent="0.35">
      <c r="I162" s="7" t="str">
        <f t="shared" si="40"/>
        <v/>
      </c>
      <c r="J162" s="7"/>
      <c r="K162" s="8" t="str">
        <f t="shared" si="37"/>
        <v/>
      </c>
      <c r="L162" s="7" t="str">
        <f t="shared" si="38"/>
        <v/>
      </c>
      <c r="M162" s="7" t="str">
        <f t="shared" si="39"/>
        <v/>
      </c>
    </row>
    <row r="163" spans="9:13" x14ac:dyDescent="0.35">
      <c r="I163" s="7" t="str">
        <f t="shared" si="40"/>
        <v/>
      </c>
      <c r="J163" s="7"/>
      <c r="K163" s="8" t="str">
        <f t="shared" si="37"/>
        <v/>
      </c>
      <c r="L163" s="7" t="str">
        <f t="shared" si="38"/>
        <v/>
      </c>
      <c r="M163" s="7" t="str">
        <f t="shared" si="39"/>
        <v/>
      </c>
    </row>
    <row r="164" spans="9:13" x14ac:dyDescent="0.35">
      <c r="I164" s="7" t="str">
        <f t="shared" si="40"/>
        <v/>
      </c>
      <c r="J164" s="7"/>
      <c r="K164" s="8" t="str">
        <f t="shared" si="37"/>
        <v/>
      </c>
      <c r="L164" s="7" t="str">
        <f t="shared" si="38"/>
        <v/>
      </c>
      <c r="M164" s="7" t="str">
        <f t="shared" si="39"/>
        <v/>
      </c>
    </row>
    <row r="165" spans="9:13" x14ac:dyDescent="0.35">
      <c r="I165" s="7" t="str">
        <f t="shared" si="40"/>
        <v/>
      </c>
      <c r="J165" s="7"/>
      <c r="K165" s="7"/>
      <c r="L165" s="7" t="str">
        <f t="shared" si="38"/>
        <v/>
      </c>
      <c r="M165" s="7" t="str">
        <f t="shared" si="39"/>
        <v/>
      </c>
    </row>
    <row r="166" spans="9:13" x14ac:dyDescent="0.35">
      <c r="I166" s="7" t="str">
        <f t="shared" si="40"/>
        <v/>
      </c>
      <c r="J166" s="7"/>
      <c r="K166" s="7"/>
      <c r="L166" s="7" t="str">
        <f t="shared" si="38"/>
        <v/>
      </c>
      <c r="M166" s="7" t="str">
        <f t="shared" si="39"/>
        <v/>
      </c>
    </row>
    <row r="167" spans="9:13" x14ac:dyDescent="0.35">
      <c r="I167" s="7" t="str">
        <f t="shared" si="40"/>
        <v/>
      </c>
      <c r="J167" s="7"/>
      <c r="K167" s="7"/>
      <c r="L167" s="7" t="str">
        <f t="shared" si="38"/>
        <v/>
      </c>
      <c r="M167" s="7" t="str">
        <f t="shared" si="39"/>
        <v/>
      </c>
    </row>
    <row r="168" spans="9:13" x14ac:dyDescent="0.35">
      <c r="I168" s="7" t="str">
        <f t="shared" si="40"/>
        <v/>
      </c>
      <c r="J168" s="7"/>
      <c r="K168" s="7"/>
      <c r="L168" s="7" t="str">
        <f t="shared" si="38"/>
        <v/>
      </c>
      <c r="M168" s="7" t="str">
        <f t="shared" si="39"/>
        <v/>
      </c>
    </row>
  </sheetData>
  <mergeCells count="29">
    <mergeCell ref="Q84:Q85"/>
    <mergeCell ref="Q75:R75"/>
    <mergeCell ref="Q76:Q77"/>
    <mergeCell ref="Q78:Q79"/>
    <mergeCell ref="Q80:Q81"/>
    <mergeCell ref="Q82:Q83"/>
    <mergeCell ref="T68:U68"/>
    <mergeCell ref="V68:W68"/>
    <mergeCell ref="X68:Y68"/>
    <mergeCell ref="Z68:AA68"/>
    <mergeCell ref="Q68:Q69"/>
    <mergeCell ref="G2:G3"/>
    <mergeCell ref="B7:B8"/>
    <mergeCell ref="L2:L5"/>
    <mergeCell ref="L6:L7"/>
    <mergeCell ref="R68:S68"/>
    <mergeCell ref="H12:J12"/>
    <mergeCell ref="H14:H18"/>
    <mergeCell ref="B24:B25"/>
    <mergeCell ref="C26:D26"/>
    <mergeCell ref="O14:O16"/>
    <mergeCell ref="R39:V39"/>
    <mergeCell ref="R52:V52"/>
    <mergeCell ref="A26:A27"/>
    <mergeCell ref="C27:D27"/>
    <mergeCell ref="B15:B16"/>
    <mergeCell ref="B22:B23"/>
    <mergeCell ref="R26:V26"/>
    <mergeCell ref="B20:B21"/>
  </mergeCells>
  <dataValidations count="3">
    <dataValidation type="list" allowBlank="1" showInputMessage="1" showErrorMessage="1" sqref="H20">
      <formula1>$I$14:$I$18</formula1>
    </dataValidation>
    <dataValidation type="list" allowBlank="1" showInputMessage="1" showErrorMessage="1" sqref="H21 P26 P39 P52">
      <formula1>$P$14:$P$16</formula1>
    </dataValidation>
    <dataValidation type="list" allowBlank="1" showInputMessage="1" showErrorMessage="1" sqref="P27">
      <formula1>$K$22:$M$22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gamma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2019-11-19T17:32:20Z</dcterms:modified>
</cp:coreProperties>
</file>