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A9519648-7D45-473C-A587-A4DF85679771}" xr6:coauthVersionLast="46" xr6:coauthVersionMax="46" xr10:uidLastSave="{00000000-0000-0000-0000-000000000000}"/>
  <bookViews>
    <workbookView xWindow="-9555" yWindow="3060" windowWidth="21600" windowHeight="11220" activeTab="1" xr2:uid="{00000000-000D-0000-FFFF-FFFF00000000}"/>
  </bookViews>
  <sheets>
    <sheet name="It_Bandeja Inf" sheetId="1" r:id="rId1"/>
    <sheet name="Calculo MOS stress" sheetId="3" r:id="rId2"/>
    <sheet name="Analisis de Sensibilid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L17" i="3"/>
  <c r="L16" i="3"/>
  <c r="K16" i="3"/>
  <c r="K17" i="3"/>
  <c r="K11" i="3"/>
  <c r="L12" i="3"/>
  <c r="L11" i="3"/>
  <c r="K12" i="3"/>
  <c r="L6" i="3"/>
  <c r="L7" i="3"/>
  <c r="K7" i="3"/>
  <c r="L19" i="1"/>
  <c r="L18" i="1"/>
  <c r="L20" i="1"/>
  <c r="AD26" i="2"/>
  <c r="AD25" i="2"/>
  <c r="AD24" i="2"/>
  <c r="AD23" i="2"/>
  <c r="AD22" i="2"/>
  <c r="U22" i="2"/>
  <c r="L16" i="1"/>
  <c r="Q5" i="2"/>
  <c r="U5" i="2" s="1"/>
  <c r="I5" i="2"/>
  <c r="M5" i="2" s="1"/>
  <c r="I10" i="2"/>
  <c r="Q8" i="2"/>
  <c r="U8" i="2" s="1"/>
  <c r="I8" i="2"/>
  <c r="Q6" i="2"/>
  <c r="I6" i="2"/>
  <c r="Q9" i="2"/>
  <c r="I9" i="2"/>
  <c r="M9" i="2" s="1"/>
  <c r="Q7" i="2"/>
  <c r="L11" i="1"/>
  <c r="Q3" i="2"/>
  <c r="U3" i="2" s="1"/>
  <c r="L26" i="1"/>
  <c r="L33" i="1"/>
  <c r="L35" i="1"/>
  <c r="S3" i="2"/>
  <c r="K3" i="2"/>
  <c r="R7" i="2"/>
  <c r="R8" i="2"/>
  <c r="R9" i="2"/>
  <c r="R6" i="2"/>
  <c r="S4" i="2"/>
  <c r="U4" i="2"/>
  <c r="U6" i="2"/>
  <c r="U7" i="2"/>
  <c r="U9" i="2"/>
  <c r="S5" i="2"/>
  <c r="S6" i="2"/>
  <c r="S7" i="2"/>
  <c r="S8" i="2"/>
  <c r="S9" i="2"/>
  <c r="J7" i="2"/>
  <c r="J8" i="2"/>
  <c r="J9" i="2"/>
  <c r="J6" i="2"/>
  <c r="M4" i="2"/>
  <c r="M6" i="2"/>
  <c r="M7" i="2"/>
  <c r="M8" i="2"/>
  <c r="M10" i="2"/>
  <c r="M11" i="2"/>
  <c r="K5" i="2"/>
  <c r="K6" i="2"/>
  <c r="K7" i="2"/>
  <c r="K8" i="2"/>
  <c r="K9" i="2"/>
  <c r="K10" i="2"/>
  <c r="K11" i="2"/>
  <c r="K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M3" i="2" l="1"/>
</calcChain>
</file>

<file path=xl/sharedStrings.xml><?xml version="1.0" encoding="utf-8"?>
<sst xmlns="http://schemas.openxmlformats.org/spreadsheetml/2006/main" count="324" uniqueCount="110">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</sst>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4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>
      <alignment horizontal="right" vertical="center" wrapText="1"/>
    </xf>
    <xf numFmtId="0" fontId="0" fillId="0" borderId="17" xfId="0" applyFill="1" applyBorder="1" applyAlignment="1">
      <alignment horizontal="left" vertical="center"/>
    </xf>
    <xf numFmtId="0" fontId="4" fillId="10" borderId="4" xfId="9" applyFont="1" applyBorder="1" applyAlignment="1">
      <alignment horizontal="left" vertical="center" wrapText="1"/>
    </xf>
    <xf numFmtId="0" fontId="2" fillId="9" borderId="33" xfId="8" applyBorder="1" applyAlignment="1">
      <alignment horizontal="center" vertical="center" wrapText="1"/>
    </xf>
    <xf numFmtId="0" fontId="5" fillId="9" borderId="34" xfId="8" applyFont="1" applyBorder="1" applyAlignment="1">
      <alignment horizontal="center" vertical="center" wrapText="1"/>
    </xf>
    <xf numFmtId="0" fontId="5" fillId="9" borderId="35" xfId="8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5" fillId="6" borderId="34" xfId="5" applyFont="1" applyBorder="1" applyAlignment="1">
      <alignment horizontal="center" vertical="center" wrapText="1"/>
    </xf>
    <xf numFmtId="0" fontId="5" fillId="6" borderId="35" xfId="5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0" fontId="4" fillId="8" borderId="34" xfId="7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4" borderId="34" xfId="13" applyFont="1" applyBorder="1" applyAlignment="1">
      <alignment horizontal="center" vertical="center" wrapText="1"/>
    </xf>
    <xf numFmtId="0" fontId="4" fillId="14" borderId="35" xfId="13" applyFon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0" fontId="4" fillId="13" borderId="34" xfId="12" applyFont="1" applyBorder="1" applyAlignment="1">
      <alignment horizontal="center" vertical="center" wrapText="1"/>
    </xf>
    <xf numFmtId="0" fontId="4" fillId="10" borderId="25" xfId="9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7" borderId="23" xfId="6" applyNumberFormat="1" applyBorder="1" applyAlignment="1">
      <alignment horizontal="center" vertical="center" wrapText="1"/>
    </xf>
    <xf numFmtId="0" fontId="4" fillId="8" borderId="36" xfId="7" applyFont="1" applyBorder="1" applyAlignment="1">
      <alignment horizontal="center" vertical="center" wrapText="1"/>
    </xf>
    <xf numFmtId="0" fontId="4" fillId="13" borderId="35" xfId="12" applyFon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8" borderId="30" xfId="7" applyNumberFormat="1" applyBorder="1" applyAlignment="1">
      <alignment horizontal="center" vertical="center" wrapText="1"/>
    </xf>
    <xf numFmtId="2" fontId="1" fillId="7" borderId="2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20" xfId="11" applyNumberFormat="1" applyBorder="1" applyAlignment="1">
      <alignment horizontal="center" vertical="center" wrapText="1"/>
    </xf>
    <xf numFmtId="2" fontId="1" fillId="13" borderId="30" xfId="12" applyNumberFormat="1" applyBorder="1" applyAlignment="1">
      <alignment horizontal="center" vertical="center" wrapText="1"/>
    </xf>
    <xf numFmtId="2" fontId="1" fillId="12" borderId="2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9" xfId="5" applyNumberFormat="1" applyBorder="1" applyAlignment="1">
      <alignment horizontal="center" vertical="center" wrapText="1"/>
    </xf>
    <xf numFmtId="2" fontId="1" fillId="14" borderId="29" xfId="13" applyNumberFormat="1" applyBorder="1" applyAlignment="1">
      <alignment horizontal="center" vertical="center" wrapText="1"/>
    </xf>
    <xf numFmtId="2" fontId="2" fillId="6" borderId="17" xfId="5" applyNumberFormat="1" applyBorder="1" applyAlignment="1">
      <alignment horizontal="center" vertical="center" wrapText="1"/>
    </xf>
    <xf numFmtId="2" fontId="1" fillId="14" borderId="17" xfId="13" applyNumberForma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7" xfId="7" applyNumberFormat="1" applyBorder="1" applyAlignment="1">
      <alignment horizontal="center" vertical="center" wrapText="1"/>
    </xf>
    <xf numFmtId="2" fontId="1" fillId="13" borderId="17" xfId="12" applyNumberFormat="1" applyBorder="1" applyAlignment="1">
      <alignment horizontal="center" vertical="center" wrapText="1"/>
    </xf>
    <xf numFmtId="2" fontId="1" fillId="13" borderId="29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20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27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20" xfId="5" applyNumberFormat="1" applyBorder="1" applyAlignment="1">
      <alignment horizontal="center" vertical="center" wrapText="1"/>
    </xf>
    <xf numFmtId="2" fontId="2" fillId="6" borderId="27" xfId="5" applyNumberFormat="1" applyBorder="1" applyAlignment="1">
      <alignment horizontal="center" vertical="center" wrapText="1"/>
    </xf>
    <xf numFmtId="2" fontId="1" fillId="14" borderId="20" xfId="13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1" fillId="16" borderId="25" xfId="15" applyBorder="1" applyAlignment="1">
      <alignment horizontal="left" vertical="center" wrapText="1"/>
    </xf>
    <xf numFmtId="0" fontId="1" fillId="17" borderId="25" xfId="16" applyBorder="1" applyAlignment="1">
      <alignment horizontal="left" vertical="center" wrapText="1"/>
    </xf>
    <xf numFmtId="0" fontId="7" fillId="15" borderId="25" xfId="14" applyBorder="1" applyAlignment="1">
      <alignment horizontal="left" vertical="center" wrapText="1"/>
    </xf>
    <xf numFmtId="0" fontId="1" fillId="16" borderId="22" xfId="15" applyBorder="1" applyAlignment="1">
      <alignment wrapText="1"/>
    </xf>
    <xf numFmtId="0" fontId="0" fillId="0" borderId="0" xfId="0" applyAlignment="1">
      <alignment horizontal="left"/>
    </xf>
    <xf numFmtId="2" fontId="2" fillId="9" borderId="17" xfId="8" applyNumberFormat="1" applyBorder="1" applyAlignment="1">
      <alignment horizontal="center" vertical="center" wrapText="1"/>
    </xf>
    <xf numFmtId="2" fontId="2" fillId="9" borderId="29" xfId="8" applyNumberFormat="1" applyBorder="1" applyAlignment="1">
      <alignment horizontal="center" vertical="center" wrapText="1"/>
    </xf>
    <xf numFmtId="2" fontId="2" fillId="6" borderId="30" xfId="5" applyNumberFormat="1" applyBorder="1" applyAlignment="1">
      <alignment horizontal="center" vertical="center" wrapText="1"/>
    </xf>
    <xf numFmtId="2" fontId="1" fillId="14" borderId="30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8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6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28" xfId="10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7" xfId="10" applyNumberFormat="1" applyBorder="1" applyAlignment="1">
      <alignment horizontal="center" vertical="center" wrapText="1"/>
    </xf>
    <xf numFmtId="2" fontId="2" fillId="9" borderId="20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11" borderId="23" xfId="10" applyNumberFormat="1" applyBorder="1" applyAlignment="1">
      <alignment horizontal="center" vertical="center" wrapText="1"/>
    </xf>
    <xf numFmtId="2" fontId="1" fillId="11" borderId="24" xfId="10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8" borderId="23" xfId="7" applyNumberFormat="1" applyBorder="1" applyAlignment="1">
      <alignment horizontal="center" vertical="center" wrapText="1"/>
    </xf>
    <xf numFmtId="2" fontId="1" fillId="8" borderId="24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30" xfId="8" applyNumberFormat="1" applyBorder="1" applyAlignment="1">
      <alignment horizontal="center" vertical="center" wrapText="1"/>
    </xf>
    <xf numFmtId="1" fontId="2" fillId="6" borderId="30" xfId="5" applyNumberFormat="1" applyBorder="1" applyAlignment="1">
      <alignment horizontal="center" vertical="center" wrapText="1"/>
    </xf>
    <xf numFmtId="1" fontId="1" fillId="14" borderId="30" xfId="13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10" borderId="1" xfId="9" applyFont="1" applyBorder="1" applyAlignment="1">
      <alignment horizontal="center" vertical="center" wrapText="1"/>
    </xf>
    <xf numFmtId="0" fontId="4" fillId="10" borderId="6" xfId="9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31" xfId="0" applyBorder="1"/>
    <xf numFmtId="0" fontId="0" fillId="0" borderId="34" xfId="0" applyBorder="1"/>
    <xf numFmtId="11" fontId="0" fillId="0" borderId="34" xfId="0" applyNumberFormat="1" applyBorder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2" xfId="0" applyFont="1" applyBorder="1"/>
    <xf numFmtId="11" fontId="1" fillId="14" borderId="33" xfId="13" applyNumberFormat="1" applyBorder="1"/>
    <xf numFmtId="2" fontId="1" fillId="16" borderId="34" xfId="15" applyNumberFormat="1" applyBorder="1"/>
    <xf numFmtId="2" fontId="1" fillId="16" borderId="35" xfId="15" applyNumberFormat="1" applyBorder="1"/>
    <xf numFmtId="0" fontId="4" fillId="0" borderId="21" xfId="0" applyFont="1" applyBorder="1"/>
    <xf numFmtId="11" fontId="1" fillId="14" borderId="44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</cellXfs>
  <cellStyles count="19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5" sqref="P5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217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218"/>
    </row>
    <row r="6" spans="1:15" ht="16.2" customHeight="1" x14ac:dyDescent="0.3">
      <c r="A6" s="15">
        <v>5</v>
      </c>
      <c r="B6" s="203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219"/>
    </row>
    <row r="7" spans="1:15" ht="14.4" customHeight="1" x14ac:dyDescent="0.3">
      <c r="A7" s="15"/>
      <c r="B7" s="203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219"/>
    </row>
    <row r="8" spans="1:15" ht="13.8" customHeight="1" x14ac:dyDescent="0.3">
      <c r="A8" s="15"/>
      <c r="B8" s="203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219"/>
    </row>
    <row r="9" spans="1:15" ht="13.8" customHeight="1" x14ac:dyDescent="0.3">
      <c r="A9" s="15">
        <v>6</v>
      </c>
      <c r="B9" s="203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219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218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218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218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218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219"/>
    </row>
    <row r="15" spans="1:15" x14ac:dyDescent="0.3">
      <c r="A15" s="15">
        <v>11</v>
      </c>
      <c r="B15" s="203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219"/>
      <c r="O15" t="s">
        <v>77</v>
      </c>
    </row>
    <row r="16" spans="1:15" x14ac:dyDescent="0.3">
      <c r="A16" s="15"/>
      <c r="B16" s="203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219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218"/>
      <c r="O17" s="70" t="s">
        <v>59</v>
      </c>
      <c r="P17" s="12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218"/>
      <c r="O18" s="70"/>
      <c r="P18" s="12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220"/>
      <c r="O19" s="70"/>
      <c r="P19" s="121"/>
    </row>
    <row r="20" spans="1:16" ht="28.8" x14ac:dyDescent="0.3">
      <c r="A20" s="7"/>
      <c r="B20" s="204">
        <v>9</v>
      </c>
      <c r="C20" s="205" t="s">
        <v>7</v>
      </c>
      <c r="D20" s="205">
        <v>2</v>
      </c>
      <c r="E20" s="205" t="s">
        <v>11</v>
      </c>
      <c r="F20" s="205" t="s">
        <v>85</v>
      </c>
      <c r="G20" s="205" t="s">
        <v>84</v>
      </c>
      <c r="H20" s="206">
        <v>12</v>
      </c>
      <c r="I20" s="206">
        <v>123456</v>
      </c>
      <c r="J20" s="206" t="s">
        <v>31</v>
      </c>
      <c r="K20" s="207">
        <v>53.38456</v>
      </c>
      <c r="L20" s="208">
        <f t="shared" si="0"/>
        <v>3.0595599999999976</v>
      </c>
      <c r="M20" s="209">
        <v>151.99340000000001</v>
      </c>
      <c r="N20" s="221"/>
      <c r="O20" s="70"/>
      <c r="P20" s="121"/>
    </row>
    <row r="21" spans="1:16" ht="15.6" customHeight="1" thickBot="1" x14ac:dyDescent="0.35">
      <c r="A21" s="29">
        <v>13</v>
      </c>
      <c r="B21" s="210">
        <v>9</v>
      </c>
      <c r="C21" s="211" t="s">
        <v>7</v>
      </c>
      <c r="D21" s="211">
        <v>3</v>
      </c>
      <c r="E21" s="211" t="s">
        <v>10</v>
      </c>
      <c r="F21" s="211" t="s">
        <v>19</v>
      </c>
      <c r="G21" s="211" t="s">
        <v>20</v>
      </c>
      <c r="H21" s="211">
        <v>8</v>
      </c>
      <c r="I21" s="211">
        <v>123</v>
      </c>
      <c r="J21" s="211" t="s">
        <v>31</v>
      </c>
      <c r="K21" s="211"/>
      <c r="L21" s="211"/>
      <c r="M21" s="212">
        <v>169.4</v>
      </c>
      <c r="N21" s="222"/>
      <c r="O21" s="70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70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70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223"/>
      <c r="O24" s="70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223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223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223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223"/>
      <c r="O34" s="27"/>
      <c r="P34" s="27"/>
      <c r="S34" s="36"/>
    </row>
    <row r="35" spans="1:19" ht="15" thickBot="1" x14ac:dyDescent="0.35">
      <c r="A35" s="213">
        <v>25</v>
      </c>
      <c r="B35" s="210">
        <v>7</v>
      </c>
      <c r="C35" s="211" t="s">
        <v>7</v>
      </c>
      <c r="D35" s="211">
        <v>4</v>
      </c>
      <c r="E35" s="211" t="s">
        <v>10</v>
      </c>
      <c r="F35" s="211" t="s">
        <v>16</v>
      </c>
      <c r="G35" s="211" t="s">
        <v>20</v>
      </c>
      <c r="H35" s="211">
        <v>8</v>
      </c>
      <c r="I35" s="211">
        <v>123</v>
      </c>
      <c r="J35" s="211" t="s">
        <v>31</v>
      </c>
      <c r="K35" s="214">
        <v>58.475189999999998</v>
      </c>
      <c r="L35" s="215">
        <f>K35-39.325-11</f>
        <v>8.1501899999999949</v>
      </c>
      <c r="M35" s="216">
        <v>154.22069999999999</v>
      </c>
      <c r="N35" s="224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2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7"/>
  <sheetViews>
    <sheetView tabSelected="1" workbookViewId="0">
      <selection activeCell="A12" sqref="A12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</cols>
  <sheetData>
    <row r="2" spans="1:12" x14ac:dyDescent="0.3">
      <c r="A2" s="238" t="s">
        <v>104</v>
      </c>
    </row>
    <row r="3" spans="1:12" ht="15" thickBot="1" x14ac:dyDescent="0.35"/>
    <row r="4" spans="1:12" x14ac:dyDescent="0.3">
      <c r="A4" s="229" t="s">
        <v>88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1"/>
    </row>
    <row r="5" spans="1:12" x14ac:dyDescent="0.3">
      <c r="A5" s="232" t="s">
        <v>89</v>
      </c>
      <c r="B5" s="236"/>
      <c r="C5" s="225" t="s">
        <v>90</v>
      </c>
      <c r="D5" s="225" t="s">
        <v>91</v>
      </c>
      <c r="E5" s="225" t="s">
        <v>92</v>
      </c>
      <c r="F5" s="225" t="s">
        <v>93</v>
      </c>
      <c r="G5" s="225" t="s">
        <v>94</v>
      </c>
      <c r="H5" s="225" t="s">
        <v>95</v>
      </c>
      <c r="I5" s="225" t="s">
        <v>96</v>
      </c>
      <c r="J5" s="225"/>
      <c r="K5" s="225" t="s">
        <v>97</v>
      </c>
      <c r="L5" s="226" t="s">
        <v>98</v>
      </c>
    </row>
    <row r="6" spans="1:12" ht="15" thickBot="1" x14ac:dyDescent="0.35">
      <c r="A6" s="233">
        <v>79700000</v>
      </c>
      <c r="B6" s="237" t="s">
        <v>102</v>
      </c>
      <c r="C6" s="227">
        <v>1.1000000000000001</v>
      </c>
      <c r="D6" s="227">
        <v>1.2</v>
      </c>
      <c r="E6" s="227">
        <v>1.1000000000000001</v>
      </c>
      <c r="F6" s="227">
        <v>1.1000000000000001</v>
      </c>
      <c r="G6" s="227">
        <v>1.25</v>
      </c>
      <c r="H6" s="228">
        <v>434000000</v>
      </c>
      <c r="I6" s="228">
        <v>510000000</v>
      </c>
      <c r="J6" s="227"/>
      <c r="K6" s="234">
        <f>(H6/(A6*C6*D6*E6*F6))-1</f>
        <v>2.4093540735182422</v>
      </c>
      <c r="L6" s="235">
        <f>(I6/(A6*C6*D6*E6*G6))-1</f>
        <v>2.5256177608179424</v>
      </c>
    </row>
    <row r="7" spans="1:12" ht="15" thickBot="1" x14ac:dyDescent="0.35">
      <c r="A7" s="233">
        <v>31100000</v>
      </c>
      <c r="B7" s="237" t="s">
        <v>103</v>
      </c>
      <c r="C7" s="227">
        <v>1.1000000000000001</v>
      </c>
      <c r="D7" s="227">
        <v>1.2</v>
      </c>
      <c r="E7" s="227">
        <v>1.1000000000000001</v>
      </c>
      <c r="F7" s="227">
        <v>1.1000000000000001</v>
      </c>
      <c r="G7" s="227">
        <v>1.25</v>
      </c>
      <c r="H7" s="228">
        <v>434000000</v>
      </c>
      <c r="I7" s="228">
        <v>510000000</v>
      </c>
      <c r="J7" s="227"/>
      <c r="K7" s="234">
        <f>(H7/(A7*C7*D7*E7*F7))-1</f>
        <v>7.7371549729711866</v>
      </c>
      <c r="L7" s="235">
        <f>(I7/(A7*C7*D7*E7*G7))-1</f>
        <v>8.0351040365655972</v>
      </c>
    </row>
    <row r="8" spans="1:12" ht="15" thickBot="1" x14ac:dyDescent="0.35"/>
    <row r="9" spans="1:12" x14ac:dyDescent="0.3">
      <c r="A9" s="229" t="s">
        <v>101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1"/>
    </row>
    <row r="10" spans="1:12" x14ac:dyDescent="0.3">
      <c r="A10" s="232" t="s">
        <v>100</v>
      </c>
      <c r="B10" s="236"/>
      <c r="C10" s="225" t="s">
        <v>90</v>
      </c>
      <c r="D10" s="225" t="s">
        <v>91</v>
      </c>
      <c r="E10" s="225" t="s">
        <v>92</v>
      </c>
      <c r="F10" s="225" t="s">
        <v>93</v>
      </c>
      <c r="G10" s="225" t="s">
        <v>94</v>
      </c>
      <c r="H10" s="225" t="s">
        <v>95</v>
      </c>
      <c r="I10" s="225" t="s">
        <v>96</v>
      </c>
      <c r="J10" s="225"/>
      <c r="K10" s="225" t="s">
        <v>97</v>
      </c>
      <c r="L10" s="226" t="s">
        <v>98</v>
      </c>
    </row>
    <row r="11" spans="1:12" ht="15" thickBot="1" x14ac:dyDescent="0.35">
      <c r="A11" s="233">
        <v>91100000</v>
      </c>
      <c r="B11" s="237" t="s">
        <v>102</v>
      </c>
      <c r="C11" s="227">
        <v>1.1000000000000001</v>
      </c>
      <c r="D11" s="227">
        <v>1.2</v>
      </c>
      <c r="E11" s="227">
        <v>1.1000000000000001</v>
      </c>
      <c r="F11" s="227">
        <v>1.1000000000000001</v>
      </c>
      <c r="G11" s="227">
        <v>1.25</v>
      </c>
      <c r="H11" s="228">
        <v>434000000</v>
      </c>
      <c r="I11" s="228">
        <v>510000000</v>
      </c>
      <c r="J11" s="227"/>
      <c r="K11" s="234">
        <f>(H11/(A11*C11*D11*E11*F11))-1</f>
        <v>1.982717010531327</v>
      </c>
      <c r="L11" s="234">
        <f>(I11/(A11*C11*D11*E11*G11))-1</f>
        <v>2.0844317841623492</v>
      </c>
    </row>
    <row r="12" spans="1:12" ht="15" thickBot="1" x14ac:dyDescent="0.35">
      <c r="A12" s="233">
        <v>55500000</v>
      </c>
      <c r="B12" s="237" t="s">
        <v>103</v>
      </c>
      <c r="C12" s="227">
        <v>1.1000000000000001</v>
      </c>
      <c r="D12" s="227">
        <v>1.2</v>
      </c>
      <c r="E12" s="227">
        <v>1.1000000000000001</v>
      </c>
      <c r="F12" s="227">
        <v>1.1000000000000001</v>
      </c>
      <c r="G12" s="227">
        <v>1.25</v>
      </c>
      <c r="H12" s="228">
        <v>434000000</v>
      </c>
      <c r="I12" s="228">
        <v>510000000</v>
      </c>
      <c r="J12" s="227"/>
      <c r="K12" s="234">
        <f>(H12/(A12*C12*D12*E12*F12))-1</f>
        <v>3.8959553091784498</v>
      </c>
      <c r="L12" s="234">
        <f>(I12/(A12*C12*D12*E12*G12))-1</f>
        <v>4.0629141538232449</v>
      </c>
    </row>
    <row r="13" spans="1:12" ht="15" thickBot="1" x14ac:dyDescent="0.35"/>
    <row r="14" spans="1:12" x14ac:dyDescent="0.3">
      <c r="A14" s="229" t="s">
        <v>101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1"/>
    </row>
    <row r="15" spans="1:12" x14ac:dyDescent="0.3">
      <c r="A15" s="232" t="s">
        <v>99</v>
      </c>
      <c r="B15" s="236"/>
      <c r="C15" s="225" t="s">
        <v>90</v>
      </c>
      <c r="D15" s="225" t="s">
        <v>91</v>
      </c>
      <c r="E15" s="225" t="s">
        <v>92</v>
      </c>
      <c r="F15" s="225" t="s">
        <v>93</v>
      </c>
      <c r="G15" s="225" t="s">
        <v>94</v>
      </c>
      <c r="H15" s="225" t="s">
        <v>95</v>
      </c>
      <c r="I15" s="225" t="s">
        <v>96</v>
      </c>
      <c r="J15" s="225"/>
      <c r="K15" s="225" t="s">
        <v>97</v>
      </c>
      <c r="L15" s="226" t="s">
        <v>98</v>
      </c>
    </row>
    <row r="16" spans="1:12" ht="15" thickBot="1" x14ac:dyDescent="0.35">
      <c r="A16" s="233">
        <v>5980000</v>
      </c>
      <c r="B16" s="237" t="s">
        <v>102</v>
      </c>
      <c r="C16" s="227">
        <v>1.1000000000000001</v>
      </c>
      <c r="D16" s="227">
        <v>1.2</v>
      </c>
      <c r="E16" s="227">
        <v>1.1000000000000001</v>
      </c>
      <c r="F16" s="227">
        <v>1.1000000000000001</v>
      </c>
      <c r="G16" s="227">
        <v>1.25</v>
      </c>
      <c r="H16" s="228">
        <v>434000000</v>
      </c>
      <c r="I16" s="228">
        <v>510000000</v>
      </c>
      <c r="J16" s="227"/>
      <c r="K16" s="234">
        <f>(H16/(A16*C16*D16*E16*F16))-1</f>
        <v>44.439050110268205</v>
      </c>
      <c r="L16" s="235">
        <f>(I16/(A16*C16*D16*E16*G16))-1</f>
        <v>45.988584537991642</v>
      </c>
    </row>
    <row r="17" spans="1:12" ht="15" thickBot="1" x14ac:dyDescent="0.35">
      <c r="A17" s="233">
        <v>965000</v>
      </c>
      <c r="B17" s="237" t="s">
        <v>103</v>
      </c>
      <c r="C17" s="227">
        <v>1.1000000000000001</v>
      </c>
      <c r="D17" s="227">
        <v>1.2</v>
      </c>
      <c r="E17" s="227">
        <v>1.1000000000000001</v>
      </c>
      <c r="F17" s="227">
        <v>1.1000000000000001</v>
      </c>
      <c r="G17" s="227">
        <v>1.25</v>
      </c>
      <c r="H17" s="228">
        <v>434000000</v>
      </c>
      <c r="I17" s="228">
        <v>510000000</v>
      </c>
      <c r="J17" s="227"/>
      <c r="K17" s="234">
        <f>(H17/(A17*C17*D17*E17*F17))-1</f>
        <v>280.58084938798333</v>
      </c>
      <c r="L17" s="235">
        <f>(I17/(A17*C17*D17*E17*G17))-1</f>
        <v>290.1831456343939</v>
      </c>
    </row>
    <row r="20" spans="1:12" x14ac:dyDescent="0.3">
      <c r="A20" s="240" t="s">
        <v>105</v>
      </c>
      <c r="B20" s="239"/>
      <c r="C20" s="239"/>
      <c r="D20" s="239"/>
      <c r="E20" s="239"/>
      <c r="F20" s="239"/>
      <c r="G20" s="239"/>
      <c r="H20" s="239"/>
    </row>
    <row r="21" spans="1:12" x14ac:dyDescent="0.3">
      <c r="A21" s="239" t="s">
        <v>106</v>
      </c>
      <c r="B21" s="241">
        <v>180000000</v>
      </c>
      <c r="C21" s="239"/>
      <c r="D21" s="239" t="s">
        <v>107</v>
      </c>
      <c r="E21" s="239"/>
      <c r="F21" s="239"/>
      <c r="G21" s="239"/>
      <c r="H21" s="242">
        <v>271000000</v>
      </c>
    </row>
    <row r="22" spans="1:12" x14ac:dyDescent="0.3">
      <c r="A22" s="239"/>
      <c r="B22" s="239"/>
      <c r="C22" s="239"/>
      <c r="D22" s="239"/>
      <c r="E22" s="239"/>
      <c r="F22" s="239"/>
      <c r="G22" s="239"/>
      <c r="H22" s="239"/>
    </row>
    <row r="23" spans="1:12" x14ac:dyDescent="0.3">
      <c r="A23" s="239" t="s">
        <v>108</v>
      </c>
      <c r="B23" s="241">
        <v>187000000</v>
      </c>
      <c r="C23" s="239"/>
      <c r="D23" s="239" t="s">
        <v>109</v>
      </c>
      <c r="E23" s="239"/>
      <c r="F23" s="239"/>
      <c r="G23" s="239"/>
      <c r="H23" s="242">
        <v>280000000</v>
      </c>
    </row>
    <row r="27" spans="1:12" x14ac:dyDescent="0.3">
      <c r="B27" s="202"/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D28"/>
  <sheetViews>
    <sheetView zoomScale="90" zoomScaleNormal="90" workbookViewId="0">
      <selection activeCell="AF27" sqref="AF27"/>
    </sheetView>
  </sheetViews>
  <sheetFormatPr defaultRowHeight="14.4" x14ac:dyDescent="0.3"/>
  <cols>
    <col min="1" max="1" width="16" customWidth="1"/>
    <col min="2" max="3" width="9.77734375" customWidth="1"/>
    <col min="4" max="4" width="0" hidden="1" customWidth="1"/>
    <col min="5" max="5" width="9.6640625" customWidth="1"/>
    <col min="6" max="6" width="9.5546875" customWidth="1"/>
    <col min="8" max="8" width="0" hidden="1" customWidth="1"/>
    <col min="9" max="9" width="9.44140625" customWidth="1"/>
    <col min="11" max="11" width="11.5546875" bestFit="1" customWidth="1"/>
    <col min="12" max="12" width="0" hidden="1" customWidth="1"/>
    <col min="13" max="13" width="9.44140625" customWidth="1"/>
    <col min="16" max="16" width="0" hidden="1" customWidth="1"/>
    <col min="17" max="17" width="9.33203125" customWidth="1"/>
    <col min="18" max="18" width="9" bestFit="1" customWidth="1"/>
    <col min="19" max="19" width="9.6640625" bestFit="1" customWidth="1"/>
    <col min="20" max="20" width="0" hidden="1" customWidth="1"/>
    <col min="21" max="21" width="9.21875" customWidth="1"/>
    <col min="22" max="29" width="0" hidden="1" customWidth="1"/>
  </cols>
  <sheetData>
    <row r="1" spans="1:29" ht="25.2" customHeight="1" x14ac:dyDescent="0.3">
      <c r="A1" s="172" t="s">
        <v>34</v>
      </c>
      <c r="B1" s="188" t="s">
        <v>45</v>
      </c>
      <c r="C1" s="189"/>
      <c r="D1" s="189"/>
      <c r="E1" s="190"/>
      <c r="F1" s="191" t="s">
        <v>46</v>
      </c>
      <c r="G1" s="192"/>
      <c r="H1" s="192"/>
      <c r="I1" s="193"/>
      <c r="J1" s="194" t="s">
        <v>48</v>
      </c>
      <c r="K1" s="195"/>
      <c r="L1" s="195"/>
      <c r="M1" s="195"/>
      <c r="N1" s="196" t="s">
        <v>47</v>
      </c>
      <c r="O1" s="197"/>
      <c r="P1" s="197"/>
      <c r="Q1" s="198"/>
      <c r="R1" s="199" t="s">
        <v>49</v>
      </c>
      <c r="S1" s="200"/>
      <c r="T1" s="200"/>
      <c r="U1" s="201"/>
      <c r="V1" s="186" t="s">
        <v>70</v>
      </c>
      <c r="W1" s="175"/>
      <c r="X1" s="175"/>
      <c r="Y1" s="176"/>
      <c r="Z1" s="174" t="s">
        <v>71</v>
      </c>
      <c r="AA1" s="175"/>
      <c r="AB1" s="175"/>
      <c r="AC1" s="176"/>
    </row>
    <row r="2" spans="1:29" ht="15" thickBot="1" x14ac:dyDescent="0.35">
      <c r="A2" s="173"/>
      <c r="B2" s="56" t="s">
        <v>60</v>
      </c>
      <c r="C2" s="57" t="s">
        <v>52</v>
      </c>
      <c r="D2" s="57" t="s">
        <v>50</v>
      </c>
      <c r="E2" s="58" t="s">
        <v>51</v>
      </c>
      <c r="F2" s="59" t="s">
        <v>60</v>
      </c>
      <c r="G2" s="60" t="s">
        <v>52</v>
      </c>
      <c r="H2" s="60" t="s">
        <v>50</v>
      </c>
      <c r="I2" s="61" t="s">
        <v>51</v>
      </c>
      <c r="J2" s="62" t="s">
        <v>60</v>
      </c>
      <c r="K2" s="63" t="s">
        <v>64</v>
      </c>
      <c r="L2" s="63" t="s">
        <v>50</v>
      </c>
      <c r="M2" s="76" t="s">
        <v>65</v>
      </c>
      <c r="N2" s="64" t="s">
        <v>60</v>
      </c>
      <c r="O2" s="65" t="s">
        <v>52</v>
      </c>
      <c r="P2" s="65" t="s">
        <v>50</v>
      </c>
      <c r="Q2" s="66" t="s">
        <v>51</v>
      </c>
      <c r="R2" s="67" t="s">
        <v>60</v>
      </c>
      <c r="S2" s="68" t="s">
        <v>64</v>
      </c>
      <c r="T2" s="68" t="s">
        <v>50</v>
      </c>
      <c r="U2" s="77" t="s">
        <v>65</v>
      </c>
      <c r="V2" s="187"/>
      <c r="W2" s="178"/>
      <c r="X2" s="178"/>
      <c r="Y2" s="179"/>
      <c r="Z2" s="177"/>
      <c r="AA2" s="178"/>
      <c r="AB2" s="178"/>
      <c r="AC2" s="179"/>
    </row>
    <row r="3" spans="1:29" x14ac:dyDescent="0.3">
      <c r="A3" s="55" t="s">
        <v>0</v>
      </c>
      <c r="B3" s="162">
        <v>9</v>
      </c>
      <c r="C3" s="122">
        <v>152.4</v>
      </c>
      <c r="D3" s="122"/>
      <c r="E3" s="123">
        <v>7.5350000000000001</v>
      </c>
      <c r="F3" s="163">
        <v>7</v>
      </c>
      <c r="G3" s="91">
        <v>136.44059999999999</v>
      </c>
      <c r="H3" s="91"/>
      <c r="I3" s="89">
        <v>6.6584499999999949</v>
      </c>
      <c r="J3" s="79" t="s">
        <v>59</v>
      </c>
      <c r="K3" s="97">
        <f>(G3-C3)/C3*100</f>
        <v>-10.472047244094499</v>
      </c>
      <c r="L3" s="97"/>
      <c r="M3" s="97">
        <f t="shared" ref="M3" si="0">(I3-E3)/E3*100</f>
        <v>-11.633045786330527</v>
      </c>
      <c r="N3" s="164">
        <v>11</v>
      </c>
      <c r="O3" s="92">
        <v>103.1253</v>
      </c>
      <c r="P3" s="92"/>
      <c r="Q3" s="90">
        <f>58.74398-11-39.325</f>
        <v>8.4189799999999977</v>
      </c>
      <c r="R3" s="84" t="s">
        <v>59</v>
      </c>
      <c r="S3" s="98">
        <f>(O3-C3)/C3*100</f>
        <v>-32.332480314960641</v>
      </c>
      <c r="T3" s="98"/>
      <c r="U3" s="99">
        <f t="shared" ref="U3" si="1">(Q3-E3)/E3*100</f>
        <v>11.731652289316489</v>
      </c>
      <c r="V3" s="171"/>
      <c r="W3" s="169"/>
      <c r="X3" s="169"/>
      <c r="Y3" s="170"/>
      <c r="Z3" s="168"/>
      <c r="AA3" s="169"/>
      <c r="AB3" s="169"/>
      <c r="AC3" s="170"/>
    </row>
    <row r="4" spans="1:29" x14ac:dyDescent="0.3">
      <c r="A4" s="69" t="s">
        <v>6</v>
      </c>
      <c r="B4" s="126" t="s">
        <v>61</v>
      </c>
      <c r="C4" s="127">
        <v>152.4</v>
      </c>
      <c r="D4" s="127"/>
      <c r="E4" s="128">
        <v>7.5350000000000001</v>
      </c>
      <c r="F4" s="129" t="s">
        <v>62</v>
      </c>
      <c r="G4" s="130"/>
      <c r="H4" s="130"/>
      <c r="I4" s="131"/>
      <c r="J4" s="132" t="s">
        <v>59</v>
      </c>
      <c r="K4" s="133">
        <f>(G4-C4)/C4*100</f>
        <v>-100</v>
      </c>
      <c r="L4" s="133"/>
      <c r="M4" s="133">
        <f t="shared" ref="M4:M11" si="2">(I4-E4)/E4*100</f>
        <v>-100</v>
      </c>
      <c r="N4" s="134" t="s">
        <v>28</v>
      </c>
      <c r="O4" s="135"/>
      <c r="P4" s="135"/>
      <c r="Q4" s="136"/>
      <c r="R4" s="100" t="s">
        <v>59</v>
      </c>
      <c r="S4" s="101">
        <f>(O4-C4)/C4*100</f>
        <v>-100</v>
      </c>
      <c r="T4" s="101"/>
      <c r="U4" s="102">
        <f t="shared" ref="U4:U9" si="3">(Q4-E4)/E4*100</f>
        <v>-100</v>
      </c>
      <c r="V4" s="171"/>
      <c r="W4" s="169"/>
      <c r="X4" s="169"/>
      <c r="Y4" s="170"/>
      <c r="Z4" s="168"/>
      <c r="AA4" s="169"/>
      <c r="AB4" s="169"/>
      <c r="AC4" s="170"/>
    </row>
    <row r="5" spans="1:29" ht="28.8" x14ac:dyDescent="0.3">
      <c r="A5" s="117" t="s">
        <v>36</v>
      </c>
      <c r="B5" s="137" t="s">
        <v>10</v>
      </c>
      <c r="C5" s="138">
        <v>152.4</v>
      </c>
      <c r="D5" s="138"/>
      <c r="E5" s="139">
        <v>7.5350000000000001</v>
      </c>
      <c r="F5" s="140" t="s">
        <v>11</v>
      </c>
      <c r="G5" s="111">
        <v>118.15219999999999</v>
      </c>
      <c r="H5" s="111"/>
      <c r="I5" s="112">
        <f>55.61851-39.325-11</f>
        <v>5.2935099999999977</v>
      </c>
      <c r="J5" s="94" t="s">
        <v>59</v>
      </c>
      <c r="K5" s="94">
        <f t="shared" ref="J5:K11" si="4">(G5-C5)/C5*100</f>
        <v>-22.472309711286094</v>
      </c>
      <c r="L5" s="94"/>
      <c r="M5" s="94">
        <f t="shared" si="2"/>
        <v>-29.747710683477141</v>
      </c>
      <c r="N5" s="141" t="s">
        <v>66</v>
      </c>
      <c r="O5" s="113">
        <v>111.4635</v>
      </c>
      <c r="P5" s="113"/>
      <c r="Q5" s="114">
        <f>55.45814-39.325-11</f>
        <v>5.1331399999999974</v>
      </c>
      <c r="R5" s="86" t="s">
        <v>59</v>
      </c>
      <c r="S5" s="103">
        <f t="shared" ref="R5:S9" si="5">(O5-C5)/C5*100</f>
        <v>-26.861220472440948</v>
      </c>
      <c r="T5" s="103"/>
      <c r="U5" s="104">
        <f t="shared" si="3"/>
        <v>-31.876045122760488</v>
      </c>
      <c r="V5" s="171"/>
      <c r="W5" s="169"/>
      <c r="X5" s="169"/>
      <c r="Y5" s="170"/>
      <c r="Z5" s="168"/>
      <c r="AA5" s="169"/>
      <c r="AB5" s="169"/>
      <c r="AC5" s="170"/>
    </row>
    <row r="6" spans="1:29" x14ac:dyDescent="0.3">
      <c r="A6" s="117" t="s">
        <v>35</v>
      </c>
      <c r="B6" s="142">
        <v>3</v>
      </c>
      <c r="C6" s="143">
        <v>152.4</v>
      </c>
      <c r="D6" s="143"/>
      <c r="E6" s="144">
        <v>7.5350000000000001</v>
      </c>
      <c r="F6" s="81">
        <v>2</v>
      </c>
      <c r="G6" s="94">
        <v>142.39420000000001</v>
      </c>
      <c r="H6" s="94"/>
      <c r="I6" s="93">
        <f>57.29672-39.325-11</f>
        <v>6.9717199999999977</v>
      </c>
      <c r="J6" s="78">
        <f t="shared" si="4"/>
        <v>-33.333333333333329</v>
      </c>
      <c r="K6" s="78">
        <f t="shared" si="4"/>
        <v>-6.5654855643044572</v>
      </c>
      <c r="L6" s="78"/>
      <c r="M6" s="78">
        <f t="shared" si="2"/>
        <v>-7.4755142667551748</v>
      </c>
      <c r="N6" s="86">
        <v>4</v>
      </c>
      <c r="O6" s="103">
        <v>162.0814</v>
      </c>
      <c r="P6" s="103"/>
      <c r="Q6" s="104">
        <f>58.43072-39.325-11</f>
        <v>8.105719999999998</v>
      </c>
      <c r="R6" s="85">
        <f t="shared" si="5"/>
        <v>33.333333333333329</v>
      </c>
      <c r="S6" s="83">
        <f t="shared" si="5"/>
        <v>6.3526246719160078</v>
      </c>
      <c r="T6" s="83"/>
      <c r="U6" s="105">
        <f t="shared" si="3"/>
        <v>7.5742534837425071</v>
      </c>
      <c r="V6" s="171"/>
      <c r="W6" s="169"/>
      <c r="X6" s="169"/>
      <c r="Y6" s="170"/>
      <c r="Z6" s="168"/>
      <c r="AA6" s="169"/>
      <c r="AB6" s="169"/>
      <c r="AC6" s="170"/>
    </row>
    <row r="7" spans="1:29" ht="28.8" x14ac:dyDescent="0.3">
      <c r="A7" s="117" t="s">
        <v>67</v>
      </c>
      <c r="B7" s="137">
        <v>13</v>
      </c>
      <c r="C7" s="122">
        <v>152.4</v>
      </c>
      <c r="D7" s="122"/>
      <c r="E7" s="123">
        <v>7.5350000000000001</v>
      </c>
      <c r="F7" s="124">
        <v>7</v>
      </c>
      <c r="G7" s="91">
        <v>121.39</v>
      </c>
      <c r="H7" s="91"/>
      <c r="I7" s="89">
        <v>5.5069999999999997</v>
      </c>
      <c r="J7" s="79">
        <f t="shared" si="4"/>
        <v>-46.153846153846153</v>
      </c>
      <c r="K7" s="97">
        <f t="shared" si="4"/>
        <v>-20.347769028871394</v>
      </c>
      <c r="L7" s="97"/>
      <c r="M7" s="97">
        <f t="shared" si="2"/>
        <v>-26.914399469144001</v>
      </c>
      <c r="N7" s="125">
        <v>15</v>
      </c>
      <c r="O7" s="92">
        <v>160.82470000000001</v>
      </c>
      <c r="P7" s="92"/>
      <c r="Q7" s="90">
        <f>58.54084-39.325-11</f>
        <v>8.21584</v>
      </c>
      <c r="R7" s="84">
        <f t="shared" si="5"/>
        <v>15.384615384615385</v>
      </c>
      <c r="S7" s="98">
        <f t="shared" si="5"/>
        <v>5.5280183727034133</v>
      </c>
      <c r="T7" s="98"/>
      <c r="U7" s="104">
        <f t="shared" si="3"/>
        <v>9.0357000663569984</v>
      </c>
      <c r="V7" s="171"/>
      <c r="W7" s="169"/>
      <c r="X7" s="169"/>
      <c r="Y7" s="170"/>
      <c r="Z7" s="168"/>
      <c r="AA7" s="169"/>
      <c r="AB7" s="169"/>
      <c r="AC7" s="170"/>
    </row>
    <row r="8" spans="1:29" ht="28.8" x14ac:dyDescent="0.3">
      <c r="A8" s="117" t="s">
        <v>68</v>
      </c>
      <c r="B8" s="137">
        <v>15</v>
      </c>
      <c r="C8" s="145">
        <v>152.4</v>
      </c>
      <c r="D8" s="145"/>
      <c r="E8" s="146">
        <v>7.5350000000000001</v>
      </c>
      <c r="F8" s="140">
        <v>9.5</v>
      </c>
      <c r="G8" s="111">
        <v>151.1798</v>
      </c>
      <c r="H8" s="111"/>
      <c r="I8" s="112">
        <f>57.33704-39.325-11</f>
        <v>7.0120399999999989</v>
      </c>
      <c r="J8" s="81">
        <f t="shared" si="4"/>
        <v>-36.666666666666664</v>
      </c>
      <c r="K8" s="94">
        <f t="shared" si="4"/>
        <v>-0.80065616797900618</v>
      </c>
      <c r="L8" s="94"/>
      <c r="M8" s="94">
        <f t="shared" si="2"/>
        <v>-6.9404114134041297</v>
      </c>
      <c r="N8" s="141">
        <v>17</v>
      </c>
      <c r="O8" s="113">
        <v>152.80760000000001</v>
      </c>
      <c r="P8" s="113"/>
      <c r="Q8" s="114">
        <f>58.05524-39.325-11</f>
        <v>7.7302399999999949</v>
      </c>
      <c r="R8" s="86">
        <f t="shared" si="5"/>
        <v>13.333333333333334</v>
      </c>
      <c r="S8" s="103">
        <f t="shared" si="5"/>
        <v>0.26745406824147122</v>
      </c>
      <c r="T8" s="103"/>
      <c r="U8" s="104">
        <f t="shared" si="3"/>
        <v>2.5911081619110119</v>
      </c>
      <c r="V8" s="171"/>
      <c r="W8" s="169"/>
      <c r="X8" s="169"/>
      <c r="Y8" s="170"/>
      <c r="Z8" s="168"/>
      <c r="AA8" s="169"/>
      <c r="AB8" s="169"/>
      <c r="AC8" s="170"/>
    </row>
    <row r="9" spans="1:29" x14ac:dyDescent="0.3">
      <c r="A9" s="119" t="s">
        <v>75</v>
      </c>
      <c r="B9" s="142">
        <v>19</v>
      </c>
      <c r="C9" s="143">
        <v>152.4</v>
      </c>
      <c r="D9" s="143"/>
      <c r="E9" s="144">
        <v>7.5350000000000001</v>
      </c>
      <c r="F9" s="81">
        <v>13</v>
      </c>
      <c r="G9" s="94">
        <v>103.0834</v>
      </c>
      <c r="H9" s="94"/>
      <c r="I9" s="93">
        <f>56.02023-39.325-11</f>
        <v>5.6952299999999951</v>
      </c>
      <c r="J9" s="80">
        <f t="shared" si="4"/>
        <v>-31.578947368421051</v>
      </c>
      <c r="K9" s="78">
        <f t="shared" si="4"/>
        <v>-32.359973753280848</v>
      </c>
      <c r="L9" s="78"/>
      <c r="M9" s="78">
        <f t="shared" si="2"/>
        <v>-24.416323822163307</v>
      </c>
      <c r="N9" s="147">
        <v>17</v>
      </c>
      <c r="O9" s="96">
        <v>136.13589999999999</v>
      </c>
      <c r="P9" s="96"/>
      <c r="Q9" s="95">
        <f>57.24922-39.325-11</f>
        <v>6.9242199999999983</v>
      </c>
      <c r="R9" s="87">
        <f t="shared" si="5"/>
        <v>-10.526315789473683</v>
      </c>
      <c r="S9" s="106">
        <f t="shared" si="5"/>
        <v>-10.671981627296596</v>
      </c>
      <c r="T9" s="106"/>
      <c r="U9" s="107">
        <f t="shared" si="3"/>
        <v>-8.1059057730590833</v>
      </c>
      <c r="V9" s="171"/>
      <c r="W9" s="169"/>
      <c r="X9" s="169"/>
      <c r="Y9" s="170"/>
      <c r="Z9" s="168"/>
      <c r="AA9" s="169"/>
      <c r="AB9" s="169"/>
      <c r="AC9" s="170"/>
    </row>
    <row r="10" spans="1:29" x14ac:dyDescent="0.3">
      <c r="A10" s="118" t="s">
        <v>63</v>
      </c>
      <c r="B10" s="161">
        <v>123</v>
      </c>
      <c r="C10" s="148">
        <v>152.4</v>
      </c>
      <c r="D10" s="148"/>
      <c r="E10" s="149">
        <v>7.5350000000000001</v>
      </c>
      <c r="F10" s="160">
        <v>123456</v>
      </c>
      <c r="G10" s="115">
        <v>189.14449999999999</v>
      </c>
      <c r="H10" s="115"/>
      <c r="I10" s="116">
        <f>57.86372-39.325-11</f>
        <v>7.5387199999999979</v>
      </c>
      <c r="J10" s="82" t="s">
        <v>59</v>
      </c>
      <c r="K10" s="150">
        <f t="shared" si="4"/>
        <v>24.110564304461935</v>
      </c>
      <c r="L10" s="150"/>
      <c r="M10" s="150">
        <f t="shared" si="2"/>
        <v>4.9369608493665888E-2</v>
      </c>
      <c r="N10" s="141" t="s">
        <v>59</v>
      </c>
      <c r="O10" s="113" t="s">
        <v>59</v>
      </c>
      <c r="P10" s="113" t="s">
        <v>59</v>
      </c>
      <c r="Q10" s="114" t="s">
        <v>59</v>
      </c>
      <c r="R10" s="86" t="s">
        <v>59</v>
      </c>
      <c r="S10" s="103" t="s">
        <v>59</v>
      </c>
      <c r="T10" s="103"/>
      <c r="U10" s="104" t="s">
        <v>59</v>
      </c>
      <c r="V10" s="73"/>
      <c r="W10" s="73"/>
      <c r="X10" s="73"/>
      <c r="Y10" s="74"/>
      <c r="Z10" s="72"/>
      <c r="AA10" s="73"/>
      <c r="AB10" s="73"/>
      <c r="AC10" s="74"/>
    </row>
    <row r="11" spans="1:29" ht="15" thickBot="1" x14ac:dyDescent="0.35">
      <c r="A11" s="120" t="s">
        <v>53</v>
      </c>
      <c r="B11" s="151">
        <v>8</v>
      </c>
      <c r="C11" s="152">
        <v>152.4</v>
      </c>
      <c r="D11" s="152"/>
      <c r="E11" s="153">
        <v>7.5350000000000001</v>
      </c>
      <c r="F11" s="154">
        <v>12</v>
      </c>
      <c r="G11" s="155">
        <v>167.1</v>
      </c>
      <c r="H11" s="155"/>
      <c r="I11" s="156">
        <v>7.5350000000000001</v>
      </c>
      <c r="J11" s="157">
        <v>0.5</v>
      </c>
      <c r="K11" s="75">
        <f t="shared" si="4"/>
        <v>9.6456692913385744</v>
      </c>
      <c r="L11" s="75"/>
      <c r="M11" s="75">
        <f t="shared" si="2"/>
        <v>0</v>
      </c>
      <c r="N11" s="158" t="s">
        <v>59</v>
      </c>
      <c r="O11" s="159" t="s">
        <v>59</v>
      </c>
      <c r="P11" s="159"/>
      <c r="Q11" s="159" t="s">
        <v>59</v>
      </c>
      <c r="R11" s="108" t="s">
        <v>59</v>
      </c>
      <c r="S11" s="109" t="s">
        <v>59</v>
      </c>
      <c r="T11" s="109"/>
      <c r="U11" s="110" t="s">
        <v>59</v>
      </c>
      <c r="V11" s="166" t="s">
        <v>69</v>
      </c>
      <c r="W11" s="166"/>
      <c r="X11" s="166"/>
      <c r="Y11" s="167"/>
      <c r="Z11" s="165"/>
      <c r="AA11" s="166"/>
      <c r="AB11" s="166"/>
      <c r="AC11" s="167"/>
    </row>
    <row r="12" spans="1:29" x14ac:dyDescent="0.3">
      <c r="A12" s="88" t="s">
        <v>72</v>
      </c>
      <c r="B12" s="88" t="s">
        <v>73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29" ht="25.8" x14ac:dyDescent="0.5">
      <c r="H13" s="71" t="s">
        <v>76</v>
      </c>
    </row>
    <row r="15" spans="1:29" x14ac:dyDescent="0.3">
      <c r="A15" s="51" t="s">
        <v>34</v>
      </c>
      <c r="B15" s="184" t="s">
        <v>54</v>
      </c>
      <c r="C15" s="184"/>
      <c r="D15" s="185"/>
      <c r="H15" s="52"/>
    </row>
    <row r="16" spans="1:29" x14ac:dyDescent="0.3">
      <c r="A16" s="49" t="s">
        <v>52</v>
      </c>
      <c r="B16" s="180" t="s">
        <v>57</v>
      </c>
      <c r="C16" s="180"/>
      <c r="D16" s="181"/>
      <c r="G16" s="53"/>
      <c r="H16" s="54"/>
    </row>
    <row r="17" spans="1:30" x14ac:dyDescent="0.3">
      <c r="A17" s="50" t="s">
        <v>55</v>
      </c>
      <c r="B17" s="182" t="s">
        <v>56</v>
      </c>
      <c r="C17" s="182"/>
      <c r="D17" s="183"/>
      <c r="F17" t="s">
        <v>58</v>
      </c>
      <c r="G17" s="70"/>
    </row>
    <row r="21" spans="1:30" x14ac:dyDescent="0.3">
      <c r="A21" t="s">
        <v>37</v>
      </c>
    </row>
    <row r="22" spans="1:30" x14ac:dyDescent="0.3">
      <c r="A22" t="s">
        <v>38</v>
      </c>
      <c r="U22">
        <f>54.16564</f>
        <v>54.165640000000003</v>
      </c>
      <c r="AD22">
        <f>U22-39.325-11</f>
        <v>3.8406400000000005</v>
      </c>
    </row>
    <row r="23" spans="1:30" x14ac:dyDescent="0.3">
      <c r="A23" t="s">
        <v>39</v>
      </c>
      <c r="U23" s="202">
        <v>53.048699999999997</v>
      </c>
      <c r="AD23">
        <f>U23-39.325-11</f>
        <v>2.7236999999999938</v>
      </c>
    </row>
    <row r="24" spans="1:30" x14ac:dyDescent="0.3">
      <c r="A24" t="s">
        <v>40</v>
      </c>
      <c r="U24" s="202">
        <v>52.995240000000003</v>
      </c>
      <c r="AD24">
        <f>U24-39.325-11</f>
        <v>2.6702399999999997</v>
      </c>
    </row>
    <row r="25" spans="1:30" x14ac:dyDescent="0.3">
      <c r="A25" t="s">
        <v>41</v>
      </c>
      <c r="U25" s="202">
        <v>53.20637</v>
      </c>
      <c r="AD25">
        <f>U25-39.325-11</f>
        <v>2.8813699999999969</v>
      </c>
    </row>
    <row r="26" spans="1:30" x14ac:dyDescent="0.3">
      <c r="A26" t="s">
        <v>42</v>
      </c>
      <c r="U26" s="202">
        <v>53.38456</v>
      </c>
      <c r="AD26">
        <f>U26-39.325-11</f>
        <v>3.0595599999999976</v>
      </c>
    </row>
    <row r="27" spans="1:30" x14ac:dyDescent="0.3">
      <c r="A27" t="s">
        <v>43</v>
      </c>
    </row>
    <row r="28" spans="1:30" x14ac:dyDescent="0.3">
      <c r="A28" t="s">
        <v>44</v>
      </c>
    </row>
  </sheetData>
  <mergeCells count="27">
    <mergeCell ref="V11:Y11"/>
    <mergeCell ref="B16:D16"/>
    <mergeCell ref="B17:D17"/>
    <mergeCell ref="B15:D15"/>
    <mergeCell ref="V1:Y2"/>
    <mergeCell ref="V3:Y3"/>
    <mergeCell ref="V4:Y4"/>
    <mergeCell ref="V5:Y5"/>
    <mergeCell ref="V6:Y6"/>
    <mergeCell ref="V7:Y7"/>
    <mergeCell ref="B1:E1"/>
    <mergeCell ref="F1:I1"/>
    <mergeCell ref="J1:M1"/>
    <mergeCell ref="N1:Q1"/>
    <mergeCell ref="R1:U1"/>
    <mergeCell ref="V8:Y8"/>
    <mergeCell ref="V9:Y9"/>
    <mergeCell ref="A1:A2"/>
    <mergeCell ref="Z1:AC2"/>
    <mergeCell ref="Z3:AC3"/>
    <mergeCell ref="Z4:AC4"/>
    <mergeCell ref="Z5:AC5"/>
    <mergeCell ref="Z11:AC11"/>
    <mergeCell ref="Z6:AC6"/>
    <mergeCell ref="Z7:AC7"/>
    <mergeCell ref="Z8:AC8"/>
    <mergeCell ref="Z9:AC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It_Bandeja Inf</vt:lpstr>
      <vt:lpstr>Calculo MOS stress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2021-05-02T12:35:16Z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