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C:\ESATAN-TMS\ESATAN-TMS-Models\EO_Micro_Satellite_Project\Relevant Data\"/>
    </mc:Choice>
  </mc:AlternateContent>
  <xr:revisionPtr revIDLastSave="0" documentId="13_ncr:1_{C9B19F41-5C2A-4780-A421-33511B85CC43}" xr6:coauthVersionLast="46" xr6:coauthVersionMax="46" xr10:uidLastSave="{00000000-0000-0000-0000-000000000000}"/>
  <bookViews>
    <workbookView xWindow="-108" yWindow="-108" windowWidth="23256" windowHeight="12576" tabRatio="778" firstSheet="1" activeTab="4" xr2:uid="{00000000-000D-0000-FFFF-FFFF00000000}"/>
  </bookViews>
  <sheets>
    <sheet name="NODES&amp;LABELS (cnfg5)" sheetId="8" r:id="rId1"/>
    <sheet name="PROPERTIES" sheetId="2" r:id="rId2"/>
    <sheet name="THERMO-OPTICALS" sheetId="3" r:id="rId3"/>
    <sheet name="MATERIALS" sheetId="4" r:id="rId4"/>
    <sheet name="GLs" sheetId="6" r:id="rId5"/>
    <sheet name="NODES&amp;LABELS (config3)" sheetId="7" r:id="rId6"/>
    <sheet name="NODES&amp;LABELS (config2)" sheetId="5" r:id="rId7"/>
    <sheet name="NODES&amp;LABELS (config1)" sheetId="1" r:id="rId8"/>
    <sheet name="GLs (2)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7" i="6" l="1"/>
  <c r="E28" i="6" s="1"/>
  <c r="G23" i="6"/>
  <c r="E23" i="6"/>
  <c r="E38" i="6"/>
  <c r="F38" i="6" s="1"/>
  <c r="E21" i="6"/>
  <c r="E24" i="6"/>
  <c r="E26" i="6"/>
  <c r="E25" i="6"/>
  <c r="G25" i="6" s="1"/>
  <c r="G24" i="6"/>
  <c r="G26" i="6"/>
  <c r="E22" i="6"/>
  <c r="G22" i="6" s="1"/>
  <c r="G30" i="6"/>
  <c r="E30" i="6"/>
  <c r="E31" i="6"/>
  <c r="G31" i="6" s="1"/>
  <c r="E32" i="6"/>
  <c r="G32" i="6" s="1"/>
  <c r="F35" i="9"/>
  <c r="E35" i="9"/>
  <c r="E34" i="9"/>
  <c r="F34" i="9" s="1"/>
  <c r="E29" i="9"/>
  <c r="E30" i="9" s="1"/>
  <c r="G30" i="9" s="1"/>
  <c r="C29" i="9"/>
  <c r="B29" i="9"/>
  <c r="E28" i="9"/>
  <c r="G28" i="9" s="1"/>
  <c r="D27" i="9"/>
  <c r="E26" i="9"/>
  <c r="E27" i="9" s="1"/>
  <c r="G27" i="9" s="1"/>
  <c r="D26" i="9"/>
  <c r="G26" i="9" s="1"/>
  <c r="E22" i="9"/>
  <c r="G22" i="9" s="1"/>
  <c r="G21" i="9"/>
  <c r="F21" i="9"/>
  <c r="E21" i="9"/>
  <c r="J17" i="9"/>
  <c r="G17" i="9" s="1"/>
  <c r="F17" i="9"/>
  <c r="D17" i="9"/>
  <c r="I16" i="9"/>
  <c r="H16" i="9"/>
  <c r="E16" i="9"/>
  <c r="C16" i="9"/>
  <c r="B16" i="9"/>
  <c r="I14" i="9"/>
  <c r="H14" i="9"/>
  <c r="F14" i="9"/>
  <c r="F16" i="9" s="1"/>
  <c r="E14" i="9"/>
  <c r="C14" i="9"/>
  <c r="B14" i="9"/>
  <c r="F13" i="9"/>
  <c r="J9" i="9" s="1"/>
  <c r="I12" i="9"/>
  <c r="H12" i="9"/>
  <c r="F12" i="9"/>
  <c r="J16" i="9" s="1"/>
  <c r="E12" i="9"/>
  <c r="D12" i="9"/>
  <c r="C12" i="9"/>
  <c r="B12" i="9"/>
  <c r="J10" i="9"/>
  <c r="G10" i="9" s="1"/>
  <c r="K10" i="9" s="1"/>
  <c r="I10" i="9"/>
  <c r="H10" i="9"/>
  <c r="F10" i="9"/>
  <c r="J14" i="9" s="1"/>
  <c r="E10" i="9"/>
  <c r="C10" i="9"/>
  <c r="B10" i="9"/>
  <c r="F9" i="9"/>
  <c r="G8" i="9"/>
  <c r="K8" i="9" s="1"/>
  <c r="J7" i="9"/>
  <c r="I7" i="9"/>
  <c r="E17" i="9" s="1"/>
  <c r="F6" i="9"/>
  <c r="F7" i="9" s="1"/>
  <c r="G7" i="9" s="1"/>
  <c r="E6" i="9"/>
  <c r="E7" i="9" s="1"/>
  <c r="K7" i="9" s="1"/>
  <c r="D6" i="9"/>
  <c r="J5" i="9"/>
  <c r="F5" i="9"/>
  <c r="G5" i="9" s="1"/>
  <c r="E5" i="9"/>
  <c r="D5" i="9"/>
  <c r="J4" i="9"/>
  <c r="F4" i="9"/>
  <c r="G4" i="9" s="1"/>
  <c r="K4" i="9" s="1"/>
  <c r="E4" i="9"/>
  <c r="E29" i="6"/>
  <c r="G29" i="6" s="1"/>
  <c r="F10" i="6"/>
  <c r="J14" i="6" s="1"/>
  <c r="F9" i="6"/>
  <c r="F11" i="6" s="1"/>
  <c r="J15" i="6" s="1"/>
  <c r="F14" i="6"/>
  <c r="F16" i="6" s="1"/>
  <c r="J12" i="6" s="1"/>
  <c r="F13" i="6"/>
  <c r="F15" i="6" s="1"/>
  <c r="J11" i="6" s="1"/>
  <c r="E16" i="6"/>
  <c r="E14" i="6"/>
  <c r="E12" i="6"/>
  <c r="E10" i="6"/>
  <c r="H10" i="6"/>
  <c r="H12" i="6"/>
  <c r="H14" i="6"/>
  <c r="H16" i="6"/>
  <c r="I16" i="6"/>
  <c r="I14" i="6"/>
  <c r="I12" i="6"/>
  <c r="I10" i="6"/>
  <c r="D12" i="6"/>
  <c r="D14" i="6" s="1"/>
  <c r="C10" i="6"/>
  <c r="C12" i="6"/>
  <c r="C14" i="6"/>
  <c r="C16" i="6"/>
  <c r="B16" i="6"/>
  <c r="B14" i="6"/>
  <c r="B12" i="6"/>
  <c r="B10" i="6"/>
  <c r="G8" i="6"/>
  <c r="K8" i="6" s="1"/>
  <c r="E33" i="6"/>
  <c r="G33" i="6" s="1"/>
  <c r="F21" i="6"/>
  <c r="E39" i="6"/>
  <c r="F39" i="6" s="1"/>
  <c r="B33" i="6"/>
  <c r="C33" i="6"/>
  <c r="D28" i="6"/>
  <c r="D27" i="6"/>
  <c r="D17" i="6"/>
  <c r="D6" i="6"/>
  <c r="D5" i="6"/>
  <c r="F5" i="6"/>
  <c r="J5" i="6"/>
  <c r="F6" i="6" s="1"/>
  <c r="F7" i="6" s="1"/>
  <c r="F17" i="6"/>
  <c r="F4" i="6"/>
  <c r="I7" i="6"/>
  <c r="E17" i="6" s="1"/>
  <c r="I17" i="6" s="1"/>
  <c r="E6" i="6"/>
  <c r="E7" i="6" s="1"/>
  <c r="E5" i="6"/>
  <c r="J4" i="6"/>
  <c r="J17" i="6" s="1"/>
  <c r="E4" i="6"/>
  <c r="F12" i="6" l="1"/>
  <c r="J16" i="6" s="1"/>
  <c r="K12" i="9"/>
  <c r="G16" i="9"/>
  <c r="J12" i="9"/>
  <c r="I17" i="9"/>
  <c r="K17" i="9"/>
  <c r="K5" i="9"/>
  <c r="G9" i="9"/>
  <c r="K9" i="9" s="1"/>
  <c r="G6" i="9"/>
  <c r="K6" i="9" s="1"/>
  <c r="F11" i="9"/>
  <c r="J6" i="9"/>
  <c r="G12" i="9"/>
  <c r="G29" i="9"/>
  <c r="J13" i="9"/>
  <c r="G13" i="9" s="1"/>
  <c r="K13" i="9" s="1"/>
  <c r="G14" i="9"/>
  <c r="D14" i="9"/>
  <c r="F15" i="9"/>
  <c r="J13" i="6"/>
  <c r="J9" i="6"/>
  <c r="D16" i="6"/>
  <c r="J10" i="6"/>
  <c r="G9" i="6"/>
  <c r="K9" i="6" s="1"/>
  <c r="G12" i="6"/>
  <c r="K12" i="6" s="1"/>
  <c r="G10" i="6"/>
  <c r="K10" i="6" s="1"/>
  <c r="G21" i="6"/>
  <c r="G5" i="6"/>
  <c r="K5" i="6" s="1"/>
  <c r="E34" i="6"/>
  <c r="G28" i="6"/>
  <c r="G17" i="6"/>
  <c r="K17" i="6" s="1"/>
  <c r="J7" i="6"/>
  <c r="G7" i="6" s="1"/>
  <c r="K7" i="6" s="1"/>
  <c r="G27" i="6"/>
  <c r="J6" i="6"/>
  <c r="G6" i="6" s="1"/>
  <c r="K6" i="6" s="1"/>
  <c r="G4" i="6"/>
  <c r="K4" i="6" s="1"/>
  <c r="G15" i="9" l="1"/>
  <c r="K15" i="9" s="1"/>
  <c r="J11" i="9"/>
  <c r="G11" i="9" s="1"/>
  <c r="K11" i="9" s="1"/>
  <c r="K14" i="9"/>
  <c r="D16" i="9"/>
  <c r="K16" i="9" s="1"/>
  <c r="J15" i="9"/>
  <c r="G11" i="6"/>
  <c r="K11" i="6" s="1"/>
  <c r="G13" i="6"/>
  <c r="K13" i="6" s="1"/>
  <c r="G34" i="6"/>
  <c r="G14" i="6" l="1"/>
  <c r="K14" i="6" s="1"/>
  <c r="G15" i="6" l="1"/>
  <c r="K15" i="6" s="1"/>
  <c r="G16" i="6"/>
  <c r="K16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tc={DE31815B-D17C-487A-AD83-CDD355BB9138}</author>
    <author>tc={BB70071E-F16F-4101-AC45-CF64A32436DB}</author>
    <author>tc={9E3BA7D6-E7F8-4AFB-8806-BFBC971C374E}</author>
    <author>tc={75572D8B-1384-4140-99D3-048349AB0F48}</author>
  </authors>
  <commentList>
    <comment ref="D3" authorId="0" shapeId="0" xr:uid="{DE31815B-D17C-487A-AD83-CDD355BB9138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BB70071E-F16F-4101-AC45-CF64A32436DB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9E3BA7D6-E7F8-4AFB-8806-BFBC971C374E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75572D8B-1384-4140-99D3-048349AB0F48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tc={BDFEC537-1183-4619-9C1A-E2728858C75D}</author>
    <author>tc={F39D7AC3-F117-462C-AEC4-D2E1F36C7EAE}</author>
    <author>tc={8E8E0BF6-9B7A-4B23-B066-8CC4C2B02C69}</author>
    <author>tc={66787325-7481-41E9-A0C1-14CBE48CA2DF}</author>
  </authors>
  <commentList>
    <comment ref="D3" authorId="0" shapeId="0" xr:uid="{BDFEC537-1183-4619-9C1A-E2728858C75D}">
      <text>
        <t>[Threaded comment]
Your version of Excel allows you to read this threaded comment; however, any edits to it will get removed if the file is opened in a newer version of Excel. Learn more: https://go.microsoft.com/fwlink/?linkid=870924
Comment:
    Distancia del nodo central a su borde</t>
      </text>
    </comment>
    <comment ref="F3" authorId="1" shapeId="0" xr:uid="{F39D7AC3-F117-462C-AEC4-D2E1F36C7EAE}">
      <text>
        <t>[Threaded comment]
Your version of Excel allows you to read this threaded comment; however, any edits to it will get removed if the file is opened in a newer version of Excel. Learn more: https://go.microsoft.com/fwlink/?linkid=870924
Comment:
    AREA DE ESE LATERAL</t>
      </text>
    </comment>
    <comment ref="H3" authorId="2" shapeId="0" xr:uid="{8E8E0BF6-9B7A-4B23-B066-8CC4C2B02C69}">
      <text>
        <t>[Threaded comment]
Your version of Excel allows you to read this threaded comment; however, any edits to it will get removed if the file is opened in a newer version of Excel. Learn more: https://go.microsoft.com/fwlink/?linkid=870924
Comment:
    300 o 100 (hasta 1000)</t>
      </text>
    </comment>
    <comment ref="I4" authorId="3" shapeId="0" xr:uid="{66787325-7481-41E9-A0C1-14CBE48CA2DF}">
      <text>
        <t>[Threaded comment]
Your version of Excel allows you to read this threaded comment; however, any edits to it will get removed if the file is opened in a newer version of Excel. Learn more: https://go.microsoft.com/fwlink/?linkid=870924
Comment:
    PCB</t>
      </text>
    </comment>
  </commentList>
</comments>
</file>

<file path=xl/sharedStrings.xml><?xml version="1.0" encoding="utf-8"?>
<sst xmlns="http://schemas.openxmlformats.org/spreadsheetml/2006/main" count="718" uniqueCount="202">
  <si>
    <t>ELEMENTO</t>
  </si>
  <si>
    <t>SUBELEMENTO</t>
  </si>
  <si>
    <t>LABEL</t>
  </si>
  <si>
    <t>Estructura</t>
  </si>
  <si>
    <t>Paneles Solares</t>
  </si>
  <si>
    <t>Instrumentos</t>
  </si>
  <si>
    <t>MLI</t>
  </si>
  <si>
    <t>Radiador</t>
  </si>
  <si>
    <t>Paneles</t>
  </si>
  <si>
    <t>Células</t>
  </si>
  <si>
    <t>Caja electrónica</t>
  </si>
  <si>
    <t>Carga de pago 1</t>
  </si>
  <si>
    <t>Carga de pago 2</t>
  </si>
  <si>
    <t>Electrónica</t>
  </si>
  <si>
    <t>Lente</t>
  </si>
  <si>
    <t>Exterior</t>
  </si>
  <si>
    <t>Interior</t>
  </si>
  <si>
    <t>BODY</t>
  </si>
  <si>
    <t>BODY_PANEL</t>
  </si>
  <si>
    <t>SPS</t>
  </si>
  <si>
    <t>SPS_STR</t>
  </si>
  <si>
    <t>SPS_CELLS</t>
  </si>
  <si>
    <t>INS</t>
  </si>
  <si>
    <t>INS_EB</t>
  </si>
  <si>
    <t>INS_PLD1</t>
  </si>
  <si>
    <t>INS_PLD2</t>
  </si>
  <si>
    <t>MLI_EXT</t>
  </si>
  <si>
    <t>MLI_INT</t>
  </si>
  <si>
    <t>RAD</t>
  </si>
  <si>
    <t>CRITERIO NODOS</t>
  </si>
  <si>
    <t>DIGITO 1</t>
  </si>
  <si>
    <t>DIGITO 2</t>
  </si>
  <si>
    <t>DIGITO 3,4,5</t>
  </si>
  <si>
    <t>Elemento</t>
  </si>
  <si>
    <t>Subelemento</t>
  </si>
  <si>
    <t>Nodos</t>
  </si>
  <si>
    <t>NAME</t>
  </si>
  <si>
    <t>MLI_k_throught</t>
  </si>
  <si>
    <t>Temperature [ºC]</t>
  </si>
  <si>
    <r>
      <t>k</t>
    </r>
    <r>
      <rPr>
        <sz val="8"/>
        <color theme="1"/>
        <rFont val="Calibri"/>
        <family val="2"/>
        <scheme val="minor"/>
      </rPr>
      <t>eff</t>
    </r>
    <r>
      <rPr>
        <sz val="11"/>
        <color theme="1"/>
        <rFont val="Calibri"/>
        <family val="2"/>
        <scheme val="minor"/>
      </rPr>
      <t xml:space="preserve"> [W/(m2K)]</t>
    </r>
  </si>
  <si>
    <t>Infrared</t>
  </si>
  <si>
    <t xml:space="preserve"> ε</t>
  </si>
  <si>
    <t xml:space="preserve"> τ</t>
  </si>
  <si>
    <t>ρ</t>
  </si>
  <si>
    <r>
      <t>ρ</t>
    </r>
    <r>
      <rPr>
        <sz val="8"/>
        <color theme="1"/>
        <rFont val="Calibri"/>
        <family val="2"/>
        <scheme val="minor"/>
      </rPr>
      <t>specular</t>
    </r>
  </si>
  <si>
    <r>
      <t>ρ</t>
    </r>
    <r>
      <rPr>
        <sz val="8"/>
        <color theme="1"/>
        <rFont val="Calibri"/>
        <family val="2"/>
        <scheme val="minor"/>
      </rPr>
      <t>diffuse</t>
    </r>
  </si>
  <si>
    <t>Solar</t>
  </si>
  <si>
    <t>Al_anodized</t>
  </si>
  <si>
    <t>Black_paint</t>
  </si>
  <si>
    <t>White_paint</t>
  </si>
  <si>
    <t>OSR</t>
  </si>
  <si>
    <t>Solar_cells</t>
  </si>
  <si>
    <t>IR_lens</t>
  </si>
  <si>
    <t>Kapton_ITO</t>
  </si>
  <si>
    <t>VDA_Kapton</t>
  </si>
  <si>
    <t>0.80</t>
  </si>
  <si>
    <t>0.60</t>
  </si>
  <si>
    <t>0.90</t>
  </si>
  <si>
    <t>0.75</t>
  </si>
  <si>
    <t>0.10</t>
  </si>
  <si>
    <t>0.00</t>
  </si>
  <si>
    <t>0.40</t>
  </si>
  <si>
    <t>0.20</t>
  </si>
  <si>
    <t>0.25</t>
  </si>
  <si>
    <t>α</t>
  </si>
  <si>
    <t>0.08</t>
  </si>
  <si>
    <t>0.50</t>
  </si>
  <si>
    <t>0.92</t>
  </si>
  <si>
    <t>ISOTROPICOS</t>
  </si>
  <si>
    <t>k</t>
  </si>
  <si>
    <t>Cp</t>
  </si>
  <si>
    <t>Al_6061</t>
  </si>
  <si>
    <t>GaAs</t>
  </si>
  <si>
    <t>Glass</t>
  </si>
  <si>
    <t>MLI_foil</t>
  </si>
  <si>
    <t>ORTOTROPICOS</t>
  </si>
  <si>
    <t>k1</t>
  </si>
  <si>
    <t>k2</t>
  </si>
  <si>
    <t>k3</t>
  </si>
  <si>
    <t>CFRP</t>
  </si>
  <si>
    <t>Telescopio Infrarrojo</t>
  </si>
  <si>
    <t>NODE_i</t>
  </si>
  <si>
    <t>NODE_f</t>
  </si>
  <si>
    <t>LIBRE</t>
  </si>
  <si>
    <t>A</t>
  </si>
  <si>
    <t>B</t>
  </si>
  <si>
    <t>XXXX</t>
  </si>
  <si>
    <t>Source</t>
  </si>
  <si>
    <t>https//webserver.dmt.upm.es/isidoro/</t>
  </si>
  <si>
    <t>Al_7075</t>
  </si>
  <si>
    <t>x</t>
  </si>
  <si>
    <t>Al_2219</t>
  </si>
  <si>
    <t>http://www.matweb.com/search/datasheet.aspx?matguid=5a735ffc5bf842f4a36fb9a6acbeaeed</t>
  </si>
  <si>
    <t>Al_anodized_blck</t>
  </si>
  <si>
    <t>Bandeja Superior</t>
  </si>
  <si>
    <t>Bandejas Inferior</t>
  </si>
  <si>
    <t>BODY_PLATE_2</t>
  </si>
  <si>
    <t>BODY_PLATE_1</t>
  </si>
  <si>
    <t>IR_TEL</t>
  </si>
  <si>
    <t>IR_TEL_STR</t>
  </si>
  <si>
    <t>IR_TEL_CCD</t>
  </si>
  <si>
    <t>IR_TEL_LENS</t>
  </si>
  <si>
    <t>IR_TEL_FOCUS</t>
  </si>
  <si>
    <t>IR_TEL_OBJ</t>
  </si>
  <si>
    <t>Mirror/focus assembly</t>
  </si>
  <si>
    <t>Objetivo telescopio</t>
  </si>
  <si>
    <t>FLEXCORE</t>
  </si>
  <si>
    <t>3xRWP500</t>
  </si>
  <si>
    <t>Radiator</t>
  </si>
  <si>
    <t>SSM</t>
  </si>
  <si>
    <t>CCD</t>
  </si>
  <si>
    <t>magnetometer</t>
  </si>
  <si>
    <t>IR_TEL_STR_int</t>
  </si>
  <si>
    <t>IR_TEL_STR_ext</t>
  </si>
  <si>
    <t>Estructura disco</t>
  </si>
  <si>
    <t>IR_TEL_STR_2</t>
  </si>
  <si>
    <t>Telescopio</t>
  </si>
  <si>
    <t>MLI_IR_TEL</t>
  </si>
  <si>
    <t>RAD_IR_Tel</t>
  </si>
  <si>
    <t>RAD_Ins</t>
  </si>
  <si>
    <t>Copper</t>
  </si>
  <si>
    <t>http://www.matweb.com/tools/unitconverter.aspx?fromID=43&amp;fromValue=7.764</t>
  </si>
  <si>
    <t>Goldised Kapton</t>
  </si>
  <si>
    <t>Quarz</t>
  </si>
  <si>
    <t>http://www.matweb.com/tools/unitconverter.aspx?fromID=65&amp;fromValue=0.700</t>
  </si>
  <si>
    <t>Silicon</t>
  </si>
  <si>
    <t>http://www.matweb.com/tools/unitconverter.aspx?fromID=65&amp;fromValue=0.794</t>
  </si>
  <si>
    <t>UDC</t>
  </si>
  <si>
    <t>Destination</t>
  </si>
  <si>
    <t>CCD_Panel</t>
  </si>
  <si>
    <t>CCD_Rad</t>
  </si>
  <si>
    <t>EBox</t>
  </si>
  <si>
    <t>EBox_Rad</t>
  </si>
  <si>
    <t>IR_Tel_Lens_IR_Tel_Obj</t>
  </si>
  <si>
    <t>IR_Tel_Lens</t>
  </si>
  <si>
    <t>IR_Tel_Obj</t>
  </si>
  <si>
    <t>IR_Tel_STR_Panel_inf</t>
  </si>
  <si>
    <t>IR_Tel_Obj_IR_Tel_CCD</t>
  </si>
  <si>
    <t>IR_Tel_Obj_IR_Tel_STR</t>
  </si>
  <si>
    <t>PLD1_RAD</t>
  </si>
  <si>
    <t>IR_Tel_STR</t>
  </si>
  <si>
    <t>Panel_inf</t>
  </si>
  <si>
    <t>RAD_INS</t>
  </si>
  <si>
    <t>Rad_IR_Tel</t>
  </si>
  <si>
    <t>PLD2_RAD</t>
  </si>
  <si>
    <t>PLD1</t>
  </si>
  <si>
    <t>PLD2</t>
  </si>
  <si>
    <t>Panel</t>
  </si>
  <si>
    <t>Panel_SolarPanel</t>
  </si>
  <si>
    <t>Plate</t>
  </si>
  <si>
    <t>Solar Panel</t>
  </si>
  <si>
    <t>Li [m]</t>
  </si>
  <si>
    <t>GL [W/K]</t>
  </si>
  <si>
    <t>Ai [m^2]</t>
  </si>
  <si>
    <t>Ac [m^2]</t>
  </si>
  <si>
    <t>Aj [m^2]</t>
  </si>
  <si>
    <t>ki [W/(mK)]</t>
  </si>
  <si>
    <t>kj [W/(mK)]</t>
  </si>
  <si>
    <t>hc [W/(m^2K)]</t>
  </si>
  <si>
    <t>k [W/(mK)]</t>
  </si>
  <si>
    <t>L [m]</t>
  </si>
  <si>
    <t>GL = kAc/L</t>
  </si>
  <si>
    <t>FAKE CONTACT</t>
  </si>
  <si>
    <t>Plate2_PLD1</t>
  </si>
  <si>
    <t>Plate2_PLD2</t>
  </si>
  <si>
    <t>Plate 2</t>
  </si>
  <si>
    <t>Plate 1</t>
  </si>
  <si>
    <t>RAD_Tel_Support</t>
  </si>
  <si>
    <t>RAD_Ins_Support</t>
  </si>
  <si>
    <t>STRAPS,HEAT PIPES</t>
  </si>
  <si>
    <t>Panel_Plate_xy</t>
  </si>
  <si>
    <t>Panel_Plate_yx</t>
  </si>
  <si>
    <t>Panel_Plate2_xy</t>
  </si>
  <si>
    <t>Panel_Plate2_yx</t>
  </si>
  <si>
    <t>Plate_Panel_xy</t>
  </si>
  <si>
    <t>Plate_Panel_yx</t>
  </si>
  <si>
    <t>Plate2_Panel_xy</t>
  </si>
  <si>
    <t>Plate2_Panel_yx</t>
  </si>
  <si>
    <t>RAD_Ins_block</t>
  </si>
  <si>
    <t>Note that if im using config3 must define UDC for rad INS conn</t>
  </si>
  <si>
    <t>100 es muy alto</t>
  </si>
  <si>
    <t>Probar:</t>
  </si>
  <si>
    <t>Espejo para mover CCD a cerca del radiador</t>
  </si>
  <si>
    <t>RAD_IR_Tel_block</t>
  </si>
  <si>
    <t>RAD_IR_TEL</t>
  </si>
  <si>
    <t>RAD_IR_TEL_2</t>
  </si>
  <si>
    <t>IR_TEL_STR_Rad_in</t>
  </si>
  <si>
    <t>IR_TEL_STR_Rad_ext</t>
  </si>
  <si>
    <t>IR_TEL_Obj</t>
  </si>
  <si>
    <t>Panel_STR_Rad</t>
  </si>
  <si>
    <t>RAD_STR</t>
  </si>
  <si>
    <t>Rad_IR_TEL</t>
  </si>
  <si>
    <t>RAD_IR_Tel_Support</t>
  </si>
  <si>
    <t>RAD_STR_Support</t>
  </si>
  <si>
    <t>Rad_disk_V_Rad</t>
  </si>
  <si>
    <t>Rad_disk</t>
  </si>
  <si>
    <t>IR_Tel_Asmbly_Rad_ext</t>
  </si>
  <si>
    <t>IR_Tel_Asmbly_Rad_side</t>
  </si>
  <si>
    <t>IR_Tel_Asmbly_RAD_rad_in</t>
  </si>
  <si>
    <t>Sources temp heat pipes</t>
  </si>
  <si>
    <t>https://sci-hub.st/https://link.springer.com/article/10.1007/s002310050097</t>
  </si>
  <si>
    <t>http://www.thermalfluidscentral.org/encyclopedia/index.php/Heat_Pipe_Characteristics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</si>
</sst>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"/>
    <numFmt numFmtId="166" formatCode="0.0000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9"/>
      <color indexed="81"/>
      <name val="Tahoma"/>
      <charset val="1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</fills>
  <borders count="4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16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2" borderId="1" xfId="0" applyFill="1" applyBorder="1"/>
    <xf numFmtId="0" fontId="0" fillId="0" borderId="1" xfId="0" applyBorder="1" applyAlignment="1">
      <alignment horizontal="center"/>
    </xf>
    <xf numFmtId="0" fontId="0" fillId="3" borderId="1" xfId="0" applyFill="1" applyBorder="1"/>
    <xf numFmtId="0" fontId="0" fillId="5" borderId="1" xfId="0" applyFill="1" applyBorder="1" applyAlignment="1">
      <alignment horizontal="center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4" xfId="0" applyFont="1" applyFill="1" applyBorder="1"/>
    <xf numFmtId="0" fontId="1" fillId="2" borderId="15" xfId="0" applyFont="1" applyFill="1" applyBorder="1"/>
    <xf numFmtId="0" fontId="1" fillId="2" borderId="16" xfId="0" applyFont="1" applyFill="1" applyBorder="1"/>
    <xf numFmtId="0" fontId="0" fillId="0" borderId="5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0" xfId="0" applyFill="1" applyBorder="1"/>
    <xf numFmtId="0" fontId="0" fillId="0" borderId="1" xfId="0" applyBorder="1" applyAlignment="1">
      <alignment horizontal="center"/>
    </xf>
    <xf numFmtId="0" fontId="1" fillId="2" borderId="19" xfId="0" applyFont="1" applyFill="1" applyBorder="1"/>
    <xf numFmtId="0" fontId="1" fillId="2" borderId="20" xfId="0" applyFont="1" applyFill="1" applyBorder="1"/>
    <xf numFmtId="0" fontId="1" fillId="2" borderId="21" xfId="0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0" fillId="0" borderId="26" xfId="0" applyBorder="1"/>
    <xf numFmtId="0" fontId="0" fillId="0" borderId="2" xfId="0" applyBorder="1"/>
    <xf numFmtId="0" fontId="0" fillId="0" borderId="27" xfId="0" applyBorder="1"/>
    <xf numFmtId="0" fontId="0" fillId="0" borderId="28" xfId="0" applyBorder="1"/>
    <xf numFmtId="0" fontId="1" fillId="2" borderId="29" xfId="0" applyFont="1" applyFill="1" applyBorder="1" applyAlignment="1">
      <alignment horizontal="center" vertical="center"/>
    </xf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0" fontId="1" fillId="2" borderId="34" xfId="0" applyFont="1" applyFill="1" applyBorder="1" applyAlignment="1">
      <alignment horizontal="center" vertical="center"/>
    </xf>
    <xf numFmtId="0" fontId="0" fillId="0" borderId="9" xfId="0" applyBorder="1" applyAlignment="1">
      <alignment vertical="center"/>
    </xf>
    <xf numFmtId="0" fontId="0" fillId="0" borderId="2" xfId="0" applyBorder="1" applyAlignment="1">
      <alignment vertical="center"/>
    </xf>
    <xf numFmtId="0" fontId="1" fillId="2" borderId="35" xfId="0" applyFont="1" applyFill="1" applyBorder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2" xfId="0" applyBorder="1" applyAlignment="1"/>
    <xf numFmtId="0" fontId="0" fillId="0" borderId="9" xfId="0" applyBorder="1" applyAlignment="1"/>
    <xf numFmtId="0" fontId="0" fillId="0" borderId="40" xfId="0" applyBorder="1"/>
    <xf numFmtId="0" fontId="0" fillId="0" borderId="41" xfId="0" applyBorder="1"/>
    <xf numFmtId="165" fontId="0" fillId="0" borderId="26" xfId="0" applyNumberFormat="1" applyBorder="1"/>
    <xf numFmtId="165" fontId="0" fillId="0" borderId="28" xfId="0" applyNumberFormat="1" applyBorder="1"/>
    <xf numFmtId="11" fontId="0" fillId="0" borderId="28" xfId="0" applyNumberFormat="1" applyBorder="1"/>
    <xf numFmtId="0" fontId="0" fillId="0" borderId="42" xfId="0" applyBorder="1"/>
    <xf numFmtId="0" fontId="0" fillId="0" borderId="28" xfId="0" applyFont="1" applyBorder="1"/>
    <xf numFmtId="0" fontId="1" fillId="2" borderId="0" xfId="0" applyFont="1" applyFill="1" applyBorder="1" applyAlignment="1">
      <alignment horizontal="center" vertical="center"/>
    </xf>
    <xf numFmtId="164" fontId="0" fillId="0" borderId="37" xfId="0" applyNumberFormat="1" applyBorder="1"/>
    <xf numFmtId="164" fontId="0" fillId="0" borderId="38" xfId="0" applyNumberFormat="1" applyBorder="1"/>
    <xf numFmtId="164" fontId="0" fillId="0" borderId="39" xfId="0" applyNumberFormat="1" applyBorder="1"/>
    <xf numFmtId="166" fontId="0" fillId="0" borderId="1" xfId="0" applyNumberFormat="1" applyBorder="1" applyAlignment="1">
      <alignment vertical="center"/>
    </xf>
    <xf numFmtId="166" fontId="0" fillId="0" borderId="1" xfId="0" applyNumberFormat="1" applyBorder="1" applyAlignment="1"/>
    <xf numFmtId="166" fontId="0" fillId="0" borderId="5" xfId="0" applyNumberFormat="1" applyBorder="1"/>
    <xf numFmtId="166" fontId="0" fillId="0" borderId="12" xfId="0" applyNumberFormat="1" applyBorder="1"/>
    <xf numFmtId="0" fontId="1" fillId="2" borderId="36" xfId="0" applyFont="1" applyFill="1" applyBorder="1" applyAlignment="1">
      <alignment horizontal="center" vertical="center"/>
    </xf>
    <xf numFmtId="0" fontId="0" fillId="0" borderId="37" xfId="0" applyBorder="1"/>
    <xf numFmtId="0" fontId="4" fillId="0" borderId="1" xfId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1" fillId="6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0" fillId="0" borderId="1" xfId="0" applyFill="1" applyBorder="1"/>
    <xf numFmtId="166" fontId="0" fillId="0" borderId="1" xfId="0" applyNumberFormat="1" applyBorder="1"/>
    <xf numFmtId="0" fontId="1" fillId="2" borderId="44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/>
    </xf>
    <xf numFmtId="0" fontId="1" fillId="2" borderId="45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43" xfId="0" applyFont="1" applyFill="1" applyBorder="1" applyAlignment="1">
      <alignment horizontal="center" vertical="center"/>
    </xf>
    <xf numFmtId="166" fontId="0" fillId="0" borderId="7" xfId="0" applyNumberFormat="1" applyBorder="1" applyAlignment="1">
      <alignment vertical="center"/>
    </xf>
    <xf numFmtId="0" fontId="0" fillId="0" borderId="9" xfId="0" applyFill="1" applyBorder="1"/>
    <xf numFmtId="0" fontId="0" fillId="0" borderId="26" xfId="0" applyBorder="1" applyAlignment="1">
      <alignment vertical="center"/>
    </xf>
    <xf numFmtId="164" fontId="0" fillId="0" borderId="36" xfId="0" applyNumberFormat="1" applyBorder="1"/>
    <xf numFmtId="0" fontId="1" fillId="2" borderId="46" xfId="0" applyFont="1" applyFill="1" applyBorder="1" applyAlignment="1">
      <alignment horizontal="center" vertical="center"/>
    </xf>
    <xf numFmtId="0" fontId="0" fillId="0" borderId="47" xfId="0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4" xfId="0" applyFill="1" applyBorder="1" applyAlignment="1">
      <alignment vertical="center"/>
    </xf>
    <xf numFmtId="0" fontId="0" fillId="0" borderId="4" xfId="0" applyBorder="1" applyAlignment="1"/>
    <xf numFmtId="0" fontId="0" fillId="0" borderId="4" xfId="0" applyBorder="1"/>
    <xf numFmtId="0" fontId="0" fillId="0" borderId="48" xfId="0" applyBorder="1"/>
    <xf numFmtId="0" fontId="0" fillId="0" borderId="10" xfId="0" applyFill="1" applyBorder="1"/>
    <xf numFmtId="0" fontId="1" fillId="2" borderId="0" xfId="0" applyFont="1" applyFill="1" applyBorder="1" applyAlignment="1">
      <alignment horizontal="left" vertical="center"/>
    </xf>
    <xf numFmtId="164" fontId="0" fillId="0" borderId="0" xfId="0" applyNumberFormat="1"/>
    <xf numFmtId="0" fontId="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PROPERTIES!$C$3</c:f>
              <c:strCache>
                <c:ptCount val="1"/>
                <c:pt idx="0">
                  <c:v>MLI_k_throught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PROPERTIES!$B$5:$B$9</c:f>
              <c:numCache>
                <c:formatCode>General</c:formatCode>
                <c:ptCount val="5"/>
                <c:pt idx="0">
                  <c:v>-75</c:v>
                </c:pt>
                <c:pt idx="1">
                  <c:v>-45</c:v>
                </c:pt>
                <c:pt idx="2">
                  <c:v>14</c:v>
                </c:pt>
                <c:pt idx="3">
                  <c:v>50</c:v>
                </c:pt>
                <c:pt idx="4">
                  <c:v>70</c:v>
                </c:pt>
              </c:numCache>
            </c:numRef>
          </c:xVal>
          <c:yVal>
            <c:numRef>
              <c:f>PROPERTIES!$C$5:$C$9</c:f>
              <c:numCache>
                <c:formatCode>0.00000</c:formatCode>
                <c:ptCount val="5"/>
                <c:pt idx="0">
                  <c:v>3.9300000000000003E-3</c:v>
                </c:pt>
                <c:pt idx="1">
                  <c:v>1.04E-2</c:v>
                </c:pt>
                <c:pt idx="2">
                  <c:v>1.499E-2</c:v>
                </c:pt>
                <c:pt idx="3">
                  <c:v>2.2890000000000001E-2</c:v>
                </c:pt>
                <c:pt idx="4">
                  <c:v>3.3680000000000002E-2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ED8-41B8-B98A-81C3EABEBC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9789039"/>
        <c:axId val="129774479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PROPERTIES!$B$4</c15:sqref>
                        </c15:formulaRef>
                      </c:ext>
                    </c:extLst>
                    <c:strCache>
                      <c:ptCount val="1"/>
                      <c:pt idx="0">
                        <c:v>Temperature [ºC]</c:v>
                      </c:pt>
                    </c:strCache>
                  </c:strRef>
                </c:tx>
                <c:spPr>
                  <a:ln w="19050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PROPERTIES!$B$5:$B$9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-75</c:v>
                      </c:pt>
                      <c:pt idx="1">
                        <c:v>-45</c:v>
                      </c:pt>
                      <c:pt idx="2">
                        <c:v>14</c:v>
                      </c:pt>
                      <c:pt idx="3">
                        <c:v>50</c:v>
                      </c:pt>
                      <c:pt idx="4">
                        <c:v>70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PROPERTIES!$C$5:$C$9</c15:sqref>
                        </c15:formulaRef>
                      </c:ext>
                    </c:extLst>
                    <c:numCache>
                      <c:formatCode>0.00000</c:formatCode>
                      <c:ptCount val="5"/>
                      <c:pt idx="0">
                        <c:v>3.9300000000000003E-3</c:v>
                      </c:pt>
                      <c:pt idx="1">
                        <c:v>1.04E-2</c:v>
                      </c:pt>
                      <c:pt idx="2">
                        <c:v>1.499E-2</c:v>
                      </c:pt>
                      <c:pt idx="3">
                        <c:v>2.2890000000000001E-2</c:v>
                      </c:pt>
                      <c:pt idx="4">
                        <c:v>3.3680000000000002E-2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3-5ED8-41B8-B98A-81C3EABEBCA3}"/>
                  </c:ext>
                </c:extLst>
              </c15:ser>
            </c15:filteredScatterSeries>
          </c:ext>
        </c:extLst>
      </c:scatterChart>
      <c:valAx>
        <c:axId val="129789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74479"/>
        <c:crosses val="autoZero"/>
        <c:crossBetween val="midCat"/>
      </c:valAx>
      <c:valAx>
        <c:axId val="129774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789039"/>
        <c:crossesAt val="-100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396240</xdr:colOff>
      <xdr:row>1</xdr:row>
      <xdr:rowOff>118110</xdr:rowOff>
    </xdr:from>
    <xdr:to>
      <xdr:col>9</xdr:col>
      <xdr:colOff>213360</xdr:colOff>
      <xdr:row>16</xdr:row>
      <xdr:rowOff>118110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61229542-84B8-4C19-A552-A6480D020F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3893BCB-9428-44EA-AEB0-ACE5DB4D04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0987" y="161925"/>
          <a:ext cx="5061878" cy="1984968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35</xdr:row>
      <xdr:rowOff>68580</xdr:rowOff>
    </xdr:from>
    <xdr:to>
      <xdr:col>10</xdr:col>
      <xdr:colOff>114112</xdr:colOff>
      <xdr:row>38</xdr:row>
      <xdr:rowOff>154226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900FDEA-1220-458B-91C8-6AB7192A9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838950" y="5193030"/>
          <a:ext cx="1512382" cy="63809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12435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AEDFC55A-3A75-4B3F-B39E-564530E05D3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0256519" y="2096427"/>
          <a:ext cx="6700598" cy="5055948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96862</xdr:colOff>
      <xdr:row>0</xdr:row>
      <xdr:rowOff>161925</xdr:rowOff>
    </xdr:from>
    <xdr:to>
      <xdr:col>20</xdr:col>
      <xdr:colOff>285750</xdr:colOff>
      <xdr:row>12</xdr:row>
      <xdr:rowOff>99018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8FD4A1D-8022-4DAC-98F3-C367F9139C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865702" y="161925"/>
          <a:ext cx="5065688" cy="1956393"/>
        </a:xfrm>
        <a:prstGeom prst="rect">
          <a:avLst/>
        </a:prstGeom>
      </xdr:spPr>
    </xdr:pic>
    <xdr:clientData/>
  </xdr:twoCellAnchor>
  <xdr:twoCellAnchor editAs="oneCell">
    <xdr:from>
      <xdr:col>8</xdr:col>
      <xdr:colOff>19050</xdr:colOff>
      <xdr:row>31</xdr:row>
      <xdr:rowOff>68580</xdr:rowOff>
    </xdr:from>
    <xdr:to>
      <xdr:col>10</xdr:col>
      <xdr:colOff>114112</xdr:colOff>
      <xdr:row>34</xdr:row>
      <xdr:rowOff>154226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2607E2-C09D-4B55-8E3A-7A4B4AFC20C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51370" y="5585460"/>
          <a:ext cx="1512382" cy="641906"/>
        </a:xfrm>
        <a:prstGeom prst="rect">
          <a:avLst/>
        </a:prstGeom>
      </xdr:spPr>
    </xdr:pic>
    <xdr:clientData/>
  </xdr:twoCellAnchor>
  <xdr:twoCellAnchor editAs="oneCell">
    <xdr:from>
      <xdr:col>12</xdr:col>
      <xdr:colOff>83819</xdr:colOff>
      <xdr:row>18</xdr:row>
      <xdr:rowOff>77127</xdr:rowOff>
    </xdr:from>
    <xdr:to>
      <xdr:col>23</xdr:col>
      <xdr:colOff>78817</xdr:colOff>
      <xdr:row>46</xdr:row>
      <xdr:rowOff>20055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AF03723-C00D-4AAA-832C-C95270D7C8C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852659" y="3201327"/>
          <a:ext cx="6700598" cy="509404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Diego M" id="{7FEA3327-5DCA-4904-9FA0-972C46AA4A40}" userId="d04d5963266fa2c7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DE31815B-D17C-487A-AD83-CDD355BB9138}">
    <text>Distancia del nodo central a su borde</text>
  </threadedComment>
  <threadedComment ref="F3" dT="2021-05-10T14:59:03.21" personId="{7FEA3327-5DCA-4904-9FA0-972C46AA4A40}" id="{BB70071E-F16F-4101-AC45-CF64A32436DB}">
    <text>AREA DE ESE LATERAL</text>
  </threadedComment>
  <threadedComment ref="H3" dT="2021-05-10T14:59:22.47" personId="{7FEA3327-5DCA-4904-9FA0-972C46AA4A40}" id="{9E3BA7D6-E7F8-4AFB-8806-BFBC971C374E}">
    <text>300 o 100 (hasta 1000)</text>
  </threadedComment>
  <threadedComment ref="I4" dT="2021-05-10T18:29:49.85" personId="{7FEA3327-5DCA-4904-9FA0-972C46AA4A40}" id="{75572D8B-1384-4140-99D3-048349AB0F48}">
    <text>PCB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D3" dT="2021-05-10T14:59:54.90" personId="{7FEA3327-5DCA-4904-9FA0-972C46AA4A40}" id="{BDFEC537-1183-4619-9C1A-E2728858C75D}">
    <text>Distancia del nodo central a su borde</text>
  </threadedComment>
  <threadedComment ref="F3" dT="2021-05-10T14:59:03.21" personId="{7FEA3327-5DCA-4904-9FA0-972C46AA4A40}" id="{F39D7AC3-F117-462C-AEC4-D2E1F36C7EAE}">
    <text>AREA DE ESE LATERAL</text>
  </threadedComment>
  <threadedComment ref="H3" dT="2021-05-10T14:59:22.47" personId="{7FEA3327-5DCA-4904-9FA0-972C46AA4A40}" id="{8E8E0BF6-9B7A-4B23-B066-8CC4C2B02C69}">
    <text>300 o 100 (hasta 1000)</text>
  </threadedComment>
  <threadedComment ref="I4" dT="2021-05-10T18:29:49.85" personId="{7FEA3327-5DCA-4904-9FA0-972C46AA4A40}" id="{66787325-7481-41E9-A0C1-14CBE48CA2DF}">
    <text>PCB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Relationship Id="rId5" Type="http://schemas.microsoft.com/office/2017/10/relationships/threadedComment" Target="../threadedComments/threadedComment2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8A1311-6419-4949-A2BB-3628B364634E}">
  <dimension ref="A2:M32"/>
  <sheetViews>
    <sheetView topLeftCell="A7" workbookViewId="0">
      <selection activeCell="B35" sqref="B35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6.8867187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142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184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185</v>
      </c>
      <c r="D30" s="24">
        <v>62000</v>
      </c>
      <c r="E30" s="25">
        <v>62999</v>
      </c>
      <c r="F30" s="3"/>
    </row>
    <row r="31" spans="1:6" ht="15" thickBot="1" x14ac:dyDescent="0.35">
      <c r="A31" s="33"/>
      <c r="B31" s="29"/>
      <c r="C31" s="24" t="s">
        <v>183</v>
      </c>
      <c r="D31" s="24">
        <v>63000</v>
      </c>
      <c r="E31" s="25">
        <v>63999</v>
      </c>
      <c r="F31" s="3"/>
    </row>
    <row r="32" spans="1:6" ht="15" thickBot="1" x14ac:dyDescent="0.35">
      <c r="A32" s="23"/>
      <c r="B32" s="24"/>
      <c r="C32" s="24" t="s">
        <v>183</v>
      </c>
      <c r="D32" s="24">
        <v>64000</v>
      </c>
      <c r="E32" s="25">
        <v>64999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BE864F-9D47-4299-B304-91E8AAA86025}">
  <dimension ref="B3:C9"/>
  <sheetViews>
    <sheetView workbookViewId="0">
      <selection activeCell="D29" sqref="D29"/>
    </sheetView>
  </sheetViews>
  <sheetFormatPr defaultColWidth="11.5546875" defaultRowHeight="14.4" x14ac:dyDescent="0.3"/>
  <cols>
    <col min="2" max="2" width="18.88671875" customWidth="1"/>
    <col min="3" max="3" width="17.33203125" customWidth="1"/>
  </cols>
  <sheetData>
    <row r="3" spans="2:3" x14ac:dyDescent="0.3">
      <c r="B3" s="4" t="s">
        <v>36</v>
      </c>
      <c r="C3" s="6" t="s">
        <v>37</v>
      </c>
    </row>
    <row r="4" spans="2:3" x14ac:dyDescent="0.3">
      <c r="B4" s="4" t="s">
        <v>38</v>
      </c>
      <c r="C4" s="4" t="s">
        <v>39</v>
      </c>
    </row>
    <row r="5" spans="2:3" x14ac:dyDescent="0.3">
      <c r="B5" s="5">
        <v>-75</v>
      </c>
      <c r="C5" s="12">
        <v>3.9300000000000003E-3</v>
      </c>
    </row>
    <row r="6" spans="2:3" x14ac:dyDescent="0.3">
      <c r="B6" s="5">
        <v>-45</v>
      </c>
      <c r="C6" s="12">
        <v>1.04E-2</v>
      </c>
    </row>
    <row r="7" spans="2:3" x14ac:dyDescent="0.3">
      <c r="B7" s="5">
        <v>14</v>
      </c>
      <c r="C7" s="12">
        <v>1.499E-2</v>
      </c>
    </row>
    <row r="8" spans="2:3" x14ac:dyDescent="0.3">
      <c r="B8" s="5">
        <v>50</v>
      </c>
      <c r="C8" s="12">
        <v>2.2890000000000001E-2</v>
      </c>
    </row>
    <row r="9" spans="2:3" x14ac:dyDescent="0.3">
      <c r="B9" s="5">
        <v>70</v>
      </c>
      <c r="C9" s="12">
        <v>3.3680000000000002E-2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0708A-3A2A-4030-B01E-19C8F86B1A4D}">
  <dimension ref="A3:L17"/>
  <sheetViews>
    <sheetView workbookViewId="0">
      <selection activeCell="C25" sqref="C25"/>
    </sheetView>
  </sheetViews>
  <sheetFormatPr defaultColWidth="11.5546875" defaultRowHeight="14.4" x14ac:dyDescent="0.3"/>
  <cols>
    <col min="2" max="2" width="15.88671875" customWidth="1"/>
  </cols>
  <sheetData>
    <row r="3" spans="1:12" x14ac:dyDescent="0.3">
      <c r="B3" s="86" t="s">
        <v>36</v>
      </c>
      <c r="C3" s="87" t="s">
        <v>40</v>
      </c>
      <c r="D3" s="87"/>
      <c r="E3" s="87"/>
      <c r="F3" s="87"/>
      <c r="G3" s="87" t="s">
        <v>46</v>
      </c>
      <c r="H3" s="87"/>
      <c r="I3" s="87"/>
      <c r="J3" s="87"/>
      <c r="K3" s="88" t="s">
        <v>87</v>
      </c>
      <c r="L3" s="88"/>
    </row>
    <row r="4" spans="1:12" x14ac:dyDescent="0.3">
      <c r="A4" s="3"/>
      <c r="B4" s="86"/>
      <c r="C4" s="7" t="s">
        <v>41</v>
      </c>
      <c r="D4" s="7" t="s">
        <v>42</v>
      </c>
      <c r="E4" s="7">
        <v>0.1</v>
      </c>
      <c r="F4" s="7" t="s">
        <v>45</v>
      </c>
      <c r="G4" s="7" t="s">
        <v>64</v>
      </c>
      <c r="H4" s="7" t="s">
        <v>42</v>
      </c>
      <c r="I4" s="7" t="s">
        <v>44</v>
      </c>
      <c r="J4" s="7" t="s">
        <v>45</v>
      </c>
      <c r="K4" s="88"/>
      <c r="L4" s="88"/>
    </row>
    <row r="5" spans="1:12" x14ac:dyDescent="0.3">
      <c r="A5" s="3" t="s">
        <v>90</v>
      </c>
      <c r="B5" s="2" t="s">
        <v>47</v>
      </c>
      <c r="C5" s="10" t="s">
        <v>56</v>
      </c>
      <c r="D5" s="10" t="s">
        <v>60</v>
      </c>
      <c r="E5" s="10" t="s">
        <v>60</v>
      </c>
      <c r="F5" s="10" t="s">
        <v>61</v>
      </c>
      <c r="G5" s="10" t="s">
        <v>62</v>
      </c>
      <c r="H5" s="10" t="s">
        <v>60</v>
      </c>
      <c r="I5" s="10" t="s">
        <v>60</v>
      </c>
      <c r="J5" s="10" t="s">
        <v>55</v>
      </c>
      <c r="K5" s="84" t="s">
        <v>88</v>
      </c>
      <c r="L5" s="85"/>
    </row>
    <row r="6" spans="1:12" x14ac:dyDescent="0.3">
      <c r="A6" s="3" t="s">
        <v>90</v>
      </c>
      <c r="B6" s="2" t="s">
        <v>93</v>
      </c>
      <c r="C6" s="10">
        <v>0.85</v>
      </c>
      <c r="D6" s="10">
        <v>0</v>
      </c>
      <c r="E6" s="10">
        <v>0</v>
      </c>
      <c r="F6" s="10">
        <v>0.15</v>
      </c>
      <c r="G6" s="10">
        <v>0.9</v>
      </c>
      <c r="H6" s="10">
        <v>0</v>
      </c>
      <c r="I6" s="10">
        <v>0</v>
      </c>
      <c r="J6" s="10">
        <v>0.1</v>
      </c>
      <c r="K6" s="84" t="s">
        <v>88</v>
      </c>
      <c r="L6" s="85"/>
    </row>
    <row r="7" spans="1:12" x14ac:dyDescent="0.3">
      <c r="A7" s="3" t="s">
        <v>90</v>
      </c>
      <c r="B7" s="2" t="s">
        <v>48</v>
      </c>
      <c r="C7" s="10" t="s">
        <v>57</v>
      </c>
      <c r="D7" s="10" t="s">
        <v>60</v>
      </c>
      <c r="E7" s="10" t="s">
        <v>60</v>
      </c>
      <c r="F7" s="10" t="s">
        <v>59</v>
      </c>
      <c r="G7" s="10" t="s">
        <v>57</v>
      </c>
      <c r="H7" s="10" t="s">
        <v>60</v>
      </c>
      <c r="I7" s="10" t="s">
        <v>60</v>
      </c>
      <c r="J7" s="10" t="s">
        <v>59</v>
      </c>
      <c r="K7" s="85"/>
      <c r="L7" s="85"/>
    </row>
    <row r="8" spans="1:12" x14ac:dyDescent="0.3">
      <c r="A8" s="3" t="s">
        <v>90</v>
      </c>
      <c r="B8" s="2" t="s">
        <v>120</v>
      </c>
      <c r="C8" s="10">
        <v>0.05</v>
      </c>
      <c r="D8" s="10">
        <v>0</v>
      </c>
      <c r="E8" s="10">
        <v>0</v>
      </c>
      <c r="F8" s="10">
        <v>0.95</v>
      </c>
      <c r="G8" s="10">
        <v>0.9</v>
      </c>
      <c r="H8" s="10">
        <v>0</v>
      </c>
      <c r="I8" s="10">
        <v>0</v>
      </c>
      <c r="J8" s="10">
        <v>0.1</v>
      </c>
      <c r="K8" s="89"/>
      <c r="L8" s="90"/>
    </row>
    <row r="9" spans="1:12" x14ac:dyDescent="0.3">
      <c r="A9" s="3" t="s">
        <v>90</v>
      </c>
      <c r="B9" s="2" t="s">
        <v>49</v>
      </c>
      <c r="C9" s="10" t="s">
        <v>55</v>
      </c>
      <c r="D9" s="10" t="s">
        <v>60</v>
      </c>
      <c r="E9" s="10" t="s">
        <v>60</v>
      </c>
      <c r="F9" s="10" t="s">
        <v>62</v>
      </c>
      <c r="G9" s="10" t="s">
        <v>62</v>
      </c>
      <c r="H9" s="10" t="s">
        <v>60</v>
      </c>
      <c r="I9" s="10" t="s">
        <v>60</v>
      </c>
      <c r="J9" s="10" t="s">
        <v>55</v>
      </c>
      <c r="K9" s="85"/>
      <c r="L9" s="85"/>
    </row>
    <row r="10" spans="1:12" x14ac:dyDescent="0.3">
      <c r="A10" s="3" t="s">
        <v>90</v>
      </c>
      <c r="B10" s="2" t="s">
        <v>109</v>
      </c>
      <c r="C10" s="10">
        <v>0</v>
      </c>
      <c r="D10" s="10">
        <v>0</v>
      </c>
      <c r="E10" s="10">
        <v>0</v>
      </c>
      <c r="F10" s="10">
        <v>1</v>
      </c>
      <c r="G10" s="10">
        <v>0.08</v>
      </c>
      <c r="H10" s="10">
        <v>0</v>
      </c>
      <c r="I10" s="10">
        <v>0</v>
      </c>
      <c r="J10" s="10">
        <v>0.92</v>
      </c>
      <c r="K10" s="89"/>
      <c r="L10" s="90"/>
    </row>
    <row r="11" spans="1:12" x14ac:dyDescent="0.3">
      <c r="A11" s="3" t="s">
        <v>90</v>
      </c>
      <c r="B11" s="2" t="s">
        <v>110</v>
      </c>
      <c r="C11" s="10">
        <v>1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1</v>
      </c>
      <c r="K11" s="89"/>
      <c r="L11" s="90"/>
    </row>
    <row r="12" spans="1:12" x14ac:dyDescent="0.3">
      <c r="A12" s="3" t="s">
        <v>90</v>
      </c>
      <c r="B12" s="2" t="s">
        <v>50</v>
      </c>
      <c r="C12" s="10" t="s">
        <v>55</v>
      </c>
      <c r="D12" s="10" t="s">
        <v>60</v>
      </c>
      <c r="E12" s="10" t="s">
        <v>60</v>
      </c>
      <c r="F12" s="10" t="s">
        <v>62</v>
      </c>
      <c r="G12" s="10" t="s">
        <v>65</v>
      </c>
      <c r="H12" s="10" t="s">
        <v>60</v>
      </c>
      <c r="I12" s="10" t="s">
        <v>67</v>
      </c>
      <c r="J12" s="10" t="s">
        <v>60</v>
      </c>
      <c r="K12" s="85"/>
      <c r="L12" s="85"/>
    </row>
    <row r="13" spans="1:12" x14ac:dyDescent="0.3">
      <c r="A13" s="3" t="s">
        <v>90</v>
      </c>
      <c r="B13" s="2" t="s">
        <v>51</v>
      </c>
      <c r="C13" s="10" t="s">
        <v>58</v>
      </c>
      <c r="D13" s="10" t="s">
        <v>60</v>
      </c>
      <c r="E13" s="10" t="s">
        <v>60</v>
      </c>
      <c r="F13" s="10" t="s">
        <v>63</v>
      </c>
      <c r="G13" s="10" t="s">
        <v>58</v>
      </c>
      <c r="H13" s="10" t="s">
        <v>60</v>
      </c>
      <c r="I13" s="10" t="s">
        <v>60</v>
      </c>
      <c r="J13" s="10" t="s">
        <v>63</v>
      </c>
      <c r="K13" s="85"/>
      <c r="L13" s="85"/>
    </row>
    <row r="14" spans="1:12" x14ac:dyDescent="0.3">
      <c r="A14" s="3" t="s">
        <v>90</v>
      </c>
      <c r="B14" s="2" t="s">
        <v>52</v>
      </c>
      <c r="C14" s="10" t="s">
        <v>59</v>
      </c>
      <c r="D14" s="10" t="s">
        <v>57</v>
      </c>
      <c r="E14" s="10" t="s">
        <v>60</v>
      </c>
      <c r="F14" s="10" t="s">
        <v>60</v>
      </c>
      <c r="G14" s="10" t="s">
        <v>59</v>
      </c>
      <c r="H14" s="10" t="s">
        <v>60</v>
      </c>
      <c r="I14" s="10" t="s">
        <v>60</v>
      </c>
      <c r="J14" s="10" t="s">
        <v>57</v>
      </c>
      <c r="K14" s="85"/>
      <c r="L14" s="85"/>
    </row>
    <row r="15" spans="1:12" x14ac:dyDescent="0.3">
      <c r="A15" s="3" t="s">
        <v>90</v>
      </c>
      <c r="B15" s="2" t="s">
        <v>53</v>
      </c>
      <c r="C15" s="10" t="s">
        <v>55</v>
      </c>
      <c r="D15" s="10" t="s">
        <v>60</v>
      </c>
      <c r="E15" s="10" t="s">
        <v>60</v>
      </c>
      <c r="F15" s="10" t="s">
        <v>62</v>
      </c>
      <c r="G15" s="10" t="s">
        <v>66</v>
      </c>
      <c r="H15" s="10" t="s">
        <v>60</v>
      </c>
      <c r="I15" s="10" t="s">
        <v>60</v>
      </c>
      <c r="J15" s="10" t="s">
        <v>66</v>
      </c>
      <c r="K15" s="85"/>
      <c r="L15" s="85"/>
    </row>
    <row r="16" spans="1:12" x14ac:dyDescent="0.3">
      <c r="A16" s="3" t="s">
        <v>90</v>
      </c>
      <c r="B16" s="2" t="s">
        <v>122</v>
      </c>
      <c r="C16" s="10">
        <v>0.02</v>
      </c>
      <c r="D16" s="10">
        <v>0</v>
      </c>
      <c r="E16" s="10">
        <v>0</v>
      </c>
      <c r="F16" s="10">
        <v>0.98</v>
      </c>
      <c r="G16" s="10">
        <v>0.25</v>
      </c>
      <c r="H16" s="10">
        <v>0</v>
      </c>
      <c r="I16" s="10">
        <v>0</v>
      </c>
      <c r="J16" s="10">
        <v>0.75</v>
      </c>
      <c r="K16" s="43"/>
      <c r="L16" s="43"/>
    </row>
    <row r="17" spans="1:12" x14ac:dyDescent="0.3">
      <c r="A17" s="3" t="s">
        <v>90</v>
      </c>
      <c r="B17" s="2" t="s">
        <v>54</v>
      </c>
      <c r="C17" s="10" t="s">
        <v>59</v>
      </c>
      <c r="D17" s="10" t="s">
        <v>60</v>
      </c>
      <c r="E17" s="10" t="s">
        <v>57</v>
      </c>
      <c r="F17" s="10" t="s">
        <v>60</v>
      </c>
      <c r="G17" s="10" t="s">
        <v>62</v>
      </c>
      <c r="H17" s="10" t="s">
        <v>60</v>
      </c>
      <c r="I17" s="10" t="s">
        <v>55</v>
      </c>
      <c r="J17" s="10" t="s">
        <v>60</v>
      </c>
      <c r="K17" s="85"/>
      <c r="L17" s="85"/>
    </row>
  </sheetData>
  <mergeCells count="16">
    <mergeCell ref="K15:L15"/>
    <mergeCell ref="K17:L17"/>
    <mergeCell ref="K7:L7"/>
    <mergeCell ref="K9:L9"/>
    <mergeCell ref="K12:L12"/>
    <mergeCell ref="K13:L13"/>
    <mergeCell ref="K14:L14"/>
    <mergeCell ref="K11:L11"/>
    <mergeCell ref="K10:L10"/>
    <mergeCell ref="K8:L8"/>
    <mergeCell ref="K6:L6"/>
    <mergeCell ref="B3:B4"/>
    <mergeCell ref="C3:F3"/>
    <mergeCell ref="G3:J3"/>
    <mergeCell ref="K3:L4"/>
    <mergeCell ref="K5:L5"/>
  </mergeCells>
  <phoneticPr fontId="3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E4BA2-4334-46B3-8623-C9D04CC254E6}">
  <dimension ref="A4:O15"/>
  <sheetViews>
    <sheetView workbookViewId="0">
      <selection activeCell="F29" sqref="F29"/>
    </sheetView>
  </sheetViews>
  <sheetFormatPr defaultColWidth="11.5546875" defaultRowHeight="14.4" x14ac:dyDescent="0.3"/>
  <sheetData>
    <row r="4" spans="1:15" x14ac:dyDescent="0.3">
      <c r="A4" s="91" t="s">
        <v>68</v>
      </c>
      <c r="B4" s="92"/>
      <c r="C4" s="92"/>
      <c r="D4" s="93"/>
      <c r="E4" s="88" t="s">
        <v>87</v>
      </c>
      <c r="F4" s="88"/>
      <c r="H4" s="91" t="s">
        <v>75</v>
      </c>
      <c r="I4" s="92"/>
      <c r="J4" s="92"/>
      <c r="K4" s="92"/>
      <c r="L4" s="92"/>
      <c r="M4" s="93"/>
      <c r="N4" s="88" t="s">
        <v>87</v>
      </c>
      <c r="O4" s="88"/>
    </row>
    <row r="5" spans="1:15" x14ac:dyDescent="0.3">
      <c r="A5" s="8" t="s">
        <v>36</v>
      </c>
      <c r="B5" s="9" t="s">
        <v>69</v>
      </c>
      <c r="C5" s="9" t="s">
        <v>70</v>
      </c>
      <c r="D5" s="9" t="s">
        <v>43</v>
      </c>
      <c r="E5" s="88"/>
      <c r="F5" s="88"/>
      <c r="H5" s="9" t="s">
        <v>36</v>
      </c>
      <c r="I5" s="9" t="s">
        <v>76</v>
      </c>
      <c r="J5" s="9" t="s">
        <v>77</v>
      </c>
      <c r="K5" s="9" t="s">
        <v>78</v>
      </c>
      <c r="L5" s="9" t="s">
        <v>70</v>
      </c>
      <c r="M5" s="9" t="s">
        <v>43</v>
      </c>
      <c r="N5" s="88"/>
      <c r="O5" s="88"/>
    </row>
    <row r="6" spans="1:15" x14ac:dyDescent="0.3">
      <c r="A6" s="2" t="s">
        <v>71</v>
      </c>
      <c r="B6" s="5">
        <v>160</v>
      </c>
      <c r="C6" s="5">
        <v>900</v>
      </c>
      <c r="D6" s="5">
        <v>2700</v>
      </c>
      <c r="E6" s="89"/>
      <c r="F6" s="90"/>
      <c r="G6" s="3" t="s">
        <v>90</v>
      </c>
      <c r="H6" s="2" t="s">
        <v>79</v>
      </c>
      <c r="I6" s="5">
        <v>42</v>
      </c>
      <c r="J6" s="5">
        <v>42</v>
      </c>
      <c r="K6" s="5">
        <v>5</v>
      </c>
      <c r="L6" s="5">
        <v>800</v>
      </c>
      <c r="M6" s="5">
        <v>1750</v>
      </c>
      <c r="N6" s="89"/>
      <c r="O6" s="90"/>
    </row>
    <row r="7" spans="1:15" x14ac:dyDescent="0.3">
      <c r="A7" s="2" t="s">
        <v>91</v>
      </c>
      <c r="B7" s="11">
        <v>121</v>
      </c>
      <c r="C7" s="11">
        <v>864</v>
      </c>
      <c r="D7" s="11">
        <v>2840</v>
      </c>
      <c r="E7" s="89" t="s">
        <v>92</v>
      </c>
      <c r="F7" s="90"/>
      <c r="G7" s="3" t="s">
        <v>90</v>
      </c>
      <c r="H7" s="13"/>
      <c r="I7" s="14"/>
      <c r="J7" s="14"/>
      <c r="K7" s="14"/>
      <c r="L7" s="14"/>
      <c r="M7" s="14"/>
      <c r="N7" s="14"/>
      <c r="O7" s="14"/>
    </row>
    <row r="8" spans="1:15" x14ac:dyDescent="0.3">
      <c r="A8" s="2" t="s">
        <v>89</v>
      </c>
      <c r="B8" s="11">
        <v>130</v>
      </c>
      <c r="C8" s="5">
        <v>960</v>
      </c>
      <c r="D8" s="5">
        <v>2810</v>
      </c>
      <c r="E8" s="89" t="s">
        <v>92</v>
      </c>
      <c r="F8" s="90"/>
      <c r="G8" s="3" t="s">
        <v>90</v>
      </c>
      <c r="H8" s="13"/>
      <c r="I8" s="14"/>
      <c r="J8" s="14"/>
      <c r="K8" s="14"/>
      <c r="L8" s="14"/>
      <c r="M8" s="14"/>
      <c r="N8" s="14"/>
      <c r="O8" s="14"/>
    </row>
    <row r="9" spans="1:15" x14ac:dyDescent="0.3">
      <c r="A9" s="2" t="s">
        <v>120</v>
      </c>
      <c r="B9" s="36">
        <v>385</v>
      </c>
      <c r="C9" s="36">
        <v>385</v>
      </c>
      <c r="D9" s="3">
        <v>7760</v>
      </c>
      <c r="E9" s="89" t="s">
        <v>121</v>
      </c>
      <c r="F9" s="90"/>
      <c r="G9" s="3" t="s">
        <v>90</v>
      </c>
      <c r="H9" s="13"/>
      <c r="I9" s="14"/>
      <c r="J9" s="14"/>
      <c r="K9" s="14"/>
      <c r="L9" s="14"/>
      <c r="M9" s="14"/>
      <c r="N9" s="14"/>
      <c r="O9" s="14"/>
    </row>
    <row r="10" spans="1:15" x14ac:dyDescent="0.3">
      <c r="A10" s="2" t="s">
        <v>72</v>
      </c>
      <c r="B10" s="5">
        <v>55</v>
      </c>
      <c r="C10" s="5">
        <v>1000</v>
      </c>
      <c r="D10" s="5">
        <v>5300</v>
      </c>
      <c r="E10" s="89"/>
      <c r="F10" s="90"/>
      <c r="G10" s="3" t="s">
        <v>90</v>
      </c>
    </row>
    <row r="11" spans="1:15" x14ac:dyDescent="0.3">
      <c r="A11" s="2" t="s">
        <v>73</v>
      </c>
      <c r="B11" s="5">
        <v>59</v>
      </c>
      <c r="C11" s="5">
        <v>310</v>
      </c>
      <c r="D11" s="5">
        <v>5330</v>
      </c>
      <c r="E11" s="89"/>
      <c r="F11" s="90"/>
      <c r="G11" s="3" t="s">
        <v>90</v>
      </c>
    </row>
    <row r="12" spans="1:15" x14ac:dyDescent="0.3">
      <c r="A12" s="2" t="s">
        <v>108</v>
      </c>
      <c r="B12" s="15">
        <v>2</v>
      </c>
      <c r="C12" s="15">
        <v>700</v>
      </c>
      <c r="D12" s="15">
        <v>2200</v>
      </c>
      <c r="E12" s="16"/>
      <c r="F12" s="17"/>
      <c r="G12" s="3" t="s">
        <v>90</v>
      </c>
    </row>
    <row r="13" spans="1:15" x14ac:dyDescent="0.3">
      <c r="A13" s="2" t="s">
        <v>123</v>
      </c>
      <c r="B13" s="43">
        <v>2</v>
      </c>
      <c r="C13" s="43">
        <v>700</v>
      </c>
      <c r="D13" s="43">
        <v>2200</v>
      </c>
      <c r="E13" s="44" t="s">
        <v>124</v>
      </c>
      <c r="F13" s="45"/>
      <c r="G13" s="3" t="s">
        <v>90</v>
      </c>
    </row>
    <row r="14" spans="1:15" x14ac:dyDescent="0.3">
      <c r="A14" s="2" t="s">
        <v>125</v>
      </c>
      <c r="B14" s="43">
        <v>124</v>
      </c>
      <c r="C14" s="46">
        <v>794</v>
      </c>
      <c r="D14" s="46">
        <v>2300</v>
      </c>
      <c r="E14" s="89" t="s">
        <v>126</v>
      </c>
      <c r="F14" s="90"/>
      <c r="G14" s="3" t="s">
        <v>90</v>
      </c>
    </row>
    <row r="15" spans="1:15" x14ac:dyDescent="0.3">
      <c r="A15" s="2" t="s">
        <v>74</v>
      </c>
      <c r="B15" s="5">
        <v>0</v>
      </c>
      <c r="C15" s="5">
        <v>900</v>
      </c>
      <c r="D15" s="5">
        <v>300</v>
      </c>
      <c r="E15" s="89"/>
      <c r="F15" s="90"/>
      <c r="G15" s="3" t="s">
        <v>90</v>
      </c>
    </row>
  </sheetData>
  <mergeCells count="13">
    <mergeCell ref="E10:F10"/>
    <mergeCell ref="E11:F11"/>
    <mergeCell ref="E15:F15"/>
    <mergeCell ref="N6:O6"/>
    <mergeCell ref="E8:F8"/>
    <mergeCell ref="E9:F9"/>
    <mergeCell ref="E14:F14"/>
    <mergeCell ref="H4:M4"/>
    <mergeCell ref="N4:O5"/>
    <mergeCell ref="A4:D4"/>
    <mergeCell ref="E4:F5"/>
    <mergeCell ref="E7:F7"/>
    <mergeCell ref="E6:F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D9202D-ACAD-4878-A51F-5C577BBAB029}">
  <dimension ref="A2:M47"/>
  <sheetViews>
    <sheetView tabSelected="1" topLeftCell="A14" workbookViewId="0">
      <pane xSplit="1" topLeftCell="B1" activePane="topRight" state="frozen"/>
      <selection pane="topRight" activeCell="I23" sqref="I23"/>
    </sheetView>
  </sheetViews>
  <sheetFormatPr defaultRowHeight="14.4" x14ac:dyDescent="0.3"/>
  <cols>
    <col min="1" max="1" width="23.33203125" customWidth="1"/>
    <col min="2" max="2" width="12.44140625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ht="15" thickBot="1" x14ac:dyDescent="0.35">
      <c r="A20" s="96" t="s">
        <v>127</v>
      </c>
      <c r="B20" s="97" t="s">
        <v>87</v>
      </c>
      <c r="C20" s="99" t="s">
        <v>128</v>
      </c>
      <c r="D20" s="105" t="s">
        <v>159</v>
      </c>
      <c r="E20" s="99" t="s">
        <v>154</v>
      </c>
      <c r="F20" s="98" t="s">
        <v>160</v>
      </c>
      <c r="G20" s="100" t="s">
        <v>152</v>
      </c>
      <c r="I20" s="113" t="s">
        <v>169</v>
      </c>
    </row>
    <row r="21" spans="1:11" x14ac:dyDescent="0.3">
      <c r="A21" s="18" t="s">
        <v>130</v>
      </c>
      <c r="B21" s="19" t="s">
        <v>110</v>
      </c>
      <c r="C21" s="20" t="s">
        <v>143</v>
      </c>
      <c r="D21" s="106">
        <v>4500</v>
      </c>
      <c r="E21" s="101">
        <f>0.025^2*PI()</f>
        <v>1.9634954084936209E-3</v>
      </c>
      <c r="F21" s="103">
        <f>0.21</f>
        <v>0.21</v>
      </c>
      <c r="G21" s="104">
        <f t="shared" ref="G21:I34" si="4">D21*E21/F21</f>
        <v>42.074901610577591</v>
      </c>
      <c r="I21" s="1" t="s">
        <v>161</v>
      </c>
    </row>
    <row r="22" spans="1:11" x14ac:dyDescent="0.3">
      <c r="A22" s="21" t="s">
        <v>132</v>
      </c>
      <c r="B22" s="2" t="s">
        <v>131</v>
      </c>
      <c r="C22" s="22" t="s">
        <v>142</v>
      </c>
      <c r="D22" s="107">
        <v>4500</v>
      </c>
      <c r="E22" s="78">
        <f>0.015^2*PI()</f>
        <v>7.0685834705770342E-4</v>
      </c>
      <c r="F22" s="61">
        <v>0.19</v>
      </c>
      <c r="G22" s="75">
        <f t="shared" si="4"/>
        <v>16.741381903998239</v>
      </c>
    </row>
    <row r="23" spans="1:11" x14ac:dyDescent="0.3">
      <c r="A23" s="21" t="s">
        <v>197</v>
      </c>
      <c r="B23" s="2" t="s">
        <v>115</v>
      </c>
      <c r="C23" s="22" t="s">
        <v>184</v>
      </c>
      <c r="D23" s="107">
        <v>4500</v>
      </c>
      <c r="E23" s="78">
        <f>0.01^2*PI()</f>
        <v>3.1415926535897931E-4</v>
      </c>
      <c r="F23" s="61">
        <v>0.35</v>
      </c>
      <c r="G23" s="75">
        <f t="shared" si="4"/>
        <v>4.0391905546154483</v>
      </c>
      <c r="I23" s="115" t="s">
        <v>199</v>
      </c>
    </row>
    <row r="24" spans="1:11" x14ac:dyDescent="0.3">
      <c r="A24" s="21" t="s">
        <v>196</v>
      </c>
      <c r="B24" s="2" t="s">
        <v>99</v>
      </c>
      <c r="C24" s="112" t="s">
        <v>184</v>
      </c>
      <c r="D24" s="107">
        <v>4500</v>
      </c>
      <c r="E24" s="78">
        <f>0.01^2*PI()</f>
        <v>3.1415926535897931E-4</v>
      </c>
      <c r="F24" s="61">
        <v>0.16</v>
      </c>
      <c r="G24" s="75">
        <f t="shared" si="4"/>
        <v>8.8357293382212934</v>
      </c>
      <c r="I24" s="114" t="s">
        <v>200</v>
      </c>
    </row>
    <row r="25" spans="1:11" x14ac:dyDescent="0.3">
      <c r="A25" s="102" t="s">
        <v>198</v>
      </c>
      <c r="B25" s="94" t="s">
        <v>188</v>
      </c>
      <c r="C25" s="112" t="s">
        <v>184</v>
      </c>
      <c r="D25" s="108">
        <v>4500</v>
      </c>
      <c r="E25" s="78">
        <f>0.01^2*PI()</f>
        <v>3.1415926535897931E-4</v>
      </c>
      <c r="F25" s="51">
        <v>0.05</v>
      </c>
      <c r="G25" s="75">
        <f t="shared" si="4"/>
        <v>28.274333882308138</v>
      </c>
      <c r="I25" t="s">
        <v>201</v>
      </c>
    </row>
    <row r="26" spans="1:11" x14ac:dyDescent="0.3">
      <c r="A26" s="102" t="s">
        <v>189</v>
      </c>
      <c r="B26" s="94" t="s">
        <v>147</v>
      </c>
      <c r="C26" s="112" t="s">
        <v>190</v>
      </c>
      <c r="D26" s="108">
        <v>4500</v>
      </c>
      <c r="E26" s="78">
        <f>0.01^2*PI()</f>
        <v>3.1415926535897931E-4</v>
      </c>
      <c r="F26" s="51">
        <v>0.38500000000000001</v>
      </c>
      <c r="G26" s="75">
        <f t="shared" si="4"/>
        <v>3.6719914132867713</v>
      </c>
    </row>
    <row r="27" spans="1:11" x14ac:dyDescent="0.3">
      <c r="A27" s="21" t="s">
        <v>139</v>
      </c>
      <c r="B27" s="2" t="s">
        <v>145</v>
      </c>
      <c r="C27" s="22" t="s">
        <v>142</v>
      </c>
      <c r="D27" s="107">
        <f>D22</f>
        <v>4500</v>
      </c>
      <c r="E27" s="78">
        <f>0.01^2*PI()</f>
        <v>3.1415926535897931E-4</v>
      </c>
      <c r="F27" s="61">
        <v>0.31</v>
      </c>
      <c r="G27" s="75">
        <f>D27*E27/F27</f>
        <v>4.5603764326303446</v>
      </c>
    </row>
    <row r="28" spans="1:11" x14ac:dyDescent="0.3">
      <c r="A28" s="21" t="s">
        <v>144</v>
      </c>
      <c r="B28" s="2" t="s">
        <v>146</v>
      </c>
      <c r="C28" s="22" t="s">
        <v>142</v>
      </c>
      <c r="D28" s="107">
        <f>D22</f>
        <v>4500</v>
      </c>
      <c r="E28" s="78">
        <f>E27</f>
        <v>3.1415926535897931E-4</v>
      </c>
      <c r="F28" s="61">
        <v>0.11</v>
      </c>
      <c r="G28" s="75">
        <f t="shared" si="4"/>
        <v>12.851969946503699</v>
      </c>
    </row>
    <row r="29" spans="1:11" x14ac:dyDescent="0.3">
      <c r="A29" s="21" t="s">
        <v>148</v>
      </c>
      <c r="B29" s="2" t="s">
        <v>147</v>
      </c>
      <c r="C29" s="22" t="s">
        <v>150</v>
      </c>
      <c r="D29" s="109">
        <v>160</v>
      </c>
      <c r="E29" s="79">
        <f>0.01^2*PI()</f>
        <v>3.1415926535897931E-4</v>
      </c>
      <c r="F29" s="65">
        <v>0.05</v>
      </c>
      <c r="G29" s="75">
        <f t="shared" si="4"/>
        <v>1.0053096491487337</v>
      </c>
    </row>
    <row r="30" spans="1:11" x14ac:dyDescent="0.3">
      <c r="A30" s="21" t="s">
        <v>194</v>
      </c>
      <c r="B30" s="2" t="s">
        <v>195</v>
      </c>
      <c r="C30" s="22" t="s">
        <v>143</v>
      </c>
      <c r="D30" s="109">
        <v>4500</v>
      </c>
      <c r="E30" s="79">
        <f>0.06^2*PI()</f>
        <v>1.1309733552923255E-2</v>
      </c>
      <c r="F30" s="65">
        <v>0.01</v>
      </c>
      <c r="G30" s="75">
        <f t="shared" ref="G30:G32" si="5">D30*E30/F30</f>
        <v>5089.3800988154644</v>
      </c>
    </row>
    <row r="31" spans="1:11" x14ac:dyDescent="0.3">
      <c r="A31" s="102" t="s">
        <v>193</v>
      </c>
      <c r="B31" s="94" t="s">
        <v>147</v>
      </c>
      <c r="C31" s="112" t="s">
        <v>190</v>
      </c>
      <c r="D31" s="110">
        <v>0.24</v>
      </c>
      <c r="E31" s="95">
        <f>0.001^2*PI()</f>
        <v>3.1415926535897929E-6</v>
      </c>
      <c r="F31" s="51">
        <v>0.01</v>
      </c>
      <c r="G31" s="75">
        <f t="shared" si="5"/>
        <v>7.5398223686155033E-5</v>
      </c>
    </row>
    <row r="32" spans="1:11" x14ac:dyDescent="0.3">
      <c r="A32" s="21" t="s">
        <v>192</v>
      </c>
      <c r="B32" s="2" t="s">
        <v>147</v>
      </c>
      <c r="C32" s="22" t="s">
        <v>191</v>
      </c>
      <c r="D32" s="110">
        <v>0.24</v>
      </c>
      <c r="E32" s="95">
        <f>0.001^2*PI()</f>
        <v>3.1415926535897929E-6</v>
      </c>
      <c r="F32" s="51">
        <v>0.01</v>
      </c>
      <c r="G32" s="75">
        <f t="shared" si="5"/>
        <v>7.5398223686155033E-5</v>
      </c>
    </row>
    <row r="33" spans="1:9" x14ac:dyDescent="0.3">
      <c r="A33" s="21" t="s">
        <v>167</v>
      </c>
      <c r="B33" s="2" t="str">
        <f>B34</f>
        <v>Panel</v>
      </c>
      <c r="C33" s="22" t="str">
        <f>C21</f>
        <v>Rad_IR_Tel</v>
      </c>
      <c r="D33" s="110">
        <v>0.24</v>
      </c>
      <c r="E33" s="95">
        <f>0.001^2*PI()</f>
        <v>3.1415926535897929E-6</v>
      </c>
      <c r="F33" s="51">
        <v>0.01</v>
      </c>
      <c r="G33" s="75">
        <f>D33*E33/F33</f>
        <v>7.5398223686155033E-5</v>
      </c>
    </row>
    <row r="34" spans="1:9" ht="15" thickBot="1" x14ac:dyDescent="0.35">
      <c r="A34" s="23" t="s">
        <v>168</v>
      </c>
      <c r="B34" s="24" t="s">
        <v>147</v>
      </c>
      <c r="C34" s="25" t="s">
        <v>142</v>
      </c>
      <c r="D34" s="111">
        <v>0.24</v>
      </c>
      <c r="E34" s="81">
        <f>E33</f>
        <v>3.1415926535897929E-6</v>
      </c>
      <c r="F34" s="52">
        <v>0.01</v>
      </c>
      <c r="G34" s="77">
        <f t="shared" si="4"/>
        <v>7.5398223686155033E-5</v>
      </c>
    </row>
    <row r="35" spans="1:9" x14ac:dyDescent="0.3">
      <c r="I35" s="1" t="s">
        <v>162</v>
      </c>
    </row>
    <row r="36" spans="1:9" ht="15" thickBot="1" x14ac:dyDescent="0.35"/>
    <row r="37" spans="1:9" x14ac:dyDescent="0.3">
      <c r="A37" s="54" t="s">
        <v>127</v>
      </c>
      <c r="B37" s="47" t="s">
        <v>87</v>
      </c>
      <c r="C37" s="49" t="s">
        <v>128</v>
      </c>
      <c r="D37" s="47" t="s">
        <v>158</v>
      </c>
      <c r="E37" s="49" t="s">
        <v>154</v>
      </c>
      <c r="F37" s="62" t="s">
        <v>152</v>
      </c>
    </row>
    <row r="38" spans="1:9" x14ac:dyDescent="0.3">
      <c r="A38" s="57" t="s">
        <v>163</v>
      </c>
      <c r="B38" s="33" t="s">
        <v>149</v>
      </c>
      <c r="C38" s="53" t="s">
        <v>145</v>
      </c>
      <c r="D38" s="33">
        <v>500</v>
      </c>
      <c r="E38" s="53">
        <f>0.04*0.08</f>
        <v>3.2000000000000002E-3</v>
      </c>
      <c r="F38" s="63">
        <f>D38*E38</f>
        <v>1.6</v>
      </c>
    </row>
    <row r="39" spans="1:9" ht="15" thickBot="1" x14ac:dyDescent="0.35">
      <c r="A39" s="58" t="s">
        <v>164</v>
      </c>
      <c r="B39" s="23" t="s">
        <v>149</v>
      </c>
      <c r="C39" s="52" t="s">
        <v>146</v>
      </c>
      <c r="D39" s="23">
        <v>500</v>
      </c>
      <c r="E39" s="52">
        <f>0.02*0.02</f>
        <v>4.0000000000000002E-4</v>
      </c>
      <c r="F39" s="64">
        <f>D39*E39</f>
        <v>0.2</v>
      </c>
    </row>
    <row r="43" spans="1:9" x14ac:dyDescent="0.3">
      <c r="H43" t="s">
        <v>179</v>
      </c>
    </row>
    <row r="46" spans="1:9" x14ac:dyDescent="0.3">
      <c r="C46" t="s">
        <v>181</v>
      </c>
    </row>
    <row r="47" spans="1:9" x14ac:dyDescent="0.3">
      <c r="C47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9B4B1-3F1C-4EF1-9A04-9C094A06A8EE}">
  <dimension ref="A2:M31"/>
  <sheetViews>
    <sheetView topLeftCell="A13" workbookViewId="0">
      <selection activeCell="B32" sqref="B32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hidden="1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51000</v>
      </c>
      <c r="E26" s="34">
        <v>51999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60999</v>
      </c>
      <c r="F28" s="3"/>
    </row>
    <row r="29" spans="1:6" x14ac:dyDescent="0.3">
      <c r="A29" s="33"/>
      <c r="B29" s="29"/>
      <c r="C29" s="13" t="s">
        <v>119</v>
      </c>
      <c r="D29" s="29">
        <v>61000</v>
      </c>
      <c r="E29" s="34">
        <v>61999</v>
      </c>
      <c r="F29" s="3"/>
    </row>
    <row r="30" spans="1:6" ht="15" thickBot="1" x14ac:dyDescent="0.35">
      <c r="A30" s="33"/>
      <c r="B30" s="29"/>
      <c r="C30" s="24" t="s">
        <v>178</v>
      </c>
      <c r="D30" s="24">
        <v>62000</v>
      </c>
      <c r="E30" s="25">
        <v>62999</v>
      </c>
      <c r="F30" s="3"/>
    </row>
    <row r="31" spans="1:6" ht="15" thickBot="1" x14ac:dyDescent="0.35">
      <c r="A31" s="23"/>
      <c r="B31" s="24"/>
      <c r="C31" s="24" t="s">
        <v>183</v>
      </c>
      <c r="D31" s="24">
        <v>63000</v>
      </c>
      <c r="E31" s="25">
        <v>63999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F5359-1665-44CF-A856-0B357D0D1ACE}">
  <dimension ref="A2:M29"/>
  <sheetViews>
    <sheetView workbookViewId="0">
      <selection activeCell="C29" sqref="C29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37" t="s">
        <v>0</v>
      </c>
      <c r="B3" s="38" t="s">
        <v>1</v>
      </c>
      <c r="C3" s="38" t="s">
        <v>2</v>
      </c>
      <c r="D3" s="38" t="s">
        <v>81</v>
      </c>
      <c r="E3" s="39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33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</row>
    <row r="7" spans="1:13" ht="15" thickBot="1" x14ac:dyDescent="0.35">
      <c r="A7" s="23"/>
      <c r="B7" s="67" t="s">
        <v>95</v>
      </c>
      <c r="C7" s="67" t="s">
        <v>96</v>
      </c>
      <c r="D7" s="67">
        <v>12000</v>
      </c>
      <c r="E7" s="68">
        <v>11999</v>
      </c>
      <c r="F7" s="3"/>
      <c r="I7" s="3">
        <v>12345</v>
      </c>
      <c r="K7" t="s">
        <v>33</v>
      </c>
      <c r="L7" t="s">
        <v>34</v>
      </c>
      <c r="M7" t="s">
        <v>35</v>
      </c>
    </row>
    <row r="8" spans="1:13" x14ac:dyDescent="0.3">
      <c r="A8" s="40" t="s">
        <v>4</v>
      </c>
      <c r="B8" s="41"/>
      <c r="C8" s="41" t="s">
        <v>19</v>
      </c>
      <c r="D8" s="41">
        <v>20000</v>
      </c>
      <c r="E8" s="42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106</v>
      </c>
      <c r="H13" s="35"/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107</v>
      </c>
      <c r="H14" s="35"/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113</v>
      </c>
      <c r="D16" s="2">
        <v>40000</v>
      </c>
      <c r="E16" s="22">
        <v>40499</v>
      </c>
      <c r="F16" s="3" t="s">
        <v>90</v>
      </c>
    </row>
    <row r="17" spans="1:6" x14ac:dyDescent="0.3">
      <c r="A17" s="21"/>
      <c r="B17" s="2" t="s">
        <v>3</v>
      </c>
      <c r="C17" s="2" t="s">
        <v>112</v>
      </c>
      <c r="D17" s="2">
        <v>40500</v>
      </c>
      <c r="E17" s="22">
        <v>40999</v>
      </c>
      <c r="F17" s="3"/>
    </row>
    <row r="18" spans="1:6" x14ac:dyDescent="0.3">
      <c r="A18" s="21"/>
      <c r="B18" s="2" t="s">
        <v>114</v>
      </c>
      <c r="C18" s="2" t="s">
        <v>115</v>
      </c>
      <c r="D18" s="2">
        <v>45000</v>
      </c>
      <c r="E18" s="22">
        <v>45999</v>
      </c>
      <c r="F18" s="3"/>
    </row>
    <row r="19" spans="1:6" x14ac:dyDescent="0.3">
      <c r="A19" s="21"/>
      <c r="B19" s="2" t="s">
        <v>13</v>
      </c>
      <c r="C19" s="2" t="s">
        <v>100</v>
      </c>
      <c r="D19" s="2">
        <v>41000</v>
      </c>
      <c r="E19" s="22">
        <v>41999</v>
      </c>
      <c r="F19" s="3" t="s">
        <v>90</v>
      </c>
    </row>
    <row r="20" spans="1:6" x14ac:dyDescent="0.3">
      <c r="A20" s="33"/>
      <c r="B20" s="29" t="s">
        <v>104</v>
      </c>
      <c r="C20" s="29" t="s">
        <v>102</v>
      </c>
      <c r="D20" s="29">
        <v>42000</v>
      </c>
      <c r="E20" s="34">
        <v>42999</v>
      </c>
      <c r="F20" s="3" t="s">
        <v>90</v>
      </c>
    </row>
    <row r="21" spans="1:6" x14ac:dyDescent="0.3">
      <c r="A21" s="33"/>
      <c r="B21" s="29" t="s">
        <v>105</v>
      </c>
      <c r="C21" s="29" t="s">
        <v>103</v>
      </c>
      <c r="D21" s="29">
        <v>43000</v>
      </c>
      <c r="E21" s="34">
        <v>43999</v>
      </c>
      <c r="F21" s="3" t="s">
        <v>90</v>
      </c>
    </row>
    <row r="22" spans="1:6" ht="15" thickBot="1" x14ac:dyDescent="0.35">
      <c r="A22" s="33"/>
      <c r="B22" s="29" t="s">
        <v>14</v>
      </c>
      <c r="C22" s="29" t="s">
        <v>101</v>
      </c>
      <c r="D22" s="29">
        <v>44000</v>
      </c>
      <c r="E22" s="34">
        <v>44999</v>
      </c>
      <c r="F22" s="3" t="s">
        <v>90</v>
      </c>
    </row>
    <row r="23" spans="1:6" x14ac:dyDescent="0.3">
      <c r="A23" s="18" t="s">
        <v>6</v>
      </c>
      <c r="B23" s="19"/>
      <c r="C23" s="19" t="s">
        <v>6</v>
      </c>
      <c r="D23" s="19">
        <v>50000</v>
      </c>
      <c r="E23" s="20">
        <v>59999</v>
      </c>
      <c r="F23" s="3" t="s">
        <v>90</v>
      </c>
    </row>
    <row r="24" spans="1:6" x14ac:dyDescent="0.3">
      <c r="A24" s="21"/>
      <c r="B24" s="2" t="s">
        <v>15</v>
      </c>
      <c r="C24" s="2" t="s">
        <v>26</v>
      </c>
      <c r="D24" s="2">
        <v>50000</v>
      </c>
      <c r="E24" s="22">
        <v>50999</v>
      </c>
      <c r="F24" s="3" t="s">
        <v>90</v>
      </c>
    </row>
    <row r="25" spans="1:6" x14ac:dyDescent="0.3">
      <c r="A25" s="21"/>
      <c r="B25" s="2" t="s">
        <v>16</v>
      </c>
      <c r="C25" s="2" t="s">
        <v>27</v>
      </c>
      <c r="D25" s="2">
        <v>51000</v>
      </c>
      <c r="E25" s="22">
        <v>51999</v>
      </c>
      <c r="F25" s="3" t="s">
        <v>90</v>
      </c>
    </row>
    <row r="26" spans="1:6" ht="15" thickBot="1" x14ac:dyDescent="0.35">
      <c r="A26" s="33"/>
      <c r="B26" s="29" t="s">
        <v>116</v>
      </c>
      <c r="C26" s="29" t="s">
        <v>117</v>
      </c>
      <c r="D26" s="29">
        <v>52000</v>
      </c>
      <c r="E26" s="34">
        <v>52999</v>
      </c>
      <c r="F26" s="3" t="s">
        <v>90</v>
      </c>
    </row>
    <row r="27" spans="1:6" x14ac:dyDescent="0.3">
      <c r="A27" s="18" t="s">
        <v>7</v>
      </c>
      <c r="B27" s="19"/>
      <c r="C27" s="19" t="s">
        <v>28</v>
      </c>
      <c r="D27" s="19">
        <v>60000</v>
      </c>
      <c r="E27" s="20">
        <v>69999</v>
      </c>
      <c r="F27" s="3"/>
    </row>
    <row r="28" spans="1:6" x14ac:dyDescent="0.3">
      <c r="A28" s="21"/>
      <c r="B28" s="2"/>
      <c r="C28" s="2" t="s">
        <v>118</v>
      </c>
      <c r="D28" s="2">
        <v>60000</v>
      </c>
      <c r="E28" s="22">
        <v>69999</v>
      </c>
      <c r="F28" s="3"/>
    </row>
    <row r="29" spans="1:6" ht="15" thickBot="1" x14ac:dyDescent="0.35">
      <c r="A29" s="23"/>
      <c r="B29" s="24"/>
      <c r="C29" s="24" t="s">
        <v>119</v>
      </c>
      <c r="D29" s="24">
        <v>61000</v>
      </c>
      <c r="E29" s="25">
        <v>69999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M24"/>
  <sheetViews>
    <sheetView workbookViewId="0">
      <selection activeCell="H13" sqref="H13"/>
    </sheetView>
  </sheetViews>
  <sheetFormatPr defaultColWidth="8.88671875" defaultRowHeight="14.4" x14ac:dyDescent="0.3"/>
  <cols>
    <col min="1" max="1" width="17.6640625" customWidth="1"/>
    <col min="2" max="2" width="20.6640625" customWidth="1"/>
    <col min="3" max="3" width="13.6640625" customWidth="1"/>
    <col min="7" max="8" width="10" customWidth="1"/>
    <col min="9" max="9" width="15.109375" customWidth="1"/>
    <col min="10" max="10" width="14.5546875" customWidth="1"/>
    <col min="11" max="11" width="10.21875" customWidth="1"/>
    <col min="12" max="12" width="13.109375" customWidth="1"/>
    <col min="13" max="13" width="17.33203125" customWidth="1"/>
  </cols>
  <sheetData>
    <row r="2" spans="1:13" ht="15" thickBot="1" x14ac:dyDescent="0.35"/>
    <row r="3" spans="1:13" ht="15" thickBot="1" x14ac:dyDescent="0.35">
      <c r="A3" s="26" t="s">
        <v>0</v>
      </c>
      <c r="B3" s="27" t="s">
        <v>1</v>
      </c>
      <c r="C3" s="27" t="s">
        <v>2</v>
      </c>
      <c r="D3" s="27" t="s">
        <v>81</v>
      </c>
      <c r="E3" s="28" t="s">
        <v>82</v>
      </c>
    </row>
    <row r="4" spans="1:13" x14ac:dyDescent="0.3">
      <c r="A4" s="18" t="s">
        <v>3</v>
      </c>
      <c r="B4" s="19"/>
      <c r="C4" s="19" t="s">
        <v>17</v>
      </c>
      <c r="D4" s="19">
        <v>10000</v>
      </c>
      <c r="E4" s="20">
        <v>19999</v>
      </c>
      <c r="F4" s="3" t="s">
        <v>90</v>
      </c>
      <c r="I4" s="1" t="s">
        <v>29</v>
      </c>
      <c r="J4" s="1"/>
      <c r="K4" s="1" t="s">
        <v>30</v>
      </c>
      <c r="L4" s="1" t="s">
        <v>31</v>
      </c>
      <c r="M4" s="1" t="s">
        <v>32</v>
      </c>
    </row>
    <row r="5" spans="1:13" x14ac:dyDescent="0.3">
      <c r="A5" s="21"/>
      <c r="B5" s="2" t="s">
        <v>8</v>
      </c>
      <c r="C5" s="2" t="s">
        <v>18</v>
      </c>
      <c r="D5" s="2">
        <v>10000</v>
      </c>
      <c r="E5" s="22">
        <v>10999</v>
      </c>
      <c r="F5" s="3" t="s">
        <v>90</v>
      </c>
    </row>
    <row r="6" spans="1:13" x14ac:dyDescent="0.3">
      <c r="A6" s="21"/>
      <c r="B6" s="2" t="s">
        <v>95</v>
      </c>
      <c r="C6" s="2" t="s">
        <v>97</v>
      </c>
      <c r="D6" s="2">
        <v>11000</v>
      </c>
      <c r="E6" s="22">
        <v>11999</v>
      </c>
      <c r="F6" s="3" t="s">
        <v>90</v>
      </c>
      <c r="I6" s="3">
        <v>12345</v>
      </c>
      <c r="K6" t="s">
        <v>33</v>
      </c>
      <c r="L6" t="s">
        <v>34</v>
      </c>
      <c r="M6" t="s">
        <v>35</v>
      </c>
    </row>
    <row r="7" spans="1:13" ht="15" thickBot="1" x14ac:dyDescent="0.35">
      <c r="A7" s="23"/>
      <c r="B7" s="24" t="s">
        <v>94</v>
      </c>
      <c r="C7" s="24" t="s">
        <v>96</v>
      </c>
      <c r="D7" s="24">
        <v>12000</v>
      </c>
      <c r="E7" s="25">
        <v>12999</v>
      </c>
      <c r="F7" s="3" t="s">
        <v>90</v>
      </c>
      <c r="I7" s="3"/>
    </row>
    <row r="8" spans="1:13" x14ac:dyDescent="0.3">
      <c r="A8" s="18" t="s">
        <v>4</v>
      </c>
      <c r="B8" s="19"/>
      <c r="C8" s="19" t="s">
        <v>19</v>
      </c>
      <c r="D8" s="19">
        <v>20000</v>
      </c>
      <c r="E8" s="20">
        <v>29999</v>
      </c>
      <c r="F8" s="3" t="s">
        <v>90</v>
      </c>
    </row>
    <row r="9" spans="1:13" x14ac:dyDescent="0.3">
      <c r="A9" s="21"/>
      <c r="B9" s="2" t="s">
        <v>3</v>
      </c>
      <c r="C9" s="2" t="s">
        <v>20</v>
      </c>
      <c r="D9" s="2">
        <v>20000</v>
      </c>
      <c r="E9" s="22">
        <v>20999</v>
      </c>
      <c r="F9" s="3" t="s">
        <v>90</v>
      </c>
    </row>
    <row r="10" spans="1:13" ht="15" thickBot="1" x14ac:dyDescent="0.35">
      <c r="A10" s="23"/>
      <c r="B10" s="24" t="s">
        <v>9</v>
      </c>
      <c r="C10" s="24" t="s">
        <v>21</v>
      </c>
      <c r="D10" s="24">
        <v>21000</v>
      </c>
      <c r="E10" s="25">
        <v>21999</v>
      </c>
      <c r="F10" s="3" t="s">
        <v>90</v>
      </c>
      <c r="I10" s="1" t="s">
        <v>0</v>
      </c>
      <c r="J10" s="1" t="s">
        <v>1</v>
      </c>
      <c r="K10" s="1" t="s">
        <v>83</v>
      </c>
    </row>
    <row r="11" spans="1:13" x14ac:dyDescent="0.3">
      <c r="A11" s="18" t="s">
        <v>5</v>
      </c>
      <c r="B11" s="19"/>
      <c r="C11" s="19" t="s">
        <v>22</v>
      </c>
      <c r="D11" s="19">
        <v>30000</v>
      </c>
      <c r="E11" s="20">
        <v>39999</v>
      </c>
      <c r="F11" s="3" t="s">
        <v>90</v>
      </c>
      <c r="I11" t="s">
        <v>84</v>
      </c>
      <c r="J11" t="s">
        <v>85</v>
      </c>
      <c r="K11" t="s">
        <v>86</v>
      </c>
    </row>
    <row r="12" spans="1:13" x14ac:dyDescent="0.3">
      <c r="A12" s="21"/>
      <c r="B12" s="2" t="s">
        <v>10</v>
      </c>
      <c r="C12" s="2" t="s">
        <v>23</v>
      </c>
      <c r="D12" s="2">
        <v>30000</v>
      </c>
      <c r="E12" s="22">
        <v>30999</v>
      </c>
      <c r="F12" s="3" t="s">
        <v>90</v>
      </c>
    </row>
    <row r="13" spans="1:13" x14ac:dyDescent="0.3">
      <c r="A13" s="21"/>
      <c r="B13" s="2" t="s">
        <v>11</v>
      </c>
      <c r="C13" s="2" t="s">
        <v>24</v>
      </c>
      <c r="D13" s="2">
        <v>31000</v>
      </c>
      <c r="E13" s="22">
        <v>31999</v>
      </c>
      <c r="F13" s="3" t="s">
        <v>90</v>
      </c>
      <c r="G13" s="35" t="s">
        <v>107</v>
      </c>
      <c r="H13" s="35" t="s">
        <v>111</v>
      </c>
    </row>
    <row r="14" spans="1:13" ht="15" thickBot="1" x14ac:dyDescent="0.35">
      <c r="A14" s="23"/>
      <c r="B14" s="24" t="s">
        <v>12</v>
      </c>
      <c r="C14" s="24" t="s">
        <v>25</v>
      </c>
      <c r="D14" s="24">
        <v>32000</v>
      </c>
      <c r="E14" s="25">
        <v>32999</v>
      </c>
      <c r="F14" s="3" t="s">
        <v>90</v>
      </c>
      <c r="G14" s="35" t="s">
        <v>106</v>
      </c>
    </row>
    <row r="15" spans="1:13" x14ac:dyDescent="0.3">
      <c r="A15" s="18" t="s">
        <v>80</v>
      </c>
      <c r="B15" s="19"/>
      <c r="C15" s="19" t="s">
        <v>98</v>
      </c>
      <c r="D15" s="19">
        <v>40000</v>
      </c>
      <c r="E15" s="20">
        <v>49999</v>
      </c>
      <c r="F15" s="3" t="s">
        <v>90</v>
      </c>
    </row>
    <row r="16" spans="1:13" x14ac:dyDescent="0.3">
      <c r="A16" s="21"/>
      <c r="B16" s="2" t="s">
        <v>3</v>
      </c>
      <c r="C16" s="2" t="s">
        <v>99</v>
      </c>
      <c r="D16" s="2">
        <v>40000</v>
      </c>
      <c r="E16" s="22">
        <v>40999</v>
      </c>
      <c r="F16" s="3" t="s">
        <v>90</v>
      </c>
    </row>
    <row r="17" spans="1:6" x14ac:dyDescent="0.3">
      <c r="A17" s="21"/>
      <c r="B17" s="2" t="s">
        <v>13</v>
      </c>
      <c r="C17" s="2" t="s">
        <v>100</v>
      </c>
      <c r="D17" s="2">
        <v>41000</v>
      </c>
      <c r="E17" s="22">
        <v>41999</v>
      </c>
      <c r="F17" s="3" t="s">
        <v>90</v>
      </c>
    </row>
    <row r="18" spans="1:6" x14ac:dyDescent="0.3">
      <c r="A18" s="33"/>
      <c r="B18" s="29" t="s">
        <v>104</v>
      </c>
      <c r="C18" s="29" t="s">
        <v>102</v>
      </c>
      <c r="D18" s="29">
        <v>42000</v>
      </c>
      <c r="E18" s="34">
        <v>42999</v>
      </c>
      <c r="F18" s="3" t="s">
        <v>90</v>
      </c>
    </row>
    <row r="19" spans="1:6" x14ac:dyDescent="0.3">
      <c r="A19" s="33"/>
      <c r="B19" s="29" t="s">
        <v>105</v>
      </c>
      <c r="C19" s="29" t="s">
        <v>103</v>
      </c>
      <c r="D19" s="29">
        <v>43000</v>
      </c>
      <c r="E19" s="34">
        <v>43999</v>
      </c>
      <c r="F19" s="3" t="s">
        <v>90</v>
      </c>
    </row>
    <row r="20" spans="1:6" ht="15" thickBot="1" x14ac:dyDescent="0.35">
      <c r="A20" s="23"/>
      <c r="B20" s="24" t="s">
        <v>14</v>
      </c>
      <c r="C20" s="24" t="s">
        <v>101</v>
      </c>
      <c r="D20" s="24">
        <v>44000</v>
      </c>
      <c r="E20" s="25">
        <v>44999</v>
      </c>
      <c r="F20" s="3" t="s">
        <v>90</v>
      </c>
    </row>
    <row r="21" spans="1:6" x14ac:dyDescent="0.3">
      <c r="A21" s="18" t="s">
        <v>6</v>
      </c>
      <c r="B21" s="19"/>
      <c r="C21" s="19" t="s">
        <v>6</v>
      </c>
      <c r="D21" s="19">
        <v>50000</v>
      </c>
      <c r="E21" s="20">
        <v>59999</v>
      </c>
      <c r="F21" s="3" t="s">
        <v>90</v>
      </c>
    </row>
    <row r="22" spans="1:6" x14ac:dyDescent="0.3">
      <c r="A22" s="21"/>
      <c r="B22" s="2" t="s">
        <v>15</v>
      </c>
      <c r="C22" s="2" t="s">
        <v>26</v>
      </c>
      <c r="D22" s="2">
        <v>50000</v>
      </c>
      <c r="E22" s="22">
        <v>50999</v>
      </c>
      <c r="F22" s="3" t="s">
        <v>90</v>
      </c>
    </row>
    <row r="23" spans="1:6" ht="15" thickBot="1" x14ac:dyDescent="0.35">
      <c r="A23" s="23"/>
      <c r="B23" s="24" t="s">
        <v>16</v>
      </c>
      <c r="C23" s="24" t="s">
        <v>27</v>
      </c>
      <c r="D23" s="24">
        <v>51000</v>
      </c>
      <c r="E23" s="25">
        <v>51999</v>
      </c>
      <c r="F23" s="3" t="s">
        <v>90</v>
      </c>
    </row>
    <row r="24" spans="1:6" ht="15" thickBot="1" x14ac:dyDescent="0.35">
      <c r="A24" s="30" t="s">
        <v>7</v>
      </c>
      <c r="B24" s="31"/>
      <c r="C24" s="31" t="s">
        <v>28</v>
      </c>
      <c r="D24" s="31">
        <v>60000</v>
      </c>
      <c r="E24" s="32">
        <v>69999</v>
      </c>
      <c r="F24" s="3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F8544-D7D6-4224-89B9-DF05E87627C2}">
  <dimension ref="A2:M43"/>
  <sheetViews>
    <sheetView topLeftCell="A5" workbookViewId="0">
      <pane xSplit="1" topLeftCell="B1" activePane="topRight" state="frozen"/>
      <selection pane="topRight" activeCell="H24" sqref="H24"/>
    </sheetView>
  </sheetViews>
  <sheetFormatPr defaultRowHeight="14.4" x14ac:dyDescent="0.3"/>
  <cols>
    <col min="1" max="1" width="21.77734375" bestFit="1" customWidth="1"/>
    <col min="2" max="2" width="11.109375" bestFit="1" customWidth="1"/>
    <col min="3" max="3" width="13.109375" customWidth="1"/>
    <col min="4" max="4" width="13" customWidth="1"/>
    <col min="5" max="5" width="10.6640625" customWidth="1"/>
    <col min="6" max="6" width="8.5546875" customWidth="1"/>
    <col min="7" max="7" width="12.44140625" customWidth="1"/>
    <col min="8" max="8" width="13.33203125" customWidth="1"/>
    <col min="9" max="9" width="11.21875" bestFit="1" customWidth="1"/>
    <col min="10" max="10" width="9.44140625" customWidth="1"/>
  </cols>
  <sheetData>
    <row r="2" spans="1:13" ht="15" thickBot="1" x14ac:dyDescent="0.35"/>
    <row r="3" spans="1:13" x14ac:dyDescent="0.3">
      <c r="A3" s="54" t="s">
        <v>127</v>
      </c>
      <c r="B3" s="47" t="s">
        <v>87</v>
      </c>
      <c r="C3" s="48" t="s">
        <v>128</v>
      </c>
      <c r="D3" s="59" t="s">
        <v>151</v>
      </c>
      <c r="E3" s="48" t="s">
        <v>156</v>
      </c>
      <c r="F3" s="49" t="s">
        <v>153</v>
      </c>
      <c r="G3" s="49" t="s">
        <v>154</v>
      </c>
      <c r="H3" s="49" t="s">
        <v>158</v>
      </c>
      <c r="I3" s="49" t="s">
        <v>157</v>
      </c>
      <c r="J3" s="49" t="s">
        <v>155</v>
      </c>
      <c r="K3" s="82" t="s">
        <v>152</v>
      </c>
    </row>
    <row r="4" spans="1:13" hidden="1" x14ac:dyDescent="0.3">
      <c r="A4" s="55" t="s">
        <v>129</v>
      </c>
      <c r="B4" s="18" t="s">
        <v>110</v>
      </c>
      <c r="C4" s="20" t="s">
        <v>17</v>
      </c>
      <c r="D4" s="18">
        <v>4.0099999999999997E-2</v>
      </c>
      <c r="E4" s="50">
        <f>MATERIALS!B14</f>
        <v>124</v>
      </c>
      <c r="F4" s="69">
        <f>PI()*(0.07^2)*0.001</f>
        <v>1.5393804002589989E-5</v>
      </c>
      <c r="G4" s="19">
        <f>MIN(F4,J4)</f>
        <v>1.5393804002589989E-5</v>
      </c>
      <c r="H4" s="50">
        <v>50</v>
      </c>
      <c r="I4" s="50">
        <v>0.24</v>
      </c>
      <c r="J4" s="50">
        <f>0.01*0.4</f>
        <v>4.0000000000000001E-3</v>
      </c>
      <c r="K4" s="83">
        <f>1 / ( (D4/(E4*F4)) + (1/(G4*H4))+(D4/(I4*J4)))</f>
        <v>7.3421305756203787E-4</v>
      </c>
    </row>
    <row r="5" spans="1:13" x14ac:dyDescent="0.3">
      <c r="A5" s="57" t="s">
        <v>133</v>
      </c>
      <c r="B5" s="33" t="s">
        <v>134</v>
      </c>
      <c r="C5" s="22" t="s">
        <v>135</v>
      </c>
      <c r="D5" s="33">
        <f>0.001+0.08</f>
        <v>8.1000000000000003E-2</v>
      </c>
      <c r="E5" s="53">
        <f>MATERIALS!B11</f>
        <v>59</v>
      </c>
      <c r="F5" s="73">
        <f>PI()*(0.08^2)*0.01</f>
        <v>2.0106192982974677E-4</v>
      </c>
      <c r="G5" s="72">
        <f>MIN(F5,J5)</f>
        <v>4.0212385965949353E-5</v>
      </c>
      <c r="H5" s="53">
        <v>100</v>
      </c>
      <c r="I5" s="53">
        <v>0.24</v>
      </c>
      <c r="J5" s="53">
        <f>PI()*(0.08^2)*0.002</f>
        <v>4.0212385965949353E-5</v>
      </c>
      <c r="K5" s="83">
        <f t="shared" ref="K5:K17" si="0">1 / ( (D5/(E5*F5)) + (1/(G5*H5))+(D5/(I5*J5)))</f>
        <v>1.1562773333549455E-4</v>
      </c>
    </row>
    <row r="6" spans="1:13" x14ac:dyDescent="0.3">
      <c r="A6" s="57" t="s">
        <v>137</v>
      </c>
      <c r="B6" s="33" t="s">
        <v>135</v>
      </c>
      <c r="C6" s="22" t="s">
        <v>110</v>
      </c>
      <c r="D6" s="21">
        <f>0.01+0.07</f>
        <v>0.08</v>
      </c>
      <c r="E6" s="53">
        <f>I5</f>
        <v>0.24</v>
      </c>
      <c r="F6" s="53">
        <f>J5</f>
        <v>4.0212385965949353E-5</v>
      </c>
      <c r="G6" s="53">
        <f t="shared" ref="G6:G17" si="1">MIN(F6,J6)</f>
        <v>1.5393804002589989E-5</v>
      </c>
      <c r="H6" s="53">
        <v>100</v>
      </c>
      <c r="I6" s="53">
        <v>0.24</v>
      </c>
      <c r="J6" s="70">
        <f>F4</f>
        <v>1.5393804002589989E-5</v>
      </c>
      <c r="K6" s="83">
        <f t="shared" si="0"/>
        <v>3.2687573197271373E-5</v>
      </c>
    </row>
    <row r="7" spans="1:13" x14ac:dyDescent="0.3">
      <c r="A7" s="57" t="s">
        <v>138</v>
      </c>
      <c r="B7" s="33" t="s">
        <v>135</v>
      </c>
      <c r="C7" s="34" t="s">
        <v>140</v>
      </c>
      <c r="D7" s="33">
        <v>4.4999999999999998E-2</v>
      </c>
      <c r="E7" s="53">
        <f>E6</f>
        <v>0.24</v>
      </c>
      <c r="F7" s="53">
        <f>F6</f>
        <v>4.0212385965949353E-5</v>
      </c>
      <c r="G7" s="53">
        <f t="shared" si="1"/>
        <v>4.0212385965949353E-5</v>
      </c>
      <c r="H7" s="53">
        <v>100</v>
      </c>
      <c r="I7" s="53">
        <f>MATERIALS!B6</f>
        <v>160</v>
      </c>
      <c r="J7" s="71">
        <f>F17</f>
        <v>4.908738521234052E-5</v>
      </c>
      <c r="K7" s="83">
        <f t="shared" si="0"/>
        <v>2.0336976997947383E-4</v>
      </c>
    </row>
    <row r="8" spans="1:13" x14ac:dyDescent="0.3">
      <c r="A8" s="57" t="s">
        <v>136</v>
      </c>
      <c r="B8" s="33" t="s">
        <v>140</v>
      </c>
      <c r="C8" s="34" t="s">
        <v>141</v>
      </c>
      <c r="D8" s="33">
        <v>0.13</v>
      </c>
      <c r="E8" s="53">
        <v>160</v>
      </c>
      <c r="F8" s="53">
        <v>4.908738521234052E-5</v>
      </c>
      <c r="G8" s="53">
        <f t="shared" si="1"/>
        <v>4.908738521234052E-5</v>
      </c>
      <c r="H8" s="53">
        <v>300</v>
      </c>
      <c r="I8" s="53">
        <v>160</v>
      </c>
      <c r="J8" s="71">
        <v>4.0000000000000001E-3</v>
      </c>
      <c r="K8" s="83">
        <f t="shared" si="0"/>
        <v>1.1811765605433695E-2</v>
      </c>
    </row>
    <row r="9" spans="1:13" x14ac:dyDescent="0.3">
      <c r="A9" s="57" t="s">
        <v>170</v>
      </c>
      <c r="B9" s="33" t="s">
        <v>147</v>
      </c>
      <c r="C9" s="53" t="s">
        <v>166</v>
      </c>
      <c r="D9" s="33">
        <v>0.1</v>
      </c>
      <c r="E9" s="53">
        <v>160</v>
      </c>
      <c r="F9" s="53">
        <f>0.002*0.125</f>
        <v>2.5000000000000001E-4</v>
      </c>
      <c r="G9" s="53">
        <f t="shared" si="1"/>
        <v>2.5000000000000001E-4</v>
      </c>
      <c r="H9" s="53">
        <v>300</v>
      </c>
      <c r="I9" s="53">
        <v>160</v>
      </c>
      <c r="J9" s="71">
        <f>F13</f>
        <v>4.0000000000000002E-4</v>
      </c>
      <c r="K9" s="83">
        <f t="shared" si="0"/>
        <v>5.7485029940119753E-2</v>
      </c>
    </row>
    <row r="10" spans="1:13" x14ac:dyDescent="0.3">
      <c r="A10" s="57" t="s">
        <v>171</v>
      </c>
      <c r="B10" s="33" t="str">
        <f>B9</f>
        <v>Panel</v>
      </c>
      <c r="C10" s="53" t="str">
        <f>C9</f>
        <v>Plate 1</v>
      </c>
      <c r="D10" s="33">
        <v>7.4999999999999997E-2</v>
      </c>
      <c r="E10" s="53">
        <f>E9</f>
        <v>160</v>
      </c>
      <c r="F10" s="53">
        <f>0.002*0.15</f>
        <v>2.9999999999999997E-4</v>
      </c>
      <c r="G10" s="53">
        <f t="shared" si="1"/>
        <v>2.9999999999999997E-4</v>
      </c>
      <c r="H10" s="53">
        <f>H9</f>
        <v>300</v>
      </c>
      <c r="I10" s="53">
        <f>I9</f>
        <v>160</v>
      </c>
      <c r="J10" s="71">
        <f t="shared" ref="J10:J12" si="2">F14</f>
        <v>2.9999999999999997E-4</v>
      </c>
      <c r="K10" s="83">
        <f t="shared" si="0"/>
        <v>7.0243902439024397E-2</v>
      </c>
    </row>
    <row r="11" spans="1:13" x14ac:dyDescent="0.3">
      <c r="A11" s="57" t="s">
        <v>172</v>
      </c>
      <c r="B11" s="33" t="s">
        <v>147</v>
      </c>
      <c r="C11" s="53" t="s">
        <v>165</v>
      </c>
      <c r="D11" s="33">
        <v>0.1</v>
      </c>
      <c r="E11" s="53">
        <v>160</v>
      </c>
      <c r="F11" s="53">
        <f>F9</f>
        <v>2.5000000000000001E-4</v>
      </c>
      <c r="G11" s="53">
        <f t="shared" si="1"/>
        <v>2.5000000000000001E-4</v>
      </c>
      <c r="H11" s="53">
        <v>300</v>
      </c>
      <c r="I11" s="53">
        <v>160</v>
      </c>
      <c r="J11" s="71">
        <f t="shared" si="2"/>
        <v>4.0000000000000002E-4</v>
      </c>
      <c r="K11" s="83">
        <f t="shared" si="0"/>
        <v>5.7485029940119753E-2</v>
      </c>
    </row>
    <row r="12" spans="1:13" x14ac:dyDescent="0.3">
      <c r="A12" s="57" t="s">
        <v>173</v>
      </c>
      <c r="B12" s="33" t="str">
        <f>B11</f>
        <v>Panel</v>
      </c>
      <c r="C12" s="53" t="str">
        <f>C11</f>
        <v>Plate 2</v>
      </c>
      <c r="D12" s="33">
        <f>D10</f>
        <v>7.4999999999999997E-2</v>
      </c>
      <c r="E12" s="53">
        <f>E11</f>
        <v>160</v>
      </c>
      <c r="F12" s="53">
        <f>F10</f>
        <v>2.9999999999999997E-4</v>
      </c>
      <c r="G12" s="53">
        <f t="shared" si="1"/>
        <v>2.9999999999999997E-4</v>
      </c>
      <c r="H12" s="53">
        <f>H11</f>
        <v>300</v>
      </c>
      <c r="I12" s="53">
        <f>I11</f>
        <v>160</v>
      </c>
      <c r="J12" s="71">
        <f t="shared" si="2"/>
        <v>2.9999999999999997E-4</v>
      </c>
      <c r="K12" s="83">
        <f t="shared" si="0"/>
        <v>7.0243902439024397E-2</v>
      </c>
    </row>
    <row r="13" spans="1:13" x14ac:dyDescent="0.3">
      <c r="A13" s="57" t="s">
        <v>174</v>
      </c>
      <c r="B13" s="33" t="s">
        <v>166</v>
      </c>
      <c r="C13" s="53" t="s">
        <v>147</v>
      </c>
      <c r="D13" s="33">
        <v>0.1</v>
      </c>
      <c r="E13" s="53">
        <v>160</v>
      </c>
      <c r="F13" s="53">
        <f>0.002*0.2</f>
        <v>4.0000000000000002E-4</v>
      </c>
      <c r="G13" s="53">
        <f t="shared" si="1"/>
        <v>2.5000000000000001E-4</v>
      </c>
      <c r="H13" s="53">
        <v>300</v>
      </c>
      <c r="I13" s="53">
        <v>160</v>
      </c>
      <c r="J13" s="71">
        <f>F9</f>
        <v>2.5000000000000001E-4</v>
      </c>
      <c r="K13" s="83">
        <f t="shared" si="0"/>
        <v>5.7485029940119753E-2</v>
      </c>
    </row>
    <row r="14" spans="1:13" x14ac:dyDescent="0.3">
      <c r="A14" s="57" t="s">
        <v>175</v>
      </c>
      <c r="B14" s="33" t="str">
        <f>B13</f>
        <v>Plate 1</v>
      </c>
      <c r="C14" s="53" t="str">
        <f>C13</f>
        <v>Panel</v>
      </c>
      <c r="D14" s="33">
        <f>D12</f>
        <v>7.4999999999999997E-2</v>
      </c>
      <c r="E14" s="53">
        <f>E13</f>
        <v>160</v>
      </c>
      <c r="F14" s="53">
        <f>0.002*0.15</f>
        <v>2.9999999999999997E-4</v>
      </c>
      <c r="G14" s="53">
        <f t="shared" si="1"/>
        <v>2.9999999999999997E-4</v>
      </c>
      <c r="H14" s="53">
        <f>H13</f>
        <v>300</v>
      </c>
      <c r="I14" s="53">
        <f>I13</f>
        <v>160</v>
      </c>
      <c r="J14" s="71">
        <f t="shared" ref="J14:J16" si="3">F10</f>
        <v>2.9999999999999997E-4</v>
      </c>
      <c r="K14" s="83">
        <f t="shared" si="0"/>
        <v>7.0243902439024397E-2</v>
      </c>
    </row>
    <row r="15" spans="1:13" x14ac:dyDescent="0.3">
      <c r="A15" s="57" t="s">
        <v>176</v>
      </c>
      <c r="B15" s="33" t="s">
        <v>165</v>
      </c>
      <c r="C15" s="53" t="s">
        <v>147</v>
      </c>
      <c r="D15" s="33">
        <v>0.1</v>
      </c>
      <c r="E15" s="53">
        <v>160</v>
      </c>
      <c r="F15" s="53">
        <f>F13</f>
        <v>4.0000000000000002E-4</v>
      </c>
      <c r="G15" s="53">
        <f t="shared" si="1"/>
        <v>2.5000000000000001E-4</v>
      </c>
      <c r="H15" s="53">
        <v>300</v>
      </c>
      <c r="I15" s="53">
        <v>160</v>
      </c>
      <c r="J15" s="71">
        <f t="shared" si="3"/>
        <v>2.5000000000000001E-4</v>
      </c>
      <c r="K15" s="83">
        <f t="shared" si="0"/>
        <v>5.7485029940119753E-2</v>
      </c>
    </row>
    <row r="16" spans="1:13" x14ac:dyDescent="0.3">
      <c r="A16" s="57" t="s">
        <v>177</v>
      </c>
      <c r="B16" s="33" t="str">
        <f>B15</f>
        <v>Plate 2</v>
      </c>
      <c r="C16" s="53" t="str">
        <f>C15</f>
        <v>Panel</v>
      </c>
      <c r="D16" s="33">
        <f>D14</f>
        <v>7.4999999999999997E-2</v>
      </c>
      <c r="E16" s="53">
        <f>E15</f>
        <v>160</v>
      </c>
      <c r="F16" s="53">
        <f>F14</f>
        <v>2.9999999999999997E-4</v>
      </c>
      <c r="G16" s="53">
        <f t="shared" si="1"/>
        <v>2.9999999999999997E-4</v>
      </c>
      <c r="H16" s="53">
        <f>H15</f>
        <v>300</v>
      </c>
      <c r="I16" s="53">
        <f>I15</f>
        <v>160</v>
      </c>
      <c r="J16" s="71">
        <f t="shared" si="3"/>
        <v>2.9999999999999997E-4</v>
      </c>
      <c r="K16" s="83">
        <f t="shared" si="0"/>
        <v>7.0243902439024397E-2</v>
      </c>
      <c r="M16" t="s">
        <v>180</v>
      </c>
    </row>
    <row r="17" spans="1:11" ht="15" thickBot="1" x14ac:dyDescent="0.35">
      <c r="A17" s="58" t="s">
        <v>136</v>
      </c>
      <c r="B17" s="23" t="s">
        <v>140</v>
      </c>
      <c r="C17" s="25" t="s">
        <v>141</v>
      </c>
      <c r="D17" s="23">
        <f>0.005+0.125</f>
        <v>0.13</v>
      </c>
      <c r="E17" s="52">
        <f>I7</f>
        <v>160</v>
      </c>
      <c r="F17" s="52">
        <f>PI()*(0.125^2)*0.001</f>
        <v>4.908738521234052E-5</v>
      </c>
      <c r="G17" s="52">
        <f t="shared" si="1"/>
        <v>4.908738521234052E-5</v>
      </c>
      <c r="H17" s="52">
        <v>300</v>
      </c>
      <c r="I17" s="52">
        <f>E17</f>
        <v>160</v>
      </c>
      <c r="J17" s="52">
        <f>J4</f>
        <v>4.0000000000000001E-3</v>
      </c>
      <c r="K17" s="64">
        <f t="shared" si="0"/>
        <v>1.1811765605433695E-2</v>
      </c>
    </row>
    <row r="19" spans="1:11" ht="15" thickBot="1" x14ac:dyDescent="0.35"/>
    <row r="20" spans="1:11" x14ac:dyDescent="0.3">
      <c r="A20" s="54" t="s">
        <v>127</v>
      </c>
      <c r="B20" s="47" t="s">
        <v>87</v>
      </c>
      <c r="C20" s="49" t="s">
        <v>128</v>
      </c>
      <c r="D20" s="47" t="s">
        <v>159</v>
      </c>
      <c r="E20" s="48" t="s">
        <v>154</v>
      </c>
      <c r="F20" s="49" t="s">
        <v>160</v>
      </c>
      <c r="G20" s="62" t="s">
        <v>152</v>
      </c>
      <c r="I20" s="74" t="s">
        <v>169</v>
      </c>
    </row>
    <row r="21" spans="1:11" x14ac:dyDescent="0.3">
      <c r="A21" s="56" t="s">
        <v>130</v>
      </c>
      <c r="B21" s="21" t="s">
        <v>110</v>
      </c>
      <c r="C21" s="51" t="s">
        <v>143</v>
      </c>
      <c r="D21" s="60">
        <v>50000</v>
      </c>
      <c r="E21" s="78">
        <f>0.06^2*PI()</f>
        <v>1.1309733552923255E-2</v>
      </c>
      <c r="F21" s="61">
        <f>0.21</f>
        <v>0.21</v>
      </c>
      <c r="G21" s="75">
        <f t="shared" ref="G21:G30" si="4">D21*E21/F21</f>
        <v>2692.7937030769658</v>
      </c>
      <c r="I21" s="1" t="s">
        <v>161</v>
      </c>
    </row>
    <row r="22" spans="1:11" x14ac:dyDescent="0.3">
      <c r="A22" s="57" t="s">
        <v>132</v>
      </c>
      <c r="B22" s="33" t="s">
        <v>131</v>
      </c>
      <c r="C22" s="53" t="s">
        <v>142</v>
      </c>
      <c r="D22" s="60">
        <v>50000</v>
      </c>
      <c r="E22" s="78">
        <f>0.035^2*PI()</f>
        <v>3.8484510006474969E-3</v>
      </c>
      <c r="F22" s="61">
        <v>0.19</v>
      </c>
      <c r="G22" s="75">
        <f t="shared" si="4"/>
        <v>1012.7502633282887</v>
      </c>
    </row>
    <row r="23" spans="1:11" x14ac:dyDescent="0.3">
      <c r="A23" s="57" t="s">
        <v>187</v>
      </c>
      <c r="B23" s="33" t="s">
        <v>99</v>
      </c>
      <c r="C23" s="35" t="s">
        <v>184</v>
      </c>
      <c r="D23" s="60"/>
      <c r="E23" s="78"/>
      <c r="F23" s="61"/>
      <c r="G23" s="75"/>
    </row>
    <row r="24" spans="1:11" x14ac:dyDescent="0.3">
      <c r="A24" s="35" t="s">
        <v>186</v>
      </c>
      <c r="B24" s="35" t="s">
        <v>188</v>
      </c>
      <c r="C24" s="35" t="s">
        <v>184</v>
      </c>
    </row>
    <row r="25" spans="1:11" x14ac:dyDescent="0.3">
      <c r="A25" s="35" t="s">
        <v>189</v>
      </c>
      <c r="B25" s="35" t="s">
        <v>147</v>
      </c>
      <c r="C25" s="35" t="s">
        <v>190</v>
      </c>
    </row>
    <row r="26" spans="1:11" x14ac:dyDescent="0.3">
      <c r="A26" s="57" t="s">
        <v>139</v>
      </c>
      <c r="B26" s="33" t="s">
        <v>145</v>
      </c>
      <c r="C26" s="53" t="s">
        <v>142</v>
      </c>
      <c r="D26" s="60">
        <f>D22</f>
        <v>50000</v>
      </c>
      <c r="E26" s="78">
        <f>0.025^2*PI()</f>
        <v>1.9634954084936209E-3</v>
      </c>
      <c r="F26" s="61">
        <v>0.11</v>
      </c>
      <c r="G26" s="75">
        <f>D26*E26/F26</f>
        <v>892.49791295164584</v>
      </c>
    </row>
    <row r="27" spans="1:11" x14ac:dyDescent="0.3">
      <c r="A27" s="57" t="s">
        <v>144</v>
      </c>
      <c r="B27" s="33" t="s">
        <v>146</v>
      </c>
      <c r="C27" s="53" t="s">
        <v>142</v>
      </c>
      <c r="D27" s="60">
        <f>D22</f>
        <v>50000</v>
      </c>
      <c r="E27" s="78">
        <f>E26</f>
        <v>1.9634954084936209E-3</v>
      </c>
      <c r="F27" s="61">
        <v>0.31</v>
      </c>
      <c r="G27" s="75">
        <f t="shared" si="4"/>
        <v>316.69280782155175</v>
      </c>
    </row>
    <row r="28" spans="1:11" x14ac:dyDescent="0.3">
      <c r="A28" s="57" t="s">
        <v>148</v>
      </c>
      <c r="B28" s="33" t="s">
        <v>147</v>
      </c>
      <c r="C28" s="53" t="s">
        <v>150</v>
      </c>
      <c r="D28" s="66">
        <v>160</v>
      </c>
      <c r="E28" s="79">
        <f>0.01^2*PI()</f>
        <v>3.1415926535897931E-4</v>
      </c>
      <c r="F28" s="65">
        <v>0.05</v>
      </c>
      <c r="G28" s="75">
        <f t="shared" si="4"/>
        <v>1.0053096491487337</v>
      </c>
    </row>
    <row r="29" spans="1:11" x14ac:dyDescent="0.3">
      <c r="A29" s="57" t="s">
        <v>167</v>
      </c>
      <c r="B29" s="33" t="str">
        <f>B30</f>
        <v>Panel</v>
      </c>
      <c r="C29" s="53" t="str">
        <f>C21</f>
        <v>Rad_IR_Tel</v>
      </c>
      <c r="D29" s="33">
        <v>0.24</v>
      </c>
      <c r="E29" s="80">
        <f>0.001^2*PI()</f>
        <v>3.1415926535897929E-6</v>
      </c>
      <c r="F29" s="53">
        <v>0.01</v>
      </c>
      <c r="G29" s="76">
        <f t="shared" si="4"/>
        <v>7.5398223686155033E-5</v>
      </c>
    </row>
    <row r="30" spans="1:11" ht="15" thickBot="1" x14ac:dyDescent="0.35">
      <c r="A30" s="58" t="s">
        <v>168</v>
      </c>
      <c r="B30" s="23" t="s">
        <v>147</v>
      </c>
      <c r="C30" s="52" t="s">
        <v>142</v>
      </c>
      <c r="D30" s="23">
        <v>0.24</v>
      </c>
      <c r="E30" s="81">
        <f>E29</f>
        <v>3.1415926535897929E-6</v>
      </c>
      <c r="F30" s="52">
        <v>0.01</v>
      </c>
      <c r="G30" s="77">
        <f t="shared" si="4"/>
        <v>7.5398223686155033E-5</v>
      </c>
    </row>
    <row r="31" spans="1:11" x14ac:dyDescent="0.3">
      <c r="I31" s="1" t="s">
        <v>162</v>
      </c>
    </row>
    <row r="32" spans="1:11" ht="15" thickBot="1" x14ac:dyDescent="0.35"/>
    <row r="33" spans="1:8" x14ac:dyDescent="0.3">
      <c r="A33" s="54" t="s">
        <v>127</v>
      </c>
      <c r="B33" s="47" t="s">
        <v>87</v>
      </c>
      <c r="C33" s="49" t="s">
        <v>128</v>
      </c>
      <c r="D33" s="47" t="s">
        <v>158</v>
      </c>
      <c r="E33" s="49" t="s">
        <v>154</v>
      </c>
      <c r="F33" s="62" t="s">
        <v>152</v>
      </c>
    </row>
    <row r="34" spans="1:8" x14ac:dyDescent="0.3">
      <c r="A34" s="57" t="s">
        <v>163</v>
      </c>
      <c r="B34" s="33" t="s">
        <v>149</v>
      </c>
      <c r="C34" s="53" t="s">
        <v>145</v>
      </c>
      <c r="D34" s="33">
        <v>500</v>
      </c>
      <c r="E34" s="53">
        <f>0.04*0.04</f>
        <v>1.6000000000000001E-3</v>
      </c>
      <c r="F34" s="63">
        <f>D34*E34</f>
        <v>0.8</v>
      </c>
    </row>
    <row r="35" spans="1:8" ht="15" thickBot="1" x14ac:dyDescent="0.35">
      <c r="A35" s="58" t="s">
        <v>164</v>
      </c>
      <c r="B35" s="23" t="s">
        <v>149</v>
      </c>
      <c r="C35" s="52" t="s">
        <v>146</v>
      </c>
      <c r="D35" s="23">
        <v>500</v>
      </c>
      <c r="E35" s="52">
        <f>0.02*0.02</f>
        <v>4.0000000000000002E-4</v>
      </c>
      <c r="F35" s="64">
        <f>D35*E35</f>
        <v>0.2</v>
      </c>
    </row>
    <row r="39" spans="1:8" x14ac:dyDescent="0.3">
      <c r="H39" t="s">
        <v>179</v>
      </c>
    </row>
    <row r="42" spans="1:8" x14ac:dyDescent="0.3">
      <c r="C42" t="s">
        <v>181</v>
      </c>
    </row>
    <row r="43" spans="1:8" x14ac:dyDescent="0.3">
      <c r="C43" t="s">
        <v>182</v>
      </c>
    </row>
  </sheetData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NODES&amp;LABELS (cnfg5)</vt:lpstr>
      <vt:lpstr>PROPERTIES</vt:lpstr>
      <vt:lpstr>THERMO-OPTICALS</vt:lpstr>
      <vt:lpstr>MATERIALS</vt:lpstr>
      <vt:lpstr>GLs</vt:lpstr>
      <vt:lpstr>NODES&amp;LABELS (config3)</vt:lpstr>
      <vt:lpstr>NODES&amp;LABELS (config2)</vt:lpstr>
      <vt:lpstr>NODES&amp;LABELS (config1)</vt:lpstr>
      <vt:lpstr>GLs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Zapatero</dc:creator>
  <cp:lastModifiedBy>Diego Mataix Caballero</cp:lastModifiedBy>
  <dcterms:created xsi:type="dcterms:W3CDTF">2015-06-05T18:19:34Z</dcterms:created>
  <dcterms:modified xsi:type="dcterms:W3CDTF">2021-05-11T20:44:19Z</dcterms:modified>
</cp:coreProperties>
</file>