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12DA01B0-CC70-4715-AE8C-32F5535FA83C}" xr6:coauthVersionLast="46" xr6:coauthVersionMax="46" xr10:uidLastSave="{00000000-0000-0000-0000-000000000000}"/>
  <bookViews>
    <workbookView xWindow="-28920" yWindow="-105" windowWidth="29040" windowHeight="15840" tabRatio="778" activeTab="5" xr2:uid="{00000000-000D-0000-FFFF-FFFF00000000}"/>
  </bookViews>
  <sheets>
    <sheet name="NODES&amp;LABELS (cnfg5)" sheetId="8" r:id="rId1"/>
    <sheet name="NODES&amp;LABELS (cnfgCryo)" sheetId="12" r:id="rId2"/>
    <sheet name="PROPERTIES" sheetId="2" r:id="rId3"/>
    <sheet name="THERMO-OPTICALS" sheetId="3" r:id="rId4"/>
    <sheet name="MATERIALS" sheetId="4" r:id="rId5"/>
    <sheet name="GLs" sheetId="6" r:id="rId6"/>
    <sheet name="GLs (CC)" sheetId="13" r:id="rId7"/>
    <sheet name="Final Configs" sheetId="10" r:id="rId8"/>
    <sheet name="NODES&amp;LABELS (config3)" sheetId="7" r:id="rId9"/>
    <sheet name="NODES&amp;LABELS (config2)" sheetId="5" r:id="rId10"/>
    <sheet name="NODES&amp;LABELS (config1)" sheetId="1" r:id="rId11"/>
    <sheet name="GLs (2)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G34" i="10"/>
  <c r="G38" i="10" s="1"/>
  <c r="F39" i="13"/>
  <c r="E39" i="13"/>
  <c r="D39" i="13"/>
  <c r="F40" i="13"/>
  <c r="E40" i="13"/>
  <c r="E33" i="13"/>
  <c r="E31" i="13"/>
  <c r="E32" i="13"/>
  <c r="E34" i="13"/>
  <c r="E29" i="13"/>
  <c r="E30" i="13"/>
  <c r="E32" i="6"/>
  <c r="E33" i="6"/>
  <c r="E34" i="6"/>
  <c r="E31" i="6"/>
  <c r="G31" i="6"/>
  <c r="G29" i="6"/>
  <c r="E30" i="6"/>
  <c r="E28" i="13"/>
  <c r="E23" i="13"/>
  <c r="E24" i="13"/>
  <c r="E25" i="13"/>
  <c r="E26" i="13"/>
  <c r="E22" i="13"/>
  <c r="E28" i="6"/>
  <c r="E27" i="6"/>
  <c r="E26" i="6"/>
  <c r="E23" i="6"/>
  <c r="E24" i="6"/>
  <c r="E25" i="6"/>
  <c r="G23" i="6"/>
  <c r="F6" i="6"/>
  <c r="F7" i="6"/>
  <c r="F8" i="6"/>
  <c r="F9" i="6"/>
  <c r="F10" i="6"/>
  <c r="F11" i="6"/>
  <c r="F12" i="6"/>
  <c r="F13" i="6"/>
  <c r="F14" i="6"/>
  <c r="F15" i="6"/>
  <c r="F16" i="6"/>
  <c r="F17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5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H6" i="6"/>
  <c r="H7" i="6"/>
  <c r="H8" i="6"/>
  <c r="H9" i="6"/>
  <c r="H10" i="6"/>
  <c r="H11" i="6"/>
  <c r="H12" i="6"/>
  <c r="H13" i="6"/>
  <c r="H14" i="6"/>
  <c r="H15" i="6"/>
  <c r="H16" i="6"/>
  <c r="H17" i="6"/>
  <c r="H5" i="6"/>
  <c r="G30" i="6"/>
  <c r="G33" i="6"/>
  <c r="G31" i="13"/>
  <c r="G32" i="13"/>
  <c r="G33" i="13"/>
  <c r="E39" i="6"/>
  <c r="E38" i="6"/>
  <c r="E38" i="13"/>
  <c r="G80" i="10"/>
  <c r="F80" i="10"/>
  <c r="G79" i="10"/>
  <c r="F79" i="10"/>
  <c r="G77" i="10"/>
  <c r="F77" i="10"/>
  <c r="G78" i="10"/>
  <c r="F78" i="10"/>
  <c r="G32" i="6"/>
  <c r="G30" i="13"/>
  <c r="G29" i="13"/>
  <c r="G21" i="6"/>
  <c r="E21" i="6"/>
  <c r="F17" i="13"/>
  <c r="J7" i="13" s="1"/>
  <c r="F5" i="13"/>
  <c r="G34" i="13"/>
  <c r="L11" i="10"/>
  <c r="D70" i="10"/>
  <c r="C70" i="10"/>
  <c r="D69" i="10"/>
  <c r="G69" i="10" s="1"/>
  <c r="D63" i="10"/>
  <c r="C63" i="10"/>
  <c r="I6" i="10"/>
  <c r="J6" i="10"/>
  <c r="J5" i="10"/>
  <c r="H5" i="10"/>
  <c r="H36" i="10"/>
  <c r="H40" i="10" s="1"/>
  <c r="G36" i="10"/>
  <c r="G40" i="10" s="1"/>
  <c r="H34" i="10"/>
  <c r="H38" i="10" s="1"/>
  <c r="G24" i="10"/>
  <c r="I5" i="10"/>
  <c r="F38" i="13"/>
  <c r="G28" i="13"/>
  <c r="E27" i="13"/>
  <c r="G27" i="13" s="1"/>
  <c r="D26" i="13"/>
  <c r="G24" i="13"/>
  <c r="G23" i="13"/>
  <c r="G22" i="13"/>
  <c r="E21" i="13"/>
  <c r="G21" i="13" s="1"/>
  <c r="D17" i="13"/>
  <c r="I16" i="13"/>
  <c r="C16" i="13"/>
  <c r="B16" i="13"/>
  <c r="I14" i="13"/>
  <c r="F14" i="13"/>
  <c r="F16" i="13" s="1"/>
  <c r="C14" i="13"/>
  <c r="B14" i="13"/>
  <c r="F13" i="13"/>
  <c r="J9" i="13" s="1"/>
  <c r="E12" i="13"/>
  <c r="D12" i="13"/>
  <c r="C12" i="13"/>
  <c r="B12" i="13"/>
  <c r="F10" i="13"/>
  <c r="E10" i="13"/>
  <c r="C10" i="13"/>
  <c r="B10" i="13"/>
  <c r="F9" i="13"/>
  <c r="G8" i="13"/>
  <c r="K8" i="13" s="1"/>
  <c r="I7" i="13"/>
  <c r="E17" i="13" s="1"/>
  <c r="I17" i="13" s="1"/>
  <c r="E6" i="13"/>
  <c r="E7" i="13" s="1"/>
  <c r="D6" i="13"/>
  <c r="J5" i="13"/>
  <c r="F6" i="13" s="1"/>
  <c r="F7" i="13" s="1"/>
  <c r="E5" i="13"/>
  <c r="D5" i="13"/>
  <c r="J4" i="13"/>
  <c r="J17" i="13" s="1"/>
  <c r="F4" i="13"/>
  <c r="E4" i="13"/>
  <c r="F38" i="6"/>
  <c r="G25" i="6"/>
  <c r="G24" i="6"/>
  <c r="G26" i="6"/>
  <c r="E22" i="6"/>
  <c r="G22" i="6" s="1"/>
  <c r="F35" i="9"/>
  <c r="E35" i="9"/>
  <c r="E34" i="9"/>
  <c r="F34" i="9" s="1"/>
  <c r="E29" i="9"/>
  <c r="E30" i="9" s="1"/>
  <c r="G30" i="9" s="1"/>
  <c r="C29" i="9"/>
  <c r="B29" i="9"/>
  <c r="E28" i="9"/>
  <c r="G28" i="9" s="1"/>
  <c r="D27" i="9"/>
  <c r="E26" i="9"/>
  <c r="E27" i="9" s="1"/>
  <c r="G27" i="9" s="1"/>
  <c r="D26" i="9"/>
  <c r="G26" i="9" s="1"/>
  <c r="E22" i="9"/>
  <c r="G22" i="9" s="1"/>
  <c r="G21" i="9"/>
  <c r="F21" i="9"/>
  <c r="E21" i="9"/>
  <c r="J17" i="9"/>
  <c r="G17" i="9" s="1"/>
  <c r="F17" i="9"/>
  <c r="D17" i="9"/>
  <c r="I16" i="9"/>
  <c r="H16" i="9"/>
  <c r="E16" i="9"/>
  <c r="C16" i="9"/>
  <c r="B16" i="9"/>
  <c r="I14" i="9"/>
  <c r="H14" i="9"/>
  <c r="F14" i="9"/>
  <c r="F16" i="9" s="1"/>
  <c r="E14" i="9"/>
  <c r="C14" i="9"/>
  <c r="B14" i="9"/>
  <c r="F13" i="9"/>
  <c r="J9" i="9" s="1"/>
  <c r="I12" i="9"/>
  <c r="H12" i="9"/>
  <c r="F12" i="9"/>
  <c r="J16" i="9" s="1"/>
  <c r="E12" i="9"/>
  <c r="D12" i="9"/>
  <c r="C12" i="9"/>
  <c r="B12" i="9"/>
  <c r="J10" i="9"/>
  <c r="G10" i="9" s="1"/>
  <c r="K10" i="9" s="1"/>
  <c r="I10" i="9"/>
  <c r="H10" i="9"/>
  <c r="F10" i="9"/>
  <c r="J14" i="9" s="1"/>
  <c r="E10" i="9"/>
  <c r="C10" i="9"/>
  <c r="B10" i="9"/>
  <c r="F9" i="9"/>
  <c r="G8" i="9"/>
  <c r="K8" i="9" s="1"/>
  <c r="J7" i="9"/>
  <c r="I7" i="9"/>
  <c r="E17" i="9" s="1"/>
  <c r="F6" i="9"/>
  <c r="F7" i="9" s="1"/>
  <c r="G7" i="9" s="1"/>
  <c r="E6" i="9"/>
  <c r="E7" i="9" s="1"/>
  <c r="K7" i="9" s="1"/>
  <c r="D6" i="9"/>
  <c r="J5" i="9"/>
  <c r="F5" i="9"/>
  <c r="G5" i="9" s="1"/>
  <c r="E5" i="9"/>
  <c r="D5" i="9"/>
  <c r="J4" i="9"/>
  <c r="F4" i="9"/>
  <c r="G4" i="9" s="1"/>
  <c r="K4" i="9" s="1"/>
  <c r="E4" i="9"/>
  <c r="E29" i="6"/>
  <c r="D12" i="6"/>
  <c r="D14" i="6" s="1"/>
  <c r="C10" i="6"/>
  <c r="C12" i="6"/>
  <c r="C14" i="6"/>
  <c r="C16" i="6"/>
  <c r="B16" i="6"/>
  <c r="B14" i="6"/>
  <c r="B12" i="6"/>
  <c r="B10" i="6"/>
  <c r="G8" i="6"/>
  <c r="K8" i="6" s="1"/>
  <c r="F39" i="6"/>
  <c r="B33" i="6"/>
  <c r="C33" i="6"/>
  <c r="D28" i="6"/>
  <c r="D17" i="6"/>
  <c r="D6" i="6"/>
  <c r="D5" i="6"/>
  <c r="F4" i="6"/>
  <c r="J4" i="6"/>
  <c r="E4" i="6"/>
  <c r="G70" i="10" l="1"/>
  <c r="G26" i="13"/>
  <c r="G17" i="13"/>
  <c r="K17" i="13" s="1"/>
  <c r="G5" i="13"/>
  <c r="K5" i="13" s="1"/>
  <c r="G25" i="13"/>
  <c r="J10" i="13"/>
  <c r="G10" i="13" s="1"/>
  <c r="K10" i="13" s="1"/>
  <c r="G7" i="13"/>
  <c r="K7" i="13" s="1"/>
  <c r="G4" i="13"/>
  <c r="K4" i="13" s="1"/>
  <c r="G9" i="13"/>
  <c r="K9" i="13" s="1"/>
  <c r="J12" i="13"/>
  <c r="F11" i="13"/>
  <c r="F12" i="13"/>
  <c r="J13" i="13"/>
  <c r="G13" i="13" s="1"/>
  <c r="K13" i="13" s="1"/>
  <c r="J6" i="13"/>
  <c r="G6" i="13" s="1"/>
  <c r="K6" i="13" s="1"/>
  <c r="J14" i="13"/>
  <c r="G14" i="13" s="1"/>
  <c r="D14" i="13"/>
  <c r="F15" i="13"/>
  <c r="K12" i="9"/>
  <c r="G16" i="9"/>
  <c r="J12" i="9"/>
  <c r="I17" i="9"/>
  <c r="K17" i="9"/>
  <c r="K5" i="9"/>
  <c r="G9" i="9"/>
  <c r="K9" i="9" s="1"/>
  <c r="G6" i="9"/>
  <c r="K6" i="9" s="1"/>
  <c r="F11" i="9"/>
  <c r="J6" i="9"/>
  <c r="G12" i="9"/>
  <c r="G29" i="9"/>
  <c r="J13" i="9"/>
  <c r="G13" i="9" s="1"/>
  <c r="K13" i="9" s="1"/>
  <c r="G14" i="9"/>
  <c r="D14" i="9"/>
  <c r="F15" i="9"/>
  <c r="D16" i="6"/>
  <c r="G10" i="6"/>
  <c r="K10" i="6" s="1"/>
  <c r="G9" i="6"/>
  <c r="K9" i="6" s="1"/>
  <c r="G12" i="6"/>
  <c r="K12" i="6" s="1"/>
  <c r="G5" i="6"/>
  <c r="G28" i="6"/>
  <c r="G17" i="6"/>
  <c r="K17" i="6" s="1"/>
  <c r="G7" i="6"/>
  <c r="K7" i="6" s="1"/>
  <c r="G27" i="6"/>
  <c r="G6" i="6"/>
  <c r="K6" i="6" s="1"/>
  <c r="G4" i="6"/>
  <c r="K4" i="6" s="1"/>
  <c r="G12" i="13" l="1"/>
  <c r="K12" i="13" s="1"/>
  <c r="J16" i="13"/>
  <c r="G16" i="13" s="1"/>
  <c r="J11" i="13"/>
  <c r="G11" i="13"/>
  <c r="K11" i="13" s="1"/>
  <c r="J15" i="13"/>
  <c r="G15" i="13" s="1"/>
  <c r="K15" i="13" s="1"/>
  <c r="K14" i="13"/>
  <c r="D16" i="13"/>
  <c r="G15" i="9"/>
  <c r="K15" i="9" s="1"/>
  <c r="J11" i="9"/>
  <c r="G11" i="9" s="1"/>
  <c r="K11" i="9" s="1"/>
  <c r="K14" i="9"/>
  <c r="D16" i="9"/>
  <c r="K16" i="9" s="1"/>
  <c r="J15" i="9"/>
  <c r="G11" i="6"/>
  <c r="K11" i="6" s="1"/>
  <c r="G13" i="6"/>
  <c r="K13" i="6" s="1"/>
  <c r="G34" i="6"/>
  <c r="K16" i="13" l="1"/>
  <c r="G14" i="6"/>
  <c r="K14" i="6" s="1"/>
  <c r="G15" i="6" l="1"/>
  <c r="K15" i="6" s="1"/>
  <c r="G16" i="6"/>
  <c r="K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tc={DE31815B-D17C-487A-AD83-CDD355BB9138}</author>
    <author>tc={BB70071E-F16F-4101-AC45-CF64A32436DB}</author>
    <author>tc={9E3BA7D6-E7F8-4AFB-8806-BFBC971C374E}</author>
    <author>tc={75572D8B-1384-4140-99D3-048349AB0F48}</author>
  </authors>
  <commentList>
    <comment ref="D3" authorId="0" shapeId="0" xr:uid="{DE31815B-D17C-487A-AD83-CDD355BB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B70071E-F16F-4101-AC45-CF64A324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9E3BA7D6-E7F8-4AFB-8806-BFBC971C374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75572D8B-1384-4140-99D3-048349AB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tc={5A759312-4249-4850-B4D4-9E48D56F121E}</author>
    <author>tc={B8797AD6-6A6C-4231-A692-4110CB7C965E}</author>
    <author>tc={1A85D25A-5AF0-4A7F-87FD-612F487FC140}</author>
    <author>tc={05EFECE3-19B7-49C8-8E81-D397DD8E8C35}</author>
  </authors>
  <commentList>
    <comment ref="D3" authorId="0" shapeId="0" xr:uid="{5A759312-4249-4850-B4D4-9E48D56F121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8797AD6-6A6C-4231-A692-4110CB7C965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1A85D25A-5AF0-4A7F-87FD-612F487FC140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05EFECE3-19B7-49C8-8E81-D397DD8E8C35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tc={E5F2BCF5-C4BB-4054-9FA0-825FFD72DC5E}</author>
  </authors>
  <commentList>
    <comment ref="E78" authorId="0" shapeId="0" xr:uid="{E5F2BCF5-C4BB-4054-9FA0-825FFD72DC5E}">
      <text>
        <t>[Threaded comment]
Your version of Excel allows you to read this threaded comment; however, any edits to it will get removed if the file is opened in a newer version of Excel. Learn more: https://go.microsoft.com/fwlink/?linkid=870924
Comment:
    4*RWP100
Reply:
    https://storage.googleapis.com/blue-canyon-tech-news/1/2020/06/BCT_DataSheet_Components_ReactionWheels_06_2020.pdf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tc={BDFEC537-1183-4619-9C1A-E2728858C75D}</author>
    <author>tc={F39D7AC3-F117-462C-AEC4-D2E1F36C7EAE}</author>
    <author>tc={8E8E0BF6-9B7A-4B23-B066-8CC4C2B02C69}</author>
    <author>tc={66787325-7481-41E9-A0C1-14CBE48CA2DF}</author>
  </authors>
  <commentList>
    <comment ref="D3" authorId="0" shapeId="0" xr:uid="{BDFEC537-1183-4619-9C1A-E2728858C7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F39D7AC3-F117-462C-AEC4-D2E1F36C7EA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8E8E0BF6-9B7A-4B23-B066-8CC4C2B02C69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66787325-7481-41E9-A0C1-14CBE48CA2DF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sharedStrings.xml><?xml version="1.0" encoding="utf-8"?>
<sst xmlns="http://schemas.openxmlformats.org/spreadsheetml/2006/main" count="1455" uniqueCount="371">
  <si>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</si>
  <si>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</si>
  <si>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</si>
  <si>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</si>
  <si>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</si>
  <si>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</si>
  <si>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</si>
  <si>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</si>
  <si>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</si>
  <si>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</si>
  <si>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</si>
  <si>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</si>
  <si>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</si>
  <si>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</si>
  <si>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</si>
  <si>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</si>
  <si>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</si>
  <si>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</si>
  <si>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</si>
  <si>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</si>
  <si>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</si>
  <si>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</si>
  <si>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</si>
  <si>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</si>
  <si>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</si>
  <si>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</si>
  <si>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</si>
  <si>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</si>
  <si>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</si>
  <si>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</si>
  <si>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</si>
  <si>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</si>
  <si>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</si>
  <si>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</si>
  <si>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</si>
  <si>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</si>
  <si>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</si>
  <si>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</si>
  <si>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</si>
  <si>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</si>
  <si>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</si>
  <si>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</si>
  <si>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</si>
  <si>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</si>
  <si>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</si>
  <si>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</si>
  <si>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</si>
  <si>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</si>
  <si>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</si>
  <si>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</si>
  <si>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</si>
  <si>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</si>
  <si>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</si>
  <si>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</si>
  <si>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</si>
  <si>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</si>
  <si>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</si>
  <si>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</si>
  <si>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</si>
  <si>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</si>
  <si>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</si>
  <si>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</si>
  <si>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</si>
  <si>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</si>
  <si>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</si>
  <si>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</si>
  <si>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</si>
  <si>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</si>
  <si>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</si>
  <si>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</si>
  <si>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</si>
  <si>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</si>
  <si>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</si>
  <si>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</si>
  <si>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</si>
  <si>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</si>
  <si>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</si>
  <si>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</si>
  <si>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</si>
  <si>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</si>
  <si>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</si>
  <si>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</si>
  <si>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</si>
  <si>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</si>
  <si>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</si>
  <si>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</si>
  <si>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</si>
  <si>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</si>
  <si>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</si>
  <si>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</si>
  <si>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</si>
  <si>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</si>
  <si>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</si>
  <si>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</si>
  <si>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</si>
  <si>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</si>
  <si>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</si>
  <si>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</si>
  <si>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</si>
  <si>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</si>
  <si>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</si>
  <si>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</si>
  <si>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</si>
  <si>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</si>
  <si>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</si>
  <si>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</si>
  <si>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</si>
  <si>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</si>
  <si>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</si>
  <si>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</si>
  <si>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</si>
  <si>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</si>
  <si>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</si>
  <si>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</si>
  <si>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</si>
  <si>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</si>
  <si>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</si>
  <si>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</si>
  <si>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</si>
  <si>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</si>
  <si>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</si>
  <si>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</si>
  <si>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</si>
  <si>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</si>
  <si>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</si>
  <si>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</si>
  <si>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</si>
  <si>
    <t>UDC</t>
  </si>
  <si>
    <t>Destination</t>
  </si>
  <si>
    <t>CCD_Panel</t>
  </si>
  <si>
    <t>CCD_Rad</t>
  </si>
  <si>
    <t>EBox</t>
  </si>
  <si>
    <t>EBox_Rad</t>
  </si>
  <si>
    <t>IR_Tel_Lens_IR_Tel_Obj</t>
  </si>
  <si>
    <t>IR_Tel_Lens</t>
  </si>
  <si>
    <t>IR_Tel_Obj</t>
  </si>
  <si>
    <t>IR_Tel_STR_Panel_inf</t>
  </si>
  <si>
    <t>IR_Tel_Obj_IR_Tel_CCD</t>
  </si>
  <si>
    <t>IR_Tel_Obj_IR_Tel_STR</t>
  </si>
  <si>
    <t>PLD1_RAD</t>
  </si>
  <si>
    <t>IR_Tel_STR</t>
  </si>
  <si>
    <t>Panel_inf</t>
  </si>
  <si>
    <t>RAD_INS</t>
  </si>
  <si>
    <t>Rad_IR_Tel</t>
  </si>
  <si>
    <t>PLD2_RAD</t>
  </si>
  <si>
    <t>PLD1</t>
  </si>
  <si>
    <t>PLD2</t>
  </si>
  <si>
    <t>Panel</t>
  </si>
  <si>
    <t>Panel_SolarPanel</t>
  </si>
  <si>
    <t>Plate</t>
  </si>
  <si>
    <t>Solar Panel</t>
  </si>
  <si>
    <t>Li [m]</t>
  </si>
  <si>
    <t>GL [W/K]</t>
  </si>
  <si>
    <t>Ai [m^2]</t>
  </si>
  <si>
    <t>Ac [m^2]</t>
  </si>
  <si>
    <t>Aj [m^2]</t>
  </si>
  <si>
    <t>ki [W/(mK)]</t>
  </si>
  <si>
    <t>kj [W/(mK)]</t>
  </si>
  <si>
    <t>hc [W/(m^2K)]</t>
  </si>
  <si>
    <t>k [W/(mK)]</t>
  </si>
  <si>
    <t>L [m]</t>
  </si>
  <si>
    <t>GL = kAc/L</t>
  </si>
  <si>
    <t>FAKE CONTACT</t>
  </si>
  <si>
    <t>Plate2_PLD1</t>
  </si>
  <si>
    <t>Plate2_PLD2</t>
  </si>
  <si>
    <t>Plate 2</t>
  </si>
  <si>
    <t>Plate 1</t>
  </si>
  <si>
    <t>RAD_Tel_Support</t>
  </si>
  <si>
    <t>RAD_Ins_Support</t>
  </si>
  <si>
    <t>STRAPS,HEAT PIPES</t>
  </si>
  <si>
    <t>Panel_Plate_xy</t>
  </si>
  <si>
    <t>Panel_Plate_yx</t>
  </si>
  <si>
    <t>Panel_Plate2_xy</t>
  </si>
  <si>
    <t>Panel_Plate2_yx</t>
  </si>
  <si>
    <t>Plate_Panel_xy</t>
  </si>
  <si>
    <t>Plate_Panel_yx</t>
  </si>
  <si>
    <t>Plate2_Panel_xy</t>
  </si>
  <si>
    <t>Plate2_Panel_yx</t>
  </si>
  <si>
    <t>RAD_Ins_block</t>
  </si>
  <si>
    <t>Note that if im using config3 must define UDC for rad INS conn</t>
  </si>
  <si>
    <t>100 es muy alto</t>
  </si>
  <si>
    <t>Probar:</t>
  </si>
  <si>
    <t>Espejo para mover CCD a cerca del radiador</t>
  </si>
  <si>
    <t>RAD_IR_Tel_block</t>
  </si>
  <si>
    <t>RAD_IR_TEL</t>
  </si>
  <si>
    <t>RAD_IR_TEL_2</t>
  </si>
  <si>
    <t>IR_TEL_STR_Rad_in</t>
  </si>
  <si>
    <t>IR_TEL_STR_Rad_ext</t>
  </si>
  <si>
    <t>IR_TEL_Obj</t>
  </si>
  <si>
    <t>Panel_STR_Rad</t>
  </si>
  <si>
    <t>RAD_STR</t>
  </si>
  <si>
    <t>Rad_IR_TEL</t>
  </si>
  <si>
    <t>RAD_IR_Tel_Support</t>
  </si>
  <si>
    <t>RAD_STR_Support</t>
  </si>
  <si>
    <t>Rad_disk_V_Rad</t>
  </si>
  <si>
    <t>Rad_disk</t>
  </si>
  <si>
    <t>IR_Tel_Asmbly_Rad_ext</t>
  </si>
  <si>
    <t>IR_Tel_Asmbly_Rad_side</t>
  </si>
  <si>
    <t>IR_Tel_Asmbly_RAD_rad_in</t>
  </si>
  <si>
    <t>Sources temp heat pipes</t>
  </si>
  <si>
    <t>https://sci-hub.st/https://link.springer.com/article/10.1007/s002310050097</t>
  </si>
  <si>
    <t>http://www.thermalfluidscentral.org/encyclopedia/index.php/Heat_Pipe_Characteristics</t>
  </si>
  <si>
    <t>#</t>
  </si>
  <si>
    <t>Orbit</t>
  </si>
  <si>
    <t>Cooling</t>
  </si>
  <si>
    <t>Passive</t>
  </si>
  <si>
    <t>Active+Passive</t>
  </si>
  <si>
    <t>Radiators</t>
  </si>
  <si>
    <t>Active Cooler</t>
  </si>
  <si>
    <t>N/A</t>
  </si>
  <si>
    <t>Cryo-cooler</t>
  </si>
  <si>
    <t>Power</t>
  </si>
  <si>
    <t>CCD Temperature [K]</t>
  </si>
  <si>
    <t>Max.</t>
  </si>
  <si>
    <t>Min.</t>
  </si>
  <si>
    <t>Note</t>
  </si>
  <si>
    <t>**</t>
  </si>
  <si>
    <t>Must employ larger solar panels to deal with the added power consumption due to the use of a cryo-cooler</t>
  </si>
  <si>
    <t>*</t>
  </si>
  <si>
    <t>****</t>
  </si>
  <si>
    <t>***</t>
  </si>
  <si>
    <t>LEO SS 12am*</t>
  </si>
  <si>
    <t>LEO SS 6am**</t>
  </si>
  <si>
    <t>Detector model</t>
  </si>
  <si>
    <t>Detector Operating Temp. Range [K]</t>
  </si>
  <si>
    <t>[1]</t>
  </si>
  <si>
    <t>[2]</t>
  </si>
  <si>
    <t>Cryo_Sink</t>
  </si>
  <si>
    <t>Cryo_Diss</t>
  </si>
  <si>
    <t>Cryo-Cooler</t>
  </si>
  <si>
    <t>Cooled Side</t>
  </si>
  <si>
    <t>Dissipation Side</t>
  </si>
  <si>
    <t>Cryocooler sources:</t>
  </si>
  <si>
    <t>Sources straps</t>
  </si>
  <si>
    <t>http://thermotive.com/thermalstraps.html</t>
  </si>
  <si>
    <t>CCD_to_CryoCool_Sink</t>
  </si>
  <si>
    <t>CryoCool_Diss_RAD</t>
  </si>
  <si>
    <t>Cryocooler sink</t>
  </si>
  <si>
    <t>Cryocooler Diss</t>
  </si>
  <si>
    <t>Cryo-cooler*****</t>
  </si>
  <si>
    <t>*****</t>
  </si>
  <si>
    <t>https://www.ricor.com/wp-content/uploads/2019/07/RicorComparisonTable2019.pdf</t>
  </si>
  <si>
    <t>Cryocooler Sink</t>
  </si>
  <si>
    <t>CryoCool_Diss_Support</t>
  </si>
  <si>
    <t>CryoCool_Sink_Support</t>
  </si>
  <si>
    <t>RAD_IR_STR</t>
  </si>
  <si>
    <t>Plate1</t>
  </si>
  <si>
    <t>Cryocooler diss</t>
  </si>
  <si>
    <t>Survival Mode</t>
  </si>
  <si>
    <t>Nominal Power [W]</t>
  </si>
  <si>
    <t>Survival Power [W]</t>
  </si>
  <si>
    <t>Heaters</t>
  </si>
  <si>
    <t>OBDH&amp;C</t>
  </si>
  <si>
    <t>Minimum Payload temperature [K]</t>
  </si>
  <si>
    <t>Survival Mode data for diagram of survival tempoeratura vs range temp</t>
  </si>
  <si>
    <t>PLD1 Temperature [K]</t>
  </si>
  <si>
    <t>PLD2 Temperature [K]</t>
  </si>
  <si>
    <t>Mode</t>
  </si>
  <si>
    <t>Nominal</t>
  </si>
  <si>
    <t>Survival</t>
  </si>
  <si>
    <t>CCD Operating Temperature [K]</t>
  </si>
  <si>
    <t>PLD1  Operating Temperature [K]</t>
  </si>
  <si>
    <t>PLD2  Operating Temperature [K]</t>
  </si>
  <si>
    <t>OBDH&amp;C Temperature [K]</t>
  </si>
  <si>
    <t>OBDH&amp;C Operating Temperature [K]</t>
  </si>
  <si>
    <t>Active + Passive</t>
  </si>
  <si>
    <t>Total Radiator Area</t>
  </si>
  <si>
    <t>Area Paneles Necesaria</t>
  </si>
  <si>
    <t>Total Solar Panel Area</t>
  </si>
  <si>
    <t>Average Heat Flux:</t>
  </si>
  <si>
    <t>Average Het Flux:                         ;          Requires the solar panel area to decrease from … t …</t>
  </si>
  <si>
    <t>TIPO CONTACT ZONE</t>
  </si>
  <si>
    <t>hc=300</t>
  </si>
  <si>
    <t>autogenerated --&gt; TIPO CONTACT</t>
  </si>
  <si>
    <t>EBox_Plate_bottom</t>
  </si>
  <si>
    <t>hc=200</t>
  </si>
  <si>
    <t>Boundary Conditions</t>
  </si>
  <si>
    <t>Boundary Condition</t>
  </si>
  <si>
    <t>Boundary Condition Type</t>
  </si>
  <si>
    <t>Cryo Sink</t>
  </si>
  <si>
    <t>Cryo Diss</t>
  </si>
  <si>
    <t>Total Heat Area Load</t>
  </si>
  <si>
    <t>Power Dissipation</t>
  </si>
  <si>
    <t>AC config</t>
  </si>
  <si>
    <t>PC config</t>
  </si>
  <si>
    <t>Total</t>
  </si>
  <si>
    <t>Solar panels / Power Generation</t>
  </si>
  <si>
    <t>Efficiency</t>
  </si>
  <si>
    <t>Packing factor</t>
  </si>
  <si>
    <t>Mean Heat Flux [W/m^2]</t>
  </si>
  <si>
    <t>Solar Panel Area [m^2]</t>
  </si>
  <si>
    <t>Power Generated [W]</t>
  </si>
  <si>
    <t>Power Dissipated [W]</t>
  </si>
  <si>
    <t>Instrument</t>
  </si>
  <si>
    <t xml:space="preserve">K538 Model.     Min PC=6W;       Max. PC= 16W;      Cold tip temp: 65K-110K,     Cooldown 5min     </t>
  </si>
  <si>
    <t xml:space="preserve"> Vol=</t>
  </si>
  <si>
    <t>2 W</t>
  </si>
  <si>
    <t>4 W</t>
  </si>
  <si>
    <t>16 W</t>
  </si>
  <si>
    <t>0.15 W</t>
  </si>
  <si>
    <t>0 W</t>
  </si>
  <si>
    <t>8 W</t>
  </si>
  <si>
    <t>Temperature</t>
  </si>
  <si>
    <t>70 K</t>
  </si>
  <si>
    <t>https://aip.scitation.org/doi/pdf/10.1063/1.4706932</t>
  </si>
  <si>
    <t>-</t>
  </si>
  <si>
    <t>https://www.boydcorp.com/thermal/conduction-cooling/thermal-straps-busses/thermal-straps.html</t>
  </si>
  <si>
    <t>https://info.boydcorp.com/hubfs/Thermal/Conduction-Cooling/Boyd-k-Core-Datasheet.pdf</t>
  </si>
  <si>
    <t>https://thermal-space.com/thermal-lynx/</t>
  </si>
  <si>
    <t>https://www.ijrte.org/wp-content/uploads/papers/v3i2/B1074053214.pdf</t>
  </si>
  <si>
    <t>Payload</t>
  </si>
  <si>
    <t>Payload ID</t>
  </si>
  <si>
    <t>Cryocooler</t>
  </si>
  <si>
    <t>Thermal Strap</t>
  </si>
  <si>
    <t>Operating Temperature [K]</t>
  </si>
  <si>
    <t>Manufaturer</t>
  </si>
  <si>
    <t>[3]</t>
  </si>
  <si>
    <t>[4]</t>
  </si>
  <si>
    <t>[5]</t>
  </si>
  <si>
    <t>Thermal lynx</t>
  </si>
  <si>
    <t>Ricor</t>
  </si>
  <si>
    <t>70x70x25</t>
  </si>
  <si>
    <t>Dimensions [mm^3]</t>
  </si>
  <si>
    <t>https://storage.googleapis.com/blue-canyon-tech-news/1/2020/06/BCT_DataSheet_Components_ReactionWheels_06_2020.pdf</t>
  </si>
  <si>
    <t>[6]</t>
  </si>
  <si>
    <t>https://www.endurosat.com/cubesat-store/cubesat-obc/onboard-computer-obc/</t>
  </si>
  <si>
    <t>CCD PC</t>
  </si>
  <si>
    <t>CCD290-99</t>
  </si>
  <si>
    <t>CCD_Cfg1_PC</t>
  </si>
  <si>
    <t>C:\ESATAN-TMS\ESATAN-TMS-Models\EO_Micro_Satellite_Project\Relevant Data</t>
  </si>
  <si>
    <t>Experiment TBD</t>
  </si>
  <si>
    <t>60x60x30</t>
  </si>
  <si>
    <t>Reaction Wheels</t>
  </si>
  <si>
    <t>Experiment</t>
  </si>
  <si>
    <t>Blue canyon</t>
  </si>
  <si>
    <t>Endurosat</t>
  </si>
  <si>
    <t>Power Consumption [W]</t>
  </si>
  <si>
    <t>150x150x40</t>
  </si>
  <si>
    <t>37.8x66.2x14.5</t>
  </si>
  <si>
    <t>Working fluid :          PC: Ammonia [200-400K]       AC: Nitrogen[65-120K]                  https://www.boydcorp.com/thermal/two-phase-cooling/cryogenic-heat-pipes.html</t>
  </si>
  <si>
    <t>Heat Pipe*</t>
  </si>
  <si>
    <t>xy</t>
  </si>
  <si>
    <t>yx</t>
  </si>
  <si>
    <t xml:space="preserve"> DIST  +</t>
  </si>
  <si>
    <t>DIST -</t>
  </si>
  <si>
    <t>Size x [m]</t>
  </si>
  <si>
    <t>Size y [m]</t>
  </si>
  <si>
    <t>Size z [m]</t>
  </si>
  <si>
    <t>Shape</t>
  </si>
  <si>
    <t>Box</t>
  </si>
  <si>
    <t>Thickness [m]</t>
  </si>
  <si>
    <t>Material</t>
  </si>
  <si>
    <t>Surface 1</t>
  </si>
  <si>
    <t>Surface 2</t>
  </si>
  <si>
    <t>Al_anodized_black</t>
  </si>
  <si>
    <t>Rectangle</t>
  </si>
  <si>
    <t>Black Paint</t>
  </si>
  <si>
    <t>GaAs/Al7075</t>
  </si>
  <si>
    <t>Non-Geometrical Node</t>
  </si>
  <si>
    <t>Disc</t>
  </si>
  <si>
    <t>Goldised_Kapton</t>
  </si>
  <si>
    <t>CCD_Detector</t>
  </si>
  <si>
    <t>Cylinder</t>
  </si>
  <si>
    <t>0.1 rmin</t>
  </si>
  <si>
    <t>Cone</t>
  </si>
  <si>
    <t>45 ang</t>
  </si>
  <si>
    <t>0.2 hmax</t>
  </si>
  <si>
    <t>hmin-0.1385</t>
  </si>
  <si>
    <t>0.113333hmax</t>
  </si>
  <si>
    <t>0.25 hmax</t>
  </si>
  <si>
    <t>RAD_IR_Tel_STR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</si>
</sst>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2" xfId="0" applyBorder="1" applyAlignment="1"/>
    <xf numFmtId="0" fontId="0" fillId="0" borderId="9" xfId="0" applyBorder="1" applyAlignment="1"/>
    <xf numFmtId="0" fontId="0" fillId="0" borderId="40" xfId="0" applyBorder="1"/>
    <xf numFmtId="0" fontId="0" fillId="0" borderId="41" xfId="0" applyBorder="1"/>
    <xf numFmtId="165" fontId="0" fillId="0" borderId="26" xfId="0" applyNumberFormat="1" applyBorder="1"/>
    <xf numFmtId="165" fontId="0" fillId="0" borderId="28" xfId="0" applyNumberFormat="1" applyBorder="1"/>
    <xf numFmtId="11" fontId="0" fillId="0" borderId="28" xfId="0" applyNumberFormat="1" applyBorder="1"/>
    <xf numFmtId="0" fontId="0" fillId="0" borderId="42" xfId="0" applyBorder="1"/>
    <xf numFmtId="0" fontId="0" fillId="0" borderId="28" xfId="0" applyFont="1" applyBorder="1"/>
    <xf numFmtId="0" fontId="1" fillId="2" borderId="0" xfId="0" applyFont="1" applyFill="1" applyBorder="1" applyAlignment="1">
      <alignment horizontal="center" vertical="center"/>
    </xf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/>
    <xf numFmtId="166" fontId="0" fillId="0" borderId="5" xfId="0" applyNumberFormat="1" applyBorder="1"/>
    <xf numFmtId="166" fontId="0" fillId="0" borderId="12" xfId="0" applyNumberFormat="1" applyBorder="1"/>
    <xf numFmtId="0" fontId="1" fillId="2" borderId="36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" xfId="0" applyFill="1" applyBorder="1"/>
    <xf numFmtId="166" fontId="0" fillId="0" borderId="1" xfId="0" applyNumberFormat="1" applyBorder="1"/>
    <xf numFmtId="0" fontId="1" fillId="2" borderId="4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166" fontId="0" fillId="0" borderId="7" xfId="0" applyNumberFormat="1" applyBorder="1" applyAlignment="1">
      <alignment vertical="center"/>
    </xf>
    <xf numFmtId="0" fontId="0" fillId="0" borderId="9" xfId="0" applyFill="1" applyBorder="1"/>
    <xf numFmtId="0" fontId="0" fillId="0" borderId="26" xfId="0" applyBorder="1" applyAlignment="1">
      <alignment vertical="center"/>
    </xf>
    <xf numFmtId="164" fontId="0" fillId="0" borderId="36" xfId="0" applyNumberFormat="1" applyBorder="1"/>
    <xf numFmtId="0" fontId="1" fillId="2" borderId="46" xfId="0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4" xfId="0" applyBorder="1"/>
    <xf numFmtId="0" fontId="0" fillId="0" borderId="48" xfId="0" applyBorder="1"/>
    <xf numFmtId="0" fontId="0" fillId="0" borderId="10" xfId="0" applyFill="1" applyBorder="1"/>
    <xf numFmtId="0" fontId="1" fillId="2" borderId="0" xfId="0" applyFont="1" applyFill="1" applyBorder="1" applyAlignment="1">
      <alignment horizontal="left" vertical="center"/>
    </xf>
    <xf numFmtId="164" fontId="0" fillId="0" borderId="0" xfId="0" applyNumberFormat="1"/>
    <xf numFmtId="0" fontId="5" fillId="0" borderId="0" xfId="0" applyFont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5" borderId="36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/>
    </xf>
    <xf numFmtId="167" fontId="0" fillId="0" borderId="13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25" xfId="0" applyBorder="1"/>
    <xf numFmtId="165" fontId="0" fillId="0" borderId="25" xfId="0" applyNumberFormat="1" applyBorder="1"/>
    <xf numFmtId="0" fontId="0" fillId="0" borderId="20" xfId="0" applyBorder="1"/>
    <xf numFmtId="0" fontId="0" fillId="0" borderId="25" xfId="0" applyFont="1" applyBorder="1"/>
    <xf numFmtId="0" fontId="0" fillId="0" borderId="36" xfId="0" applyBorder="1"/>
    <xf numFmtId="0" fontId="0" fillId="0" borderId="35" xfId="0" applyBorder="1"/>
    <xf numFmtId="0" fontId="0" fillId="0" borderId="60" xfId="0" applyFill="1" applyBorder="1"/>
    <xf numFmtId="0" fontId="0" fillId="0" borderId="51" xfId="0" applyFill="1" applyBorder="1"/>
    <xf numFmtId="164" fontId="0" fillId="0" borderId="57" xfId="0" applyNumberFormat="1" applyFill="1" applyBorder="1"/>
    <xf numFmtId="0" fontId="0" fillId="0" borderId="56" xfId="0" applyBorder="1"/>
    <xf numFmtId="0" fontId="0" fillId="0" borderId="10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Border="1" applyAlignment="1"/>
    <xf numFmtId="0" fontId="0" fillId="0" borderId="61" xfId="0" applyFill="1" applyBorder="1"/>
    <xf numFmtId="0" fontId="0" fillId="0" borderId="60" xfId="0" applyBorder="1"/>
    <xf numFmtId="0" fontId="0" fillId="0" borderId="50" xfId="0" applyBorder="1"/>
    <xf numFmtId="0" fontId="0" fillId="0" borderId="34" xfId="0" applyBorder="1"/>
    <xf numFmtId="0" fontId="0" fillId="0" borderId="49" xfId="0" applyBorder="1"/>
    <xf numFmtId="0" fontId="0" fillId="0" borderId="12" xfId="0" applyFill="1" applyBorder="1"/>
    <xf numFmtId="166" fontId="0" fillId="0" borderId="27" xfId="0" applyNumberFormat="1" applyBorder="1"/>
    <xf numFmtId="0" fontId="0" fillId="0" borderId="2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4" borderId="35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4" xfId="0" applyBorder="1" applyAlignment="1"/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0" xfId="0" applyAlignment="1"/>
    <xf numFmtId="0" fontId="0" fillId="4" borderId="6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5" borderId="65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6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5" borderId="27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5" borderId="5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 wrapText="1"/>
    </xf>
    <xf numFmtId="167" fontId="0" fillId="0" borderId="13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6" fontId="0" fillId="0" borderId="0" xfId="0" applyNumberFormat="1"/>
    <xf numFmtId="164" fontId="0" fillId="3" borderId="37" xfId="0" applyNumberFormat="1" applyFill="1" applyBorder="1"/>
    <xf numFmtId="0" fontId="5" fillId="0" borderId="0" xfId="0" applyFont="1" applyBorder="1"/>
    <xf numFmtId="0" fontId="7" fillId="0" borderId="0" xfId="0" applyFont="1"/>
    <xf numFmtId="0" fontId="4" fillId="0" borderId="0" xfId="1"/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/>
    <xf numFmtId="0" fontId="0" fillId="0" borderId="51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36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0" fillId="4" borderId="5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0" fillId="4" borderId="67" xfId="0" applyFill="1" applyBorder="1" applyAlignment="1">
      <alignment horizontal="center" vertical="center" wrapText="1"/>
    </xf>
    <xf numFmtId="0" fontId="0" fillId="4" borderId="6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59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62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0" xfId="0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4" fillId="0" borderId="2" xfId="1" applyBorder="1" applyAlignment="1">
      <alignment horizontal="center"/>
    </xf>
    <xf numFmtId="0" fontId="4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281940</xdr:colOff>
      <xdr:row>12</xdr:row>
      <xdr:rowOff>93303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93BCB-9428-44EA-AEB0-ACE5DB4D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987" y="161925"/>
          <a:ext cx="5061878" cy="198496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131366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00FDEA-1220-458B-91C8-6AB7192A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5193030"/>
          <a:ext cx="1512382" cy="63809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1005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DFC55A-3A75-4B3F-B39E-564530E0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6519" y="2096427"/>
          <a:ext cx="6700598" cy="5055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601980</xdr:colOff>
      <xdr:row>9</xdr:row>
      <xdr:rowOff>148590</xdr:rowOff>
    </xdr:from>
    <xdr:to>
      <xdr:col>20</xdr:col>
      <xdr:colOff>454782</xdr:colOff>
      <xdr:row>41</xdr:row>
      <xdr:rowOff>8807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5B9239-D26C-4CC8-81C3-2EB3BE1BF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93780" y="1615440"/>
          <a:ext cx="4120002" cy="57276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15</xdr:col>
      <xdr:colOff>212554</xdr:colOff>
      <xdr:row>73</xdr:row>
      <xdr:rowOff>151793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119F9D-361F-46A0-BB11-5A2DB3B79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2125" y="8420100"/>
          <a:ext cx="6447619" cy="4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281940</xdr:colOff>
      <xdr:row>12</xdr:row>
      <xdr:rowOff>97113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C0A15D-E002-41FB-A237-053ADB576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252" y="163830"/>
          <a:ext cx="5065688" cy="193162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131366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BCCDC-9740-4D45-B22F-06B277BA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9015" y="6267450"/>
          <a:ext cx="1518097" cy="64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133349</xdr:colOff>
      <xdr:row>17</xdr:row>
      <xdr:rowOff>124752</xdr:rowOff>
    </xdr:from>
    <xdr:to>
      <xdr:col>23</xdr:col>
      <xdr:colOff>130252</xdr:colOff>
      <xdr:row>45</xdr:row>
      <xdr:rowOff>58155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AAA567-E8F3-42F3-99AF-491FB28DA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49" y="3048927"/>
          <a:ext cx="6698693" cy="5059758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17</xdr:row>
      <xdr:rowOff>104775</xdr:rowOff>
    </xdr:from>
    <xdr:to>
      <xdr:col>24</xdr:col>
      <xdr:colOff>73391</xdr:colOff>
      <xdr:row>21</xdr:row>
      <xdr:rowOff>41825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19145D-503C-4ADE-B869-BBBFD857A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625" y="3028950"/>
          <a:ext cx="7226666" cy="68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388620</xdr:colOff>
      <xdr:row>22</xdr:row>
      <xdr:rowOff>60959</xdr:rowOff>
    </xdr:from>
    <xdr:to>
      <xdr:col>26</xdr:col>
      <xdr:colOff>57665</xdr:colOff>
      <xdr:row>37</xdr:row>
      <xdr:rowOff>56926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10DE73-2CA0-4739-857F-0521A2E9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28520" y="3909059"/>
          <a:ext cx="3924815" cy="2727737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21</xdr:row>
      <xdr:rowOff>171450</xdr:rowOff>
    </xdr:from>
    <xdr:to>
      <xdr:col>21</xdr:col>
      <xdr:colOff>79497</xdr:colOff>
      <xdr:row>53</xdr:row>
      <xdr:rowOff>96437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C42651-932C-49E3-8FFC-D762C8FAA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20500" y="3838575"/>
          <a:ext cx="4118097" cy="574476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43</xdr:row>
      <xdr:rowOff>104775</xdr:rowOff>
    </xdr:from>
    <xdr:to>
      <xdr:col>13</xdr:col>
      <xdr:colOff>201124</xdr:colOff>
      <xdr:row>70</xdr:row>
      <xdr:rowOff>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34F1B6-D25E-4462-A077-47A1D509A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33900" y="7800975"/>
          <a:ext cx="6449524" cy="4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278130</xdr:colOff>
      <xdr:row>1</xdr:row>
      <xdr:rowOff>49530</xdr:rowOff>
    </xdr:from>
    <xdr:to>
      <xdr:col>31</xdr:col>
      <xdr:colOff>92106</xdr:colOff>
      <xdr:row>7</xdr:row>
      <xdr:rowOff>39840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B7871-5238-4717-8860-1C514762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9605" y="240030"/>
          <a:ext cx="9916191" cy="13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D4A1D-8022-4DAC-98F3-C367F913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5702" y="161925"/>
          <a:ext cx="5065688" cy="195639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31</xdr:row>
      <xdr:rowOff>68580</xdr:rowOff>
    </xdr:from>
    <xdr:to>
      <xdr:col>10</xdr:col>
      <xdr:colOff>114112</xdr:colOff>
      <xdr:row>34</xdr:row>
      <xdr:rowOff>154226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607E2-C09D-4B55-8E3A-7A4B4AFC2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1370" y="5585460"/>
          <a:ext cx="1512382" cy="64190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20055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3723-C00D-4AAA-832C-C95270D7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2659" y="3201327"/>
          <a:ext cx="6700598" cy="5094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7FEA3327-5DCA-4904-9FA0-972C46AA4A40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DE31815B-D17C-487A-AD83-CDD355BB9138}">
    <text>Distancia del nodo central a su borde</text>
  </threadedComment>
  <threadedComment ref="F3" dT="2021-05-10T14:59:03.21" personId="{7FEA3327-5DCA-4904-9FA0-972C46AA4A40}" id="{BB70071E-F16F-4101-AC45-CF64A32436DB}">
    <text>AREA DE ESE LATERAL</text>
  </threadedComment>
  <threadedComment ref="H3" dT="2021-05-10T14:59:22.47" personId="{7FEA3327-5DCA-4904-9FA0-972C46AA4A40}" id="{9E3BA7D6-E7F8-4AFB-8806-BFBC971C374E}">
    <text>300 o 100 (hasta 1000)</text>
  </threadedComment>
  <threadedComment ref="I4" dT="2021-05-10T18:29:49.85" personId="{7FEA3327-5DCA-4904-9FA0-972C46AA4A40}" id="{75572D8B-1384-4140-99D3-048349AB0F48}">
    <text>PCB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5A759312-4249-4850-B4D4-9E48D56F121E}">
    <text>Distancia del nodo central a su borde</text>
  </threadedComment>
  <threadedComment ref="F3" dT="2021-05-10T14:59:03.21" personId="{7FEA3327-5DCA-4904-9FA0-972C46AA4A40}" id="{B8797AD6-6A6C-4231-A692-4110CB7C965E}">
    <text>AREA DE ESE LATERAL</text>
  </threadedComment>
  <threadedComment ref="H3" dT="2021-05-10T14:59:22.47" personId="{7FEA3327-5DCA-4904-9FA0-972C46AA4A40}" id="{1A85D25A-5AF0-4A7F-87FD-612F487FC140}">
    <text>300 o 100 (hasta 1000)</text>
  </threadedComment>
  <threadedComment ref="I4" dT="2021-05-10T18:29:49.85" personId="{7FEA3327-5DCA-4904-9FA0-972C46AA4A40}" id="{05EFECE3-19B7-49C8-8E81-D397DD8E8C35}">
    <text>PCB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78" dT="2021-05-12T15:22:37.51" personId="{7FEA3327-5DCA-4904-9FA0-972C46AA4A40}" id="{E5F2BCF5-C4BB-4054-9FA0-825FFD72DC5E}">
    <text>4*RWP100</text>
  </threadedComment>
  <threadedComment ref="E78" dT="2021-05-12T15:34:31.84" personId="{7FEA3327-5DCA-4904-9FA0-972C46AA4A40}" id="{2ED9ACEB-AC82-49C4-B33E-818022039216}" parentId="{E5F2BCF5-C4BB-4054-9FA0-825FFD72DC5E}">
    <text>https://storage.googleapis.com/blue-canyon-tech-news/1/2020/06/BCT_DataSheet_Components_ReactionWheels_06_2020.pdf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BDFEC537-1183-4619-9C1A-E2728858C75D}">
    <text>Distancia del nodo central a su borde</text>
  </threadedComment>
  <threadedComment ref="F3" dT="2021-05-10T14:59:03.21" personId="{7FEA3327-5DCA-4904-9FA0-972C46AA4A40}" id="{F39D7AC3-F117-462C-AEC4-D2E1F36C7EAE}">
    <text>AREA DE ESE LATERAL</text>
  </threadedComment>
  <threadedComment ref="H3" dT="2021-05-10T14:59:22.47" personId="{7FEA3327-5DCA-4904-9FA0-972C46AA4A40}" id="{8E8E0BF6-9B7A-4B23-B066-8CC4C2B02C69}">
    <text>300 o 100 (hasta 1000)</text>
  </threadedComment>
  <threadedComment ref="I4" dT="2021-05-10T18:29:49.85" personId="{7FEA3327-5DCA-4904-9FA0-972C46AA4A40}" id="{66787325-7481-41E9-A0C1-14CBE48CA2DF}">
    <text>PCB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atweb.com/search/datasheet.aspx?matguid=5a735ffc5bf842f4a36fb9a6acbeaeed" TargetMode="External"/><Relationship Id="rId1" Type="http://schemas.openxmlformats.org/officeDocument/2006/relationships/hyperlink" Target="http://www.matweb.com/search/datasheet.aspx?matguid=5a735ffc5bf842f4a36fb9a6acbeaee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ijrte.org/wp-content/uploads/papers/v3i2/B1074053214.pdf" TargetMode="External"/><Relationship Id="rId1" Type="http://schemas.openxmlformats.org/officeDocument/2006/relationships/hyperlink" Target="https://aip.scitation.org/doi/pdf/10.1063/1.4706932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www.ijrte.org/wp-content/uploads/papers/v3i2/B1074053214.pdf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ricor.com/wp-content/uploads/2019/07/RicorComparisonTable2019.pdf" TargetMode="External"/><Relationship Id="rId1" Type="http://schemas.openxmlformats.org/officeDocument/2006/relationships/hyperlink" Target="https://www.endurosat.com/cubesat-store/cubesat-obc/onboard-computer-obc/" TargetMode="External"/><Relationship Id="rId6" Type="http://schemas.openxmlformats.org/officeDocument/2006/relationships/hyperlink" Target="https://www.ricor.com/wp-content/uploads/2019/07/RicorComparisonTable2019.pdf" TargetMode="External"/><Relationship Id="rId11" Type="http://schemas.microsoft.com/office/2017/10/relationships/threadedComment" Target="../threadedComments/threadedComment3.xml"/><Relationship Id="rId5" Type="http://schemas.openxmlformats.org/officeDocument/2006/relationships/hyperlink" Target="https://storage.googleapis.com/blue-canyon-tech-news/1/2020/06/BCT_DataSheet_Components_ReactionWheels_06_2020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thermal-space.com/thermal-lynx/" TargetMode="External"/><Relationship Id="rId9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311-6419-4949-A2BB-3628B364634E}">
  <sheetPr codeName="Sheet1"/>
  <dimension ref="A2:U32"/>
  <sheetViews>
    <sheetView workbookViewId="0">
      <selection activeCell="C41" sqref="C41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6" max="9" width="8.88671875" style="224"/>
    <col min="10" max="13" width="11.6640625" style="224" customWidth="1"/>
    <col min="15" max="16" width="10" customWidth="1"/>
    <col min="17" max="17" width="15.109375" customWidth="1"/>
    <col min="18" max="18" width="14.5546875" customWidth="1"/>
    <col min="19" max="19" width="10.21875" customWidth="1"/>
    <col min="20" max="20" width="13.109375" customWidth="1"/>
    <col min="21" max="21" width="17.33203125" customWidth="1"/>
  </cols>
  <sheetData>
    <row r="2" spans="1:21" ht="15" thickBot="1" x14ac:dyDescent="0.35"/>
    <row r="3" spans="1:21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  <c r="F3" s="74" t="s">
        <v>348</v>
      </c>
      <c r="G3" s="74" t="s">
        <v>345</v>
      </c>
      <c r="H3" s="74" t="s">
        <v>346</v>
      </c>
      <c r="I3" s="74" t="s">
        <v>347</v>
      </c>
      <c r="J3" s="74" t="s">
        <v>350</v>
      </c>
      <c r="K3" s="74" t="s">
        <v>352</v>
      </c>
      <c r="L3" s="74" t="s">
        <v>353</v>
      </c>
      <c r="M3" s="74" t="s">
        <v>351</v>
      </c>
      <c r="N3" s="46"/>
    </row>
    <row r="4" spans="1:21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229"/>
      <c r="G4" s="46"/>
      <c r="H4" s="46"/>
      <c r="I4" s="46"/>
      <c r="J4" s="46"/>
      <c r="K4" s="46"/>
      <c r="L4" s="46"/>
      <c r="M4" s="46"/>
      <c r="N4" s="46" t="s">
        <v>90</v>
      </c>
      <c r="Q4" s="1" t="s">
        <v>29</v>
      </c>
      <c r="R4" s="1"/>
      <c r="S4" s="1" t="s">
        <v>30</v>
      </c>
      <c r="T4" s="1" t="s">
        <v>31</v>
      </c>
      <c r="U4" s="1" t="s">
        <v>32</v>
      </c>
    </row>
    <row r="5" spans="1:21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229" t="s">
        <v>349</v>
      </c>
      <c r="G5" s="229">
        <v>0.4</v>
      </c>
      <c r="H5" s="229">
        <v>0.3</v>
      </c>
      <c r="I5" s="229">
        <v>0.375</v>
      </c>
      <c r="J5" s="230">
        <v>2E-3</v>
      </c>
      <c r="K5" s="224" t="s">
        <v>354</v>
      </c>
      <c r="L5" s="224" t="s">
        <v>354</v>
      </c>
      <c r="M5" s="230" t="s">
        <v>71</v>
      </c>
      <c r="N5" s="46" t="s">
        <v>90</v>
      </c>
    </row>
    <row r="6" spans="1:21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229" t="s">
        <v>355</v>
      </c>
      <c r="G6" s="229">
        <v>0.4</v>
      </c>
      <c r="H6" s="229">
        <v>0.3</v>
      </c>
      <c r="I6" s="229" t="s">
        <v>209</v>
      </c>
      <c r="J6" s="230">
        <v>2E-3</v>
      </c>
      <c r="K6" s="229" t="s">
        <v>356</v>
      </c>
      <c r="L6" s="229" t="s">
        <v>356</v>
      </c>
      <c r="M6" s="229" t="s">
        <v>79</v>
      </c>
      <c r="N6" s="46" t="s">
        <v>90</v>
      </c>
    </row>
    <row r="7" spans="1:21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229" t="s">
        <v>355</v>
      </c>
      <c r="G7" s="229">
        <v>0.4</v>
      </c>
      <c r="H7" s="229">
        <v>0.3</v>
      </c>
      <c r="I7" s="229" t="s">
        <v>209</v>
      </c>
      <c r="J7" s="230">
        <v>2E-3</v>
      </c>
      <c r="K7" s="229" t="s">
        <v>356</v>
      </c>
      <c r="L7" s="229" t="s">
        <v>356</v>
      </c>
      <c r="M7" s="229" t="s">
        <v>79</v>
      </c>
      <c r="N7" s="46"/>
      <c r="Q7" s="3">
        <v>12345</v>
      </c>
      <c r="S7" t="s">
        <v>33</v>
      </c>
      <c r="T7" t="s">
        <v>34</v>
      </c>
      <c r="U7" t="s">
        <v>35</v>
      </c>
    </row>
    <row r="8" spans="1:21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229" t="s">
        <v>355</v>
      </c>
      <c r="G8" s="229">
        <v>0.7</v>
      </c>
      <c r="H8" s="229">
        <v>0.3</v>
      </c>
      <c r="I8" s="229" t="s">
        <v>209</v>
      </c>
      <c r="J8" s="230">
        <v>1E-3</v>
      </c>
      <c r="K8" s="229" t="s">
        <v>51</v>
      </c>
      <c r="L8" s="229" t="s">
        <v>53</v>
      </c>
      <c r="M8" s="229" t="s">
        <v>357</v>
      </c>
      <c r="N8" s="46" t="s">
        <v>90</v>
      </c>
    </row>
    <row r="9" spans="1:21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229"/>
      <c r="G9" s="229"/>
      <c r="H9" s="229"/>
      <c r="I9" s="229"/>
      <c r="J9" s="229"/>
      <c r="K9" s="229"/>
      <c r="L9" s="229"/>
      <c r="M9" s="229"/>
      <c r="N9" s="46" t="s">
        <v>90</v>
      </c>
    </row>
    <row r="10" spans="1:21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229"/>
      <c r="G10" s="229"/>
      <c r="H10" s="229"/>
      <c r="I10" s="229"/>
      <c r="J10" s="229"/>
      <c r="K10" s="229"/>
      <c r="L10" s="229"/>
      <c r="M10" s="229"/>
      <c r="N10" s="46" t="s">
        <v>90</v>
      </c>
      <c r="Q10" s="1" t="s">
        <v>0</v>
      </c>
      <c r="R10" s="1" t="s">
        <v>1</v>
      </c>
      <c r="S10" s="1" t="s">
        <v>83</v>
      </c>
    </row>
    <row r="11" spans="1:21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229"/>
      <c r="G11" s="229"/>
      <c r="H11" s="229"/>
      <c r="I11" s="229"/>
      <c r="J11" s="229"/>
      <c r="K11" s="229"/>
      <c r="L11" s="229"/>
      <c r="M11" s="229"/>
      <c r="N11" s="46" t="s">
        <v>90</v>
      </c>
      <c r="Q11" t="s">
        <v>84</v>
      </c>
      <c r="R11" t="s">
        <v>85</v>
      </c>
      <c r="S11" t="s">
        <v>86</v>
      </c>
    </row>
    <row r="12" spans="1:21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229" t="s">
        <v>349</v>
      </c>
      <c r="G12" s="229">
        <v>0.15</v>
      </c>
      <c r="H12" s="231">
        <v>0.15</v>
      </c>
      <c r="I12" s="231">
        <v>0.04</v>
      </c>
      <c r="J12" s="230">
        <v>2E-3</v>
      </c>
      <c r="K12" s="229" t="s">
        <v>356</v>
      </c>
      <c r="L12" s="229" t="s">
        <v>356</v>
      </c>
      <c r="M12" s="46" t="s">
        <v>91</v>
      </c>
      <c r="N12" s="46" t="s">
        <v>90</v>
      </c>
    </row>
    <row r="13" spans="1:21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229" t="s">
        <v>358</v>
      </c>
      <c r="G13" s="231" t="s">
        <v>209</v>
      </c>
      <c r="H13" s="231" t="s">
        <v>209</v>
      </c>
      <c r="I13" s="231" t="s">
        <v>209</v>
      </c>
      <c r="J13" s="231" t="s">
        <v>209</v>
      </c>
      <c r="K13" s="231" t="s">
        <v>209</v>
      </c>
      <c r="L13" s="231" t="s">
        <v>209</v>
      </c>
      <c r="M13" s="231" t="s">
        <v>71</v>
      </c>
      <c r="N13" s="46" t="s">
        <v>90</v>
      </c>
      <c r="O13" s="35" t="s">
        <v>106</v>
      </c>
      <c r="P13" s="35"/>
    </row>
    <row r="14" spans="1:21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229" t="s">
        <v>358</v>
      </c>
      <c r="G14" s="231" t="s">
        <v>209</v>
      </c>
      <c r="H14" s="231" t="s">
        <v>209</v>
      </c>
      <c r="I14" s="231" t="s">
        <v>209</v>
      </c>
      <c r="J14" s="231" t="s">
        <v>209</v>
      </c>
      <c r="K14" s="231" t="s">
        <v>209</v>
      </c>
      <c r="L14" s="231" t="s">
        <v>209</v>
      </c>
      <c r="M14" s="231" t="s">
        <v>71</v>
      </c>
      <c r="N14" s="46" t="s">
        <v>90</v>
      </c>
      <c r="O14" s="35" t="s">
        <v>107</v>
      </c>
      <c r="P14" s="35"/>
    </row>
    <row r="15" spans="1:21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229"/>
      <c r="G15" s="229"/>
      <c r="H15" s="229"/>
      <c r="I15" s="229"/>
      <c r="J15" s="229"/>
      <c r="K15" s="229"/>
      <c r="L15" s="229"/>
      <c r="M15" s="229"/>
      <c r="N15" s="46" t="s">
        <v>90</v>
      </c>
    </row>
    <row r="16" spans="1:21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231" t="s">
        <v>362</v>
      </c>
      <c r="G16" s="229">
        <v>0.125</v>
      </c>
      <c r="H16" s="231" t="s">
        <v>209</v>
      </c>
      <c r="I16" s="231">
        <v>0.35</v>
      </c>
      <c r="J16" s="230">
        <v>1E-3</v>
      </c>
      <c r="K16" s="231" t="s">
        <v>354</v>
      </c>
      <c r="L16" s="231" t="s">
        <v>354</v>
      </c>
      <c r="M16" s="46" t="s">
        <v>71</v>
      </c>
      <c r="N16" s="46" t="s">
        <v>90</v>
      </c>
    </row>
    <row r="17" spans="1:14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229"/>
      <c r="G17" s="229"/>
      <c r="H17" s="229"/>
      <c r="I17" s="229"/>
      <c r="J17" s="229"/>
      <c r="K17" s="229"/>
      <c r="L17" s="229"/>
      <c r="M17" s="46"/>
      <c r="N17" s="46" t="s">
        <v>90</v>
      </c>
    </row>
    <row r="18" spans="1:14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231" t="s">
        <v>359</v>
      </c>
      <c r="G18" s="229">
        <v>0.125</v>
      </c>
      <c r="H18" s="229" t="s">
        <v>363</v>
      </c>
      <c r="I18" s="231" t="s">
        <v>209</v>
      </c>
      <c r="J18" s="230">
        <v>1E-3</v>
      </c>
      <c r="K18" s="231" t="s">
        <v>356</v>
      </c>
      <c r="L18" s="231" t="s">
        <v>356</v>
      </c>
      <c r="M18" s="46" t="s">
        <v>79</v>
      </c>
      <c r="N18" s="46" t="s">
        <v>90</v>
      </c>
    </row>
    <row r="19" spans="1:14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229" t="s">
        <v>359</v>
      </c>
      <c r="G19" s="229">
        <v>7.0000000000000007E-2</v>
      </c>
      <c r="H19" s="231" t="s">
        <v>209</v>
      </c>
      <c r="I19" s="231" t="s">
        <v>209</v>
      </c>
      <c r="J19" s="230">
        <v>1E-3</v>
      </c>
      <c r="K19" s="229" t="s">
        <v>360</v>
      </c>
      <c r="L19" s="229" t="s">
        <v>361</v>
      </c>
      <c r="M19" s="46" t="s">
        <v>125</v>
      </c>
      <c r="N19" s="46" t="s">
        <v>90</v>
      </c>
    </row>
    <row r="20" spans="1:14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229"/>
      <c r="G20" s="229"/>
      <c r="H20" s="229"/>
      <c r="I20" s="229"/>
      <c r="J20" s="229"/>
      <c r="K20" s="229"/>
      <c r="L20" s="229"/>
      <c r="M20" s="46"/>
      <c r="N20" s="46" t="s">
        <v>90</v>
      </c>
    </row>
    <row r="21" spans="1:14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229" t="s">
        <v>362</v>
      </c>
      <c r="G21" s="229">
        <v>0.08</v>
      </c>
      <c r="H21" s="231" t="s">
        <v>209</v>
      </c>
      <c r="I21" s="231">
        <v>0.22500000000000001</v>
      </c>
      <c r="J21" s="230">
        <v>2E-3</v>
      </c>
      <c r="K21" s="229" t="s">
        <v>356</v>
      </c>
      <c r="L21" s="229" t="s">
        <v>356</v>
      </c>
      <c r="M21" s="46" t="s">
        <v>79</v>
      </c>
      <c r="N21" s="46" t="s">
        <v>90</v>
      </c>
    </row>
    <row r="22" spans="1:14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229" t="s">
        <v>359</v>
      </c>
      <c r="G22" s="229">
        <v>0.08</v>
      </c>
      <c r="H22" s="231" t="s">
        <v>209</v>
      </c>
      <c r="I22" s="231" t="s">
        <v>209</v>
      </c>
      <c r="J22" s="229">
        <v>0.01</v>
      </c>
      <c r="K22" s="229" t="s">
        <v>52</v>
      </c>
      <c r="L22" s="229" t="s">
        <v>52</v>
      </c>
      <c r="M22" s="46" t="s">
        <v>73</v>
      </c>
      <c r="N22" s="46" t="s">
        <v>90</v>
      </c>
    </row>
    <row r="23" spans="1:14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229"/>
      <c r="G23" s="229"/>
      <c r="H23" s="229"/>
      <c r="I23" s="229"/>
      <c r="J23" s="229"/>
      <c r="K23" s="229"/>
      <c r="L23" s="229"/>
      <c r="M23" s="229"/>
      <c r="N23" s="46" t="s">
        <v>90</v>
      </c>
    </row>
    <row r="24" spans="1:14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231" t="s">
        <v>349</v>
      </c>
      <c r="G24" s="231">
        <v>0.42</v>
      </c>
      <c r="H24" s="231">
        <v>0.32</v>
      </c>
      <c r="I24" s="231">
        <v>0.39500000000000002</v>
      </c>
      <c r="J24" s="230">
        <v>1E-3</v>
      </c>
      <c r="K24" s="231" t="s">
        <v>54</v>
      </c>
      <c r="L24" s="231" t="s">
        <v>54</v>
      </c>
      <c r="M24" s="46" t="s">
        <v>74</v>
      </c>
      <c r="N24" s="46" t="s">
        <v>90</v>
      </c>
    </row>
    <row r="25" spans="1:14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229"/>
      <c r="G25" s="229"/>
      <c r="H25" s="229"/>
      <c r="I25" s="229"/>
      <c r="J25" s="229"/>
      <c r="K25" s="229"/>
      <c r="L25" s="229"/>
      <c r="M25" s="46"/>
      <c r="N25" s="46" t="s">
        <v>90</v>
      </c>
    </row>
    <row r="26" spans="1:14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231" t="s">
        <v>362</v>
      </c>
      <c r="G26" s="231">
        <v>0.13500000000000001</v>
      </c>
      <c r="H26" s="231" t="s">
        <v>209</v>
      </c>
      <c r="I26" s="231">
        <v>0.34</v>
      </c>
      <c r="J26" s="230">
        <v>1E-3</v>
      </c>
      <c r="K26" s="231" t="s">
        <v>54</v>
      </c>
      <c r="L26" s="231" t="s">
        <v>54</v>
      </c>
      <c r="M26" s="46" t="s">
        <v>74</v>
      </c>
      <c r="N26" s="46" t="s">
        <v>90</v>
      </c>
    </row>
    <row r="27" spans="1:14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229"/>
      <c r="G27" s="229"/>
      <c r="H27" s="229"/>
      <c r="I27" s="229"/>
      <c r="J27" s="229"/>
      <c r="K27" s="229"/>
      <c r="L27" s="229"/>
      <c r="M27" s="46"/>
      <c r="N27" s="46" t="s">
        <v>90</v>
      </c>
    </row>
    <row r="28" spans="1:14" x14ac:dyDescent="0.3">
      <c r="A28" s="21"/>
      <c r="B28" s="2"/>
      <c r="C28" s="2" t="s">
        <v>142</v>
      </c>
      <c r="D28" s="2">
        <v>60000</v>
      </c>
      <c r="E28" s="22">
        <v>60999</v>
      </c>
      <c r="F28" s="229" t="s">
        <v>355</v>
      </c>
      <c r="G28" s="229">
        <v>0.25</v>
      </c>
      <c r="H28" s="231">
        <v>0.34</v>
      </c>
      <c r="I28" s="231" t="s">
        <v>209</v>
      </c>
      <c r="J28" s="230">
        <v>5.0000000000000001E-3</v>
      </c>
      <c r="K28" s="229" t="s">
        <v>50</v>
      </c>
      <c r="L28" s="229" t="s">
        <v>50</v>
      </c>
      <c r="M28" s="46" t="s">
        <v>120</v>
      </c>
      <c r="N28" s="46" t="s">
        <v>90</v>
      </c>
    </row>
    <row r="29" spans="1:14" x14ac:dyDescent="0.3">
      <c r="A29" s="33"/>
      <c r="B29" s="29"/>
      <c r="C29" s="13" t="s">
        <v>184</v>
      </c>
      <c r="D29" s="29">
        <v>61000</v>
      </c>
      <c r="E29" s="34">
        <v>61999</v>
      </c>
      <c r="F29" s="231" t="s">
        <v>364</v>
      </c>
      <c r="G29" s="229" t="s">
        <v>367</v>
      </c>
      <c r="H29" s="229" t="s">
        <v>365</v>
      </c>
      <c r="I29" s="229" t="s">
        <v>369</v>
      </c>
      <c r="J29" s="230">
        <v>5.0000000000000001E-3</v>
      </c>
      <c r="K29" s="229" t="s">
        <v>50</v>
      </c>
      <c r="L29" s="229" t="s">
        <v>50</v>
      </c>
      <c r="M29" s="46" t="s">
        <v>120</v>
      </c>
      <c r="N29" s="46" t="s">
        <v>90</v>
      </c>
    </row>
    <row r="30" spans="1:14" ht="15" thickBot="1" x14ac:dyDescent="0.35">
      <c r="A30" s="33"/>
      <c r="B30" s="29"/>
      <c r="C30" s="24" t="s">
        <v>185</v>
      </c>
      <c r="D30" s="24">
        <v>62000</v>
      </c>
      <c r="E30" s="25">
        <v>62999</v>
      </c>
      <c r="F30" s="231" t="s">
        <v>359</v>
      </c>
      <c r="G30" s="229">
        <v>0.13850000000000001</v>
      </c>
      <c r="H30" s="231" t="s">
        <v>209</v>
      </c>
      <c r="I30" s="231" t="s">
        <v>209</v>
      </c>
      <c r="J30" s="230">
        <v>5.0000000000000001E-3</v>
      </c>
      <c r="K30" s="229" t="s">
        <v>50</v>
      </c>
      <c r="L30" s="229" t="s">
        <v>50</v>
      </c>
      <c r="M30" s="46" t="s">
        <v>120</v>
      </c>
      <c r="N30" s="46" t="s">
        <v>90</v>
      </c>
    </row>
    <row r="31" spans="1:14" ht="15" thickBot="1" x14ac:dyDescent="0.35">
      <c r="A31" s="33"/>
      <c r="B31" s="29"/>
      <c r="C31" s="24" t="s">
        <v>370</v>
      </c>
      <c r="D31" s="24">
        <v>63000</v>
      </c>
      <c r="E31" s="25">
        <v>63999</v>
      </c>
      <c r="F31" s="229" t="s">
        <v>355</v>
      </c>
      <c r="G31" s="231">
        <v>0.2</v>
      </c>
      <c r="H31" s="35">
        <v>0.2</v>
      </c>
      <c r="I31" s="231" t="s">
        <v>209</v>
      </c>
      <c r="J31" s="232">
        <v>0.01</v>
      </c>
      <c r="K31" s="231" t="s">
        <v>50</v>
      </c>
      <c r="L31" s="231" t="s">
        <v>50</v>
      </c>
      <c r="M31" s="46" t="s">
        <v>120</v>
      </c>
      <c r="N31" s="46" t="s">
        <v>90</v>
      </c>
    </row>
    <row r="32" spans="1:14" ht="15" thickBot="1" x14ac:dyDescent="0.35">
      <c r="A32" s="23"/>
      <c r="B32" s="24"/>
      <c r="C32" s="24" t="s">
        <v>183</v>
      </c>
      <c r="D32" s="24">
        <v>64000</v>
      </c>
      <c r="E32" s="25">
        <v>64999</v>
      </c>
      <c r="F32" s="231" t="s">
        <v>362</v>
      </c>
      <c r="G32" s="229">
        <v>0.13850000000000001</v>
      </c>
      <c r="H32" s="231" t="s">
        <v>209</v>
      </c>
      <c r="I32" s="229" t="s">
        <v>368</v>
      </c>
      <c r="J32" s="230">
        <v>1E-3</v>
      </c>
      <c r="K32" s="229" t="s">
        <v>50</v>
      </c>
      <c r="L32" s="229" t="s">
        <v>50</v>
      </c>
      <c r="M32" s="46" t="s">
        <v>120</v>
      </c>
      <c r="N32" s="46" t="s">
        <v>90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sheetPr codeName="Sheet7">
    <tabColor theme="7" tint="-0.499984740745262"/>
  </sheetPr>
  <dimension ref="A2:M29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69999</v>
      </c>
      <c r="F28" s="3"/>
    </row>
    <row r="29" spans="1:6" ht="15" thickBot="1" x14ac:dyDescent="0.35">
      <c r="A29" s="23"/>
      <c r="B29" s="24"/>
      <c r="C29" s="24" t="s">
        <v>119</v>
      </c>
      <c r="D29" s="24">
        <v>61000</v>
      </c>
      <c r="E29" s="25">
        <v>69999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7" tint="-0.499984740745262"/>
  </sheetPr>
  <dimension ref="A2:M24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8544-D7D6-4224-89B9-DF05E87627C2}">
  <sheetPr codeName="Sheet9">
    <tabColor theme="7" tint="-0.499984740745262"/>
  </sheetPr>
  <dimension ref="A2:M43"/>
  <sheetViews>
    <sheetView topLeftCell="A5" workbookViewId="0">
      <pane xSplit="1" topLeftCell="B1" activePane="topRight" state="frozen"/>
      <selection activeCell="J36" sqref="J36"/>
      <selection pane="topRight" activeCell="H42" sqref="H42"/>
    </sheetView>
  </sheetViews>
  <sheetFormatPr defaultRowHeight="14.4" x14ac:dyDescent="0.3"/>
  <cols>
    <col min="1" max="1" width="21.77734375" bestFit="1" customWidth="1"/>
    <col min="2" max="2" width="11.109375" bestFit="1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x14ac:dyDescent="0.3">
      <c r="A20" s="54" t="s">
        <v>127</v>
      </c>
      <c r="B20" s="47" t="s">
        <v>87</v>
      </c>
      <c r="C20" s="49" t="s">
        <v>128</v>
      </c>
      <c r="D20" s="47" t="s">
        <v>159</v>
      </c>
      <c r="E20" s="48" t="s">
        <v>154</v>
      </c>
      <c r="F20" s="49" t="s">
        <v>160</v>
      </c>
      <c r="G20" s="62" t="s">
        <v>152</v>
      </c>
      <c r="I20" s="74" t="s">
        <v>169</v>
      </c>
    </row>
    <row r="21" spans="1:11" x14ac:dyDescent="0.3">
      <c r="A21" s="56" t="s">
        <v>130</v>
      </c>
      <c r="B21" s="21" t="s">
        <v>110</v>
      </c>
      <c r="C21" s="51" t="s">
        <v>143</v>
      </c>
      <c r="D21" s="60">
        <v>50000</v>
      </c>
      <c r="E21" s="78">
        <f>0.06^2*PI()</f>
        <v>1.1309733552923255E-2</v>
      </c>
      <c r="F21" s="61">
        <f>0.21</f>
        <v>0.21</v>
      </c>
      <c r="G21" s="75">
        <f t="shared" ref="G21:G30" si="4">D21*E21/F21</f>
        <v>2692.7937030769658</v>
      </c>
      <c r="I21" s="1" t="s">
        <v>161</v>
      </c>
    </row>
    <row r="22" spans="1:11" x14ac:dyDescent="0.3">
      <c r="A22" s="57" t="s">
        <v>132</v>
      </c>
      <c r="B22" s="33" t="s">
        <v>131</v>
      </c>
      <c r="C22" s="53" t="s">
        <v>142</v>
      </c>
      <c r="D22" s="60">
        <v>50000</v>
      </c>
      <c r="E22" s="78">
        <f>0.035^2*PI()</f>
        <v>3.8484510006474969E-3</v>
      </c>
      <c r="F22" s="61">
        <v>0.19</v>
      </c>
      <c r="G22" s="75">
        <f t="shared" si="4"/>
        <v>1012.7502633282887</v>
      </c>
    </row>
    <row r="23" spans="1:11" x14ac:dyDescent="0.3">
      <c r="A23" s="57" t="s">
        <v>187</v>
      </c>
      <c r="B23" s="33" t="s">
        <v>99</v>
      </c>
      <c r="C23" s="35" t="s">
        <v>184</v>
      </c>
      <c r="D23" s="60"/>
      <c r="E23" s="78"/>
      <c r="F23" s="61"/>
      <c r="G23" s="75"/>
    </row>
    <row r="24" spans="1:11" x14ac:dyDescent="0.3">
      <c r="A24" s="35" t="s">
        <v>186</v>
      </c>
      <c r="B24" s="35" t="s">
        <v>188</v>
      </c>
      <c r="C24" s="35" t="s">
        <v>184</v>
      </c>
    </row>
    <row r="25" spans="1:11" x14ac:dyDescent="0.3">
      <c r="A25" s="35" t="s">
        <v>189</v>
      </c>
      <c r="B25" s="35" t="s">
        <v>147</v>
      </c>
      <c r="C25" s="35" t="s">
        <v>190</v>
      </c>
    </row>
    <row r="26" spans="1:11" x14ac:dyDescent="0.3">
      <c r="A26" s="57" t="s">
        <v>139</v>
      </c>
      <c r="B26" s="33" t="s">
        <v>145</v>
      </c>
      <c r="C26" s="53" t="s">
        <v>142</v>
      </c>
      <c r="D26" s="60">
        <f>D22</f>
        <v>50000</v>
      </c>
      <c r="E26" s="78">
        <f>0.025^2*PI()</f>
        <v>1.9634954084936209E-3</v>
      </c>
      <c r="F26" s="61">
        <v>0.11</v>
      </c>
      <c r="G26" s="75">
        <f>D26*E26/F26</f>
        <v>892.49791295164584</v>
      </c>
    </row>
    <row r="27" spans="1:11" x14ac:dyDescent="0.3">
      <c r="A27" s="57" t="s">
        <v>144</v>
      </c>
      <c r="B27" s="33" t="s">
        <v>146</v>
      </c>
      <c r="C27" s="53" t="s">
        <v>142</v>
      </c>
      <c r="D27" s="60">
        <f>D22</f>
        <v>50000</v>
      </c>
      <c r="E27" s="78">
        <f>E26</f>
        <v>1.9634954084936209E-3</v>
      </c>
      <c r="F27" s="61">
        <v>0.31</v>
      </c>
      <c r="G27" s="75">
        <f t="shared" si="4"/>
        <v>316.69280782155175</v>
      </c>
    </row>
    <row r="28" spans="1:11" x14ac:dyDescent="0.3">
      <c r="A28" s="57" t="s">
        <v>148</v>
      </c>
      <c r="B28" s="33" t="s">
        <v>147</v>
      </c>
      <c r="C28" s="53" t="s">
        <v>150</v>
      </c>
      <c r="D28" s="66">
        <v>160</v>
      </c>
      <c r="E28" s="79">
        <f>0.01^2*PI()</f>
        <v>3.1415926535897931E-4</v>
      </c>
      <c r="F28" s="65">
        <v>0.05</v>
      </c>
      <c r="G28" s="75">
        <f t="shared" si="4"/>
        <v>1.0053096491487337</v>
      </c>
    </row>
    <row r="29" spans="1:11" x14ac:dyDescent="0.3">
      <c r="A29" s="57" t="s">
        <v>167</v>
      </c>
      <c r="B29" s="33" t="str">
        <f>B30</f>
        <v>Panel</v>
      </c>
      <c r="C29" s="53" t="str">
        <f>C21</f>
        <v>Rad_IR_Tel</v>
      </c>
      <c r="D29" s="33">
        <v>0.24</v>
      </c>
      <c r="E29" s="80">
        <f>0.001^2*PI()</f>
        <v>3.1415926535897929E-6</v>
      </c>
      <c r="F29" s="53">
        <v>0.01</v>
      </c>
      <c r="G29" s="76">
        <f t="shared" si="4"/>
        <v>7.5398223686155033E-5</v>
      </c>
    </row>
    <row r="30" spans="1:11" ht="15" thickBot="1" x14ac:dyDescent="0.35">
      <c r="A30" s="58" t="s">
        <v>168</v>
      </c>
      <c r="B30" s="23" t="s">
        <v>147</v>
      </c>
      <c r="C30" s="52" t="s">
        <v>142</v>
      </c>
      <c r="D30" s="23">
        <v>0.24</v>
      </c>
      <c r="E30" s="81">
        <f>E29</f>
        <v>3.1415926535897929E-6</v>
      </c>
      <c r="F30" s="52">
        <v>0.01</v>
      </c>
      <c r="G30" s="77">
        <f t="shared" si="4"/>
        <v>7.5398223686155033E-5</v>
      </c>
    </row>
    <row r="31" spans="1:11" x14ac:dyDescent="0.3">
      <c r="I31" s="1" t="s">
        <v>162</v>
      </c>
    </row>
    <row r="32" spans="1:11" ht="15" thickBot="1" x14ac:dyDescent="0.35"/>
    <row r="33" spans="1:8" x14ac:dyDescent="0.3">
      <c r="A33" s="54" t="s">
        <v>127</v>
      </c>
      <c r="B33" s="47" t="s">
        <v>87</v>
      </c>
      <c r="C33" s="49" t="s">
        <v>128</v>
      </c>
      <c r="D33" s="47" t="s">
        <v>158</v>
      </c>
      <c r="E33" s="49" t="s">
        <v>154</v>
      </c>
      <c r="F33" s="62" t="s">
        <v>152</v>
      </c>
    </row>
    <row r="34" spans="1:8" x14ac:dyDescent="0.3">
      <c r="A34" s="57" t="s">
        <v>163</v>
      </c>
      <c r="B34" s="33" t="s">
        <v>149</v>
      </c>
      <c r="C34" s="53" t="s">
        <v>145</v>
      </c>
      <c r="D34" s="33">
        <v>500</v>
      </c>
      <c r="E34" s="53">
        <f>0.04*0.04</f>
        <v>1.6000000000000001E-3</v>
      </c>
      <c r="F34" s="63">
        <f>D34*E34</f>
        <v>0.8</v>
      </c>
    </row>
    <row r="35" spans="1:8" ht="15" thickBot="1" x14ac:dyDescent="0.35">
      <c r="A35" s="58" t="s">
        <v>164</v>
      </c>
      <c r="B35" s="23" t="s">
        <v>149</v>
      </c>
      <c r="C35" s="52" t="s">
        <v>146</v>
      </c>
      <c r="D35" s="23">
        <v>500</v>
      </c>
      <c r="E35" s="52">
        <f>0.02*0.02</f>
        <v>4.0000000000000002E-4</v>
      </c>
      <c r="F35" s="64">
        <f>D35*E35</f>
        <v>0.2</v>
      </c>
    </row>
    <row r="39" spans="1:8" x14ac:dyDescent="0.3">
      <c r="H39" t="s">
        <v>179</v>
      </c>
    </row>
    <row r="42" spans="1:8" x14ac:dyDescent="0.3">
      <c r="C42" t="s">
        <v>181</v>
      </c>
    </row>
    <row r="43" spans="1:8" x14ac:dyDescent="0.3">
      <c r="C43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929-A231-4740-A755-864549E0C2CF}">
  <sheetPr codeName="Sheet10"/>
  <dimension ref="A2:U35"/>
  <sheetViews>
    <sheetView workbookViewId="0">
      <selection activeCell="F32" sqref="F3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6" max="12" width="8.88671875" style="224"/>
    <col min="14" max="14" width="8.88671875" style="224"/>
    <col min="15" max="16" width="10" customWidth="1"/>
    <col min="17" max="17" width="15.109375" customWidth="1"/>
    <col min="18" max="18" width="14.5546875" customWidth="1"/>
    <col min="19" max="19" width="10.21875" customWidth="1"/>
    <col min="20" max="20" width="13.109375" customWidth="1"/>
    <col min="21" max="21" width="17.33203125" customWidth="1"/>
  </cols>
  <sheetData>
    <row r="2" spans="1:21" ht="15" thickBot="1" x14ac:dyDescent="0.35"/>
    <row r="3" spans="1:21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  <c r="F3" s="74" t="s">
        <v>348</v>
      </c>
      <c r="G3" s="74" t="s">
        <v>345</v>
      </c>
      <c r="H3" s="74" t="s">
        <v>346</v>
      </c>
      <c r="I3" s="74" t="s">
        <v>347</v>
      </c>
      <c r="J3" s="74" t="s">
        <v>350</v>
      </c>
      <c r="K3" s="74" t="s">
        <v>352</v>
      </c>
      <c r="L3" s="74" t="s">
        <v>353</v>
      </c>
      <c r="M3" s="74" t="s">
        <v>351</v>
      </c>
      <c r="N3" s="74"/>
    </row>
    <row r="4" spans="1:21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228"/>
      <c r="G4" s="227"/>
      <c r="H4" s="227"/>
      <c r="I4" s="227"/>
      <c r="J4" s="227"/>
      <c r="K4" s="227"/>
      <c r="L4" s="227"/>
      <c r="M4" s="227"/>
      <c r="N4" s="227"/>
      <c r="Q4" s="1" t="s">
        <v>29</v>
      </c>
      <c r="R4" s="1"/>
      <c r="S4" s="1" t="s">
        <v>30</v>
      </c>
      <c r="T4" s="1" t="s">
        <v>31</v>
      </c>
      <c r="U4" s="1" t="s">
        <v>32</v>
      </c>
    </row>
    <row r="5" spans="1:21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229" t="s">
        <v>349</v>
      </c>
      <c r="G5" s="229">
        <v>0.4</v>
      </c>
      <c r="H5" s="229">
        <v>0.3</v>
      </c>
      <c r="I5" s="229">
        <v>0.375</v>
      </c>
      <c r="J5" s="230">
        <v>2E-3</v>
      </c>
      <c r="K5" s="46" t="s">
        <v>354</v>
      </c>
      <c r="L5" s="46" t="s">
        <v>354</v>
      </c>
      <c r="M5" s="230" t="s">
        <v>71</v>
      </c>
      <c r="N5" s="230" t="s">
        <v>90</v>
      </c>
    </row>
    <row r="6" spans="1:21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229" t="s">
        <v>355</v>
      </c>
      <c r="G6" s="229">
        <v>0.4</v>
      </c>
      <c r="H6" s="229">
        <v>0.3</v>
      </c>
      <c r="I6" s="229" t="s">
        <v>209</v>
      </c>
      <c r="J6" s="230">
        <v>2E-3</v>
      </c>
      <c r="K6" s="229" t="s">
        <v>356</v>
      </c>
      <c r="L6" s="229" t="s">
        <v>356</v>
      </c>
      <c r="M6" s="229" t="s">
        <v>79</v>
      </c>
      <c r="N6" s="229" t="s">
        <v>90</v>
      </c>
    </row>
    <row r="7" spans="1:21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229" t="s">
        <v>355</v>
      </c>
      <c r="G7" s="229">
        <v>0.4</v>
      </c>
      <c r="H7" s="229">
        <v>0.3</v>
      </c>
      <c r="I7" s="229" t="s">
        <v>209</v>
      </c>
      <c r="J7" s="230">
        <v>2E-3</v>
      </c>
      <c r="K7" s="229" t="s">
        <v>356</v>
      </c>
      <c r="L7" s="229" t="s">
        <v>356</v>
      </c>
      <c r="M7" s="229" t="s">
        <v>79</v>
      </c>
      <c r="N7" s="229" t="s">
        <v>90</v>
      </c>
      <c r="Q7" s="3">
        <v>12345</v>
      </c>
      <c r="S7" t="s">
        <v>33</v>
      </c>
      <c r="T7" t="s">
        <v>34</v>
      </c>
      <c r="U7" t="s">
        <v>35</v>
      </c>
    </row>
    <row r="8" spans="1:21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229" t="s">
        <v>355</v>
      </c>
      <c r="G8" s="229">
        <v>0.93600000000000005</v>
      </c>
      <c r="H8" s="229">
        <v>0.3</v>
      </c>
      <c r="I8" s="229" t="s">
        <v>209</v>
      </c>
      <c r="J8" s="230">
        <v>1E-3</v>
      </c>
      <c r="K8" s="229" t="s">
        <v>51</v>
      </c>
      <c r="L8" s="229" t="s">
        <v>53</v>
      </c>
      <c r="M8" s="229" t="s">
        <v>357</v>
      </c>
      <c r="N8" s="229" t="s">
        <v>90</v>
      </c>
    </row>
    <row r="9" spans="1:21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229"/>
      <c r="G9" s="229"/>
      <c r="H9" s="229"/>
      <c r="I9" s="229"/>
      <c r="J9" s="229"/>
      <c r="K9" s="229"/>
      <c r="L9" s="229"/>
      <c r="M9" s="46"/>
      <c r="N9" s="46" t="s">
        <v>90</v>
      </c>
    </row>
    <row r="10" spans="1:21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229"/>
      <c r="G10" s="229"/>
      <c r="H10" s="229"/>
      <c r="I10" s="229"/>
      <c r="J10" s="229"/>
      <c r="K10" s="229"/>
      <c r="L10" s="229"/>
      <c r="M10" s="46"/>
      <c r="N10" s="46" t="s">
        <v>90</v>
      </c>
      <c r="Q10" s="1" t="s">
        <v>0</v>
      </c>
      <c r="R10" s="1" t="s">
        <v>1</v>
      </c>
      <c r="S10" s="1" t="s">
        <v>83</v>
      </c>
    </row>
    <row r="11" spans="1:21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229"/>
      <c r="G11" s="229"/>
      <c r="H11" s="229"/>
      <c r="I11" s="229"/>
      <c r="J11" s="229"/>
      <c r="K11" s="229"/>
      <c r="L11" s="229"/>
      <c r="M11" s="46"/>
      <c r="N11" s="46" t="s">
        <v>90</v>
      </c>
      <c r="Q11" t="s">
        <v>84</v>
      </c>
      <c r="R11" t="s">
        <v>85</v>
      </c>
      <c r="S11" t="s">
        <v>86</v>
      </c>
    </row>
    <row r="12" spans="1:21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229" t="s">
        <v>349</v>
      </c>
      <c r="G12" s="229">
        <v>0.15</v>
      </c>
      <c r="H12" s="231">
        <v>0.15</v>
      </c>
      <c r="I12" s="231">
        <v>0.04</v>
      </c>
      <c r="J12" s="230">
        <v>2E-3</v>
      </c>
      <c r="K12" s="229" t="s">
        <v>356</v>
      </c>
      <c r="L12" s="229" t="s">
        <v>356</v>
      </c>
      <c r="M12" s="46" t="s">
        <v>91</v>
      </c>
      <c r="N12" s="46" t="s">
        <v>90</v>
      </c>
    </row>
    <row r="13" spans="1:21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229" t="s">
        <v>358</v>
      </c>
      <c r="G13" s="231" t="s">
        <v>209</v>
      </c>
      <c r="H13" s="231" t="s">
        <v>209</v>
      </c>
      <c r="I13" s="231" t="s">
        <v>209</v>
      </c>
      <c r="J13" s="231" t="s">
        <v>209</v>
      </c>
      <c r="K13" s="231" t="s">
        <v>209</v>
      </c>
      <c r="L13" s="231" t="s">
        <v>209</v>
      </c>
      <c r="M13" s="231" t="s">
        <v>71</v>
      </c>
      <c r="N13" s="46" t="s">
        <v>90</v>
      </c>
      <c r="O13" s="35" t="s">
        <v>106</v>
      </c>
      <c r="P13" s="35"/>
    </row>
    <row r="14" spans="1:21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229" t="s">
        <v>358</v>
      </c>
      <c r="G14" s="231" t="s">
        <v>209</v>
      </c>
      <c r="H14" s="231" t="s">
        <v>209</v>
      </c>
      <c r="I14" s="231" t="s">
        <v>209</v>
      </c>
      <c r="J14" s="231" t="s">
        <v>209</v>
      </c>
      <c r="K14" s="231" t="s">
        <v>209</v>
      </c>
      <c r="L14" s="231" t="s">
        <v>209</v>
      </c>
      <c r="M14" s="231" t="s">
        <v>71</v>
      </c>
      <c r="N14" s="46" t="s">
        <v>90</v>
      </c>
      <c r="O14" s="35" t="s">
        <v>107</v>
      </c>
      <c r="P14" s="35"/>
    </row>
    <row r="15" spans="1:21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229"/>
      <c r="G15" s="229"/>
      <c r="H15" s="229"/>
      <c r="I15" s="229"/>
      <c r="J15" s="229"/>
      <c r="K15" s="229"/>
      <c r="L15" s="229"/>
      <c r="M15" s="46"/>
      <c r="N15" s="46" t="s">
        <v>90</v>
      </c>
    </row>
    <row r="16" spans="1:21" x14ac:dyDescent="0.3">
      <c r="A16" s="21"/>
      <c r="B16" s="2" t="s">
        <v>3</v>
      </c>
      <c r="C16" s="2" t="s">
        <v>99</v>
      </c>
      <c r="D16" s="2">
        <v>40000</v>
      </c>
      <c r="E16" s="22">
        <v>40499</v>
      </c>
      <c r="F16" s="231" t="s">
        <v>362</v>
      </c>
      <c r="G16" s="229">
        <v>0.125</v>
      </c>
      <c r="H16" s="231" t="s">
        <v>209</v>
      </c>
      <c r="I16" s="231">
        <v>0.35</v>
      </c>
      <c r="J16" s="230">
        <v>1E-3</v>
      </c>
      <c r="K16" s="231" t="s">
        <v>354</v>
      </c>
      <c r="L16" s="231" t="s">
        <v>354</v>
      </c>
      <c r="M16" s="46" t="s">
        <v>71</v>
      </c>
      <c r="N16" s="46" t="s">
        <v>90</v>
      </c>
    </row>
    <row r="17" spans="1:20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229"/>
      <c r="G17" s="229"/>
      <c r="H17" s="229"/>
      <c r="I17" s="229"/>
      <c r="J17" s="229"/>
      <c r="K17" s="229"/>
      <c r="L17" s="229"/>
      <c r="M17" s="46"/>
      <c r="N17" s="46" t="s">
        <v>90</v>
      </c>
      <c r="Q17" s="105" t="s">
        <v>232</v>
      </c>
      <c r="T17" s="105" t="s">
        <v>267</v>
      </c>
    </row>
    <row r="18" spans="1:20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231" t="s">
        <v>359</v>
      </c>
      <c r="G18" s="229">
        <v>0.125</v>
      </c>
      <c r="H18" s="229" t="s">
        <v>363</v>
      </c>
      <c r="I18" s="231" t="s">
        <v>209</v>
      </c>
      <c r="J18" s="230">
        <v>1E-3</v>
      </c>
      <c r="K18" s="231" t="s">
        <v>356</v>
      </c>
      <c r="L18" s="231" t="s">
        <v>356</v>
      </c>
      <c r="M18" s="46" t="s">
        <v>79</v>
      </c>
      <c r="N18" s="46" t="s">
        <v>90</v>
      </c>
    </row>
    <row r="19" spans="1:20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229" t="s">
        <v>359</v>
      </c>
      <c r="G19" s="229">
        <v>7.0000000000000007E-2</v>
      </c>
      <c r="H19" s="231" t="s">
        <v>209</v>
      </c>
      <c r="I19" s="231" t="s">
        <v>209</v>
      </c>
      <c r="J19" s="230">
        <v>1E-3</v>
      </c>
      <c r="K19" s="229" t="s">
        <v>360</v>
      </c>
      <c r="L19" s="229" t="s">
        <v>361</v>
      </c>
      <c r="M19" s="46" t="s">
        <v>125</v>
      </c>
      <c r="N19" s="46" t="s">
        <v>90</v>
      </c>
    </row>
    <row r="20" spans="1:20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229"/>
      <c r="G20" s="229"/>
      <c r="H20" s="229"/>
      <c r="I20" s="229"/>
      <c r="J20" s="229"/>
      <c r="K20" s="229"/>
      <c r="L20" s="229"/>
      <c r="M20" s="46"/>
      <c r="N20" s="46" t="s">
        <v>90</v>
      </c>
    </row>
    <row r="21" spans="1:20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229" t="s">
        <v>362</v>
      </c>
      <c r="G21" s="229">
        <v>0.08</v>
      </c>
      <c r="H21" s="231" t="s">
        <v>209</v>
      </c>
      <c r="I21" s="231">
        <v>0.22500000000000001</v>
      </c>
      <c r="J21" s="230">
        <v>2E-3</v>
      </c>
      <c r="K21" s="229" t="s">
        <v>356</v>
      </c>
      <c r="L21" s="229" t="s">
        <v>356</v>
      </c>
      <c r="M21" s="46" t="s">
        <v>79</v>
      </c>
      <c r="N21" s="46" t="s">
        <v>90</v>
      </c>
    </row>
    <row r="22" spans="1:20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229" t="s">
        <v>359</v>
      </c>
      <c r="G22" s="229">
        <v>0.08</v>
      </c>
      <c r="H22" s="231" t="s">
        <v>209</v>
      </c>
      <c r="I22" s="231" t="s">
        <v>209</v>
      </c>
      <c r="J22" s="229">
        <v>0.01</v>
      </c>
      <c r="K22" s="229" t="s">
        <v>52</v>
      </c>
      <c r="L22" s="229" t="s">
        <v>52</v>
      </c>
      <c r="M22" s="46" t="s">
        <v>73</v>
      </c>
      <c r="N22" s="46" t="s">
        <v>90</v>
      </c>
    </row>
    <row r="23" spans="1:20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229"/>
      <c r="G23" s="229"/>
      <c r="H23" s="229"/>
      <c r="I23" s="229"/>
      <c r="J23" s="229"/>
      <c r="K23" s="229"/>
      <c r="L23" s="229"/>
      <c r="M23" s="46"/>
      <c r="N23" s="46" t="s">
        <v>90</v>
      </c>
    </row>
    <row r="24" spans="1:20" x14ac:dyDescent="0.3">
      <c r="A24" s="21"/>
      <c r="B24" s="2" t="s">
        <v>15</v>
      </c>
      <c r="C24" s="2" t="s">
        <v>26</v>
      </c>
      <c r="D24" s="2">
        <v>51000</v>
      </c>
      <c r="E24" s="22">
        <v>51999</v>
      </c>
      <c r="F24" s="231" t="s">
        <v>349</v>
      </c>
      <c r="G24" s="231">
        <v>0.42</v>
      </c>
      <c r="H24" s="231">
        <v>0.32</v>
      </c>
      <c r="I24" s="231">
        <v>0.39500000000000002</v>
      </c>
      <c r="J24" s="230">
        <v>1E-3</v>
      </c>
      <c r="K24" s="231" t="s">
        <v>54</v>
      </c>
      <c r="L24" s="231" t="s">
        <v>54</v>
      </c>
      <c r="M24" s="46" t="s">
        <v>74</v>
      </c>
      <c r="N24" s="46" t="s">
        <v>90</v>
      </c>
    </row>
    <row r="25" spans="1:20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229"/>
      <c r="G25" s="229"/>
      <c r="H25" s="229"/>
      <c r="I25" s="229"/>
      <c r="J25" s="229"/>
      <c r="K25" s="229"/>
      <c r="L25" s="229"/>
      <c r="M25" s="46"/>
      <c r="N25" s="46" t="s">
        <v>90</v>
      </c>
    </row>
    <row r="26" spans="1:20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231" t="s">
        <v>362</v>
      </c>
      <c r="G26" s="231">
        <v>0.13500000000000001</v>
      </c>
      <c r="H26" s="231" t="s">
        <v>209</v>
      </c>
      <c r="I26" s="231">
        <v>0.34</v>
      </c>
      <c r="J26" s="230">
        <v>1E-3</v>
      </c>
      <c r="K26" s="231" t="s">
        <v>54</v>
      </c>
      <c r="L26" s="231" t="s">
        <v>54</v>
      </c>
      <c r="M26" s="46" t="s">
        <v>74</v>
      </c>
      <c r="N26" s="46" t="s">
        <v>90</v>
      </c>
    </row>
    <row r="27" spans="1:20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229"/>
      <c r="G27" s="229"/>
      <c r="H27" s="229"/>
      <c r="I27" s="229"/>
      <c r="J27" s="229"/>
      <c r="K27" s="229"/>
      <c r="L27" s="229"/>
      <c r="M27" s="46"/>
      <c r="N27" s="46" t="s">
        <v>90</v>
      </c>
    </row>
    <row r="28" spans="1:20" x14ac:dyDescent="0.3">
      <c r="A28" s="21"/>
      <c r="B28" s="2"/>
      <c r="C28" s="2" t="s">
        <v>142</v>
      </c>
      <c r="D28" s="2">
        <v>60000</v>
      </c>
      <c r="E28" s="22">
        <v>60999</v>
      </c>
      <c r="F28" s="229" t="s">
        <v>355</v>
      </c>
      <c r="G28" s="229">
        <v>0.25</v>
      </c>
      <c r="H28" s="231">
        <v>0.34</v>
      </c>
      <c r="I28" s="231" t="s">
        <v>209</v>
      </c>
      <c r="J28" s="230">
        <v>5.0000000000000001E-3</v>
      </c>
      <c r="K28" s="229" t="s">
        <v>50</v>
      </c>
      <c r="L28" s="229" t="s">
        <v>50</v>
      </c>
      <c r="M28" s="46" t="s">
        <v>120</v>
      </c>
      <c r="N28" s="46" t="s">
        <v>90</v>
      </c>
    </row>
    <row r="29" spans="1:20" x14ac:dyDescent="0.3">
      <c r="A29" s="21"/>
      <c r="B29" s="2"/>
      <c r="C29" s="2" t="s">
        <v>184</v>
      </c>
      <c r="D29" s="2">
        <v>61000</v>
      </c>
      <c r="E29" s="22">
        <v>61999</v>
      </c>
      <c r="F29" s="231" t="s">
        <v>364</v>
      </c>
      <c r="G29" s="229" t="s">
        <v>367</v>
      </c>
      <c r="H29" s="229" t="s">
        <v>365</v>
      </c>
      <c r="I29" s="229" t="s">
        <v>366</v>
      </c>
      <c r="J29" s="230">
        <v>5.0000000000000001E-3</v>
      </c>
      <c r="K29" s="229" t="s">
        <v>50</v>
      </c>
      <c r="L29" s="229" t="s">
        <v>50</v>
      </c>
      <c r="M29" s="46" t="s">
        <v>120</v>
      </c>
      <c r="N29" s="46" t="s">
        <v>90</v>
      </c>
    </row>
    <row r="30" spans="1:20" x14ac:dyDescent="0.3">
      <c r="A30" s="21"/>
      <c r="B30" s="2"/>
      <c r="C30" s="2" t="s">
        <v>185</v>
      </c>
      <c r="D30" s="2">
        <v>62000</v>
      </c>
      <c r="E30" s="22">
        <v>62999</v>
      </c>
      <c r="F30" s="231" t="s">
        <v>359</v>
      </c>
      <c r="G30" s="229">
        <v>0.13850000000000001</v>
      </c>
      <c r="H30" s="231" t="s">
        <v>209</v>
      </c>
      <c r="I30" s="231" t="s">
        <v>209</v>
      </c>
      <c r="J30" s="230">
        <v>5.0000000000000001E-3</v>
      </c>
      <c r="K30" s="229" t="s">
        <v>50</v>
      </c>
      <c r="L30" s="229" t="s">
        <v>50</v>
      </c>
      <c r="M30" s="46" t="s">
        <v>120</v>
      </c>
      <c r="N30" s="46" t="s">
        <v>90</v>
      </c>
    </row>
    <row r="31" spans="1:20" ht="15" thickBot="1" x14ac:dyDescent="0.35">
      <c r="A31" s="23"/>
      <c r="B31" s="24"/>
      <c r="C31" s="24" t="s">
        <v>183</v>
      </c>
      <c r="D31" s="24">
        <v>64000</v>
      </c>
      <c r="E31" s="25">
        <v>64999</v>
      </c>
      <c r="F31" s="231" t="s">
        <v>362</v>
      </c>
      <c r="G31" s="229">
        <v>0.13850000000000001</v>
      </c>
      <c r="H31" s="231" t="s">
        <v>209</v>
      </c>
      <c r="I31" s="229" t="s">
        <v>368</v>
      </c>
      <c r="J31" s="230">
        <v>1E-3</v>
      </c>
      <c r="K31" s="229" t="s">
        <v>50</v>
      </c>
      <c r="L31" s="229" t="s">
        <v>50</v>
      </c>
      <c r="M31" s="46" t="s">
        <v>120</v>
      </c>
      <c r="N31" s="46" t="s">
        <v>90</v>
      </c>
    </row>
    <row r="32" spans="1:20" x14ac:dyDescent="0.3">
      <c r="A32" s="40" t="s">
        <v>210</v>
      </c>
      <c r="B32" s="41"/>
      <c r="C32" s="41" t="s">
        <v>229</v>
      </c>
      <c r="D32" s="41">
        <v>70000</v>
      </c>
      <c r="E32" s="42">
        <v>79000</v>
      </c>
      <c r="F32" s="229"/>
      <c r="G32" s="229"/>
      <c r="H32" s="229"/>
      <c r="I32" s="229"/>
      <c r="J32" s="229"/>
      <c r="K32" s="229"/>
      <c r="L32" s="229"/>
      <c r="M32" s="46"/>
      <c r="N32" s="46" t="s">
        <v>90</v>
      </c>
    </row>
    <row r="33" spans="1:14" x14ac:dyDescent="0.3">
      <c r="A33" s="21"/>
      <c r="B33" s="2" t="s">
        <v>230</v>
      </c>
      <c r="C33" s="2" t="s">
        <v>227</v>
      </c>
      <c r="D33" s="2">
        <v>70000</v>
      </c>
      <c r="E33" s="22">
        <v>71900</v>
      </c>
      <c r="F33" s="231" t="s">
        <v>358</v>
      </c>
      <c r="G33" s="231" t="s">
        <v>209</v>
      </c>
      <c r="H33" s="231" t="s">
        <v>209</v>
      </c>
      <c r="I33" s="231" t="s">
        <v>209</v>
      </c>
      <c r="J33" s="231" t="s">
        <v>209</v>
      </c>
      <c r="K33" s="231" t="s">
        <v>209</v>
      </c>
      <c r="L33" s="231" t="s">
        <v>209</v>
      </c>
      <c r="M33" s="231" t="s">
        <v>71</v>
      </c>
      <c r="N33" s="46" t="s">
        <v>90</v>
      </c>
    </row>
    <row r="34" spans="1:14" ht="15" thickBot="1" x14ac:dyDescent="0.35">
      <c r="A34" s="23"/>
      <c r="B34" s="24" t="s">
        <v>231</v>
      </c>
      <c r="C34" s="24" t="s">
        <v>228</v>
      </c>
      <c r="D34" s="24">
        <v>71000</v>
      </c>
      <c r="E34" s="25">
        <v>71999</v>
      </c>
      <c r="F34" s="231" t="s">
        <v>358</v>
      </c>
      <c r="G34" s="231" t="s">
        <v>209</v>
      </c>
      <c r="H34" s="231" t="s">
        <v>209</v>
      </c>
      <c r="I34" s="231" t="s">
        <v>209</v>
      </c>
      <c r="J34" s="231" t="s">
        <v>209</v>
      </c>
      <c r="K34" s="231" t="s">
        <v>209</v>
      </c>
      <c r="L34" s="231" t="s">
        <v>209</v>
      </c>
      <c r="M34" s="231" t="s">
        <v>71</v>
      </c>
      <c r="N34" s="46" t="s">
        <v>90</v>
      </c>
    </row>
    <row r="35" spans="1:14" x14ac:dyDescent="0.3">
      <c r="E35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sheetPr codeName="Sheet2"/>
  <dimension ref="B3:J44"/>
  <sheetViews>
    <sheetView workbookViewId="0">
      <selection activeCell="C4" sqref="C4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  <row r="44" spans="10:10" x14ac:dyDescent="0.3">
      <c r="J44" t="s">
        <v>202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sheetPr codeName="Sheet3"/>
  <dimension ref="A3:L17"/>
  <sheetViews>
    <sheetView workbookViewId="0">
      <selection activeCell="B12" sqref="B12:G12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237" t="s">
        <v>36</v>
      </c>
      <c r="C3" s="238" t="s">
        <v>40</v>
      </c>
      <c r="D3" s="238"/>
      <c r="E3" s="238"/>
      <c r="F3" s="238"/>
      <c r="G3" s="238" t="s">
        <v>46</v>
      </c>
      <c r="H3" s="238"/>
      <c r="I3" s="238"/>
      <c r="J3" s="238"/>
      <c r="K3" s="239" t="s">
        <v>87</v>
      </c>
      <c r="L3" s="239"/>
    </row>
    <row r="4" spans="1:12" x14ac:dyDescent="0.3">
      <c r="A4" s="3"/>
      <c r="B4" s="237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239"/>
      <c r="L4" s="239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236" t="s">
        <v>88</v>
      </c>
      <c r="L5" s="233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236" t="s">
        <v>88</v>
      </c>
      <c r="L6" s="233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233"/>
      <c r="L7" s="233"/>
    </row>
    <row r="8" spans="1:12" x14ac:dyDescent="0.3">
      <c r="A8" s="3" t="s">
        <v>90</v>
      </c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234"/>
      <c r="L8" s="235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233"/>
      <c r="L9" s="233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234"/>
      <c r="L10" s="235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234"/>
      <c r="L11" s="235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233"/>
      <c r="L12" s="233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233"/>
      <c r="L13" s="233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233"/>
      <c r="L14" s="233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233"/>
      <c r="L15" s="233"/>
    </row>
    <row r="16" spans="1:12" x14ac:dyDescent="0.3">
      <c r="A16" s="3" t="s">
        <v>90</v>
      </c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234"/>
      <c r="L16" s="235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233"/>
      <c r="L17" s="233"/>
    </row>
  </sheetData>
  <mergeCells count="17">
    <mergeCell ref="K6:L6"/>
    <mergeCell ref="B3:B4"/>
    <mergeCell ref="C3:F3"/>
    <mergeCell ref="G3:J3"/>
    <mergeCell ref="K3:L4"/>
    <mergeCell ref="K5:L5"/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  <mergeCell ref="K16:L1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sheetPr codeName="Sheet4"/>
  <dimension ref="A4:O15"/>
  <sheetViews>
    <sheetView workbookViewId="0">
      <selection activeCell="E9" sqref="E9:F9"/>
    </sheetView>
  </sheetViews>
  <sheetFormatPr defaultColWidth="11.5546875" defaultRowHeight="14.4" x14ac:dyDescent="0.3"/>
  <sheetData>
    <row r="4" spans="1:15" x14ac:dyDescent="0.3">
      <c r="A4" s="240" t="s">
        <v>68</v>
      </c>
      <c r="B4" s="241"/>
      <c r="C4" s="241"/>
      <c r="D4" s="242"/>
      <c r="E4" s="239" t="s">
        <v>87</v>
      </c>
      <c r="F4" s="239"/>
      <c r="H4" s="240" t="s">
        <v>75</v>
      </c>
      <c r="I4" s="241"/>
      <c r="J4" s="241"/>
      <c r="K4" s="241"/>
      <c r="L4" s="241"/>
      <c r="M4" s="242"/>
      <c r="N4" s="239" t="s">
        <v>87</v>
      </c>
      <c r="O4" s="239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239"/>
      <c r="F5" s="239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239"/>
      <c r="O5" s="239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234"/>
      <c r="F6" s="235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234"/>
      <c r="O6" s="235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326" t="s">
        <v>92</v>
      </c>
      <c r="F7" s="235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326" t="s">
        <v>92</v>
      </c>
      <c r="F8" s="235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234" t="s">
        <v>121</v>
      </c>
      <c r="F9" s="235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234"/>
      <c r="F10" s="235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234"/>
      <c r="F11" s="235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46">
        <v>794</v>
      </c>
      <c r="D14" s="46">
        <v>2300</v>
      </c>
      <c r="E14" s="234" t="s">
        <v>126</v>
      </c>
      <c r="F14" s="235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234"/>
      <c r="F15" s="235"/>
      <c r="G15" s="3" t="s">
        <v>90</v>
      </c>
    </row>
  </sheetData>
  <mergeCells count="13">
    <mergeCell ref="H4:M4"/>
    <mergeCell ref="N4:O5"/>
    <mergeCell ref="A4:D4"/>
    <mergeCell ref="E4:F5"/>
    <mergeCell ref="E7:F7"/>
    <mergeCell ref="E6:F6"/>
    <mergeCell ref="E10:F10"/>
    <mergeCell ref="E11:F11"/>
    <mergeCell ref="E15:F15"/>
    <mergeCell ref="N6:O6"/>
    <mergeCell ref="E8:F8"/>
    <mergeCell ref="E9:F9"/>
    <mergeCell ref="E14:F14"/>
  </mergeCells>
  <hyperlinks>
    <hyperlink ref="E7" r:id="rId1" xr:uid="{4F68657E-46EF-458D-B324-9307F0D5DF32}"/>
    <hyperlink ref="E8" r:id="rId2" xr:uid="{ED9ADA7D-7841-4106-9DF8-ED3AC77BB18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02D-ACAD-4878-A51F-5C577BBAB029}">
  <sheetPr codeName="Sheet5">
    <tabColor rgb="FFC00000"/>
  </sheetPr>
  <dimension ref="A2:X47"/>
  <sheetViews>
    <sheetView tabSelected="1" workbookViewId="0">
      <pane xSplit="1" topLeftCell="B1" activePane="topRight" state="frozen"/>
      <selection activeCell="J44" sqref="J44"/>
      <selection pane="topRight" activeCell="A3" sqref="A3:L18"/>
    </sheetView>
  </sheetViews>
  <sheetFormatPr defaultRowHeight="14.4" x14ac:dyDescent="0.3"/>
  <cols>
    <col min="1" max="1" width="23.33203125" customWidth="1"/>
    <col min="2" max="2" width="12.44140625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24" ht="15" thickBot="1" x14ac:dyDescent="0.35"/>
    <row r="3" spans="1:24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24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24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'GLs (CC)'!E5</f>
        <v>59</v>
      </c>
      <c r="F5" s="128">
        <f>'GLs (CC)'!F5</f>
        <v>5.0265482457436698E-3</v>
      </c>
      <c r="G5" s="72">
        <f>MIN(F5,J5)</f>
        <v>4.0212385965949353E-5</v>
      </c>
      <c r="H5" s="53">
        <f>'GLs (CC)'!H5</f>
        <v>100</v>
      </c>
      <c r="I5" s="53">
        <f>'GLs (CC)'!I5</f>
        <v>5</v>
      </c>
      <c r="J5" s="53">
        <f>'GLs (CC)'!J5</f>
        <v>4.0212385965949353E-5</v>
      </c>
      <c r="K5" s="83">
        <f>1 / ( (D5/(E5*F5)) + (1/(G5*H5))+(D5/(I5*J5)))</f>
        <v>1.5341807626192488E-3</v>
      </c>
    </row>
    <row r="6" spans="1:24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'GLs (CC)'!E6</f>
        <v>5</v>
      </c>
      <c r="F6" s="53">
        <f>'GLs (CC)'!F6</f>
        <v>4.0212385965949353E-5</v>
      </c>
      <c r="G6" s="53">
        <f t="shared" ref="G6:G17" si="0">MIN(F6,J6)</f>
        <v>1.5393804002589989E-5</v>
      </c>
      <c r="H6" s="53">
        <f>'GLs (CC)'!H6</f>
        <v>100</v>
      </c>
      <c r="I6" s="53">
        <f>'GLs (CC)'!I6</f>
        <v>5</v>
      </c>
      <c r="J6" s="53">
        <f>'GLs (CC)'!J6</f>
        <v>1.5393804002589989E-5</v>
      </c>
      <c r="K6" s="83">
        <f t="shared" ref="K5:K17" si="1">1 / ( (D6/(E6*F6)) + (1/(G6*H6))+(D6/(I6*J6)))</f>
        <v>4.7918456039190629E-4</v>
      </c>
      <c r="V6">
        <v>2.44808743E-2</v>
      </c>
      <c r="W6" s="1" t="s">
        <v>342</v>
      </c>
      <c r="X6" s="226" t="s">
        <v>344</v>
      </c>
    </row>
    <row r="7" spans="1:24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'GLs (CC)'!E7</f>
        <v>5</v>
      </c>
      <c r="F7" s="53">
        <f>'GLs (CC)'!F7</f>
        <v>4.0212385965949353E-5</v>
      </c>
      <c r="G7" s="53">
        <f t="shared" si="0"/>
        <v>4.0212385965949353E-5</v>
      </c>
      <c r="H7" s="53">
        <f>'GLs (CC)'!H7</f>
        <v>200</v>
      </c>
      <c r="I7" s="53">
        <f>'GLs (CC)'!I7</f>
        <v>160</v>
      </c>
      <c r="J7" s="53">
        <f>'GLs (CC)'!J7</f>
        <v>7.8539816339744835E-3</v>
      </c>
      <c r="K7" s="83">
        <f t="shared" si="1"/>
        <v>2.8720178757291651E-3</v>
      </c>
      <c r="V7">
        <v>2.0638799999999999E-2</v>
      </c>
      <c r="W7" s="1" t="s">
        <v>341</v>
      </c>
      <c r="X7" s="226" t="s">
        <v>343</v>
      </c>
    </row>
    <row r="8" spans="1:24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f>'GLs (CC)'!E8</f>
        <v>160</v>
      </c>
      <c r="F8" s="53">
        <f>'GLs (CC)'!F8</f>
        <v>4.908738521234052E-5</v>
      </c>
      <c r="G8" s="53">
        <f t="shared" si="0"/>
        <v>4.908738521234052E-5</v>
      </c>
      <c r="H8" s="53">
        <f>'GLs (CC)'!H8</f>
        <v>300</v>
      </c>
      <c r="I8" s="53">
        <f>'GLs (CC)'!I8</f>
        <v>160</v>
      </c>
      <c r="J8" s="53">
        <f>'GLs (CC)'!J8</f>
        <v>4.0000000000000001E-3</v>
      </c>
      <c r="K8" s="83">
        <f t="shared" si="1"/>
        <v>1.1811765605433695E-2</v>
      </c>
    </row>
    <row r="9" spans="1:24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f>'GLs (CC)'!E9</f>
        <v>160</v>
      </c>
      <c r="F9" s="53">
        <f>'GLs (CC)'!F9</f>
        <v>2.5000000000000001E-4</v>
      </c>
      <c r="G9" s="53">
        <f t="shared" si="0"/>
        <v>2.5000000000000001E-4</v>
      </c>
      <c r="H9" s="53">
        <f>'GLs (CC)'!H9</f>
        <v>100</v>
      </c>
      <c r="I9" s="53">
        <f>'GLs (CC)'!I9</f>
        <v>42</v>
      </c>
      <c r="J9" s="53">
        <f>'GLs (CC)'!J9</f>
        <v>4.0000000000000002E-4</v>
      </c>
      <c r="K9" s="83">
        <f t="shared" si="1"/>
        <v>2.0638820638820641E-2</v>
      </c>
    </row>
    <row r="10" spans="1:24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'GLs (CC)'!E10</f>
        <v>160</v>
      </c>
      <c r="F10" s="53">
        <f>'GLs (CC)'!F10</f>
        <v>2.9999999999999997E-4</v>
      </c>
      <c r="G10" s="53">
        <f t="shared" si="0"/>
        <v>2.9999999999999997E-4</v>
      </c>
      <c r="H10" s="53">
        <f>'GLs (CC)'!H10</f>
        <v>100</v>
      </c>
      <c r="I10" s="53">
        <f>'GLs (CC)'!I10</f>
        <v>42</v>
      </c>
      <c r="J10" s="53">
        <f>'GLs (CC)'!J10</f>
        <v>2.9999999999999997E-4</v>
      </c>
      <c r="K10" s="83">
        <f t="shared" si="1"/>
        <v>2.4480874316939887E-2</v>
      </c>
    </row>
    <row r="11" spans="1:24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f>'GLs (CC)'!E11</f>
        <v>160</v>
      </c>
      <c r="F11" s="53">
        <f>'GLs (CC)'!F11</f>
        <v>2.5000000000000001E-4</v>
      </c>
      <c r="G11" s="53">
        <f t="shared" si="0"/>
        <v>2.5000000000000001E-4</v>
      </c>
      <c r="H11" s="53">
        <f>'GLs (CC)'!H11</f>
        <v>100</v>
      </c>
      <c r="I11" s="53">
        <f>'GLs (CC)'!I11</f>
        <v>42</v>
      </c>
      <c r="J11" s="53">
        <f>'GLs (CC)'!J11</f>
        <v>4.0000000000000002E-4</v>
      </c>
      <c r="K11" s="83">
        <f t="shared" si="1"/>
        <v>2.0638820638820641E-2</v>
      </c>
    </row>
    <row r="12" spans="1:24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'GLs (CC)'!E12</f>
        <v>160</v>
      </c>
      <c r="F12" s="53">
        <f>'GLs (CC)'!F12</f>
        <v>2.9999999999999997E-4</v>
      </c>
      <c r="G12" s="53">
        <f t="shared" si="0"/>
        <v>2.9999999999999997E-4</v>
      </c>
      <c r="H12" s="53">
        <f>'GLs (CC)'!H12</f>
        <v>100</v>
      </c>
      <c r="I12" s="53">
        <f>'GLs (CC)'!I12</f>
        <v>42</v>
      </c>
      <c r="J12" s="53">
        <f>'GLs (CC)'!J12</f>
        <v>2.9999999999999997E-4</v>
      </c>
      <c r="K12" s="83">
        <f t="shared" si="1"/>
        <v>2.4480874316939887E-2</v>
      </c>
      <c r="V12">
        <v>1.41371669411541E-2</v>
      </c>
    </row>
    <row r="13" spans="1:24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f>'GLs (CC)'!E13</f>
        <v>42</v>
      </c>
      <c r="F13" s="53">
        <f>'GLs (CC)'!F13</f>
        <v>4.0000000000000002E-4</v>
      </c>
      <c r="G13" s="53">
        <f t="shared" si="0"/>
        <v>2.5000000000000001E-4</v>
      </c>
      <c r="H13" s="53">
        <f>'GLs (CC)'!H13</f>
        <v>100</v>
      </c>
      <c r="I13" s="53">
        <f>'GLs (CC)'!I13</f>
        <v>160</v>
      </c>
      <c r="J13" s="53">
        <f>'GLs (CC)'!J13</f>
        <v>2.5000000000000001E-4</v>
      </c>
      <c r="K13" s="83">
        <f t="shared" si="1"/>
        <v>2.0638820638820641E-2</v>
      </c>
    </row>
    <row r="14" spans="1:24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'GLs (CC)'!E14</f>
        <v>42</v>
      </c>
      <c r="F14" s="53">
        <f>'GLs (CC)'!F14</f>
        <v>2.9999999999999997E-4</v>
      </c>
      <c r="G14" s="53">
        <f t="shared" si="0"/>
        <v>2.9999999999999997E-4</v>
      </c>
      <c r="H14" s="53">
        <f>'GLs (CC)'!H14</f>
        <v>100</v>
      </c>
      <c r="I14" s="53">
        <f>'GLs (CC)'!I14</f>
        <v>160</v>
      </c>
      <c r="J14" s="53">
        <f>'GLs (CC)'!J14</f>
        <v>2.9999999999999997E-4</v>
      </c>
      <c r="K14" s="83">
        <f t="shared" si="1"/>
        <v>2.4480874316939887E-2</v>
      </c>
    </row>
    <row r="15" spans="1:24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f>'GLs (CC)'!E15</f>
        <v>42</v>
      </c>
      <c r="F15" s="53">
        <f>'GLs (CC)'!F15</f>
        <v>4.0000000000000002E-4</v>
      </c>
      <c r="G15" s="53">
        <f t="shared" si="0"/>
        <v>2.5000000000000001E-4</v>
      </c>
      <c r="H15" s="53">
        <f>'GLs (CC)'!H15</f>
        <v>100</v>
      </c>
      <c r="I15" s="53">
        <f>'GLs (CC)'!I15</f>
        <v>160</v>
      </c>
      <c r="J15" s="53">
        <f>'GLs (CC)'!J15</f>
        <v>2.5000000000000001E-4</v>
      </c>
      <c r="K15" s="83">
        <f t="shared" si="1"/>
        <v>2.0638820638820641E-2</v>
      </c>
    </row>
    <row r="16" spans="1:24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'GLs (CC)'!E16</f>
        <v>42</v>
      </c>
      <c r="F16" s="53">
        <f>'GLs (CC)'!F16</f>
        <v>2.9999999999999997E-4</v>
      </c>
      <c r="G16" s="53">
        <f t="shared" si="0"/>
        <v>2.9999999999999997E-4</v>
      </c>
      <c r="H16" s="53">
        <f>'GLs (CC)'!H16</f>
        <v>100</v>
      </c>
      <c r="I16" s="53">
        <f>'GLs (CC)'!I16</f>
        <v>160</v>
      </c>
      <c r="J16" s="53">
        <f>'GLs (CC)'!J16</f>
        <v>2.9999999999999997E-4</v>
      </c>
      <c r="K16" s="83">
        <f t="shared" si="1"/>
        <v>2.4480874316939887E-2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3">
        <f>'GLs (CC)'!E17</f>
        <v>160</v>
      </c>
      <c r="F17" s="52">
        <f>'GLs (CC)'!F17</f>
        <v>7.8539816339744835E-3</v>
      </c>
      <c r="G17" s="52">
        <f t="shared" si="0"/>
        <v>4.0000000000000001E-3</v>
      </c>
      <c r="H17" s="53">
        <f>'GLs (CC)'!H17</f>
        <v>100</v>
      </c>
      <c r="I17" s="53">
        <f>'GLs (CC)'!I17</f>
        <v>160</v>
      </c>
      <c r="J17" s="53">
        <f>'GLs (CC)'!J17</f>
        <v>4.0000000000000001E-3</v>
      </c>
      <c r="K17" s="64">
        <f t="shared" si="1"/>
        <v>0.35630608337574976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95" t="s">
        <v>159</v>
      </c>
      <c r="E20" s="89" t="s">
        <v>154</v>
      </c>
      <c r="F20" s="88" t="s">
        <v>160</v>
      </c>
      <c r="G20" s="90" t="s">
        <v>152</v>
      </c>
      <c r="I20" s="103" t="s">
        <v>169</v>
      </c>
    </row>
    <row r="21" spans="1:11" x14ac:dyDescent="0.3">
      <c r="A21" s="18" t="s">
        <v>130</v>
      </c>
      <c r="B21" s="19" t="s">
        <v>110</v>
      </c>
      <c r="C21" s="20" t="s">
        <v>143</v>
      </c>
      <c r="D21" s="96">
        <v>60000</v>
      </c>
      <c r="E21" s="91">
        <f>(0.007)*0.005</f>
        <v>3.5000000000000004E-5</v>
      </c>
      <c r="F21" s="93">
        <v>0.21</v>
      </c>
      <c r="G21" s="94">
        <f>D21*E21/F21</f>
        <v>10</v>
      </c>
      <c r="I21" s="1" t="s">
        <v>161</v>
      </c>
    </row>
    <row r="22" spans="1:11" x14ac:dyDescent="0.3">
      <c r="A22" s="21" t="s">
        <v>132</v>
      </c>
      <c r="B22" s="2" t="s">
        <v>131</v>
      </c>
      <c r="C22" s="22" t="s">
        <v>142</v>
      </c>
      <c r="D22" s="97">
        <v>1700</v>
      </c>
      <c r="E22" s="78">
        <f>0.015^2*PI()</f>
        <v>7.0685834705770342E-4</v>
      </c>
      <c r="F22" s="61">
        <v>0.19</v>
      </c>
      <c r="G22" s="75">
        <f t="shared" ref="G22:G34" si="2">D22*E22/F22</f>
        <v>6.324522052621556</v>
      </c>
    </row>
    <row r="23" spans="1:11" x14ac:dyDescent="0.3">
      <c r="A23" s="21" t="s">
        <v>197</v>
      </c>
      <c r="B23" s="2" t="s">
        <v>115</v>
      </c>
      <c r="C23" s="22" t="s">
        <v>184</v>
      </c>
      <c r="D23" s="97">
        <v>1700</v>
      </c>
      <c r="E23" s="78">
        <f>0.08*0.004</f>
        <v>3.2000000000000003E-4</v>
      </c>
      <c r="F23" s="61">
        <v>0.35</v>
      </c>
      <c r="G23" s="75">
        <f t="shared" si="2"/>
        <v>1.5542857142857145</v>
      </c>
      <c r="I23" s="220" t="s">
        <v>199</v>
      </c>
    </row>
    <row r="24" spans="1:11" x14ac:dyDescent="0.3">
      <c r="A24" s="21" t="s">
        <v>196</v>
      </c>
      <c r="B24" s="2" t="s">
        <v>99</v>
      </c>
      <c r="C24" s="102" t="s">
        <v>184</v>
      </c>
      <c r="D24" s="97">
        <v>1700</v>
      </c>
      <c r="E24" s="78">
        <f t="shared" ref="E24:E28" si="3">0.08*0.004</f>
        <v>3.2000000000000003E-4</v>
      </c>
      <c r="F24" s="61">
        <v>0.16</v>
      </c>
      <c r="G24" s="75">
        <f t="shared" si="2"/>
        <v>3.4000000000000004</v>
      </c>
      <c r="I24" s="104" t="s">
        <v>200</v>
      </c>
    </row>
    <row r="25" spans="1:11" x14ac:dyDescent="0.3">
      <c r="A25" s="92" t="s">
        <v>198</v>
      </c>
      <c r="B25" s="84" t="s">
        <v>188</v>
      </c>
      <c r="C25" s="102" t="s">
        <v>184</v>
      </c>
      <c r="D25" s="98">
        <v>1700</v>
      </c>
      <c r="E25" s="78">
        <f t="shared" si="3"/>
        <v>3.2000000000000003E-4</v>
      </c>
      <c r="F25" s="51">
        <v>0.05</v>
      </c>
      <c r="G25" s="75">
        <f t="shared" si="2"/>
        <v>10.88</v>
      </c>
      <c r="I25" t="s">
        <v>201</v>
      </c>
    </row>
    <row r="26" spans="1:11" x14ac:dyDescent="0.3">
      <c r="A26" s="92" t="s">
        <v>189</v>
      </c>
      <c r="B26" s="84" t="s">
        <v>147</v>
      </c>
      <c r="C26" s="102" t="s">
        <v>190</v>
      </c>
      <c r="D26" s="98">
        <v>1700</v>
      </c>
      <c r="E26" s="78">
        <f t="shared" si="3"/>
        <v>3.2000000000000003E-4</v>
      </c>
      <c r="F26" s="51">
        <v>0.38500000000000001</v>
      </c>
      <c r="G26" s="75">
        <f t="shared" si="2"/>
        <v>1.412987012987013</v>
      </c>
      <c r="I26" s="327" t="s">
        <v>304</v>
      </c>
    </row>
    <row r="27" spans="1:11" x14ac:dyDescent="0.3">
      <c r="A27" s="21" t="s">
        <v>139</v>
      </c>
      <c r="B27" s="2" t="s">
        <v>145</v>
      </c>
      <c r="C27" s="22" t="s">
        <v>142</v>
      </c>
      <c r="D27" s="97">
        <v>1700</v>
      </c>
      <c r="E27" s="78">
        <f t="shared" si="3"/>
        <v>3.2000000000000003E-4</v>
      </c>
      <c r="F27" s="61">
        <v>0.31</v>
      </c>
      <c r="G27" s="75">
        <f>D27*E27/F27</f>
        <v>1.7548387096774194</v>
      </c>
      <c r="I27" s="221" t="s">
        <v>309</v>
      </c>
    </row>
    <row r="28" spans="1:11" x14ac:dyDescent="0.3">
      <c r="A28" s="21" t="s">
        <v>144</v>
      </c>
      <c r="B28" s="2" t="s">
        <v>146</v>
      </c>
      <c r="C28" s="22" t="s">
        <v>142</v>
      </c>
      <c r="D28" s="97">
        <f>D22</f>
        <v>1700</v>
      </c>
      <c r="E28" s="78">
        <f t="shared" si="3"/>
        <v>3.2000000000000003E-4</v>
      </c>
      <c r="F28" s="61">
        <v>0.11</v>
      </c>
      <c r="G28" s="75">
        <f t="shared" si="2"/>
        <v>4.9454545454545462</v>
      </c>
      <c r="I28" s="220" t="s">
        <v>233</v>
      </c>
    </row>
    <row r="29" spans="1:11" x14ac:dyDescent="0.3">
      <c r="A29" s="21" t="s">
        <v>148</v>
      </c>
      <c r="B29" s="2" t="s">
        <v>147</v>
      </c>
      <c r="C29" s="22" t="s">
        <v>150</v>
      </c>
      <c r="D29" s="99">
        <v>160</v>
      </c>
      <c r="E29" s="79">
        <f>0.01^2*PI()</f>
        <v>3.1415926535897931E-4</v>
      </c>
      <c r="F29" s="65">
        <v>0.05</v>
      </c>
      <c r="G29" s="75">
        <f>D29*E29/F29</f>
        <v>1.0053096491487337</v>
      </c>
      <c r="I29" t="s">
        <v>234</v>
      </c>
    </row>
    <row r="30" spans="1:11" x14ac:dyDescent="0.3">
      <c r="A30" s="21" t="s">
        <v>194</v>
      </c>
      <c r="B30" s="2" t="s">
        <v>195</v>
      </c>
      <c r="C30" s="22" t="s">
        <v>143</v>
      </c>
      <c r="D30" s="99">
        <v>1700</v>
      </c>
      <c r="E30" s="79">
        <f>0.08*0.004</f>
        <v>3.2000000000000003E-4</v>
      </c>
      <c r="F30" s="137">
        <v>0.04</v>
      </c>
      <c r="G30" s="75">
        <f t="shared" ref="G30:G32" si="4">D30*E30/F30</f>
        <v>13.600000000000001</v>
      </c>
      <c r="I30" s="105" t="s">
        <v>306</v>
      </c>
    </row>
    <row r="31" spans="1:11" x14ac:dyDescent="0.3">
      <c r="A31" s="92" t="s">
        <v>193</v>
      </c>
      <c r="B31" s="84" t="s">
        <v>147</v>
      </c>
      <c r="C31" s="102" t="s">
        <v>190</v>
      </c>
      <c r="D31" s="100">
        <v>5</v>
      </c>
      <c r="E31" s="85">
        <f>0.003^2*PI()</f>
        <v>2.8274333882308137E-5</v>
      </c>
      <c r="F31" s="51">
        <v>0.01</v>
      </c>
      <c r="G31" s="75">
        <f t="shared" si="4"/>
        <v>1.4137166941154067E-2</v>
      </c>
      <c r="I31" t="s">
        <v>307</v>
      </c>
    </row>
    <row r="32" spans="1:11" x14ac:dyDescent="0.3">
      <c r="A32" s="21" t="s">
        <v>192</v>
      </c>
      <c r="B32" s="2" t="s">
        <v>147</v>
      </c>
      <c r="C32" s="22" t="s">
        <v>191</v>
      </c>
      <c r="D32" s="100">
        <v>5</v>
      </c>
      <c r="E32" s="85">
        <f t="shared" ref="E32:E34" si="5">0.003^2*PI()</f>
        <v>2.8274333882308137E-5</v>
      </c>
      <c r="F32" s="51">
        <v>0.01</v>
      </c>
      <c r="G32" s="75">
        <f t="shared" si="4"/>
        <v>1.4137166941154067E-2</v>
      </c>
      <c r="I32" s="105" t="s">
        <v>308</v>
      </c>
    </row>
    <row r="33" spans="1:9" x14ac:dyDescent="0.3">
      <c r="A33" s="21" t="s">
        <v>167</v>
      </c>
      <c r="B33" s="2" t="str">
        <f>B34</f>
        <v>Panel</v>
      </c>
      <c r="C33" s="22" t="str">
        <f>C21</f>
        <v>Rad_IR_Tel</v>
      </c>
      <c r="D33" s="100">
        <v>5</v>
      </c>
      <c r="E33" s="85">
        <f t="shared" si="5"/>
        <v>2.8274333882308137E-5</v>
      </c>
      <c r="F33" s="51">
        <v>0.01</v>
      </c>
      <c r="G33" s="75">
        <f>D33*E33/F33</f>
        <v>1.4137166941154067E-2</v>
      </c>
    </row>
    <row r="34" spans="1:9" ht="15" thickBot="1" x14ac:dyDescent="0.35">
      <c r="A34" s="23" t="s">
        <v>168</v>
      </c>
      <c r="B34" s="24" t="s">
        <v>147</v>
      </c>
      <c r="C34" s="25" t="s">
        <v>142</v>
      </c>
      <c r="D34" s="101">
        <v>5</v>
      </c>
      <c r="E34" s="85">
        <f t="shared" si="5"/>
        <v>2.8274333882308137E-5</v>
      </c>
      <c r="F34" s="52">
        <v>0.01</v>
      </c>
      <c r="G34" s="77">
        <f t="shared" si="2"/>
        <v>1.4137166941154067E-2</v>
      </c>
    </row>
    <row r="35" spans="1:9" x14ac:dyDescent="0.3">
      <c r="I35" s="1" t="s">
        <v>162</v>
      </c>
    </row>
    <row r="36" spans="1:9" ht="15" thickBot="1" x14ac:dyDescent="0.35"/>
    <row r="37" spans="1:9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ht="15" thickBot="1" x14ac:dyDescent="0.35">
      <c r="A38" s="57" t="s">
        <v>163</v>
      </c>
      <c r="B38" s="33" t="s">
        <v>149</v>
      </c>
      <c r="C38" s="53" t="s">
        <v>145</v>
      </c>
      <c r="D38" s="33">
        <v>300</v>
      </c>
      <c r="E38" s="125">
        <f>0.06*0.06</f>
        <v>3.5999999999999999E-3</v>
      </c>
      <c r="F38" s="63">
        <f>D38*E38</f>
        <v>1.08</v>
      </c>
    </row>
    <row r="39" spans="1:9" ht="15" thickBot="1" x14ac:dyDescent="0.35">
      <c r="A39" s="58" t="s">
        <v>164</v>
      </c>
      <c r="B39" s="23" t="s">
        <v>149</v>
      </c>
      <c r="C39" s="52" t="s">
        <v>146</v>
      </c>
      <c r="D39" s="23">
        <v>300</v>
      </c>
      <c r="E39" s="125">
        <f>0.07*0.07</f>
        <v>4.9000000000000007E-3</v>
      </c>
      <c r="F39" s="64">
        <f>D39*E39</f>
        <v>1.4700000000000002</v>
      </c>
    </row>
    <row r="42" spans="1:9" x14ac:dyDescent="0.3">
      <c r="A42" s="1" t="s">
        <v>273</v>
      </c>
    </row>
    <row r="43" spans="1:9" x14ac:dyDescent="0.3">
      <c r="A43" t="s">
        <v>272</v>
      </c>
      <c r="B43" t="s">
        <v>274</v>
      </c>
      <c r="H43" t="s">
        <v>179</v>
      </c>
    </row>
    <row r="45" spans="1:9" x14ac:dyDescent="0.3">
      <c r="H45" t="s">
        <v>181</v>
      </c>
    </row>
    <row r="46" spans="1:9" x14ac:dyDescent="0.3">
      <c r="A46" s="1" t="s">
        <v>271</v>
      </c>
      <c r="H46" t="s">
        <v>182</v>
      </c>
    </row>
    <row r="47" spans="1:9" x14ac:dyDescent="0.3">
      <c r="A47" t="s">
        <v>275</v>
      </c>
    </row>
  </sheetData>
  <hyperlinks>
    <hyperlink ref="I26" r:id="rId1" xr:uid="{7DF6537E-5F85-4FD8-B638-2EAEBD39D398}"/>
    <hyperlink ref="I27" r:id="rId2" xr:uid="{A4F4D239-4B05-408E-8844-357372EB7A72}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2E2E-D1DD-4048-B633-B6CAFB7CF517}">
  <sheetPr codeName="Sheet11">
    <tabColor rgb="FFC00000"/>
  </sheetPr>
  <dimension ref="A2:X48"/>
  <sheetViews>
    <sheetView topLeftCell="A20" workbookViewId="0">
      <pane xSplit="1" topLeftCell="B1" activePane="topRight" state="frozen"/>
      <selection activeCell="J44" sqref="J44"/>
      <selection pane="topRight" activeCell="I30" sqref="I30"/>
    </sheetView>
  </sheetViews>
  <sheetFormatPr defaultRowHeight="14.4" x14ac:dyDescent="0.3"/>
  <cols>
    <col min="1" max="1" width="23.33203125" customWidth="1"/>
    <col min="2" max="3" width="14.218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24" ht="15" thickBot="1" x14ac:dyDescent="0.35"/>
    <row r="3" spans="1:24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24" hidden="1" x14ac:dyDescent="0.3">
      <c r="A4" s="122" t="s">
        <v>129</v>
      </c>
      <c r="B4" s="123" t="s">
        <v>110</v>
      </c>
      <c r="C4" s="124" t="s">
        <v>17</v>
      </c>
      <c r="D4" s="123">
        <v>4.0099999999999997E-2</v>
      </c>
      <c r="E4" s="125">
        <f>MATERIALS!B14</f>
        <v>124</v>
      </c>
      <c r="F4" s="126">
        <f>PI()*(0.07^2)*0.001</f>
        <v>1.5393804002589989E-5</v>
      </c>
      <c r="G4" s="127">
        <f>MIN(F4,J4)</f>
        <v>1.5393804002589989E-5</v>
      </c>
      <c r="H4" s="125">
        <v>50</v>
      </c>
      <c r="I4" s="125">
        <v>0.24</v>
      </c>
      <c r="J4" s="125">
        <f>0.01*0.4</f>
        <v>4.0000000000000001E-3</v>
      </c>
      <c r="K4" s="63">
        <f>1 / ( (D4/(E4*F4)) + (1/(G4*H4))+(D4/(I4*J4)))</f>
        <v>7.3421305756203787E-4</v>
      </c>
    </row>
    <row r="5" spans="1:24" x14ac:dyDescent="0.3">
      <c r="A5" s="122" t="s">
        <v>133</v>
      </c>
      <c r="B5" s="123" t="s">
        <v>134</v>
      </c>
      <c r="C5" s="20" t="s">
        <v>135</v>
      </c>
      <c r="D5" s="123">
        <f>0.001+0.08</f>
        <v>8.1000000000000003E-2</v>
      </c>
      <c r="E5" s="125">
        <f>MATERIALS!B11</f>
        <v>59</v>
      </c>
      <c r="F5" s="128">
        <f>2*PI()*(0.08)*0.01</f>
        <v>5.0265482457436698E-3</v>
      </c>
      <c r="G5" s="50">
        <f>MIN(F5,J5)</f>
        <v>4.0212385965949353E-5</v>
      </c>
      <c r="H5" s="125">
        <v>100</v>
      </c>
      <c r="I5" s="125">
        <v>5</v>
      </c>
      <c r="J5" s="125">
        <f>PI()*(0.08^2)*0.002</f>
        <v>4.0212385965949353E-5</v>
      </c>
      <c r="K5" s="129">
        <f t="shared" ref="K5:K17" si="0">1 / ( (D5/(E5*F5)) + (1/(G5*H5))+(D5/(I5*J5)))</f>
        <v>1.5341807626192488E-3</v>
      </c>
    </row>
    <row r="6" spans="1:24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5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5</v>
      </c>
      <c r="J6" s="70">
        <f>F4</f>
        <v>1.5393804002589989E-5</v>
      </c>
      <c r="K6" s="83">
        <f t="shared" si="0"/>
        <v>4.7918456039190629E-4</v>
      </c>
      <c r="V6" s="224">
        <v>2.44808743E-2</v>
      </c>
      <c r="W6" s="1" t="s">
        <v>342</v>
      </c>
      <c r="X6" s="226" t="s">
        <v>344</v>
      </c>
    </row>
    <row r="7" spans="1:24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5</v>
      </c>
      <c r="F7" s="53">
        <f>F6</f>
        <v>4.0212385965949353E-5</v>
      </c>
      <c r="G7" s="53">
        <f t="shared" si="1"/>
        <v>4.0212385965949353E-5</v>
      </c>
      <c r="H7" s="53">
        <v>200</v>
      </c>
      <c r="I7" s="53">
        <f>MATERIALS!B6</f>
        <v>160</v>
      </c>
      <c r="J7" s="71">
        <f>F17</f>
        <v>7.8539816339744835E-3</v>
      </c>
      <c r="K7" s="83">
        <f t="shared" si="0"/>
        <v>2.8720178757291651E-3</v>
      </c>
      <c r="V7" s="224">
        <v>2.0638799999999999E-2</v>
      </c>
      <c r="W7" s="1" t="s">
        <v>341</v>
      </c>
      <c r="X7" s="226" t="s">
        <v>343</v>
      </c>
    </row>
    <row r="8" spans="1:24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  <c r="V8" s="224"/>
      <c r="W8" s="224"/>
      <c r="X8" s="224"/>
    </row>
    <row r="9" spans="1:24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100</v>
      </c>
      <c r="I9" s="53">
        <v>42</v>
      </c>
      <c r="J9" s="71">
        <f>F13</f>
        <v>4.0000000000000002E-4</v>
      </c>
      <c r="K9" s="83">
        <f t="shared" si="0"/>
        <v>2.0638820638820641E-2</v>
      </c>
    </row>
    <row r="10" spans="1:24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v>100</v>
      </c>
      <c r="I10" s="53">
        <v>42</v>
      </c>
      <c r="J10" s="71">
        <f t="shared" ref="J10:J12" si="2">F14</f>
        <v>2.9999999999999997E-4</v>
      </c>
      <c r="K10" s="83">
        <f t="shared" si="0"/>
        <v>2.4480874316939887E-2</v>
      </c>
    </row>
    <row r="11" spans="1:24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100</v>
      </c>
      <c r="I11" s="53">
        <v>42</v>
      </c>
      <c r="J11" s="71">
        <f t="shared" si="2"/>
        <v>4.0000000000000002E-4</v>
      </c>
      <c r="K11" s="83">
        <f t="shared" si="0"/>
        <v>2.0638820638820641E-2</v>
      </c>
    </row>
    <row r="12" spans="1:24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v>100</v>
      </c>
      <c r="I12" s="53">
        <v>42</v>
      </c>
      <c r="J12" s="71">
        <f t="shared" si="2"/>
        <v>2.9999999999999997E-4</v>
      </c>
      <c r="K12" s="83">
        <f t="shared" si="0"/>
        <v>2.4480874316939887E-2</v>
      </c>
    </row>
    <row r="13" spans="1:24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42</v>
      </c>
      <c r="F13" s="53">
        <f>0.002*0.2</f>
        <v>4.0000000000000002E-4</v>
      </c>
      <c r="G13" s="53">
        <f t="shared" si="1"/>
        <v>2.5000000000000001E-4</v>
      </c>
      <c r="H13" s="53">
        <v>100</v>
      </c>
      <c r="I13" s="53">
        <v>160</v>
      </c>
      <c r="J13" s="71">
        <f>F9</f>
        <v>2.5000000000000001E-4</v>
      </c>
      <c r="K13" s="83">
        <f t="shared" si="0"/>
        <v>2.0638820638820641E-2</v>
      </c>
    </row>
    <row r="14" spans="1:24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v>42</v>
      </c>
      <c r="F14" s="53">
        <f>0.002*0.15</f>
        <v>2.9999999999999997E-4</v>
      </c>
      <c r="G14" s="53">
        <f t="shared" si="1"/>
        <v>2.9999999999999997E-4</v>
      </c>
      <c r="H14" s="53">
        <v>100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2.4480874316939887E-2</v>
      </c>
    </row>
    <row r="15" spans="1:24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42</v>
      </c>
      <c r="F15" s="53">
        <f>F13</f>
        <v>4.0000000000000002E-4</v>
      </c>
      <c r="G15" s="53">
        <f t="shared" si="1"/>
        <v>2.5000000000000001E-4</v>
      </c>
      <c r="H15" s="53">
        <v>100</v>
      </c>
      <c r="I15" s="53">
        <v>160</v>
      </c>
      <c r="J15" s="71">
        <f t="shared" si="3"/>
        <v>2.5000000000000001E-4</v>
      </c>
      <c r="K15" s="83">
        <f t="shared" si="0"/>
        <v>2.0638820638820641E-2</v>
      </c>
    </row>
    <row r="16" spans="1:24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v>42</v>
      </c>
      <c r="F16" s="53">
        <f>F14</f>
        <v>2.9999999999999997E-4</v>
      </c>
      <c r="G16" s="53">
        <f t="shared" si="1"/>
        <v>2.9999999999999997E-4</v>
      </c>
      <c r="H16" s="53">
        <v>100</v>
      </c>
      <c r="I16" s="53">
        <f>I15</f>
        <v>160</v>
      </c>
      <c r="J16" s="71">
        <f t="shared" si="3"/>
        <v>2.9999999999999997E-4</v>
      </c>
      <c r="K16" s="83">
        <f t="shared" si="0"/>
        <v>2.4480874316939887E-2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2*PI()*(0.125)*0.01</f>
        <v>7.8539816339744835E-3</v>
      </c>
      <c r="G17" s="52">
        <f t="shared" si="1"/>
        <v>4.0000000000000001E-3</v>
      </c>
      <c r="H17" s="52">
        <v>100</v>
      </c>
      <c r="I17" s="52">
        <f>E17</f>
        <v>160</v>
      </c>
      <c r="J17" s="52">
        <f>J4</f>
        <v>4.0000000000000001E-3</v>
      </c>
      <c r="K17" s="64">
        <f t="shared" si="0"/>
        <v>0.35630608337574976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87" t="s">
        <v>159</v>
      </c>
      <c r="E20" s="89" t="s">
        <v>154</v>
      </c>
      <c r="F20" s="89" t="s">
        <v>160</v>
      </c>
      <c r="G20" s="90" t="s">
        <v>152</v>
      </c>
      <c r="I20" s="103" t="s">
        <v>169</v>
      </c>
      <c r="K20" s="1" t="s">
        <v>161</v>
      </c>
    </row>
    <row r="21" spans="1:11" x14ac:dyDescent="0.3">
      <c r="A21" s="18" t="s">
        <v>132</v>
      </c>
      <c r="B21" s="19" t="s">
        <v>131</v>
      </c>
      <c r="C21" s="20" t="s">
        <v>142</v>
      </c>
      <c r="D21" s="60">
        <v>1700</v>
      </c>
      <c r="E21" s="78">
        <f>0.015^2*PI()</f>
        <v>7.0685834705770342E-4</v>
      </c>
      <c r="F21" s="135">
        <v>0.19</v>
      </c>
      <c r="G21" s="94">
        <f t="shared" ref="G21:G24" si="4">D21*E21/F21</f>
        <v>6.324522052621556</v>
      </c>
    </row>
    <row r="22" spans="1:11" x14ac:dyDescent="0.3">
      <c r="A22" s="21" t="s">
        <v>197</v>
      </c>
      <c r="B22" s="2" t="s">
        <v>115</v>
      </c>
      <c r="C22" s="22" t="s">
        <v>184</v>
      </c>
      <c r="D22" s="60">
        <v>1700</v>
      </c>
      <c r="E22" s="78">
        <f>0.08*0.004</f>
        <v>3.2000000000000003E-4</v>
      </c>
      <c r="F22" s="135">
        <v>0.35</v>
      </c>
      <c r="G22" s="75">
        <f t="shared" si="4"/>
        <v>1.5542857142857145</v>
      </c>
      <c r="I22" s="220" t="s">
        <v>199</v>
      </c>
    </row>
    <row r="23" spans="1:11" x14ac:dyDescent="0.3">
      <c r="A23" s="21" t="s">
        <v>196</v>
      </c>
      <c r="B23" s="2" t="s">
        <v>99</v>
      </c>
      <c r="C23" s="102" t="s">
        <v>184</v>
      </c>
      <c r="D23" s="60">
        <v>1700</v>
      </c>
      <c r="E23" s="78">
        <f t="shared" ref="E23:E26" si="5">0.08*0.004</f>
        <v>3.2000000000000003E-4</v>
      </c>
      <c r="F23" s="135">
        <v>0.16</v>
      </c>
      <c r="G23" s="75">
        <f t="shared" si="4"/>
        <v>3.4000000000000004</v>
      </c>
      <c r="I23" s="104" t="s">
        <v>200</v>
      </c>
    </row>
    <row r="24" spans="1:11" x14ac:dyDescent="0.3">
      <c r="A24" s="92" t="s">
        <v>198</v>
      </c>
      <c r="B24" s="84" t="s">
        <v>188</v>
      </c>
      <c r="C24" s="102" t="s">
        <v>184</v>
      </c>
      <c r="D24" s="136">
        <v>1700</v>
      </c>
      <c r="E24" s="78">
        <f t="shared" si="5"/>
        <v>3.2000000000000003E-4</v>
      </c>
      <c r="F24" s="22">
        <v>0.05</v>
      </c>
      <c r="G24" s="75">
        <f t="shared" si="4"/>
        <v>10.88</v>
      </c>
      <c r="I24" t="s">
        <v>201</v>
      </c>
    </row>
    <row r="25" spans="1:11" x14ac:dyDescent="0.3">
      <c r="A25" s="21" t="s">
        <v>139</v>
      </c>
      <c r="B25" s="2" t="s">
        <v>145</v>
      </c>
      <c r="C25" s="22" t="s">
        <v>142</v>
      </c>
      <c r="D25" s="60">
        <v>1700</v>
      </c>
      <c r="E25" s="78">
        <f t="shared" si="5"/>
        <v>3.2000000000000003E-4</v>
      </c>
      <c r="F25" s="135">
        <v>0.31</v>
      </c>
      <c r="G25" s="75">
        <f t="shared" ref="G25:G33" si="6">D25*E25/F25</f>
        <v>1.7548387096774194</v>
      </c>
      <c r="H25" s="3" t="s">
        <v>305</v>
      </c>
      <c r="I25" s="219" t="s">
        <v>304</v>
      </c>
    </row>
    <row r="26" spans="1:11" x14ac:dyDescent="0.3">
      <c r="A26" s="21" t="s">
        <v>144</v>
      </c>
      <c r="B26" s="2" t="s">
        <v>146</v>
      </c>
      <c r="C26" s="22" t="s">
        <v>142</v>
      </c>
      <c r="D26" s="60">
        <f>D21</f>
        <v>1700</v>
      </c>
      <c r="E26" s="78">
        <f t="shared" si="5"/>
        <v>3.2000000000000003E-4</v>
      </c>
      <c r="F26" s="135">
        <v>0.11</v>
      </c>
      <c r="G26" s="75">
        <f t="shared" si="6"/>
        <v>4.9454545454545462</v>
      </c>
      <c r="I26" s="105" t="s">
        <v>309</v>
      </c>
    </row>
    <row r="27" spans="1:11" x14ac:dyDescent="0.3">
      <c r="A27" s="21" t="s">
        <v>148</v>
      </c>
      <c r="B27" s="2" t="s">
        <v>147</v>
      </c>
      <c r="C27" s="22" t="s">
        <v>150</v>
      </c>
      <c r="D27" s="66">
        <v>160</v>
      </c>
      <c r="E27" s="79">
        <f>0.01^2*PI()</f>
        <v>3.1415926535897931E-4</v>
      </c>
      <c r="F27" s="137">
        <v>0.05</v>
      </c>
      <c r="G27" s="75">
        <f t="shared" si="6"/>
        <v>1.0053096491487337</v>
      </c>
      <c r="I27" s="220" t="s">
        <v>233</v>
      </c>
    </row>
    <row r="28" spans="1:11" x14ac:dyDescent="0.3">
      <c r="A28" s="21" t="s">
        <v>194</v>
      </c>
      <c r="B28" s="2" t="s">
        <v>195</v>
      </c>
      <c r="C28" s="22" t="s">
        <v>143</v>
      </c>
      <c r="D28" s="66">
        <v>1700</v>
      </c>
      <c r="E28" s="79">
        <f>0.08*0.004</f>
        <v>3.2000000000000003E-4</v>
      </c>
      <c r="F28" s="137">
        <v>0.04</v>
      </c>
      <c r="G28" s="218">
        <f t="shared" si="6"/>
        <v>13.600000000000001</v>
      </c>
      <c r="I28" t="s">
        <v>234</v>
      </c>
    </row>
    <row r="29" spans="1:11" x14ac:dyDescent="0.3">
      <c r="A29" s="21" t="s">
        <v>192</v>
      </c>
      <c r="B29" s="2" t="s">
        <v>147</v>
      </c>
      <c r="C29" s="22" t="s">
        <v>191</v>
      </c>
      <c r="D29" s="21">
        <v>5</v>
      </c>
      <c r="E29" s="85">
        <f>0.003^2*PI()</f>
        <v>2.8274333882308137E-5</v>
      </c>
      <c r="F29" s="22">
        <v>0.01</v>
      </c>
      <c r="G29" s="75">
        <f t="shared" si="6"/>
        <v>1.4137166941154067E-2</v>
      </c>
      <c r="I29" s="105" t="s">
        <v>306</v>
      </c>
    </row>
    <row r="30" spans="1:11" x14ac:dyDescent="0.3">
      <c r="A30" s="21" t="s">
        <v>167</v>
      </c>
      <c r="B30" s="2" t="s">
        <v>147</v>
      </c>
      <c r="C30" s="22" t="s">
        <v>184</v>
      </c>
      <c r="D30" s="21">
        <v>5</v>
      </c>
      <c r="E30" s="85">
        <f>0.003^2*PI()</f>
        <v>2.8274333882308137E-5</v>
      </c>
      <c r="F30" s="22">
        <v>0.01</v>
      </c>
      <c r="G30" s="75">
        <f t="shared" si="6"/>
        <v>1.4137166941154067E-2</v>
      </c>
      <c r="I30" t="s">
        <v>307</v>
      </c>
    </row>
    <row r="31" spans="1:11" x14ac:dyDescent="0.3">
      <c r="A31" s="33" t="s">
        <v>168</v>
      </c>
      <c r="B31" s="29" t="s">
        <v>147</v>
      </c>
      <c r="C31" s="34" t="s">
        <v>142</v>
      </c>
      <c r="D31" s="33">
        <v>5</v>
      </c>
      <c r="E31" s="85">
        <f>0.003^2*PI()</f>
        <v>2.8274333882308137E-5</v>
      </c>
      <c r="F31" s="34">
        <v>0.01</v>
      </c>
      <c r="G31" s="75">
        <f t="shared" si="6"/>
        <v>1.4137166941154067E-2</v>
      </c>
      <c r="I31" s="105" t="s">
        <v>308</v>
      </c>
    </row>
    <row r="32" spans="1:11" x14ac:dyDescent="0.3">
      <c r="A32" s="33" t="s">
        <v>235</v>
      </c>
      <c r="B32" s="29" t="s">
        <v>110</v>
      </c>
      <c r="C32" s="34" t="s">
        <v>237</v>
      </c>
      <c r="D32" s="33">
        <v>1700</v>
      </c>
      <c r="E32" s="80">
        <f>(0.005)^2*PI()</f>
        <v>7.8539816339744827E-5</v>
      </c>
      <c r="F32" s="34">
        <v>0.02</v>
      </c>
      <c r="G32" s="75">
        <f t="shared" si="6"/>
        <v>6.6758843888783099</v>
      </c>
    </row>
    <row r="33" spans="1:10" x14ac:dyDescent="0.3">
      <c r="A33" s="131" t="s">
        <v>244</v>
      </c>
      <c r="B33" s="132" t="s">
        <v>242</v>
      </c>
      <c r="C33" s="134" t="s">
        <v>245</v>
      </c>
      <c r="D33" s="131">
        <v>5</v>
      </c>
      <c r="E33" s="80">
        <f>(0.005)^2*PI()</f>
        <v>7.8539816339744827E-5</v>
      </c>
      <c r="F33" s="138">
        <v>0.125</v>
      </c>
      <c r="G33" s="133">
        <f t="shared" si="6"/>
        <v>3.1415926535897929E-3</v>
      </c>
      <c r="J33">
        <v>1.41371669411541E-2</v>
      </c>
    </row>
    <row r="34" spans="1:10" ht="15" thickBot="1" x14ac:dyDescent="0.35">
      <c r="A34" s="23" t="s">
        <v>236</v>
      </c>
      <c r="B34" s="24" t="s">
        <v>238</v>
      </c>
      <c r="C34" s="25" t="s">
        <v>143</v>
      </c>
      <c r="D34" s="23">
        <v>1700</v>
      </c>
      <c r="E34" s="81">
        <f>(0.01)^2*PI()</f>
        <v>3.1415926535897931E-4</v>
      </c>
      <c r="F34" s="25">
        <v>0.21</v>
      </c>
      <c r="G34" s="77">
        <f t="shared" ref="G34" si="7">D34*E34/F34</f>
        <v>2.5431940529060229</v>
      </c>
    </row>
    <row r="35" spans="1:10" x14ac:dyDescent="0.3">
      <c r="I35" s="1" t="s">
        <v>162</v>
      </c>
    </row>
    <row r="36" spans="1:10" ht="15" thickBot="1" x14ac:dyDescent="0.35"/>
    <row r="37" spans="1:10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10" ht="15" thickBot="1" x14ac:dyDescent="0.35">
      <c r="A38" s="2" t="s">
        <v>163</v>
      </c>
      <c r="B38" s="141" t="s">
        <v>246</v>
      </c>
      <c r="C38" s="125" t="s">
        <v>145</v>
      </c>
      <c r="D38" s="123">
        <v>300</v>
      </c>
      <c r="E38" s="125">
        <f>0.06*0.06</f>
        <v>3.5999999999999999E-3</v>
      </c>
      <c r="F38" s="130">
        <f>D38*E38</f>
        <v>1.08</v>
      </c>
    </row>
    <row r="39" spans="1:10" x14ac:dyDescent="0.3">
      <c r="A39" s="2" t="s">
        <v>164</v>
      </c>
      <c r="B39" s="142" t="s">
        <v>246</v>
      </c>
      <c r="C39" s="140" t="s">
        <v>146</v>
      </c>
      <c r="D39" s="139">
        <f>GLs!D39</f>
        <v>300</v>
      </c>
      <c r="E39" s="139">
        <f>GLs!E39</f>
        <v>4.9000000000000007E-3</v>
      </c>
      <c r="F39" s="130">
        <f>D39*E39</f>
        <v>1.4700000000000002</v>
      </c>
    </row>
    <row r="40" spans="1:10" ht="15" thickBot="1" x14ac:dyDescent="0.35">
      <c r="A40" s="143" t="s">
        <v>243</v>
      </c>
      <c r="B40" s="101" t="s">
        <v>246</v>
      </c>
      <c r="C40" s="52" t="s">
        <v>247</v>
      </c>
      <c r="D40" s="23">
        <v>100</v>
      </c>
      <c r="E40" s="144">
        <f>0.0378*0.0662</f>
        <v>2.5023599999999999E-3</v>
      </c>
      <c r="F40" s="64">
        <f>D40*E40/2</f>
        <v>0.12511800000000001</v>
      </c>
    </row>
    <row r="43" spans="1:10" x14ac:dyDescent="0.3">
      <c r="A43" s="1" t="s">
        <v>273</v>
      </c>
    </row>
    <row r="44" spans="1:10" x14ac:dyDescent="0.3">
      <c r="A44" t="s">
        <v>272</v>
      </c>
      <c r="B44" t="s">
        <v>274</v>
      </c>
      <c r="H44" t="s">
        <v>179</v>
      </c>
    </row>
    <row r="47" spans="1:10" x14ac:dyDescent="0.3">
      <c r="A47" s="1" t="s">
        <v>271</v>
      </c>
    </row>
    <row r="48" spans="1:10" x14ac:dyDescent="0.3">
      <c r="A48" t="s">
        <v>275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5B4E-66E6-4719-AFA2-E9D02F4D9E32}">
  <sheetPr>
    <tabColor theme="3" tint="-0.249977111117893"/>
  </sheetPr>
  <dimension ref="B1:V91"/>
  <sheetViews>
    <sheetView topLeftCell="A73" workbookViewId="0">
      <selection activeCell="C85" sqref="C85"/>
    </sheetView>
  </sheetViews>
  <sheetFormatPr defaultRowHeight="14.4" x14ac:dyDescent="0.3"/>
  <cols>
    <col min="2" max="3" width="12" customWidth="1"/>
    <col min="4" max="4" width="14.109375" customWidth="1"/>
    <col min="5" max="5" width="12.44140625" customWidth="1"/>
    <col min="6" max="6" width="10.88671875" customWidth="1"/>
    <col min="7" max="7" width="10.21875" customWidth="1"/>
    <col min="8" max="8" width="11.44140625" customWidth="1"/>
    <col min="9" max="9" width="12.21875" customWidth="1"/>
    <col min="10" max="10" width="10.109375" customWidth="1"/>
    <col min="11" max="11" width="10.33203125" customWidth="1"/>
    <col min="12" max="13" width="13.109375" customWidth="1"/>
    <col min="14" max="14" width="9.5546875" customWidth="1"/>
    <col min="15" max="15" width="11.77734375" customWidth="1"/>
    <col min="16" max="17" width="10.33203125" customWidth="1"/>
    <col min="18" max="18" width="9.21875" customWidth="1"/>
    <col min="19" max="19" width="8.6640625" customWidth="1"/>
    <col min="20" max="20" width="8.88671875" customWidth="1"/>
    <col min="21" max="21" width="9.5546875" customWidth="1"/>
    <col min="23" max="24" width="9.77734375" customWidth="1"/>
  </cols>
  <sheetData>
    <row r="1" spans="2:19" ht="15" thickBot="1" x14ac:dyDescent="0.35">
      <c r="Q1" t="s">
        <v>326</v>
      </c>
    </row>
    <row r="2" spans="2:19" ht="31.2" customHeight="1" x14ac:dyDescent="0.3">
      <c r="B2" s="272" t="s">
        <v>203</v>
      </c>
      <c r="C2" s="314" t="s">
        <v>204</v>
      </c>
      <c r="D2" s="316" t="s">
        <v>207</v>
      </c>
      <c r="E2" s="278" t="s">
        <v>266</v>
      </c>
      <c r="F2" s="278" t="s">
        <v>268</v>
      </c>
      <c r="G2" s="278" t="s">
        <v>208</v>
      </c>
      <c r="H2" s="159" t="s">
        <v>211</v>
      </c>
      <c r="I2" s="294" t="s">
        <v>212</v>
      </c>
      <c r="J2" s="296"/>
      <c r="K2" s="157" t="s">
        <v>223</v>
      </c>
      <c r="L2" s="294" t="s">
        <v>224</v>
      </c>
      <c r="M2" s="296"/>
      <c r="N2" s="157" t="s">
        <v>87</v>
      </c>
      <c r="O2" s="110" t="s">
        <v>215</v>
      </c>
    </row>
    <row r="3" spans="2:19" ht="15" thickBot="1" x14ac:dyDescent="0.35">
      <c r="B3" s="273"/>
      <c r="C3" s="315"/>
      <c r="D3" s="317"/>
      <c r="E3" s="279"/>
      <c r="F3" s="279"/>
      <c r="G3" s="279"/>
      <c r="H3" s="160"/>
      <c r="I3" s="117" t="s">
        <v>213</v>
      </c>
      <c r="J3" s="118" t="s">
        <v>214</v>
      </c>
      <c r="K3" s="158"/>
      <c r="L3" s="117" t="s">
        <v>213</v>
      </c>
      <c r="M3" s="118" t="s">
        <v>214</v>
      </c>
      <c r="N3" s="158"/>
      <c r="O3" s="119"/>
    </row>
    <row r="4" spans="2:19" ht="15" thickBot="1" x14ac:dyDescent="0.35">
      <c r="B4" s="109" t="s">
        <v>222</v>
      </c>
      <c r="C4" s="150"/>
      <c r="D4" s="171"/>
      <c r="E4" s="184"/>
      <c r="F4" s="183"/>
      <c r="G4" s="185"/>
      <c r="H4" s="161"/>
      <c r="I4" s="121"/>
      <c r="J4" s="120"/>
      <c r="K4" s="146" t="s">
        <v>327</v>
      </c>
      <c r="L4" s="150">
        <v>323</v>
      </c>
      <c r="M4" s="152">
        <v>153</v>
      </c>
      <c r="N4" s="115" t="s">
        <v>225</v>
      </c>
      <c r="O4" s="114"/>
    </row>
    <row r="5" spans="2:19" ht="14.4" customHeight="1" thickBot="1" x14ac:dyDescent="0.35">
      <c r="B5" s="108" t="s">
        <v>221</v>
      </c>
      <c r="C5" s="298" t="s">
        <v>206</v>
      </c>
      <c r="D5" s="274">
        <v>3</v>
      </c>
      <c r="E5" s="312"/>
      <c r="F5" s="280"/>
      <c r="G5" s="276" t="s">
        <v>239</v>
      </c>
      <c r="H5" s="162">
        <f>22.1+16</f>
        <v>38.1</v>
      </c>
      <c r="I5" s="166">
        <f>273.15-193.127</f>
        <v>80.022999999999968</v>
      </c>
      <c r="J5" s="167">
        <f>273.15-193.1314</f>
        <v>80.018599999999964</v>
      </c>
      <c r="K5" s="145"/>
      <c r="L5" s="149">
        <v>100</v>
      </c>
      <c r="M5" s="151">
        <v>60</v>
      </c>
      <c r="N5" s="116" t="s">
        <v>226</v>
      </c>
      <c r="O5" s="113" t="s">
        <v>219</v>
      </c>
    </row>
    <row r="6" spans="2:19" ht="15" thickBot="1" x14ac:dyDescent="0.35">
      <c r="B6" s="109" t="s">
        <v>222</v>
      </c>
      <c r="C6" s="299"/>
      <c r="D6" s="275"/>
      <c r="E6" s="313"/>
      <c r="F6" s="281"/>
      <c r="G6" s="277"/>
      <c r="H6" s="163"/>
      <c r="I6" s="164">
        <f>273.15-193.1242</f>
        <v>80.025799999999975</v>
      </c>
      <c r="J6" s="165">
        <f>273.15-193.129</f>
        <v>80.020999999999987</v>
      </c>
      <c r="K6" s="146"/>
      <c r="L6" s="150"/>
      <c r="M6" s="152"/>
      <c r="N6" s="115"/>
      <c r="O6" s="114"/>
    </row>
    <row r="9" spans="2:19" x14ac:dyDescent="0.3">
      <c r="B9" s="107" t="s">
        <v>218</v>
      </c>
      <c r="C9" s="107"/>
      <c r="D9" t="s">
        <v>269</v>
      </c>
      <c r="R9" s="2"/>
    </row>
    <row r="10" spans="2:19" x14ac:dyDescent="0.3">
      <c r="B10" s="107" t="s">
        <v>216</v>
      </c>
      <c r="C10" s="107"/>
      <c r="D10" t="s">
        <v>270</v>
      </c>
    </row>
    <row r="11" spans="2:19" x14ac:dyDescent="0.3">
      <c r="B11" s="107" t="s">
        <v>220</v>
      </c>
      <c r="C11" s="107"/>
      <c r="D11" t="s">
        <v>294</v>
      </c>
      <c r="K11" t="s">
        <v>295</v>
      </c>
      <c r="L11" s="217">
        <f>(0.042)^2*PI()*0.071</f>
        <v>3.9346563030620004E-4</v>
      </c>
    </row>
    <row r="12" spans="2:19" x14ac:dyDescent="0.3">
      <c r="B12" s="107" t="s">
        <v>219</v>
      </c>
      <c r="C12" s="107"/>
      <c r="D12" t="s">
        <v>217</v>
      </c>
    </row>
    <row r="13" spans="2:19" ht="18" x14ac:dyDescent="0.3">
      <c r="B13" s="107" t="s">
        <v>240</v>
      </c>
      <c r="C13" s="107"/>
      <c r="O13" s="216"/>
      <c r="S13" s="221" t="s">
        <v>241</v>
      </c>
    </row>
    <row r="14" spans="2:19" x14ac:dyDescent="0.3">
      <c r="B14" s="107" t="s">
        <v>225</v>
      </c>
      <c r="C14" s="107"/>
      <c r="D14" t="s">
        <v>328</v>
      </c>
      <c r="E14" t="s">
        <v>329</v>
      </c>
    </row>
    <row r="15" spans="2:19" x14ac:dyDescent="0.3">
      <c r="B15" s="107" t="s">
        <v>226</v>
      </c>
      <c r="C15" s="107"/>
    </row>
    <row r="18" spans="2:22" x14ac:dyDescent="0.3">
      <c r="B18" s="156" t="s">
        <v>248</v>
      </c>
      <c r="C18" s="156"/>
    </row>
    <row r="19" spans="2:22" ht="15" thickBot="1" x14ac:dyDescent="0.35"/>
    <row r="20" spans="2:22" ht="14.4" customHeight="1" x14ac:dyDescent="0.3">
      <c r="B20" s="272" t="s">
        <v>203</v>
      </c>
      <c r="C20" s="314" t="s">
        <v>204</v>
      </c>
      <c r="D20" s="316" t="s">
        <v>207</v>
      </c>
      <c r="E20" s="168"/>
      <c r="F20" s="278" t="s">
        <v>208</v>
      </c>
      <c r="G20" s="278" t="s">
        <v>249</v>
      </c>
      <c r="H20" s="284" t="s">
        <v>250</v>
      </c>
      <c r="I20" s="157" t="s">
        <v>251</v>
      </c>
      <c r="J20" s="294" t="s">
        <v>253</v>
      </c>
      <c r="K20" s="295"/>
      <c r="L20" s="296"/>
      <c r="M20" s="245" t="s">
        <v>87</v>
      </c>
      <c r="N20" s="290" t="s">
        <v>215</v>
      </c>
    </row>
    <row r="21" spans="2:22" ht="15" thickBot="1" x14ac:dyDescent="0.35">
      <c r="B21" s="273"/>
      <c r="C21" s="315"/>
      <c r="D21" s="317"/>
      <c r="E21" s="169"/>
      <c r="F21" s="279"/>
      <c r="G21" s="279"/>
      <c r="H21" s="285"/>
      <c r="I21" s="158"/>
      <c r="J21" s="117" t="s">
        <v>145</v>
      </c>
      <c r="K21" s="118" t="s">
        <v>146</v>
      </c>
      <c r="L21" s="155" t="s">
        <v>252</v>
      </c>
      <c r="M21" s="297"/>
      <c r="N21" s="291"/>
    </row>
    <row r="22" spans="2:22" x14ac:dyDescent="0.3">
      <c r="B22" s="108" t="s">
        <v>221</v>
      </c>
      <c r="C22" s="300" t="s">
        <v>205</v>
      </c>
      <c r="D22" s="274">
        <v>4</v>
      </c>
      <c r="E22" s="170"/>
      <c r="F22" s="274" t="s">
        <v>209</v>
      </c>
      <c r="G22" s="292">
        <v>22.1</v>
      </c>
      <c r="H22" s="153">
        <v>2</v>
      </c>
      <c r="I22" s="116"/>
      <c r="J22" s="149"/>
      <c r="K22" s="151"/>
      <c r="L22" s="116"/>
      <c r="M22" s="116"/>
      <c r="N22" s="282"/>
    </row>
    <row r="23" spans="2:22" ht="15" thickBot="1" x14ac:dyDescent="0.35">
      <c r="B23" s="109" t="s">
        <v>222</v>
      </c>
      <c r="C23" s="301"/>
      <c r="D23" s="275"/>
      <c r="E23" s="171"/>
      <c r="F23" s="275"/>
      <c r="G23" s="293"/>
      <c r="H23" s="154"/>
      <c r="I23" s="115"/>
      <c r="J23" s="150"/>
      <c r="K23" s="152"/>
      <c r="L23" s="115"/>
      <c r="M23" s="115"/>
      <c r="N23" s="283"/>
    </row>
    <row r="24" spans="2:22" ht="14.4" customHeight="1" x14ac:dyDescent="0.3">
      <c r="B24" s="108" t="s">
        <v>221</v>
      </c>
      <c r="C24" s="298" t="s">
        <v>206</v>
      </c>
      <c r="D24" s="274">
        <v>3</v>
      </c>
      <c r="E24" s="170"/>
      <c r="F24" s="286" t="s">
        <v>239</v>
      </c>
      <c r="G24" s="288">
        <f>22.1+16</f>
        <v>38.1</v>
      </c>
      <c r="H24" s="147">
        <v>2</v>
      </c>
      <c r="I24" s="116"/>
      <c r="J24" s="149"/>
      <c r="K24" s="151"/>
      <c r="L24" s="116"/>
      <c r="M24" s="116"/>
      <c r="N24" s="282"/>
    </row>
    <row r="25" spans="2:22" ht="15" thickBot="1" x14ac:dyDescent="0.35">
      <c r="B25" s="109" t="s">
        <v>222</v>
      </c>
      <c r="C25" s="299"/>
      <c r="D25" s="275"/>
      <c r="E25" s="171"/>
      <c r="F25" s="287"/>
      <c r="G25" s="289"/>
      <c r="H25" s="148"/>
      <c r="I25" s="115"/>
      <c r="J25" s="150"/>
      <c r="K25" s="152"/>
      <c r="L25" s="115"/>
      <c r="M25" s="115"/>
      <c r="N25" s="283"/>
    </row>
    <row r="29" spans="2:22" x14ac:dyDescent="0.3">
      <c r="B29" s="156" t="s">
        <v>254</v>
      </c>
      <c r="C29" s="156"/>
    </row>
    <row r="31" spans="2:22" ht="14.4" customHeight="1" thickBot="1" x14ac:dyDescent="0.35"/>
    <row r="32" spans="2:22" ht="35.4" customHeight="1" x14ac:dyDescent="0.3">
      <c r="B32" s="272" t="s">
        <v>257</v>
      </c>
      <c r="C32" s="290" t="s">
        <v>204</v>
      </c>
      <c r="D32" s="272" t="s">
        <v>203</v>
      </c>
      <c r="E32" s="310" t="s">
        <v>212</v>
      </c>
      <c r="F32" s="311"/>
      <c r="G32" s="294" t="s">
        <v>260</v>
      </c>
      <c r="H32" s="296"/>
      <c r="I32" s="310" t="s">
        <v>255</v>
      </c>
      <c r="J32" s="311"/>
      <c r="K32" s="294" t="s">
        <v>261</v>
      </c>
      <c r="L32" s="296"/>
      <c r="M32" s="310" t="s">
        <v>256</v>
      </c>
      <c r="N32" s="311"/>
      <c r="O32" s="294" t="s">
        <v>262</v>
      </c>
      <c r="P32" s="296"/>
      <c r="Q32" s="294" t="s">
        <v>263</v>
      </c>
      <c r="R32" s="296"/>
      <c r="S32" s="294" t="s">
        <v>264</v>
      </c>
      <c r="T32" s="296"/>
      <c r="U32" s="290" t="s">
        <v>87</v>
      </c>
      <c r="V32" s="290" t="s">
        <v>215</v>
      </c>
    </row>
    <row r="33" spans="2:22" ht="30" customHeight="1" thickBot="1" x14ac:dyDescent="0.35">
      <c r="B33" s="273"/>
      <c r="C33" s="305"/>
      <c r="D33" s="273"/>
      <c r="E33" s="117" t="s">
        <v>213</v>
      </c>
      <c r="F33" s="118" t="s">
        <v>214</v>
      </c>
      <c r="G33" s="117" t="s">
        <v>213</v>
      </c>
      <c r="H33" s="118" t="s">
        <v>214</v>
      </c>
      <c r="I33" s="117" t="s">
        <v>213</v>
      </c>
      <c r="J33" s="118" t="s">
        <v>214</v>
      </c>
      <c r="K33" s="117" t="s">
        <v>213</v>
      </c>
      <c r="L33" s="118" t="s">
        <v>214</v>
      </c>
      <c r="M33" s="117" t="s">
        <v>213</v>
      </c>
      <c r="N33" s="118" t="s">
        <v>214</v>
      </c>
      <c r="O33" s="117" t="s">
        <v>213</v>
      </c>
      <c r="P33" s="118" t="s">
        <v>214</v>
      </c>
      <c r="Q33" s="117" t="s">
        <v>213</v>
      </c>
      <c r="R33" s="118" t="s">
        <v>214</v>
      </c>
      <c r="S33" s="117" t="s">
        <v>213</v>
      </c>
      <c r="T33" s="118" t="s">
        <v>214</v>
      </c>
      <c r="U33" s="305"/>
      <c r="V33" s="305"/>
    </row>
    <row r="34" spans="2:22" x14ac:dyDescent="0.3">
      <c r="B34" s="302" t="s">
        <v>258</v>
      </c>
      <c r="C34" s="306" t="s">
        <v>205</v>
      </c>
      <c r="D34" s="176" t="s">
        <v>221</v>
      </c>
      <c r="E34" s="177"/>
      <c r="F34" s="178"/>
      <c r="G34" s="271" t="e">
        <f>#REF!</f>
        <v>#REF!</v>
      </c>
      <c r="H34" s="271" t="e">
        <f>#REF!</f>
        <v>#REF!</v>
      </c>
      <c r="I34" s="177"/>
      <c r="J34" s="178"/>
      <c r="K34" s="271"/>
      <c r="L34" s="271"/>
      <c r="M34" s="177"/>
      <c r="N34" s="178"/>
      <c r="O34" s="271"/>
      <c r="P34" s="271"/>
      <c r="Q34" s="177"/>
      <c r="R34" s="178"/>
      <c r="S34" s="271"/>
      <c r="T34" s="271"/>
      <c r="U34" s="177"/>
      <c r="V34" s="111"/>
    </row>
    <row r="35" spans="2:22" x14ac:dyDescent="0.3">
      <c r="B35" s="303"/>
      <c r="C35" s="307"/>
      <c r="D35" s="172" t="s">
        <v>222</v>
      </c>
      <c r="E35" s="174"/>
      <c r="F35" s="174"/>
      <c r="G35" s="269"/>
      <c r="H35" s="269"/>
      <c r="I35" s="174"/>
      <c r="J35" s="174"/>
      <c r="K35" s="269"/>
      <c r="L35" s="269"/>
      <c r="M35" s="174"/>
      <c r="N35" s="174"/>
      <c r="O35" s="269"/>
      <c r="P35" s="269"/>
      <c r="Q35" s="174"/>
      <c r="R35" s="174"/>
      <c r="S35" s="269"/>
      <c r="T35" s="269"/>
      <c r="U35" s="173"/>
      <c r="V35" s="179"/>
    </row>
    <row r="36" spans="2:22" x14ac:dyDescent="0.3">
      <c r="B36" s="303"/>
      <c r="C36" s="308" t="s">
        <v>265</v>
      </c>
      <c r="D36" s="172" t="s">
        <v>221</v>
      </c>
      <c r="E36" s="173"/>
      <c r="F36" s="173"/>
      <c r="G36" s="269">
        <f>L5</f>
        <v>100</v>
      </c>
      <c r="H36" s="269">
        <f>M5</f>
        <v>60</v>
      </c>
      <c r="I36" s="173"/>
      <c r="J36" s="173"/>
      <c r="K36" s="269"/>
      <c r="L36" s="269"/>
      <c r="M36" s="173"/>
      <c r="N36" s="173"/>
      <c r="O36" s="269"/>
      <c r="P36" s="269"/>
      <c r="Q36" s="173"/>
      <c r="R36" s="173"/>
      <c r="S36" s="269"/>
      <c r="T36" s="269"/>
      <c r="U36" s="173"/>
      <c r="V36" s="179"/>
    </row>
    <row r="37" spans="2:22" x14ac:dyDescent="0.3">
      <c r="B37" s="303"/>
      <c r="C37" s="308"/>
      <c r="D37" s="172" t="s">
        <v>222</v>
      </c>
      <c r="E37" s="173"/>
      <c r="F37" s="173"/>
      <c r="G37" s="269"/>
      <c r="H37" s="269"/>
      <c r="I37" s="173"/>
      <c r="J37" s="173"/>
      <c r="K37" s="269"/>
      <c r="L37" s="269"/>
      <c r="M37" s="173"/>
      <c r="N37" s="173"/>
      <c r="O37" s="269"/>
      <c r="P37" s="269"/>
      <c r="Q37" s="173"/>
      <c r="R37" s="173"/>
      <c r="S37" s="269"/>
      <c r="T37" s="269"/>
      <c r="U37" s="173"/>
      <c r="V37" s="179"/>
    </row>
    <row r="38" spans="2:22" ht="14.4" customHeight="1" x14ac:dyDescent="0.3">
      <c r="B38" s="303" t="s">
        <v>259</v>
      </c>
      <c r="C38" s="307" t="s">
        <v>205</v>
      </c>
      <c r="D38" s="172" t="s">
        <v>221</v>
      </c>
      <c r="E38" s="173"/>
      <c r="F38" s="174"/>
      <c r="G38" s="269" t="e">
        <f>G34</f>
        <v>#REF!</v>
      </c>
      <c r="H38" s="269" t="e">
        <f>H34</f>
        <v>#REF!</v>
      </c>
      <c r="I38" s="173"/>
      <c r="J38" s="174"/>
      <c r="K38" s="269"/>
      <c r="L38" s="269"/>
      <c r="M38" s="173"/>
      <c r="N38" s="174"/>
      <c r="O38" s="269"/>
      <c r="P38" s="269"/>
      <c r="Q38" s="173"/>
      <c r="R38" s="174"/>
      <c r="S38" s="269"/>
      <c r="T38" s="269"/>
      <c r="U38" s="173"/>
      <c r="V38" s="179"/>
    </row>
    <row r="39" spans="2:22" x14ac:dyDescent="0.3">
      <c r="B39" s="303"/>
      <c r="C39" s="307"/>
      <c r="D39" s="172" t="s">
        <v>222</v>
      </c>
      <c r="E39" s="174"/>
      <c r="F39" s="174"/>
      <c r="G39" s="269"/>
      <c r="H39" s="269"/>
      <c r="I39" s="174"/>
      <c r="J39" s="174"/>
      <c r="K39" s="269"/>
      <c r="L39" s="269"/>
      <c r="M39" s="174"/>
      <c r="N39" s="174"/>
      <c r="O39" s="269"/>
      <c r="P39" s="269"/>
      <c r="Q39" s="174"/>
      <c r="R39" s="174"/>
      <c r="S39" s="269"/>
      <c r="T39" s="269"/>
      <c r="U39" s="173"/>
      <c r="V39" s="179"/>
    </row>
    <row r="40" spans="2:22" x14ac:dyDescent="0.3">
      <c r="B40" s="303"/>
      <c r="C40" s="308" t="s">
        <v>265</v>
      </c>
      <c r="D40" s="172" t="s">
        <v>221</v>
      </c>
      <c r="E40" s="173"/>
      <c r="F40" s="173"/>
      <c r="G40" s="269">
        <f>G36</f>
        <v>100</v>
      </c>
      <c r="H40" s="269">
        <f>H36</f>
        <v>60</v>
      </c>
      <c r="I40" s="173"/>
      <c r="J40" s="173"/>
      <c r="K40" s="269"/>
      <c r="L40" s="269"/>
      <c r="M40" s="173"/>
      <c r="N40" s="173"/>
      <c r="O40" s="269"/>
      <c r="P40" s="269"/>
      <c r="Q40" s="173"/>
      <c r="R40" s="173"/>
      <c r="S40" s="269"/>
      <c r="T40" s="269"/>
      <c r="U40" s="173"/>
      <c r="V40" s="179"/>
    </row>
    <row r="41" spans="2:22" ht="15" thickBot="1" x14ac:dyDescent="0.35">
      <c r="B41" s="304"/>
      <c r="C41" s="309"/>
      <c r="D41" s="180" t="s">
        <v>222</v>
      </c>
      <c r="E41" s="181"/>
      <c r="F41" s="181"/>
      <c r="G41" s="270"/>
      <c r="H41" s="270"/>
      <c r="I41" s="181"/>
      <c r="J41" s="181"/>
      <c r="K41" s="270"/>
      <c r="L41" s="270"/>
      <c r="M41" s="181"/>
      <c r="N41" s="181"/>
      <c r="O41" s="270"/>
      <c r="P41" s="270"/>
      <c r="Q41" s="181"/>
      <c r="R41" s="181"/>
      <c r="S41" s="270"/>
      <c r="T41" s="270"/>
      <c r="U41" s="181"/>
      <c r="V41" s="112"/>
    </row>
    <row r="44" spans="2:22" x14ac:dyDescent="0.3">
      <c r="B44" s="1" t="s">
        <v>276</v>
      </c>
    </row>
    <row r="45" spans="2:22" ht="15" thickBot="1" x14ac:dyDescent="0.35"/>
    <row r="46" spans="2:22" ht="15" thickBot="1" x14ac:dyDescent="0.35">
      <c r="B46" s="243" t="s">
        <v>257</v>
      </c>
      <c r="C46" s="245" t="s">
        <v>204</v>
      </c>
      <c r="D46" s="254" t="s">
        <v>145</v>
      </c>
      <c r="E46" s="255"/>
      <c r="F46" s="254" t="s">
        <v>146</v>
      </c>
      <c r="G46" s="255"/>
      <c r="H46" s="256" t="s">
        <v>252</v>
      </c>
      <c r="I46" s="256"/>
      <c r="J46" s="254" t="s">
        <v>110</v>
      </c>
      <c r="K46" s="255"/>
      <c r="L46" s="254" t="s">
        <v>279</v>
      </c>
      <c r="M46" s="256"/>
      <c r="N46" s="256" t="s">
        <v>280</v>
      </c>
      <c r="O46" s="255"/>
    </row>
    <row r="47" spans="2:22" ht="43.8" thickBot="1" x14ac:dyDescent="0.35">
      <c r="B47" s="244"/>
      <c r="C47" s="246"/>
      <c r="D47" s="195" t="s">
        <v>278</v>
      </c>
      <c r="E47" s="201" t="s">
        <v>277</v>
      </c>
      <c r="F47" s="195" t="s">
        <v>278</v>
      </c>
      <c r="G47" s="201" t="s">
        <v>277</v>
      </c>
      <c r="H47" s="192" t="s">
        <v>278</v>
      </c>
      <c r="I47" s="192" t="s">
        <v>277</v>
      </c>
      <c r="J47" s="195" t="s">
        <v>278</v>
      </c>
      <c r="K47" s="201" t="s">
        <v>277</v>
      </c>
      <c r="L47" s="195" t="s">
        <v>278</v>
      </c>
      <c r="M47" s="192" t="s">
        <v>277</v>
      </c>
      <c r="N47" s="192" t="s">
        <v>278</v>
      </c>
      <c r="O47" s="196" t="s">
        <v>277</v>
      </c>
    </row>
    <row r="48" spans="2:22" ht="26.4" customHeight="1" thickBot="1" x14ac:dyDescent="0.35">
      <c r="B48" s="259" t="s">
        <v>258</v>
      </c>
      <c r="C48" s="197" t="s">
        <v>205</v>
      </c>
      <c r="D48" s="247" t="s">
        <v>281</v>
      </c>
      <c r="E48" s="250" t="s">
        <v>296</v>
      </c>
      <c r="F48" s="247" t="s">
        <v>281</v>
      </c>
      <c r="G48" s="250" t="s">
        <v>297</v>
      </c>
      <c r="H48" s="247" t="s">
        <v>281</v>
      </c>
      <c r="I48" s="250" t="s">
        <v>298</v>
      </c>
      <c r="J48" s="247" t="s">
        <v>281</v>
      </c>
      <c r="K48" s="250" t="s">
        <v>299</v>
      </c>
      <c r="L48" s="263" t="s">
        <v>209</v>
      </c>
      <c r="M48" s="264"/>
      <c r="N48" s="264"/>
      <c r="O48" s="265"/>
    </row>
    <row r="49" spans="2:15" ht="28.8" x14ac:dyDescent="0.3">
      <c r="B49" s="260"/>
      <c r="C49" s="198" t="s">
        <v>265</v>
      </c>
      <c r="D49" s="248"/>
      <c r="E49" s="251"/>
      <c r="F49" s="248"/>
      <c r="G49" s="251"/>
      <c r="H49" s="248"/>
      <c r="I49" s="251"/>
      <c r="J49" s="248"/>
      <c r="K49" s="251"/>
      <c r="L49" s="200"/>
      <c r="M49" s="188"/>
      <c r="N49" s="200" t="s">
        <v>281</v>
      </c>
      <c r="O49" s="193" t="s">
        <v>298</v>
      </c>
    </row>
    <row r="50" spans="2:15" ht="14.4" customHeight="1" thickBot="1" x14ac:dyDescent="0.35">
      <c r="B50" s="261" t="s">
        <v>259</v>
      </c>
      <c r="C50" s="198" t="s">
        <v>205</v>
      </c>
      <c r="D50" s="248"/>
      <c r="E50" s="252" t="s">
        <v>300</v>
      </c>
      <c r="F50" s="248"/>
      <c r="G50" s="252" t="s">
        <v>300</v>
      </c>
      <c r="H50" s="248"/>
      <c r="I50" s="252" t="s">
        <v>301</v>
      </c>
      <c r="J50" s="248"/>
      <c r="K50" s="252" t="s">
        <v>300</v>
      </c>
      <c r="L50" s="266" t="s">
        <v>209</v>
      </c>
      <c r="M50" s="267"/>
      <c r="N50" s="267"/>
      <c r="O50" s="268"/>
    </row>
    <row r="51" spans="2:15" ht="29.4" thickBot="1" x14ac:dyDescent="0.35">
      <c r="B51" s="262"/>
      <c r="C51" s="199" t="s">
        <v>265</v>
      </c>
      <c r="D51" s="249"/>
      <c r="E51" s="253"/>
      <c r="F51" s="249"/>
      <c r="G51" s="253"/>
      <c r="H51" s="249"/>
      <c r="I51" s="253"/>
      <c r="J51" s="249"/>
      <c r="K51" s="253"/>
      <c r="L51" s="200" t="s">
        <v>302</v>
      </c>
      <c r="M51" s="189" t="s">
        <v>303</v>
      </c>
      <c r="N51" s="200" t="s">
        <v>281</v>
      </c>
      <c r="O51" s="194" t="s">
        <v>300</v>
      </c>
    </row>
    <row r="52" spans="2:15" x14ac:dyDescent="0.3">
      <c r="D52" s="186"/>
    </row>
    <row r="53" spans="2:15" x14ac:dyDescent="0.3">
      <c r="D53" s="186"/>
    </row>
    <row r="54" spans="2:15" ht="14.4" customHeight="1" thickBot="1" x14ac:dyDescent="0.35">
      <c r="B54" s="1" t="s">
        <v>282</v>
      </c>
      <c r="D54" s="186"/>
    </row>
    <row r="55" spans="2:15" x14ac:dyDescent="0.3">
      <c r="B55" s="257" t="s">
        <v>293</v>
      </c>
      <c r="C55" s="319" t="s">
        <v>292</v>
      </c>
      <c r="D55" s="320"/>
    </row>
    <row r="56" spans="2:15" x14ac:dyDescent="0.3">
      <c r="B56" s="258"/>
      <c r="C56" s="106" t="s">
        <v>284</v>
      </c>
      <c r="D56" s="207" t="s">
        <v>283</v>
      </c>
    </row>
    <row r="57" spans="2:15" x14ac:dyDescent="0.3">
      <c r="B57" s="208" t="s">
        <v>145</v>
      </c>
      <c r="C57" s="212">
        <v>2</v>
      </c>
      <c r="D57" s="179">
        <v>2</v>
      </c>
    </row>
    <row r="58" spans="2:15" x14ac:dyDescent="0.3">
      <c r="B58" s="208" t="s">
        <v>146</v>
      </c>
      <c r="C58" s="173">
        <v>4</v>
      </c>
      <c r="D58" s="179">
        <v>4</v>
      </c>
    </row>
    <row r="59" spans="2:15" x14ac:dyDescent="0.3">
      <c r="B59" s="208" t="s">
        <v>252</v>
      </c>
      <c r="C59" s="173">
        <v>16</v>
      </c>
      <c r="D59" s="179">
        <v>16</v>
      </c>
    </row>
    <row r="60" spans="2:15" x14ac:dyDescent="0.3">
      <c r="B60" s="208" t="s">
        <v>110</v>
      </c>
      <c r="C60" s="173">
        <v>0.1</v>
      </c>
      <c r="D60" s="179">
        <v>0.1</v>
      </c>
    </row>
    <row r="61" spans="2:15" ht="15" thickBot="1" x14ac:dyDescent="0.35">
      <c r="B61" s="209" t="s">
        <v>280</v>
      </c>
      <c r="C61" s="181">
        <v>0</v>
      </c>
      <c r="D61" s="112">
        <v>16</v>
      </c>
    </row>
    <row r="62" spans="2:15" ht="15" thickBot="1" x14ac:dyDescent="0.35">
      <c r="B62" s="46"/>
      <c r="C62" s="46"/>
      <c r="D62" s="46"/>
    </row>
    <row r="63" spans="2:15" ht="15" thickBot="1" x14ac:dyDescent="0.35">
      <c r="B63" s="210" t="s">
        <v>285</v>
      </c>
      <c r="C63" s="187">
        <f>SUM(C57:C61)</f>
        <v>22.1</v>
      </c>
      <c r="D63" s="211">
        <f>SUM(D57:D61)</f>
        <v>38.1</v>
      </c>
    </row>
    <row r="66" spans="2:21" x14ac:dyDescent="0.3">
      <c r="B66" s="1" t="s">
        <v>286</v>
      </c>
    </row>
    <row r="67" spans="2:21" ht="15" thickBot="1" x14ac:dyDescent="0.35"/>
    <row r="68" spans="2:21" ht="43.2" x14ac:dyDescent="0.3">
      <c r="B68" s="202" t="s">
        <v>204</v>
      </c>
      <c r="C68" s="203" t="s">
        <v>289</v>
      </c>
      <c r="D68" s="203" t="s">
        <v>290</v>
      </c>
      <c r="E68" s="203" t="s">
        <v>287</v>
      </c>
      <c r="F68" s="203" t="s">
        <v>288</v>
      </c>
      <c r="G68" s="204" t="s">
        <v>291</v>
      </c>
    </row>
    <row r="69" spans="2:21" x14ac:dyDescent="0.3">
      <c r="B69" s="190" t="s">
        <v>205</v>
      </c>
      <c r="C69" s="205">
        <v>602.66999999999996</v>
      </c>
      <c r="D69" s="205">
        <f>0.7*0.3</f>
        <v>0.21</v>
      </c>
      <c r="E69" s="205">
        <v>0.25</v>
      </c>
      <c r="F69" s="205">
        <v>0.7</v>
      </c>
      <c r="G69" s="213">
        <f>C69*D69*E69*F69</f>
        <v>22.148122499999996</v>
      </c>
    </row>
    <row r="70" spans="2:21" ht="29.4" thickBot="1" x14ac:dyDescent="0.35">
      <c r="B70" s="191" t="s">
        <v>265</v>
      </c>
      <c r="C70" s="206">
        <f>C69</f>
        <v>602.66999999999996</v>
      </c>
      <c r="D70" s="215">
        <f>0.936*0.3</f>
        <v>0.28079999999999999</v>
      </c>
      <c r="E70" s="206">
        <v>0.25</v>
      </c>
      <c r="F70" s="206">
        <v>0.9</v>
      </c>
      <c r="G70" s="214">
        <f>C70*D70*E70*F70</f>
        <v>38.076690599999992</v>
      </c>
    </row>
    <row r="73" spans="2:21" x14ac:dyDescent="0.3">
      <c r="B73" s="1" t="s">
        <v>310</v>
      </c>
    </row>
    <row r="74" spans="2:21" ht="15" thickBot="1" x14ac:dyDescent="0.35"/>
    <row r="75" spans="2:21" ht="27" customHeight="1" x14ac:dyDescent="0.3">
      <c r="B75" s="322" t="s">
        <v>311</v>
      </c>
      <c r="C75" s="319" t="s">
        <v>310</v>
      </c>
      <c r="D75" s="321" t="s">
        <v>322</v>
      </c>
      <c r="E75" s="321" t="s">
        <v>336</v>
      </c>
      <c r="F75" s="321" t="s">
        <v>314</v>
      </c>
      <c r="G75" s="321"/>
      <c r="H75" s="319" t="s">
        <v>315</v>
      </c>
      <c r="I75" s="320" t="s">
        <v>87</v>
      </c>
      <c r="N75" s="318"/>
      <c r="O75" s="318"/>
      <c r="P75" s="318"/>
      <c r="Q75" s="318"/>
      <c r="R75" s="318"/>
      <c r="S75" s="318"/>
      <c r="T75" s="318"/>
      <c r="U75" s="318"/>
    </row>
    <row r="76" spans="2:21" x14ac:dyDescent="0.3">
      <c r="B76" s="323"/>
      <c r="C76" s="237"/>
      <c r="D76" s="324"/>
      <c r="E76" s="324"/>
      <c r="F76" s="172" t="s">
        <v>214</v>
      </c>
      <c r="G76" s="172" t="s">
        <v>213</v>
      </c>
      <c r="H76" s="237"/>
      <c r="I76" s="325"/>
      <c r="N76" s="318"/>
      <c r="O76" s="318"/>
      <c r="P76" s="318"/>
      <c r="Q76" s="318"/>
      <c r="T76" s="318"/>
      <c r="U76" s="318"/>
    </row>
    <row r="77" spans="2:21" x14ac:dyDescent="0.3">
      <c r="B77" s="208" t="s">
        <v>145</v>
      </c>
      <c r="C77" s="175" t="s">
        <v>333</v>
      </c>
      <c r="D77" s="175" t="s">
        <v>331</v>
      </c>
      <c r="E77" s="46">
        <v>2</v>
      </c>
      <c r="F77" s="175">
        <f>273.15-20</f>
        <v>253.14999999999998</v>
      </c>
      <c r="G77" s="175">
        <f>273.15+60</f>
        <v>333.15</v>
      </c>
      <c r="H77" s="175" t="s">
        <v>209</v>
      </c>
      <c r="I77" s="179" t="s">
        <v>317</v>
      </c>
    </row>
    <row r="78" spans="2:21" ht="28.8" x14ac:dyDescent="0.3">
      <c r="B78" s="208" t="s">
        <v>146</v>
      </c>
      <c r="C78" s="205" t="s">
        <v>332</v>
      </c>
      <c r="D78" s="175" t="s">
        <v>321</v>
      </c>
      <c r="E78" s="175">
        <v>4</v>
      </c>
      <c r="F78" s="175">
        <f>273.15-40</f>
        <v>233.14999999999998</v>
      </c>
      <c r="G78" s="175">
        <f>273.15+70</f>
        <v>343.15</v>
      </c>
      <c r="H78" s="175" t="s">
        <v>334</v>
      </c>
      <c r="I78" s="179" t="s">
        <v>318</v>
      </c>
    </row>
    <row r="79" spans="2:21" x14ac:dyDescent="0.3">
      <c r="B79" s="208" t="s">
        <v>131</v>
      </c>
      <c r="C79" s="175" t="s">
        <v>252</v>
      </c>
      <c r="D79" s="175" t="s">
        <v>337</v>
      </c>
      <c r="E79" s="175">
        <v>16</v>
      </c>
      <c r="F79" s="175">
        <f>273.15-25</f>
        <v>248.14999999999998</v>
      </c>
      <c r="G79" s="175">
        <f>273.15+65</f>
        <v>338.15</v>
      </c>
      <c r="H79" s="175" t="s">
        <v>335</v>
      </c>
      <c r="I79" s="179" t="s">
        <v>324</v>
      </c>
    </row>
    <row r="80" spans="2:21" x14ac:dyDescent="0.3">
      <c r="B80" s="208" t="s">
        <v>209</v>
      </c>
      <c r="C80" s="175" t="s">
        <v>312</v>
      </c>
      <c r="D80" s="175" t="s">
        <v>338</v>
      </c>
      <c r="E80" s="175">
        <v>16</v>
      </c>
      <c r="F80" s="175">
        <f>273.15-55</f>
        <v>218.14999999999998</v>
      </c>
      <c r="G80" s="175">
        <f>273.15+85</f>
        <v>358.15</v>
      </c>
      <c r="H80" s="175" t="s">
        <v>320</v>
      </c>
      <c r="I80" s="179" t="s">
        <v>316</v>
      </c>
    </row>
    <row r="81" spans="2:9" x14ac:dyDescent="0.3">
      <c r="B81" s="208" t="s">
        <v>209</v>
      </c>
      <c r="C81" s="175" t="s">
        <v>340</v>
      </c>
      <c r="D81" s="175" t="s">
        <v>209</v>
      </c>
      <c r="E81" s="175">
        <v>0</v>
      </c>
      <c r="F81" s="175" t="s">
        <v>209</v>
      </c>
      <c r="G81" s="175" t="s">
        <v>209</v>
      </c>
      <c r="H81" s="225" t="s">
        <v>209</v>
      </c>
      <c r="I81" s="179" t="s">
        <v>225</v>
      </c>
    </row>
    <row r="82" spans="2:9" ht="28.8" customHeight="1" thickBot="1" x14ac:dyDescent="0.35">
      <c r="B82" s="209" t="s">
        <v>209</v>
      </c>
      <c r="C82" s="206" t="s">
        <v>313</v>
      </c>
      <c r="D82" s="182" t="s">
        <v>209</v>
      </c>
      <c r="E82" s="182">
        <v>0</v>
      </c>
      <c r="F82" s="182">
        <v>40</v>
      </c>
      <c r="G82" s="182">
        <v>350</v>
      </c>
      <c r="H82" s="206" t="s">
        <v>319</v>
      </c>
      <c r="I82" s="112" t="s">
        <v>226</v>
      </c>
    </row>
    <row r="83" spans="2:9" x14ac:dyDescent="0.3">
      <c r="B83" s="46"/>
      <c r="C83" s="46"/>
      <c r="D83" s="46"/>
      <c r="E83" s="46"/>
      <c r="F83" s="46"/>
      <c r="G83" s="46"/>
      <c r="H83" s="46"/>
      <c r="I83" s="46"/>
    </row>
    <row r="85" spans="2:9" x14ac:dyDescent="0.3">
      <c r="B85" s="222" t="s">
        <v>218</v>
      </c>
      <c r="C85" s="223" t="s">
        <v>339</v>
      </c>
    </row>
    <row r="86" spans="2:9" x14ac:dyDescent="0.3">
      <c r="B86" t="s">
        <v>225</v>
      </c>
      <c r="C86" s="221" t="s">
        <v>309</v>
      </c>
    </row>
    <row r="87" spans="2:9" x14ac:dyDescent="0.3">
      <c r="B87" t="s">
        <v>226</v>
      </c>
      <c r="C87" s="221" t="s">
        <v>308</v>
      </c>
    </row>
    <row r="88" spans="2:9" x14ac:dyDescent="0.3">
      <c r="B88" t="s">
        <v>316</v>
      </c>
      <c r="C88" s="221" t="s">
        <v>241</v>
      </c>
    </row>
    <row r="89" spans="2:9" x14ac:dyDescent="0.3">
      <c r="B89" t="s">
        <v>317</v>
      </c>
      <c r="C89" t="s">
        <v>330</v>
      </c>
    </row>
    <row r="90" spans="2:9" x14ac:dyDescent="0.3">
      <c r="B90" t="s">
        <v>318</v>
      </c>
      <c r="C90" s="221" t="s">
        <v>323</v>
      </c>
    </row>
    <row r="91" spans="2:9" x14ac:dyDescent="0.3">
      <c r="B91" t="s">
        <v>324</v>
      </c>
      <c r="C91" s="221" t="s">
        <v>325</v>
      </c>
    </row>
  </sheetData>
  <mergeCells count="123">
    <mergeCell ref="R75:S75"/>
    <mergeCell ref="T75:T76"/>
    <mergeCell ref="U75:U76"/>
    <mergeCell ref="F75:G75"/>
    <mergeCell ref="B75:B76"/>
    <mergeCell ref="D75:D76"/>
    <mergeCell ref="C75:C76"/>
    <mergeCell ref="E75:E76"/>
    <mergeCell ref="H75:H76"/>
    <mergeCell ref="I75:I76"/>
    <mergeCell ref="N75:N76"/>
    <mergeCell ref="O75:O76"/>
    <mergeCell ref="C24:C25"/>
    <mergeCell ref="E2:E3"/>
    <mergeCell ref="E5:E6"/>
    <mergeCell ref="C20:C21"/>
    <mergeCell ref="D20:D21"/>
    <mergeCell ref="C2:C3"/>
    <mergeCell ref="D2:D3"/>
    <mergeCell ref="P75:P76"/>
    <mergeCell ref="Q75:Q76"/>
    <mergeCell ref="K40:K41"/>
    <mergeCell ref="K38:K39"/>
    <mergeCell ref="K36:K37"/>
    <mergeCell ref="K34:K35"/>
    <mergeCell ref="E32:F32"/>
    <mergeCell ref="G32:H32"/>
    <mergeCell ref="I32:J32"/>
    <mergeCell ref="K32:L32"/>
    <mergeCell ref="L2:M2"/>
    <mergeCell ref="L46:M46"/>
    <mergeCell ref="N46:O46"/>
    <mergeCell ref="C55:D55"/>
    <mergeCell ref="B34:B37"/>
    <mergeCell ref="B38:B41"/>
    <mergeCell ref="C32:C33"/>
    <mergeCell ref="C34:C35"/>
    <mergeCell ref="C36:C37"/>
    <mergeCell ref="D32:D33"/>
    <mergeCell ref="B32:B33"/>
    <mergeCell ref="V32:V33"/>
    <mergeCell ref="O32:P32"/>
    <mergeCell ref="Q32:R32"/>
    <mergeCell ref="S32:T32"/>
    <mergeCell ref="U32:U33"/>
    <mergeCell ref="C38:C39"/>
    <mergeCell ref="C40:C41"/>
    <mergeCell ref="H34:H35"/>
    <mergeCell ref="H36:H37"/>
    <mergeCell ref="H38:H39"/>
    <mergeCell ref="H40:H41"/>
    <mergeCell ref="L40:L41"/>
    <mergeCell ref="L38:L39"/>
    <mergeCell ref="L34:L35"/>
    <mergeCell ref="L36:L37"/>
    <mergeCell ref="M32:N32"/>
    <mergeCell ref="G36:G37"/>
    <mergeCell ref="B20:B21"/>
    <mergeCell ref="D5:D6"/>
    <mergeCell ref="G5:G6"/>
    <mergeCell ref="B2:B3"/>
    <mergeCell ref="F2:F3"/>
    <mergeCell ref="F5:F6"/>
    <mergeCell ref="N24:N25"/>
    <mergeCell ref="H20:H21"/>
    <mergeCell ref="N22:N23"/>
    <mergeCell ref="D24:D25"/>
    <mergeCell ref="F24:F25"/>
    <mergeCell ref="G24:G25"/>
    <mergeCell ref="N20:N21"/>
    <mergeCell ref="D22:D23"/>
    <mergeCell ref="F22:F23"/>
    <mergeCell ref="G22:G23"/>
    <mergeCell ref="F20:F21"/>
    <mergeCell ref="G20:G21"/>
    <mergeCell ref="J20:L20"/>
    <mergeCell ref="M20:M21"/>
    <mergeCell ref="G2:G3"/>
    <mergeCell ref="I2:J2"/>
    <mergeCell ref="C5:C6"/>
    <mergeCell ref="C22:C23"/>
    <mergeCell ref="B55:B56"/>
    <mergeCell ref="B48:B49"/>
    <mergeCell ref="B50:B51"/>
    <mergeCell ref="L48:O48"/>
    <mergeCell ref="L50:O50"/>
    <mergeCell ref="O40:O41"/>
    <mergeCell ref="P40:P41"/>
    <mergeCell ref="S34:S35"/>
    <mergeCell ref="T34:T35"/>
    <mergeCell ref="S36:S37"/>
    <mergeCell ref="T36:T37"/>
    <mergeCell ref="S38:S39"/>
    <mergeCell ref="T38:T39"/>
    <mergeCell ref="S40:S41"/>
    <mergeCell ref="T40:T41"/>
    <mergeCell ref="O34:O35"/>
    <mergeCell ref="P34:P35"/>
    <mergeCell ref="O36:O37"/>
    <mergeCell ref="P36:P37"/>
    <mergeCell ref="O38:O39"/>
    <mergeCell ref="P38:P39"/>
    <mergeCell ref="G34:G35"/>
    <mergeCell ref="G40:G41"/>
    <mergeCell ref="G38:G39"/>
    <mergeCell ref="B46:B47"/>
    <mergeCell ref="C46:C47"/>
    <mergeCell ref="H48:H51"/>
    <mergeCell ref="J48:J51"/>
    <mergeCell ref="E48:E49"/>
    <mergeCell ref="E50:E51"/>
    <mergeCell ref="G48:G49"/>
    <mergeCell ref="G50:G51"/>
    <mergeCell ref="I48:I49"/>
    <mergeCell ref="I50:I51"/>
    <mergeCell ref="D48:D51"/>
    <mergeCell ref="F48:F51"/>
    <mergeCell ref="D46:E46"/>
    <mergeCell ref="F46:G46"/>
    <mergeCell ref="H46:I46"/>
    <mergeCell ref="J46:K46"/>
    <mergeCell ref="K48:K49"/>
    <mergeCell ref="K50:K51"/>
  </mergeCells>
  <hyperlinks>
    <hyperlink ref="C91" r:id="rId1" xr:uid="{DF4E1866-1674-46F6-84A6-B6AB76967535}"/>
    <hyperlink ref="C88" r:id="rId2" xr:uid="{27148B34-24C8-4770-A1D9-774CFB6B4506}"/>
    <hyperlink ref="C86" r:id="rId3" xr:uid="{BDB4C730-ED67-41D5-88EC-CF0E5B7BF26B}"/>
    <hyperlink ref="C87" r:id="rId4" xr:uid="{CC1AD0EE-C4FB-45D1-83D9-493F233B8501}"/>
    <hyperlink ref="C90" r:id="rId5" xr:uid="{E940EBD4-3343-4667-A163-9A72E6655CB0}"/>
    <hyperlink ref="S13" r:id="rId6" xr:uid="{D1069386-1652-40C3-B50C-7CC6EDCDDE4E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B4B1-3F1C-4EF1-9A04-9C094A06A8EE}">
  <sheetPr codeName="Sheet6">
    <tabColor theme="7" tint="-0.499984740745262"/>
  </sheetPr>
  <dimension ref="A2:M31"/>
  <sheetViews>
    <sheetView topLeftCell="A13"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119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178</v>
      </c>
      <c r="D30" s="24">
        <v>62000</v>
      </c>
      <c r="E30" s="25">
        <v>62999</v>
      </c>
      <c r="F30" s="3"/>
    </row>
    <row r="31" spans="1:6" ht="15" thickBot="1" x14ac:dyDescent="0.35">
      <c r="A31" s="23"/>
      <c r="B31" s="24"/>
      <c r="C31" s="24" t="s">
        <v>183</v>
      </c>
      <c r="D31" s="24">
        <v>63000</v>
      </c>
      <c r="E31" s="25">
        <v>63999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NODES&amp;LABELS (cnfg5)</vt:lpstr>
      <vt:lpstr>NODES&amp;LABELS (cnfgCryo)</vt:lpstr>
      <vt:lpstr>PROPERTIES</vt:lpstr>
      <vt:lpstr>THERMO-OPTICALS</vt:lpstr>
      <vt:lpstr>MATERIALS</vt:lpstr>
      <vt:lpstr>GLs</vt:lpstr>
      <vt:lpstr>GLs (CC)</vt:lpstr>
      <vt:lpstr>Final Configs</vt:lpstr>
      <vt:lpstr>NODES&amp;LABELS (config3)</vt:lpstr>
      <vt:lpstr>NODES&amp;LABELS (config2)</vt:lpstr>
      <vt:lpstr>NODES&amp;LABELS (config1)</vt:lpstr>
      <vt:lpstr>GLs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2021-05-21T22:15:58Z</dcterms:modified>
</cp:coreProperties>
</file>