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72FF2CC0-4513-46AE-B6BA-6C29D86D3D2D}" xr6:coauthVersionLast="46" xr6:coauthVersionMax="46" xr10:uidLastSave="{00000000-0000-0000-0000-000000000000}"/>
  <bookViews>
    <workbookView xWindow="-28920" yWindow="-105" windowWidth="29040" windowHeight="15840" tabRatio="778" activeTab="7" xr2:uid="{00000000-000D-0000-FFFF-FFFF00000000}"/>
  </bookViews>
  <sheets>
    <sheet name="NODES&amp;LABELS (cnfg5)" sheetId="8" r:id="rId1"/>
    <sheet name="NODES&amp;LABELS (CryoCool)" sheetId="12" r:id="rId2"/>
    <sheet name="PROPERTIES" sheetId="2" r:id="rId3"/>
    <sheet name="THERMO-OPTICALS" sheetId="3" r:id="rId4"/>
    <sheet name="MATERIALS" sheetId="4" r:id="rId5"/>
    <sheet name="GLs" sheetId="6" r:id="rId6"/>
    <sheet name="GLs (CC)" sheetId="13" r:id="rId7"/>
    <sheet name="Final Configs" sheetId="10" r:id="rId8"/>
    <sheet name="NODES&amp;LABELS (config3)" sheetId="7" r:id="rId9"/>
    <sheet name="NODES&amp;LABELS (config2)" sheetId="5" r:id="rId10"/>
    <sheet name="NODES&amp;LABELS (config1)" sheetId="1" r:id="rId11"/>
    <sheet name="GLs (2)" sheetId="9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I6" i="10"/>
  <c r="G6" i="10"/>
  <c r="I37" i="10"/>
  <c r="I41" i="10" s="1"/>
  <c r="H37" i="10"/>
  <c r="H41" i="10" s="1"/>
  <c r="I35" i="10"/>
  <c r="I39" i="10" s="1"/>
  <c r="H35" i="10"/>
  <c r="H39" i="10" s="1"/>
  <c r="G25" i="10"/>
  <c r="H6" i="10"/>
  <c r="F40" i="13"/>
  <c r="E33" i="13"/>
  <c r="G33" i="13" s="1"/>
  <c r="E34" i="13"/>
  <c r="G34" i="13" s="1"/>
  <c r="E32" i="13"/>
  <c r="G32" i="13" s="1"/>
  <c r="G31" i="13"/>
  <c r="E38" i="13"/>
  <c r="F38" i="13" s="1"/>
  <c r="E30" i="13"/>
  <c r="G30" i="13" s="1"/>
  <c r="E29" i="13"/>
  <c r="G29" i="13" s="1"/>
  <c r="E28" i="13"/>
  <c r="G28" i="13" s="1"/>
  <c r="E27" i="13"/>
  <c r="G27" i="13" s="1"/>
  <c r="D26" i="13"/>
  <c r="E25" i="13"/>
  <c r="E26" i="13" s="1"/>
  <c r="D25" i="13"/>
  <c r="E24" i="13"/>
  <c r="G24" i="13" s="1"/>
  <c r="E23" i="13"/>
  <c r="G23" i="13" s="1"/>
  <c r="E22" i="13"/>
  <c r="G22" i="13" s="1"/>
  <c r="E21" i="13"/>
  <c r="G21" i="13" s="1"/>
  <c r="F17" i="13"/>
  <c r="J7" i="13" s="1"/>
  <c r="D17" i="13"/>
  <c r="I16" i="13"/>
  <c r="H16" i="13"/>
  <c r="E16" i="13"/>
  <c r="C16" i="13"/>
  <c r="B16" i="13"/>
  <c r="I14" i="13"/>
  <c r="H14" i="13"/>
  <c r="F14" i="13"/>
  <c r="F16" i="13" s="1"/>
  <c r="E14" i="13"/>
  <c r="C14" i="13"/>
  <c r="B14" i="13"/>
  <c r="F13" i="13"/>
  <c r="J9" i="13" s="1"/>
  <c r="I12" i="13"/>
  <c r="H12" i="13"/>
  <c r="E12" i="13"/>
  <c r="D12" i="13"/>
  <c r="C12" i="13"/>
  <c r="B12" i="13"/>
  <c r="I10" i="13"/>
  <c r="H10" i="13"/>
  <c r="F10" i="13"/>
  <c r="E10" i="13"/>
  <c r="C10" i="13"/>
  <c r="B10" i="13"/>
  <c r="F9" i="13"/>
  <c r="G8" i="13"/>
  <c r="K8" i="13" s="1"/>
  <c r="I7" i="13"/>
  <c r="E17" i="13" s="1"/>
  <c r="I17" i="13" s="1"/>
  <c r="E6" i="13"/>
  <c r="E7" i="13" s="1"/>
  <c r="D6" i="13"/>
  <c r="J5" i="13"/>
  <c r="F6" i="13" s="1"/>
  <c r="F7" i="13" s="1"/>
  <c r="F5" i="13"/>
  <c r="E5" i="13"/>
  <c r="D5" i="13"/>
  <c r="J4" i="13"/>
  <c r="J17" i="13" s="1"/>
  <c r="F4" i="13"/>
  <c r="E4" i="13"/>
  <c r="H5" i="10"/>
  <c r="I5" i="10"/>
  <c r="H4" i="10"/>
  <c r="I4" i="10"/>
  <c r="E27" i="6"/>
  <c r="E28" i="6" s="1"/>
  <c r="G23" i="6"/>
  <c r="E23" i="6"/>
  <c r="E38" i="6"/>
  <c r="F38" i="6" s="1"/>
  <c r="E21" i="6"/>
  <c r="E24" i="6"/>
  <c r="E26" i="6"/>
  <c r="E25" i="6"/>
  <c r="G25" i="6" s="1"/>
  <c r="G24" i="6"/>
  <c r="G26" i="6"/>
  <c r="E22" i="6"/>
  <c r="G22" i="6" s="1"/>
  <c r="G30" i="6"/>
  <c r="E30" i="6"/>
  <c r="E31" i="6"/>
  <c r="G31" i="6" s="1"/>
  <c r="E32" i="6"/>
  <c r="G3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G29" i="6" s="1"/>
  <c r="F10" i="6"/>
  <c r="J14" i="6" s="1"/>
  <c r="F9" i="6"/>
  <c r="F11" i="6" s="1"/>
  <c r="J15" i="6" s="1"/>
  <c r="F14" i="6"/>
  <c r="F16" i="6" s="1"/>
  <c r="J12" i="6" s="1"/>
  <c r="F13" i="6"/>
  <c r="F15" i="6" s="1"/>
  <c r="J11" i="6" s="1"/>
  <c r="E16" i="6"/>
  <c r="E14" i="6"/>
  <c r="E12" i="6"/>
  <c r="E10" i="6"/>
  <c r="H10" i="6"/>
  <c r="H12" i="6"/>
  <c r="H14" i="6"/>
  <c r="H16" i="6"/>
  <c r="I16" i="6"/>
  <c r="I14" i="6"/>
  <c r="I12" i="6"/>
  <c r="I10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E33" i="6"/>
  <c r="G33" i="6" s="1"/>
  <c r="F21" i="6"/>
  <c r="E39" i="6"/>
  <c r="F39" i="6" s="1"/>
  <c r="B33" i="6"/>
  <c r="C33" i="6"/>
  <c r="D28" i="6"/>
  <c r="D27" i="6"/>
  <c r="D17" i="6"/>
  <c r="D6" i="6"/>
  <c r="D5" i="6"/>
  <c r="F5" i="6"/>
  <c r="J5" i="6"/>
  <c r="F6" i="6" s="1"/>
  <c r="F7" i="6" s="1"/>
  <c r="F17" i="6"/>
  <c r="F4" i="6"/>
  <c r="I7" i="6"/>
  <c r="E17" i="6" s="1"/>
  <c r="I17" i="6" s="1"/>
  <c r="E6" i="6"/>
  <c r="E7" i="6" s="1"/>
  <c r="E5" i="6"/>
  <c r="J4" i="6"/>
  <c r="J17" i="6" s="1"/>
  <c r="E4" i="6"/>
  <c r="E40" i="13" l="1"/>
  <c r="G26" i="13"/>
  <c r="G17" i="13"/>
  <c r="K17" i="13" s="1"/>
  <c r="G5" i="13"/>
  <c r="G25" i="13"/>
  <c r="J10" i="13"/>
  <c r="G10" i="13" s="1"/>
  <c r="K10" i="13" s="1"/>
  <c r="K5" i="13"/>
  <c r="G7" i="13"/>
  <c r="K7" i="13" s="1"/>
  <c r="G4" i="13"/>
  <c r="K4" i="13" s="1"/>
  <c r="G9" i="13"/>
  <c r="K9" i="13" s="1"/>
  <c r="J12" i="13"/>
  <c r="F11" i="13"/>
  <c r="F12" i="13"/>
  <c r="J13" i="13"/>
  <c r="G13" i="13" s="1"/>
  <c r="K13" i="13" s="1"/>
  <c r="J6" i="13"/>
  <c r="G6" i="13" s="1"/>
  <c r="K6" i="13" s="1"/>
  <c r="J14" i="13"/>
  <c r="G14" i="13" s="1"/>
  <c r="D14" i="13"/>
  <c r="F15" i="13"/>
  <c r="F12" i="6"/>
  <c r="J16" i="6" s="1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J13" i="6"/>
  <c r="J9" i="6"/>
  <c r="D16" i="6"/>
  <c r="J10" i="6"/>
  <c r="G9" i="6"/>
  <c r="K9" i="6" s="1"/>
  <c r="G12" i="6"/>
  <c r="K12" i="6" s="1"/>
  <c r="G10" i="6"/>
  <c r="K10" i="6" s="1"/>
  <c r="G21" i="6"/>
  <c r="G5" i="6"/>
  <c r="K5" i="6" s="1"/>
  <c r="E34" i="6"/>
  <c r="G28" i="6"/>
  <c r="G17" i="6"/>
  <c r="K17" i="6" s="1"/>
  <c r="J7" i="6"/>
  <c r="G7" i="6" s="1"/>
  <c r="K7" i="6" s="1"/>
  <c r="G27" i="6"/>
  <c r="J6" i="6"/>
  <c r="G6" i="6" s="1"/>
  <c r="K6" i="6" s="1"/>
  <c r="G4" i="6"/>
  <c r="K4" i="6" s="1"/>
  <c r="G12" i="13" l="1"/>
  <c r="K12" i="13" s="1"/>
  <c r="J16" i="13"/>
  <c r="G16" i="13" s="1"/>
  <c r="J11" i="13"/>
  <c r="G11" i="13"/>
  <c r="K11" i="13" s="1"/>
  <c r="J15" i="13"/>
  <c r="G15" i="13" s="1"/>
  <c r="K15" i="13" s="1"/>
  <c r="K14" i="13"/>
  <c r="D16" i="13"/>
  <c r="G15" i="9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K16" i="13" l="1"/>
  <c r="G14" i="6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tc={5A759312-4249-4850-B4D4-9E48D56F121E}</author>
    <author>tc={B8797AD6-6A6C-4231-A692-4110CB7C965E}</author>
    <author>tc={1A85D25A-5AF0-4A7F-87FD-612F487FC140}</author>
    <author>tc={05EFECE3-19B7-49C8-8E81-D397DD8E8C35}</author>
  </authors>
  <commentList>
    <comment ref="D3" authorId="0" shapeId="0" xr:uid="{5A759312-4249-4850-B4D4-9E48D56F121E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8797AD6-6A6C-4231-A692-4110CB7C965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1A85D25A-5AF0-4A7F-87FD-612F487FC140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05EFECE3-19B7-49C8-8E81-D397DD8E8C35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<sst xmlns="http://schemas.openxmlformats.org/spreadsheetml/2006/main" count="1056" uniqueCount="272">
  <si>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</si>
  <si>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</si>
  <si>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</si>
  <si>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</si>
  <si>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</si>
  <si>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</si>
  <si>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</si>
  <si>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</si>
  <si>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</si>
  <si>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</si>
  <si>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</si>
  <si>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</si>
  <si>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</si>
  <si>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</si>
  <si>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</si>
  <si>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</si>
  <si>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</si>
  <si>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</si>
  <si>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</si>
  <si>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</si>
  <si>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</si>
  <si>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</si>
  <si>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</si>
  <si>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</si>
  <si>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</si>
  <si>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</si>
  <si>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</si>
  <si>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</si>
  <si>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</si>
  <si>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</si>
  <si>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</si>
  <si>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</si>
  <si>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</si>
  <si>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</si>
  <si>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</si>
  <si>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</si>
  <si>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</si>
  <si>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</si>
  <si>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</si>
  <si>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</si>
  <si>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</si>
  <si>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</si>
  <si>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</si>
  <si>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</si>
  <si>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</si>
  <si>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</si>
  <si>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</si>
  <si>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</si>
  <si>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</si>
  <si>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</si>
  <si>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</si>
  <si>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</si>
  <si>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</si>
  <si>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</si>
  <si>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</si>
  <si>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</si>
  <si>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</si>
  <si>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</si>
  <si>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</si>
  <si>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</si>
  <si>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</si>
  <si>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</si>
  <si>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</si>
  <si>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</si>
  <si>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</si>
  <si>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</si>
  <si>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</si>
  <si>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</si>
  <si>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</si>
  <si>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</si>
  <si>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</si>
  <si>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</si>
  <si>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</si>
  <si>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</si>
  <si>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</si>
  <si>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</si>
  <si>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</si>
  <si>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</si>
  <si>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</si>
  <si>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</si>
  <si>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</si>
  <si>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</si>
  <si>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</si>
  <si>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</si>
  <si>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</si>
  <si>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</si>
  <si>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</si>
  <si>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</si>
  <si>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</si>
  <si>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</si>
  <si>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</si>
  <si>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</si>
  <si>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</si>
  <si>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</si>
  <si>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</si>
  <si>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</si>
  <si>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</si>
  <si>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</si>
  <si>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</si>
  <si>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</si>
  <si>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</si>
  <si>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</si>
  <si>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</si>
  <si>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</si>
  <si>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</si>
  <si>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</si>
  <si>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</si>
  <si>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</si>
  <si>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</si>
  <si>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</si>
  <si>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</si>
  <si>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</si>
  <si>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</si>
  <si>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</si>
  <si>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</si>
  <si>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</si>
  <si>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</si>
  <si>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</si>
  <si>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</si>
  <si>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</si>
  <si>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</si>
  <si>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</si>
  <si>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</si>
  <si>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</si>
  <si>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</si>
  <si>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</si>
  <si>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</si>
  <si>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</si>
  <si>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</si>
  <si>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</si>
  <si>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</si>
  <si>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</si>
  <si>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</si>
  <si>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</si>
  <si>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</si>
  <si>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</si>
  <si>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</si>
  <si>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</si>
  <si>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</si>
  <si>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</si>
  <si>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</si>
  <si>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</si>
  <si>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</si>
  <si>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</si>
  <si>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</si>
  <si>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</si>
  <si>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</si>
  <si>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</si>
  <si>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</si>
  <si>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</si>
  <si>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</si>
  <si>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</si>
  <si>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</si>
  <si>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</si>
  <si>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</si>
  <si>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</si>
  <si>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</si>
  <si>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</si>
  <si>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</si>
  <si>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</si>
  <si>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</si>
  <si>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</si>
  <si>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</si>
  <si>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</si>
  <si>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</si>
  <si>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</si>
  <si>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</si>
  <si>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</si>
  <si>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</si>
  <si>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</si>
  <si>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</si>
  <si>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</si>
  <si>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</si>
  <si>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</si>
  <si>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</si>
  <si>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</si>
  <si>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</si>
  <si>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</si>
  <si>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</si>
  <si>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</si>
  <si>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</si>
  <si>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</si>
  <si>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</si>
  <si>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</si>
  <si>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</si>
  <si>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</si>
  <si>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</si>
  <si>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</si>
  <si>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</si>
  <si>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</si>
  <si>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</si>
  <si>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</si>
  <si>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</si>
  <si>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</si>
  <si>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</si>
  <si>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</si>
  <si>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</si>
  <si>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</si>
  <si>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</si>
  <si>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</si>
  <si>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</si>
  <si>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</si>
  <si>
    <t>#</t>
  </si>
  <si>
    <t>Orbit</t>
  </si>
  <si>
    <t>Cooling</t>
  </si>
  <si>
    <t>Passive</t>
  </si>
  <si>
    <t>Active+Passive</t>
  </si>
  <si>
    <t>Radiators</t>
  </si>
  <si>
    <t>Active Cooler</t>
  </si>
  <si>
    <t>N/A</t>
  </si>
  <si>
    <t>Cryo-cooler</t>
  </si>
  <si>
    <t>Power</t>
  </si>
  <si>
    <t>CCD Temperature [K]</t>
  </si>
  <si>
    <t>Max.</t>
  </si>
  <si>
    <t>Min.</t>
  </si>
  <si>
    <t>Note</t>
  </si>
  <si>
    <t>**</t>
  </si>
  <si>
    <t>Must employ larger solar panels to deal with the added power consumption due to the use of a cryo-cooler</t>
  </si>
  <si>
    <t>*</t>
  </si>
  <si>
    <t>****</t>
  </si>
  <si>
    <t>***</t>
  </si>
  <si>
    <t>LEO SS 12am*</t>
  </si>
  <si>
    <t>LEO SS 6am**</t>
  </si>
  <si>
    <t>Detector model</t>
  </si>
  <si>
    <t>Detector Operating Temp. Range [K]</t>
  </si>
  <si>
    <t>[1]</t>
  </si>
  <si>
    <t>[2]</t>
  </si>
  <si>
    <t>Cryo_Sink</t>
  </si>
  <si>
    <t>Cryo_Diss</t>
  </si>
  <si>
    <t>Cryo-Cooler</t>
  </si>
  <si>
    <t>Cooled Side</t>
  </si>
  <si>
    <t>Dissipation Side</t>
  </si>
  <si>
    <t>Cryocooler sources:</t>
  </si>
  <si>
    <t>Sources straps</t>
  </si>
  <si>
    <t>http://thermotive.com/thermalstraps.html</t>
  </si>
  <si>
    <t>CCD_to_CryoCool_Sink</t>
  </si>
  <si>
    <t>CryoCool_Diss_RAD</t>
  </si>
  <si>
    <t>Cryocooler sink</t>
  </si>
  <si>
    <t>Cryocooler Diss</t>
  </si>
  <si>
    <t>Cryo-cooler*****</t>
  </si>
  <si>
    <t>*****</t>
  </si>
  <si>
    <t>https://www.ricor.com/wp-content/uploads/2019/07/RicorComparisonTable2019.pdf</t>
  </si>
  <si>
    <t>K561 Model.     Min PC=4W;       Max. PC= 16W;      Cold tip temp: 80K-110K,     Cooldown 5min      Vol=2.97160e-4</t>
  </si>
  <si>
    <t>Sum</t>
  </si>
  <si>
    <t>Average</t>
  </si>
  <si>
    <t>Running Total</t>
  </si>
  <si>
    <t>Count</t>
  </si>
  <si>
    <t>Cryocooler Sink</t>
  </si>
  <si>
    <t>CryoCool_Diss_Support</t>
  </si>
  <si>
    <t>CryoCool_Sink_Support</t>
  </si>
  <si>
    <t>RAD_IR_STR</t>
  </si>
  <si>
    <t>Plate1</t>
  </si>
  <si>
    <t>Cryocooler diss</t>
  </si>
  <si>
    <t>Survival Mode</t>
  </si>
  <si>
    <t>Nominal Power [W]</t>
  </si>
  <si>
    <t>Survival Power [W]</t>
  </si>
  <si>
    <t>Heaters</t>
  </si>
  <si>
    <t>OBDH&amp;C</t>
  </si>
  <si>
    <t>Minimum Payload temperature [K]</t>
  </si>
  <si>
    <t>Survival Mode data for diagram of survival tempoeratura vs range temp</t>
  </si>
  <si>
    <t>PLD1 Temperature [K]</t>
  </si>
  <si>
    <t>PLD2 Temperature [K]</t>
  </si>
  <si>
    <t>Mode</t>
  </si>
  <si>
    <t>Nominal</t>
  </si>
  <si>
    <t>Survival</t>
  </si>
  <si>
    <t>CCD Operating Temperature [K]</t>
  </si>
  <si>
    <t>PLD1  Operating Temperature [K]</t>
  </si>
  <si>
    <t>PLD2  Operating Temperature [K]</t>
  </si>
  <si>
    <t>OBDH&amp;C Temperature [K]</t>
  </si>
  <si>
    <t>OBDH&amp;C Operating Temperature [K]</t>
  </si>
  <si>
    <t>Active + Passive</t>
  </si>
  <si>
    <t>Total Radiator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</si>
</sst>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"/>
    <numFmt numFmtId="167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5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4" borderId="36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54" xfId="0" applyFill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3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58" xfId="0" applyFill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167" fontId="0" fillId="0" borderId="13" xfId="0" applyNumberFormat="1" applyBorder="1" applyAlignment="1">
      <alignment horizontal="center" vertical="center"/>
    </xf>
    <xf numFmtId="167" fontId="0" fillId="0" borderId="8" xfId="0" applyNumberFormat="1" applyBorder="1" applyAlignment="1">
      <alignment horizontal="center" vertical="center"/>
    </xf>
    <xf numFmtId="167" fontId="0" fillId="0" borderId="11" xfId="0" applyNumberFormat="1" applyBorder="1" applyAlignment="1">
      <alignment horizontal="center" vertical="center"/>
    </xf>
    <xf numFmtId="0" fontId="0" fillId="0" borderId="29" xfId="0" applyBorder="1"/>
    <xf numFmtId="0" fontId="0" fillId="0" borderId="19" xfId="0" applyBorder="1"/>
    <xf numFmtId="0" fontId="0" fillId="0" borderId="21" xfId="0" applyBorder="1"/>
    <xf numFmtId="0" fontId="0" fillId="0" borderId="25" xfId="0" applyBorder="1"/>
    <xf numFmtId="165" fontId="0" fillId="0" borderId="25" xfId="0" applyNumberFormat="1" applyBorder="1"/>
    <xf numFmtId="0" fontId="0" fillId="0" borderId="20" xfId="0" applyBorder="1"/>
    <xf numFmtId="0" fontId="0" fillId="0" borderId="25" xfId="0" applyFont="1" applyBorder="1"/>
    <xf numFmtId="0" fontId="0" fillId="0" borderId="36" xfId="0" applyBorder="1"/>
    <xf numFmtId="0" fontId="0" fillId="0" borderId="35" xfId="0" applyBorder="1"/>
    <xf numFmtId="0" fontId="0" fillId="0" borderId="60" xfId="0" applyFill="1" applyBorder="1"/>
    <xf numFmtId="0" fontId="0" fillId="0" borderId="51" xfId="0" applyFill="1" applyBorder="1"/>
    <xf numFmtId="164" fontId="0" fillId="0" borderId="57" xfId="0" applyNumberFormat="1" applyFill="1" applyBorder="1"/>
    <xf numFmtId="0" fontId="0" fillId="0" borderId="56" xfId="0" applyBorder="1"/>
    <xf numFmtId="0" fontId="0" fillId="0" borderId="10" xfId="0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10" xfId="0" applyBorder="1" applyAlignment="1"/>
    <xf numFmtId="0" fontId="0" fillId="0" borderId="61" xfId="0" applyFill="1" applyBorder="1"/>
    <xf numFmtId="0" fontId="0" fillId="0" borderId="60" xfId="0" applyBorder="1"/>
    <xf numFmtId="0" fontId="0" fillId="0" borderId="50" xfId="0" applyBorder="1"/>
    <xf numFmtId="0" fontId="0" fillId="0" borderId="57" xfId="0" applyBorder="1"/>
    <xf numFmtId="0" fontId="0" fillId="0" borderId="34" xfId="0" applyBorder="1"/>
    <xf numFmtId="0" fontId="0" fillId="0" borderId="49" xfId="0" applyBorder="1"/>
    <xf numFmtId="0" fontId="0" fillId="0" borderId="12" xfId="0" applyFill="1" applyBorder="1"/>
    <xf numFmtId="166" fontId="0" fillId="0" borderId="27" xfId="0" applyNumberFormat="1" applyBorder="1"/>
    <xf numFmtId="0" fontId="0" fillId="0" borderId="29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4" borderId="35" xfId="0" applyFill="1" applyBorder="1" applyAlignment="1">
      <alignment horizontal="center" vertical="center" wrapText="1"/>
    </xf>
    <xf numFmtId="0" fontId="0" fillId="4" borderId="5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52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0" fillId="5" borderId="54" xfId="0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0" borderId="6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41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41" xfId="0" applyFill="1" applyBorder="1" applyAlignment="1">
      <alignment horizontal="center" vertical="center" wrapText="1"/>
    </xf>
    <xf numFmtId="0" fontId="0" fillId="4" borderId="62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5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40" xfId="0" applyFill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5" borderId="33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154226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12435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93303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0C0A15D-E002-41FB-A237-053ADB576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5252" y="163830"/>
          <a:ext cx="5065688" cy="193162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133271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FBCCDC-9740-4D45-B22F-06B277BAF5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59015" y="6267450"/>
          <a:ext cx="1518097" cy="640001"/>
        </a:xfrm>
        <a:prstGeom prst="rect">
          <a:avLst/>
        </a:prstGeom>
      </xdr:spPr>
    </xdr:pic>
    <xdr:clientData/>
  </xdr:twoCellAnchor>
  <xdr:twoCellAnchor editAs="oneCell">
    <xdr:from>
      <xdr:col>12</xdr:col>
      <xdr:colOff>133349</xdr:colOff>
      <xdr:row>17</xdr:row>
      <xdr:rowOff>124752</xdr:rowOff>
    </xdr:from>
    <xdr:to>
      <xdr:col>23</xdr:col>
      <xdr:colOff>134062</xdr:colOff>
      <xdr:row>45</xdr:row>
      <xdr:rowOff>58155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3AAA567-E8F3-42F3-99AF-491FB28DAC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06049" y="3048927"/>
          <a:ext cx="6698693" cy="50597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5A759312-4249-4850-B4D4-9E48D56F121E}">
    <text>Distancia del nodo central a su borde</text>
  </threadedComment>
  <threadedComment ref="F3" dT="2021-05-10T14:59:03.21" personId="{7FEA3327-5DCA-4904-9FA0-972C46AA4A40}" id="{B8797AD6-6A6C-4231-A692-4110CB7C965E}">
    <text>AREA DE ESE LATERAL</text>
  </threadedComment>
  <threadedComment ref="H3" dT="2021-05-10T14:59:22.47" personId="{7FEA3327-5DCA-4904-9FA0-972C46AA4A40}" id="{1A85D25A-5AF0-4A7F-87FD-612F487FC140}">
    <text>300 o 100 (hasta 1000)</text>
  </threadedComment>
  <threadedComment ref="I4" dT="2021-05-10T18:29:49.85" personId="{7FEA3327-5DCA-4904-9FA0-972C46AA4A40}" id="{05EFECE3-19B7-49C8-8E81-D397DD8E8C35}">
    <text>PCB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sheetPr codeName="Sheet1"/>
  <dimension ref="A2:M32"/>
  <sheetViews>
    <sheetView workbookViewId="0">
      <selection activeCell="J44" sqref="J44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142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184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"/>
    </row>
    <row r="31" spans="1:6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"/>
    </row>
    <row r="32" spans="1:6" ht="15" thickBot="1" x14ac:dyDescent="0.35">
      <c r="A32" s="23"/>
      <c r="B32" s="24"/>
      <c r="C32" s="24" t="s">
        <v>183</v>
      </c>
      <c r="D32" s="24">
        <v>64000</v>
      </c>
      <c r="E32" s="25">
        <v>64999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sheetPr codeName="Sheet7">
    <tabColor theme="7" tint="-0.499984740745262"/>
  </sheetPr>
  <dimension ref="A2:M29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>
    <tabColor theme="7" tint="-0.499984740745262"/>
  </sheetPr>
  <dimension ref="A2:M24"/>
  <sheetViews>
    <sheetView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sheetPr codeName="Sheet9">
    <tabColor theme="7" tint="-0.499984740745262"/>
  </sheetPr>
  <dimension ref="A2:M43"/>
  <sheetViews>
    <sheetView topLeftCell="A5" workbookViewId="0">
      <pane xSplit="1" topLeftCell="B1" activePane="topRight" state="frozen"/>
      <selection activeCell="J36" sqref="J36"/>
      <selection pane="topRight" activeCell="H42" sqref="H42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1929-A231-4740-A755-864549E0C2CF}">
  <sheetPr codeName="Sheet10"/>
  <dimension ref="A2:M35"/>
  <sheetViews>
    <sheetView workbookViewId="0">
      <selection activeCell="E34" sqref="E34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9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 t="s">
        <v>90</v>
      </c>
      <c r="I17" s="105" t="s">
        <v>232</v>
      </c>
    </row>
    <row r="18" spans="1:9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 t="s">
        <v>90</v>
      </c>
    </row>
    <row r="19" spans="1:9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9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9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9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9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9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9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9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9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 t="s">
        <v>90</v>
      </c>
    </row>
    <row r="28" spans="1:9" x14ac:dyDescent="0.3">
      <c r="A28" s="21"/>
      <c r="B28" s="2"/>
      <c r="C28" s="2" t="s">
        <v>142</v>
      </c>
      <c r="D28" s="2">
        <v>60000</v>
      </c>
      <c r="E28" s="22">
        <v>60999</v>
      </c>
      <c r="F28" s="3" t="s">
        <v>90</v>
      </c>
    </row>
    <row r="29" spans="1:9" x14ac:dyDescent="0.3">
      <c r="A29" s="21"/>
      <c r="B29" s="2"/>
      <c r="C29" s="2" t="s">
        <v>184</v>
      </c>
      <c r="D29" s="2">
        <v>61000</v>
      </c>
      <c r="E29" s="22">
        <v>61999</v>
      </c>
      <c r="F29" s="3" t="s">
        <v>90</v>
      </c>
    </row>
    <row r="30" spans="1:9" x14ac:dyDescent="0.3">
      <c r="A30" s="21"/>
      <c r="B30" s="2"/>
      <c r="C30" s="2" t="s">
        <v>185</v>
      </c>
      <c r="D30" s="2">
        <v>62000</v>
      </c>
      <c r="E30" s="22">
        <v>62999</v>
      </c>
      <c r="F30" s="3" t="s">
        <v>90</v>
      </c>
    </row>
    <row r="31" spans="1:9" x14ac:dyDescent="0.3">
      <c r="A31" s="21"/>
      <c r="B31" s="2"/>
      <c r="C31" s="2" t="s">
        <v>183</v>
      </c>
      <c r="D31" s="2">
        <v>63000</v>
      </c>
      <c r="E31" s="22">
        <v>63999</v>
      </c>
      <c r="F31" s="3" t="s">
        <v>90</v>
      </c>
    </row>
    <row r="32" spans="1:9" ht="15" thickBot="1" x14ac:dyDescent="0.35">
      <c r="A32" s="23"/>
      <c r="B32" s="24"/>
      <c r="C32" s="24" t="s">
        <v>183</v>
      </c>
      <c r="D32" s="24">
        <v>64000</v>
      </c>
      <c r="E32" s="25">
        <v>64999</v>
      </c>
      <c r="F32" s="3" t="s">
        <v>90</v>
      </c>
    </row>
    <row r="33" spans="1:5" x14ac:dyDescent="0.3">
      <c r="A33" s="40" t="s">
        <v>210</v>
      </c>
      <c r="B33" s="41"/>
      <c r="C33" s="41" t="s">
        <v>229</v>
      </c>
      <c r="D33" s="41">
        <v>70000</v>
      </c>
      <c r="E33" s="42">
        <v>79000</v>
      </c>
    </row>
    <row r="34" spans="1:5" x14ac:dyDescent="0.3">
      <c r="A34" s="21"/>
      <c r="B34" s="2" t="s">
        <v>230</v>
      </c>
      <c r="C34" s="2" t="s">
        <v>227</v>
      </c>
      <c r="D34" s="2">
        <v>70000</v>
      </c>
      <c r="E34" s="22">
        <v>71000</v>
      </c>
    </row>
    <row r="35" spans="1:5" ht="15" thickBot="1" x14ac:dyDescent="0.35">
      <c r="A35" s="23"/>
      <c r="B35" s="24" t="s">
        <v>231</v>
      </c>
      <c r="C35" s="24" t="s">
        <v>228</v>
      </c>
      <c r="D35" s="24">
        <v>72000</v>
      </c>
      <c r="E35" s="25">
        <v>72999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sheetPr codeName="Sheet2"/>
  <dimension ref="B3:J44"/>
  <sheetViews>
    <sheetView workbookViewId="0">
      <selection activeCell="F30" sqref="F30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  <row r="44" spans="10:10" x14ac:dyDescent="0.3">
      <c r="J44" t="s">
        <v>202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sheetPr codeName="Sheet3"/>
  <dimension ref="A3:L17"/>
  <sheetViews>
    <sheetView workbookViewId="0">
      <selection activeCell="J44" sqref="J44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110" t="s">
        <v>36</v>
      </c>
      <c r="C3" s="111" t="s">
        <v>40</v>
      </c>
      <c r="D3" s="111"/>
      <c r="E3" s="111"/>
      <c r="F3" s="111"/>
      <c r="G3" s="111" t="s">
        <v>46</v>
      </c>
      <c r="H3" s="111"/>
      <c r="I3" s="111"/>
      <c r="J3" s="111"/>
      <c r="K3" s="112" t="s">
        <v>87</v>
      </c>
      <c r="L3" s="112"/>
    </row>
    <row r="4" spans="1:12" x14ac:dyDescent="0.3">
      <c r="A4" s="3"/>
      <c r="B4" s="110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112"/>
      <c r="L4" s="112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109" t="s">
        <v>88</v>
      </c>
      <c r="L5" s="106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109" t="s">
        <v>88</v>
      </c>
      <c r="L6" s="106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106"/>
      <c r="L7" s="106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107"/>
      <c r="L8" s="108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106"/>
      <c r="L9" s="106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107"/>
      <c r="L10" s="108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107"/>
      <c r="L11" s="108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106"/>
      <c r="L12" s="106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106"/>
      <c r="L13" s="106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106"/>
      <c r="L14" s="106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106"/>
      <c r="L15" s="106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106"/>
      <c r="L17" s="106"/>
    </row>
  </sheetData>
  <mergeCells count="16">
    <mergeCell ref="K6:L6"/>
    <mergeCell ref="B3:B4"/>
    <mergeCell ref="C3:F3"/>
    <mergeCell ref="G3:J3"/>
    <mergeCell ref="K3:L4"/>
    <mergeCell ref="K5:L5"/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sheetPr codeName="Sheet4"/>
  <dimension ref="A4:O15"/>
  <sheetViews>
    <sheetView workbookViewId="0">
      <selection activeCell="J36" sqref="J36"/>
    </sheetView>
  </sheetViews>
  <sheetFormatPr defaultColWidth="11.5546875" defaultRowHeight="14.4" x14ac:dyDescent="0.3"/>
  <sheetData>
    <row r="4" spans="1:15" x14ac:dyDescent="0.3">
      <c r="A4" s="113" t="s">
        <v>68</v>
      </c>
      <c r="B4" s="114"/>
      <c r="C4" s="114"/>
      <c r="D4" s="115"/>
      <c r="E4" s="112" t="s">
        <v>87</v>
      </c>
      <c r="F4" s="112"/>
      <c r="H4" s="113" t="s">
        <v>75</v>
      </c>
      <c r="I4" s="114"/>
      <c r="J4" s="114"/>
      <c r="K4" s="114"/>
      <c r="L4" s="114"/>
      <c r="M4" s="115"/>
      <c r="N4" s="112" t="s">
        <v>87</v>
      </c>
      <c r="O4" s="112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112"/>
      <c r="F5" s="112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112"/>
      <c r="O5" s="112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107"/>
      <c r="F6" s="108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107"/>
      <c r="O6" s="108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107" t="s">
        <v>92</v>
      </c>
      <c r="F7" s="108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107" t="s">
        <v>92</v>
      </c>
      <c r="F8" s="108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107" t="s">
        <v>121</v>
      </c>
      <c r="F9" s="108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107"/>
      <c r="F10" s="108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107"/>
      <c r="F11" s="108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107" t="s">
        <v>126</v>
      </c>
      <c r="F14" s="108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107"/>
      <c r="F15" s="108"/>
      <c r="G15" s="3" t="s">
        <v>90</v>
      </c>
    </row>
  </sheetData>
  <mergeCells count="13">
    <mergeCell ref="H4:M4"/>
    <mergeCell ref="N4:O5"/>
    <mergeCell ref="A4:D4"/>
    <mergeCell ref="E4:F5"/>
    <mergeCell ref="E7:F7"/>
    <mergeCell ref="E6:F6"/>
    <mergeCell ref="E10:F10"/>
    <mergeCell ref="E11:F11"/>
    <mergeCell ref="E15:F15"/>
    <mergeCell ref="N6:O6"/>
    <mergeCell ref="E8:F8"/>
    <mergeCell ref="E9:F9"/>
    <mergeCell ref="E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sheetPr codeName="Sheet5">
    <tabColor rgb="FFC00000"/>
  </sheetPr>
  <dimension ref="A2:M47"/>
  <sheetViews>
    <sheetView topLeftCell="A2" workbookViewId="0">
      <pane xSplit="1" topLeftCell="B1" activePane="topRight" state="frozen"/>
      <selection activeCell="J44" sqref="J44"/>
      <selection pane="topRight" activeCell="H32" sqref="H32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95" t="s">
        <v>159</v>
      </c>
      <c r="E20" s="89" t="s">
        <v>154</v>
      </c>
      <c r="F20" s="88" t="s">
        <v>160</v>
      </c>
      <c r="G20" s="90" t="s">
        <v>152</v>
      </c>
      <c r="I20" s="10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96">
        <v>4500</v>
      </c>
      <c r="E21" s="91">
        <f>0.025^2*PI()</f>
        <v>1.9634954084936209E-3</v>
      </c>
      <c r="F21" s="93">
        <f>0.21</f>
        <v>0.21</v>
      </c>
      <c r="G21" s="94">
        <f t="shared" ref="G21:G34" si="4">D21*E21/F21</f>
        <v>42.074901610577591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97">
        <v>4500</v>
      </c>
      <c r="E22" s="78">
        <f>0.015^2*PI()</f>
        <v>7.0685834705770342E-4</v>
      </c>
      <c r="F22" s="61">
        <v>0.19</v>
      </c>
      <c r="G22" s="75">
        <f t="shared" si="4"/>
        <v>16.741381903998239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97">
        <v>4500</v>
      </c>
      <c r="E23" s="78">
        <f>0.01^2*PI()</f>
        <v>3.1415926535897931E-4</v>
      </c>
      <c r="F23" s="61">
        <v>0.35</v>
      </c>
      <c r="G23" s="75">
        <f t="shared" si="4"/>
        <v>4.0391905546154483</v>
      </c>
      <c r="I23" s="105" t="s">
        <v>199</v>
      </c>
    </row>
    <row r="24" spans="1:11" x14ac:dyDescent="0.3">
      <c r="A24" s="21" t="s">
        <v>196</v>
      </c>
      <c r="B24" s="2" t="s">
        <v>99</v>
      </c>
      <c r="C24" s="102" t="s">
        <v>184</v>
      </c>
      <c r="D24" s="97">
        <v>4500</v>
      </c>
      <c r="E24" s="78">
        <f>0.01^2*PI()</f>
        <v>3.1415926535897931E-4</v>
      </c>
      <c r="F24" s="61">
        <v>0.16</v>
      </c>
      <c r="G24" s="75">
        <f t="shared" si="4"/>
        <v>8.8357293382212934</v>
      </c>
      <c r="I24" s="104" t="s">
        <v>200</v>
      </c>
    </row>
    <row r="25" spans="1:11" x14ac:dyDescent="0.3">
      <c r="A25" s="92" t="s">
        <v>198</v>
      </c>
      <c r="B25" s="84" t="s">
        <v>188</v>
      </c>
      <c r="C25" s="102" t="s">
        <v>184</v>
      </c>
      <c r="D25" s="98">
        <v>4500</v>
      </c>
      <c r="E25" s="78">
        <f>0.01^2*PI()</f>
        <v>3.1415926535897931E-4</v>
      </c>
      <c r="F25" s="51">
        <v>0.05</v>
      </c>
      <c r="G25" s="75">
        <f t="shared" si="4"/>
        <v>28.274333882308138</v>
      </c>
      <c r="I25" t="s">
        <v>201</v>
      </c>
    </row>
    <row r="26" spans="1:11" x14ac:dyDescent="0.3">
      <c r="A26" s="92" t="s">
        <v>189</v>
      </c>
      <c r="B26" s="84" t="s">
        <v>147</v>
      </c>
      <c r="C26" s="102" t="s">
        <v>190</v>
      </c>
      <c r="D26" s="98">
        <v>4500</v>
      </c>
      <c r="E26" s="78">
        <f>0.01^2*PI()</f>
        <v>3.1415926535897931E-4</v>
      </c>
      <c r="F26" s="51">
        <v>0.38500000000000001</v>
      </c>
      <c r="G26" s="75">
        <f t="shared" si="4"/>
        <v>3.6719914132867713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97">
        <f>D22</f>
        <v>4500</v>
      </c>
      <c r="E27" s="78">
        <f>0.01^2*PI()</f>
        <v>3.1415926535897931E-4</v>
      </c>
      <c r="F27" s="61">
        <v>0.31</v>
      </c>
      <c r="G27" s="75">
        <f>D27*E27/F27</f>
        <v>4.5603764326303446</v>
      </c>
      <c r="I27" s="105" t="s">
        <v>233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97">
        <f>D22</f>
        <v>4500</v>
      </c>
      <c r="E28" s="78">
        <f>E27</f>
        <v>3.1415926535897931E-4</v>
      </c>
      <c r="F28" s="61">
        <v>0.11</v>
      </c>
      <c r="G28" s="75">
        <f t="shared" si="4"/>
        <v>12.851969946503699</v>
      </c>
      <c r="I28" t="s">
        <v>234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99">
        <v>160</v>
      </c>
      <c r="E29" s="79">
        <f>0.01^2*PI()</f>
        <v>3.1415926535897931E-4</v>
      </c>
      <c r="F29" s="65">
        <v>0.05</v>
      </c>
      <c r="G29" s="75">
        <f t="shared" si="4"/>
        <v>1.0053096491487337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99">
        <v>4500</v>
      </c>
      <c r="E30" s="79">
        <f>0.06^2*PI()</f>
        <v>1.1309733552923255E-2</v>
      </c>
      <c r="F30" s="65">
        <v>0.01</v>
      </c>
      <c r="G30" s="75">
        <f t="shared" ref="G30:G32" si="5">D30*E30/F30</f>
        <v>5089.3800988154644</v>
      </c>
    </row>
    <row r="31" spans="1:11" x14ac:dyDescent="0.3">
      <c r="A31" s="92" t="s">
        <v>193</v>
      </c>
      <c r="B31" s="84" t="s">
        <v>147</v>
      </c>
      <c r="C31" s="102" t="s">
        <v>190</v>
      </c>
      <c r="D31" s="100">
        <v>0.24</v>
      </c>
      <c r="E31" s="85">
        <f>0.001^2*PI()</f>
        <v>3.1415926535897929E-6</v>
      </c>
      <c r="F31" s="51">
        <v>0.01</v>
      </c>
      <c r="G31" s="75">
        <f t="shared" si="5"/>
        <v>7.5398223686155033E-5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00">
        <v>0.24</v>
      </c>
      <c r="E32" s="85">
        <f>0.001^2*PI()</f>
        <v>3.1415926535897929E-6</v>
      </c>
      <c r="F32" s="51">
        <v>0.01</v>
      </c>
      <c r="G32" s="75">
        <f t="shared" si="5"/>
        <v>7.5398223686155033E-5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00">
        <v>0.24</v>
      </c>
      <c r="E33" s="85">
        <f>0.001^2*PI()</f>
        <v>3.1415926535897929E-6</v>
      </c>
      <c r="F33" s="51">
        <v>0.01</v>
      </c>
      <c r="G33" s="75">
        <f>D33*E33/F33</f>
        <v>7.5398223686155033E-5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01">
        <v>0.24</v>
      </c>
      <c r="E34" s="81">
        <f>E33</f>
        <v>3.1415926535897929E-6</v>
      </c>
      <c r="F34" s="52">
        <v>0.01</v>
      </c>
      <c r="G34" s="77">
        <f t="shared" si="4"/>
        <v>7.5398223686155033E-5</v>
      </c>
    </row>
    <row r="35" spans="1:9" x14ac:dyDescent="0.3">
      <c r="I35" s="1" t="s">
        <v>162</v>
      </c>
    </row>
    <row r="36" spans="1:9" ht="15" thickBot="1" x14ac:dyDescent="0.35"/>
    <row r="37" spans="1:9" x14ac:dyDescent="0.3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x14ac:dyDescent="0.3">
      <c r="A38" s="57" t="s">
        <v>163</v>
      </c>
      <c r="B38" s="33" t="s">
        <v>149</v>
      </c>
      <c r="C38" s="53" t="s">
        <v>145</v>
      </c>
      <c r="D38" s="33">
        <v>500</v>
      </c>
      <c r="E38" s="53">
        <f>0.04*0.08</f>
        <v>3.2000000000000002E-3</v>
      </c>
      <c r="F38" s="63">
        <f>D38*E38</f>
        <v>1.6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500</v>
      </c>
      <c r="E39" s="52">
        <f>0.02*0.02</f>
        <v>4.0000000000000002E-4</v>
      </c>
      <c r="F39" s="64">
        <f>D39*E39</f>
        <v>0.2</v>
      </c>
    </row>
    <row r="43" spans="1:9" x14ac:dyDescent="0.3">
      <c r="H43" t="s">
        <v>179</v>
      </c>
    </row>
    <row r="46" spans="1:9" x14ac:dyDescent="0.3">
      <c r="C46" t="s">
        <v>181</v>
      </c>
    </row>
    <row r="47" spans="1:9" x14ac:dyDescent="0.3">
      <c r="C47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B2E2E-D1DD-4048-B633-B6CAFB7CF517}">
  <sheetPr codeName="Sheet11">
    <tabColor rgb="FFC00000"/>
  </sheetPr>
  <dimension ref="A2:M48"/>
  <sheetViews>
    <sheetView topLeftCell="A8" workbookViewId="0">
      <pane xSplit="1" topLeftCell="B1" activePane="topRight" state="frozen"/>
      <selection activeCell="J44" sqref="J44"/>
      <selection pane="topRight" activeCell="H41" sqref="H41"/>
    </sheetView>
  </sheetViews>
  <sheetFormatPr defaultRowHeight="14.4" x14ac:dyDescent="0.3"/>
  <cols>
    <col min="1" max="1" width="23.33203125" customWidth="1"/>
    <col min="2" max="3" width="14.218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ht="15" thickBot="1" x14ac:dyDescent="0.35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149" t="s">
        <v>129</v>
      </c>
      <c r="B4" s="150" t="s">
        <v>110</v>
      </c>
      <c r="C4" s="151" t="s">
        <v>17</v>
      </c>
      <c r="D4" s="150">
        <v>4.0099999999999997E-2</v>
      </c>
      <c r="E4" s="152">
        <f>MATERIALS!B14</f>
        <v>124</v>
      </c>
      <c r="F4" s="153">
        <f>PI()*(0.07^2)*0.001</f>
        <v>1.5393804002589989E-5</v>
      </c>
      <c r="G4" s="154">
        <f>MIN(F4,J4)</f>
        <v>1.5393804002589989E-5</v>
      </c>
      <c r="H4" s="152">
        <v>50</v>
      </c>
      <c r="I4" s="152">
        <v>0.24</v>
      </c>
      <c r="J4" s="152">
        <f>0.01*0.4</f>
        <v>4.0000000000000001E-3</v>
      </c>
      <c r="K4" s="63">
        <f>1 / ( (D4/(E4*F4)) + (1/(G4*H4))+(D4/(I4*J4)))</f>
        <v>7.3421305756203787E-4</v>
      </c>
    </row>
    <row r="5" spans="1:13" x14ac:dyDescent="0.3">
      <c r="A5" s="149" t="s">
        <v>133</v>
      </c>
      <c r="B5" s="150" t="s">
        <v>134</v>
      </c>
      <c r="C5" s="20" t="s">
        <v>135</v>
      </c>
      <c r="D5" s="150">
        <f>0.001+0.08</f>
        <v>8.1000000000000003E-2</v>
      </c>
      <c r="E5" s="152">
        <f>MATERIALS!B11</f>
        <v>59</v>
      </c>
      <c r="F5" s="155">
        <f>PI()*(0.08^2)*0.01</f>
        <v>2.0106192982974677E-4</v>
      </c>
      <c r="G5" s="50">
        <f>MIN(F5,J5)</f>
        <v>4.0212385965949353E-5</v>
      </c>
      <c r="H5" s="152">
        <v>100</v>
      </c>
      <c r="I5" s="152">
        <v>0.24</v>
      </c>
      <c r="J5" s="152">
        <f>PI()*(0.08^2)*0.002</f>
        <v>4.0212385965949353E-5</v>
      </c>
      <c r="K5" s="156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ht="15" thickBot="1" x14ac:dyDescent="0.35">
      <c r="A20" s="86" t="s">
        <v>127</v>
      </c>
      <c r="B20" s="87" t="s">
        <v>87</v>
      </c>
      <c r="C20" s="89" t="s">
        <v>128</v>
      </c>
      <c r="D20" s="87" t="s">
        <v>159</v>
      </c>
      <c r="E20" s="89" t="s">
        <v>154</v>
      </c>
      <c r="F20" s="89" t="s">
        <v>160</v>
      </c>
      <c r="G20" s="90" t="s">
        <v>152</v>
      </c>
      <c r="I20" s="103" t="s">
        <v>169</v>
      </c>
    </row>
    <row r="21" spans="1:11" x14ac:dyDescent="0.3">
      <c r="A21" s="18" t="s">
        <v>132</v>
      </c>
      <c r="B21" s="19" t="s">
        <v>131</v>
      </c>
      <c r="C21" s="20" t="s">
        <v>142</v>
      </c>
      <c r="D21" s="60">
        <v>4500</v>
      </c>
      <c r="E21" s="78">
        <f>0.015^2*PI()</f>
        <v>7.0685834705770342E-4</v>
      </c>
      <c r="F21" s="162">
        <v>0.19</v>
      </c>
      <c r="G21" s="94">
        <f t="shared" ref="G21:G24" si="4">D21*E21/F21</f>
        <v>16.741381903998239</v>
      </c>
    </row>
    <row r="22" spans="1:11" x14ac:dyDescent="0.3">
      <c r="A22" s="21" t="s">
        <v>197</v>
      </c>
      <c r="B22" s="2" t="s">
        <v>115</v>
      </c>
      <c r="C22" s="22" t="s">
        <v>184</v>
      </c>
      <c r="D22" s="60">
        <v>4500</v>
      </c>
      <c r="E22" s="78">
        <f>0.01^2*PI()</f>
        <v>3.1415926535897931E-4</v>
      </c>
      <c r="F22" s="162">
        <v>0.35</v>
      </c>
      <c r="G22" s="75">
        <f t="shared" si="4"/>
        <v>4.0391905546154483</v>
      </c>
      <c r="I22" s="105" t="s">
        <v>199</v>
      </c>
    </row>
    <row r="23" spans="1:11" x14ac:dyDescent="0.3">
      <c r="A23" s="21" t="s">
        <v>196</v>
      </c>
      <c r="B23" s="2" t="s">
        <v>99</v>
      </c>
      <c r="C23" s="102" t="s">
        <v>184</v>
      </c>
      <c r="D23" s="60">
        <v>4500</v>
      </c>
      <c r="E23" s="78">
        <f>0.01^2*PI()</f>
        <v>3.1415926535897931E-4</v>
      </c>
      <c r="F23" s="162">
        <v>0.16</v>
      </c>
      <c r="G23" s="75">
        <f t="shared" si="4"/>
        <v>8.8357293382212934</v>
      </c>
      <c r="I23" s="104" t="s">
        <v>200</v>
      </c>
    </row>
    <row r="24" spans="1:11" x14ac:dyDescent="0.3">
      <c r="A24" s="92" t="s">
        <v>198</v>
      </c>
      <c r="B24" s="84" t="s">
        <v>188</v>
      </c>
      <c r="C24" s="102" t="s">
        <v>184</v>
      </c>
      <c r="D24" s="163">
        <v>4500</v>
      </c>
      <c r="E24" s="78">
        <f>0.01^2*PI()</f>
        <v>3.1415926535897931E-4</v>
      </c>
      <c r="F24" s="22">
        <v>0.05</v>
      </c>
      <c r="G24" s="75">
        <f t="shared" si="4"/>
        <v>28.274333882308138</v>
      </c>
      <c r="I24" t="s">
        <v>201</v>
      </c>
    </row>
    <row r="25" spans="1:11" x14ac:dyDescent="0.3">
      <c r="A25" s="21" t="s">
        <v>139</v>
      </c>
      <c r="B25" s="2" t="s">
        <v>145</v>
      </c>
      <c r="C25" s="22" t="s">
        <v>142</v>
      </c>
      <c r="D25" s="60">
        <f>D21</f>
        <v>4500</v>
      </c>
      <c r="E25" s="78">
        <f>0.01^2*PI()</f>
        <v>3.1415926535897931E-4</v>
      </c>
      <c r="F25" s="162">
        <v>0.31</v>
      </c>
      <c r="G25" s="75">
        <f>D25*E25/F25</f>
        <v>4.5603764326303446</v>
      </c>
    </row>
    <row r="26" spans="1:11" x14ac:dyDescent="0.3">
      <c r="A26" s="21" t="s">
        <v>144</v>
      </c>
      <c r="B26" s="2" t="s">
        <v>146</v>
      </c>
      <c r="C26" s="22" t="s">
        <v>142</v>
      </c>
      <c r="D26" s="60">
        <f>D21</f>
        <v>4500</v>
      </c>
      <c r="E26" s="78">
        <f>E25</f>
        <v>3.1415926535897931E-4</v>
      </c>
      <c r="F26" s="162">
        <v>0.11</v>
      </c>
      <c r="G26" s="75">
        <f>D26*E26/F26</f>
        <v>12.851969946503699</v>
      </c>
      <c r="I26" s="105" t="s">
        <v>233</v>
      </c>
    </row>
    <row r="27" spans="1:11" x14ac:dyDescent="0.3">
      <c r="A27" s="21" t="s">
        <v>148</v>
      </c>
      <c r="B27" s="2" t="s">
        <v>147</v>
      </c>
      <c r="C27" s="22" t="s">
        <v>150</v>
      </c>
      <c r="D27" s="66">
        <v>160</v>
      </c>
      <c r="E27" s="79">
        <f>0.01^2*PI()</f>
        <v>3.1415926535897931E-4</v>
      </c>
      <c r="F27" s="164">
        <v>0.05</v>
      </c>
      <c r="G27" s="75">
        <f>D27*E27/F27</f>
        <v>1.0053096491487337</v>
      </c>
      <c r="I27" t="s">
        <v>234</v>
      </c>
    </row>
    <row r="28" spans="1:11" x14ac:dyDescent="0.3">
      <c r="A28" s="21" t="s">
        <v>194</v>
      </c>
      <c r="B28" s="2" t="s">
        <v>195</v>
      </c>
      <c r="C28" s="22" t="s">
        <v>143</v>
      </c>
      <c r="D28" s="66">
        <v>4500</v>
      </c>
      <c r="E28" s="79">
        <f>0.06^2*PI()</f>
        <v>1.1309733552923255E-2</v>
      </c>
      <c r="F28" s="164">
        <v>0.01</v>
      </c>
      <c r="G28" s="75">
        <f>D28*E28/F28</f>
        <v>5089.3800988154644</v>
      </c>
    </row>
    <row r="29" spans="1:11" x14ac:dyDescent="0.3">
      <c r="A29" s="21" t="s">
        <v>192</v>
      </c>
      <c r="B29" s="2" t="s">
        <v>147</v>
      </c>
      <c r="C29" s="22" t="s">
        <v>191</v>
      </c>
      <c r="D29" s="21">
        <v>0.24</v>
      </c>
      <c r="E29" s="85">
        <f>0.001^2*PI()</f>
        <v>3.1415926535897929E-6</v>
      </c>
      <c r="F29" s="22">
        <v>0.01</v>
      </c>
      <c r="G29" s="75">
        <f>D29*E29/F29</f>
        <v>7.5398223686155033E-5</v>
      </c>
    </row>
    <row r="30" spans="1:11" x14ac:dyDescent="0.3">
      <c r="A30" s="21" t="s">
        <v>167</v>
      </c>
      <c r="B30" s="2" t="s">
        <v>147</v>
      </c>
      <c r="C30" s="22" t="s">
        <v>184</v>
      </c>
      <c r="D30" s="21">
        <v>0.24</v>
      </c>
      <c r="E30" s="85">
        <f>0.001^2*PI()</f>
        <v>3.1415926535897929E-6</v>
      </c>
      <c r="F30" s="22">
        <v>0.01</v>
      </c>
      <c r="G30" s="75">
        <f>D30*E30/F30</f>
        <v>7.5398223686155033E-5</v>
      </c>
    </row>
    <row r="31" spans="1:11" x14ac:dyDescent="0.3">
      <c r="A31" s="33" t="s">
        <v>168</v>
      </c>
      <c r="B31" s="29" t="s">
        <v>147</v>
      </c>
      <c r="C31" s="34" t="s">
        <v>142</v>
      </c>
      <c r="D31" s="33">
        <v>0.24</v>
      </c>
      <c r="E31" s="80">
        <v>3.1415926535897929E-6</v>
      </c>
      <c r="F31" s="34">
        <v>0.01</v>
      </c>
      <c r="G31" s="75">
        <f>D31*E31/F31</f>
        <v>7.5398223686155033E-5</v>
      </c>
    </row>
    <row r="32" spans="1:11" x14ac:dyDescent="0.3">
      <c r="A32" s="33" t="s">
        <v>235</v>
      </c>
      <c r="B32" s="29" t="s">
        <v>110</v>
      </c>
      <c r="C32" s="34" t="s">
        <v>237</v>
      </c>
      <c r="D32" s="33">
        <v>4500</v>
      </c>
      <c r="E32" s="80">
        <f>(0.008)^2*PI()</f>
        <v>2.0106192982974675E-4</v>
      </c>
      <c r="F32" s="34">
        <v>0.02</v>
      </c>
      <c r="G32" s="75">
        <f>D32*E32/F32</f>
        <v>45.238934211693014</v>
      </c>
    </row>
    <row r="33" spans="1:9" x14ac:dyDescent="0.3">
      <c r="A33" s="158" t="s">
        <v>249</v>
      </c>
      <c r="B33" s="159" t="s">
        <v>247</v>
      </c>
      <c r="C33" s="161" t="s">
        <v>250</v>
      </c>
      <c r="D33" s="158">
        <v>5</v>
      </c>
      <c r="E33" s="80">
        <f t="shared" ref="E33" si="5">(0.008)^2*PI()</f>
        <v>2.0106192982974675E-4</v>
      </c>
      <c r="F33" s="165">
        <v>0.125</v>
      </c>
      <c r="G33" s="160">
        <f>D33*E33/F33</f>
        <v>8.0424771931898696E-3</v>
      </c>
    </row>
    <row r="34" spans="1:9" ht="15" thickBot="1" x14ac:dyDescent="0.35">
      <c r="A34" s="23" t="s">
        <v>236</v>
      </c>
      <c r="B34" s="24" t="s">
        <v>238</v>
      </c>
      <c r="C34" s="25" t="s">
        <v>143</v>
      </c>
      <c r="D34" s="23">
        <v>4500</v>
      </c>
      <c r="E34" s="81">
        <f>(0.008)^2*PI()</f>
        <v>2.0106192982974675E-4</v>
      </c>
      <c r="F34" s="25">
        <v>0.21</v>
      </c>
      <c r="G34" s="77">
        <f t="shared" ref="G34" si="6">D34*E34/F34</f>
        <v>4.3084699249231448</v>
      </c>
    </row>
    <row r="35" spans="1:9" x14ac:dyDescent="0.3">
      <c r="I35" s="1" t="s">
        <v>162</v>
      </c>
    </row>
    <row r="36" spans="1:9" ht="15" thickBot="1" x14ac:dyDescent="0.35"/>
    <row r="37" spans="1:9" ht="15" thickBot="1" x14ac:dyDescent="0.35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x14ac:dyDescent="0.3">
      <c r="A38" s="2" t="s">
        <v>163</v>
      </c>
      <c r="B38" s="169" t="s">
        <v>251</v>
      </c>
      <c r="C38" s="152" t="s">
        <v>145</v>
      </c>
      <c r="D38" s="150">
        <v>500</v>
      </c>
      <c r="E38" s="152">
        <f>0.04*0.08</f>
        <v>3.2000000000000002E-3</v>
      </c>
      <c r="F38" s="157">
        <f>D38*E38</f>
        <v>1.6</v>
      </c>
    </row>
    <row r="39" spans="1:9" x14ac:dyDescent="0.3">
      <c r="A39" s="2" t="s">
        <v>164</v>
      </c>
      <c r="B39" s="170" t="s">
        <v>251</v>
      </c>
      <c r="C39" s="167" t="s">
        <v>146</v>
      </c>
      <c r="D39" s="166">
        <v>500</v>
      </c>
      <c r="E39" s="167">
        <v>4.0000000000000002E-4</v>
      </c>
      <c r="F39" s="168">
        <v>0.2</v>
      </c>
    </row>
    <row r="40" spans="1:9" ht="15" thickBot="1" x14ac:dyDescent="0.35">
      <c r="A40" s="171" t="s">
        <v>248</v>
      </c>
      <c r="B40" s="101" t="s">
        <v>251</v>
      </c>
      <c r="C40" s="52" t="s">
        <v>252</v>
      </c>
      <c r="D40" s="23">
        <v>100</v>
      </c>
      <c r="E40" s="172">
        <f>E32</f>
        <v>2.0106192982974675E-4</v>
      </c>
      <c r="F40" s="64">
        <f>D40*E40/2</f>
        <v>1.0053096491487338E-2</v>
      </c>
    </row>
    <row r="44" spans="1:9" x14ac:dyDescent="0.3">
      <c r="H44" t="s">
        <v>179</v>
      </c>
    </row>
    <row r="47" spans="1:9" x14ac:dyDescent="0.3">
      <c r="C47" t="s">
        <v>181</v>
      </c>
    </row>
    <row r="48" spans="1:9" x14ac:dyDescent="0.3">
      <c r="C48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5B4E-66E6-4719-AFA2-E9D02F4D9E32}">
  <sheetPr>
    <tabColor theme="3" tint="-0.249977111117893"/>
  </sheetPr>
  <dimension ref="B1:W42"/>
  <sheetViews>
    <sheetView tabSelected="1" workbookViewId="0">
      <selection activeCell="E2" sqref="E2:E3"/>
    </sheetView>
  </sheetViews>
  <sheetFormatPr defaultRowHeight="14.4" x14ac:dyDescent="0.3"/>
  <cols>
    <col min="2" max="3" width="12" customWidth="1"/>
    <col min="4" max="5" width="14.109375" customWidth="1"/>
    <col min="7" max="7" width="9.77734375" customWidth="1"/>
    <col min="8" max="8" width="11" customWidth="1"/>
    <col min="9" max="9" width="12.21875" customWidth="1"/>
    <col min="10" max="10" width="10.109375" customWidth="1"/>
    <col min="11" max="11" width="10.33203125" customWidth="1"/>
    <col min="12" max="13" width="13.109375" customWidth="1"/>
    <col min="14" max="14" width="9.5546875" customWidth="1"/>
    <col min="15" max="15" width="11.77734375" customWidth="1"/>
    <col min="16" max="17" width="10.33203125" customWidth="1"/>
    <col min="18" max="18" width="9.21875" customWidth="1"/>
    <col min="19" max="19" width="8.6640625" customWidth="1"/>
    <col min="20" max="20" width="8.88671875" customWidth="1"/>
    <col min="21" max="21" width="9.5546875" customWidth="1"/>
  </cols>
  <sheetData>
    <row r="1" spans="2:19" ht="15" thickBot="1" x14ac:dyDescent="0.35"/>
    <row r="2" spans="2:19" ht="31.2" customHeight="1" x14ac:dyDescent="0.3">
      <c r="B2" s="117" t="s">
        <v>203</v>
      </c>
      <c r="C2" s="206" t="s">
        <v>204</v>
      </c>
      <c r="D2" s="208" t="s">
        <v>207</v>
      </c>
      <c r="E2" s="204" t="s">
        <v>271</v>
      </c>
      <c r="F2" s="204" t="s">
        <v>208</v>
      </c>
      <c r="G2" s="202" t="s">
        <v>211</v>
      </c>
      <c r="H2" s="192" t="s">
        <v>212</v>
      </c>
      <c r="I2" s="193"/>
      <c r="J2" s="144" t="s">
        <v>223</v>
      </c>
      <c r="K2" s="192" t="s">
        <v>224</v>
      </c>
      <c r="L2" s="193"/>
      <c r="M2" s="144" t="s">
        <v>87</v>
      </c>
      <c r="N2" s="120" t="s">
        <v>215</v>
      </c>
    </row>
    <row r="3" spans="2:19" ht="15" thickBot="1" x14ac:dyDescent="0.35">
      <c r="B3" s="137"/>
      <c r="C3" s="207"/>
      <c r="D3" s="209"/>
      <c r="E3" s="205"/>
      <c r="F3" s="205"/>
      <c r="G3" s="203"/>
      <c r="H3" s="136" t="s">
        <v>213</v>
      </c>
      <c r="I3" s="138" t="s">
        <v>214</v>
      </c>
      <c r="J3" s="145"/>
      <c r="K3" s="136" t="s">
        <v>213</v>
      </c>
      <c r="L3" s="138" t="s">
        <v>214</v>
      </c>
      <c r="M3" s="145"/>
      <c r="N3" s="139"/>
    </row>
    <row r="4" spans="2:19" x14ac:dyDescent="0.3">
      <c r="B4" s="118" t="s">
        <v>221</v>
      </c>
      <c r="C4" s="140" t="s">
        <v>205</v>
      </c>
      <c r="D4" s="213">
        <v>4</v>
      </c>
      <c r="E4" s="213"/>
      <c r="F4" s="213" t="s">
        <v>209</v>
      </c>
      <c r="G4" s="219">
        <v>22.1</v>
      </c>
      <c r="H4" s="123">
        <f>273.15-38.05</f>
        <v>235.09999999999997</v>
      </c>
      <c r="I4" s="147">
        <f>273.15-39.57</f>
        <v>233.57999999999998</v>
      </c>
      <c r="J4" s="173"/>
      <c r="K4" s="140">
        <v>283.14999999999998</v>
      </c>
      <c r="L4" s="142">
        <v>173.15</v>
      </c>
      <c r="M4" s="132" t="s">
        <v>225</v>
      </c>
      <c r="N4" s="121" t="s">
        <v>220</v>
      </c>
    </row>
    <row r="5" spans="2:19" ht="15" thickBot="1" x14ac:dyDescent="0.35">
      <c r="B5" s="119" t="s">
        <v>222</v>
      </c>
      <c r="C5" s="141"/>
      <c r="D5" s="214"/>
      <c r="E5" s="214"/>
      <c r="F5" s="214"/>
      <c r="G5" s="220"/>
      <c r="H5" s="148">
        <f>273.15-52.15</f>
        <v>220.99999999999997</v>
      </c>
      <c r="I5" s="146">
        <f>273.15-52.372</f>
        <v>220.77799999999996</v>
      </c>
      <c r="J5" s="174"/>
      <c r="K5" s="141"/>
      <c r="L5" s="143"/>
      <c r="M5" s="133"/>
      <c r="N5" s="122"/>
    </row>
    <row r="6" spans="2:19" ht="14.4" customHeight="1" thickBot="1" x14ac:dyDescent="0.35">
      <c r="B6" s="118" t="s">
        <v>221</v>
      </c>
      <c r="C6" s="215" t="s">
        <v>206</v>
      </c>
      <c r="D6" s="213">
        <v>3</v>
      </c>
      <c r="E6" s="213"/>
      <c r="F6" s="217" t="s">
        <v>239</v>
      </c>
      <c r="G6" s="221">
        <f>22.1+16</f>
        <v>38.1</v>
      </c>
      <c r="H6" s="225">
        <f>273.15-193.127</f>
        <v>80.022999999999968</v>
      </c>
      <c r="I6" s="226">
        <f>273.15-193.1314</f>
        <v>80.018599999999964</v>
      </c>
      <c r="J6" s="173"/>
      <c r="K6" s="140">
        <v>100</v>
      </c>
      <c r="L6" s="142">
        <v>60</v>
      </c>
      <c r="M6" s="132" t="s">
        <v>226</v>
      </c>
      <c r="N6" s="121" t="s">
        <v>219</v>
      </c>
    </row>
    <row r="7" spans="2:19" ht="15" thickBot="1" x14ac:dyDescent="0.35">
      <c r="B7" s="119" t="s">
        <v>222</v>
      </c>
      <c r="C7" s="216"/>
      <c r="D7" s="214"/>
      <c r="E7" s="214"/>
      <c r="F7" s="218"/>
      <c r="G7" s="222"/>
      <c r="H7" s="223">
        <f>273.15-193.1242</f>
        <v>80.025799999999975</v>
      </c>
      <c r="I7" s="224">
        <f>273.15-193.129</f>
        <v>80.020999999999987</v>
      </c>
      <c r="J7" s="174"/>
      <c r="K7" s="141"/>
      <c r="L7" s="143"/>
      <c r="M7" s="133"/>
      <c r="N7" s="122"/>
    </row>
    <row r="10" spans="2:19" x14ac:dyDescent="0.3">
      <c r="B10" s="116" t="s">
        <v>218</v>
      </c>
      <c r="C10" s="116"/>
      <c r="R10" s="2"/>
    </row>
    <row r="11" spans="2:19" x14ac:dyDescent="0.3">
      <c r="B11" s="116" t="s">
        <v>216</v>
      </c>
      <c r="C11" s="116"/>
    </row>
    <row r="12" spans="2:19" x14ac:dyDescent="0.3">
      <c r="B12" s="116" t="s">
        <v>220</v>
      </c>
      <c r="C12" s="116"/>
    </row>
    <row r="13" spans="2:19" x14ac:dyDescent="0.3">
      <c r="B13" s="116" t="s">
        <v>219</v>
      </c>
      <c r="C13" s="116"/>
      <c r="D13" t="s">
        <v>217</v>
      </c>
    </row>
    <row r="14" spans="2:19" x14ac:dyDescent="0.3">
      <c r="B14" s="116" t="s">
        <v>240</v>
      </c>
      <c r="C14" s="116"/>
      <c r="D14" t="s">
        <v>242</v>
      </c>
      <c r="S14" t="s">
        <v>241</v>
      </c>
    </row>
    <row r="15" spans="2:19" x14ac:dyDescent="0.3">
      <c r="B15" s="116" t="s">
        <v>225</v>
      </c>
      <c r="C15" s="116"/>
    </row>
    <row r="16" spans="2:19" x14ac:dyDescent="0.3">
      <c r="B16" s="116" t="s">
        <v>226</v>
      </c>
      <c r="C16" s="116"/>
    </row>
    <row r="19" spans="2:14" x14ac:dyDescent="0.3">
      <c r="B19" s="186" t="s">
        <v>253</v>
      </c>
      <c r="C19" s="186"/>
    </row>
    <row r="20" spans="2:14" ht="15" thickBot="1" x14ac:dyDescent="0.35"/>
    <row r="21" spans="2:14" ht="14.4" customHeight="1" x14ac:dyDescent="0.3">
      <c r="B21" s="117" t="s">
        <v>203</v>
      </c>
      <c r="C21" s="206" t="s">
        <v>204</v>
      </c>
      <c r="D21" s="208" t="s">
        <v>207</v>
      </c>
      <c r="E21" s="227"/>
      <c r="F21" s="208" t="s">
        <v>208</v>
      </c>
      <c r="G21" s="204" t="s">
        <v>254</v>
      </c>
      <c r="H21" s="210" t="s">
        <v>255</v>
      </c>
      <c r="I21" s="187" t="s">
        <v>256</v>
      </c>
      <c r="J21" s="192" t="s">
        <v>258</v>
      </c>
      <c r="K21" s="212"/>
      <c r="L21" s="193"/>
      <c r="M21" s="144" t="s">
        <v>87</v>
      </c>
      <c r="N21" s="130" t="s">
        <v>215</v>
      </c>
    </row>
    <row r="22" spans="2:14" ht="15" thickBot="1" x14ac:dyDescent="0.35">
      <c r="B22" s="137"/>
      <c r="C22" s="207"/>
      <c r="D22" s="209"/>
      <c r="E22" s="228"/>
      <c r="F22" s="209"/>
      <c r="G22" s="205"/>
      <c r="H22" s="211"/>
      <c r="I22" s="188"/>
      <c r="J22" s="136" t="s">
        <v>145</v>
      </c>
      <c r="K22" s="138" t="s">
        <v>146</v>
      </c>
      <c r="L22" s="185" t="s">
        <v>257</v>
      </c>
      <c r="M22" s="145"/>
      <c r="N22" s="131"/>
    </row>
    <row r="23" spans="2:14" x14ac:dyDescent="0.3">
      <c r="B23" s="118" t="s">
        <v>221</v>
      </c>
      <c r="C23" s="140" t="s">
        <v>205</v>
      </c>
      <c r="D23" s="213">
        <v>4</v>
      </c>
      <c r="E23" s="229"/>
      <c r="F23" s="213" t="s">
        <v>209</v>
      </c>
      <c r="G23" s="219">
        <v>22.1</v>
      </c>
      <c r="H23" s="181">
        <v>2</v>
      </c>
      <c r="I23" s="135"/>
      <c r="J23" s="177"/>
      <c r="K23" s="179"/>
      <c r="L23" s="135"/>
      <c r="M23" s="135"/>
      <c r="N23" s="121"/>
    </row>
    <row r="24" spans="2:14" ht="15" thickBot="1" x14ac:dyDescent="0.35">
      <c r="B24" s="119" t="s">
        <v>222</v>
      </c>
      <c r="C24" s="141"/>
      <c r="D24" s="214"/>
      <c r="E24" s="230"/>
      <c r="F24" s="214"/>
      <c r="G24" s="220"/>
      <c r="H24" s="182"/>
      <c r="I24" s="134"/>
      <c r="J24" s="178"/>
      <c r="K24" s="180"/>
      <c r="L24" s="134"/>
      <c r="M24" s="134"/>
      <c r="N24" s="122"/>
    </row>
    <row r="25" spans="2:14" ht="14.4" customHeight="1" x14ac:dyDescent="0.3">
      <c r="B25" s="118" t="s">
        <v>221</v>
      </c>
      <c r="C25" s="215" t="s">
        <v>206</v>
      </c>
      <c r="D25" s="213">
        <v>3</v>
      </c>
      <c r="E25" s="229"/>
      <c r="F25" s="217" t="s">
        <v>239</v>
      </c>
      <c r="G25" s="221">
        <f>22.1+16</f>
        <v>38.1</v>
      </c>
      <c r="H25" s="175">
        <v>2</v>
      </c>
      <c r="I25" s="135"/>
      <c r="J25" s="177"/>
      <c r="K25" s="179"/>
      <c r="L25" s="135"/>
      <c r="M25" s="135"/>
      <c r="N25" s="121"/>
    </row>
    <row r="26" spans="2:14" ht="15" thickBot="1" x14ac:dyDescent="0.35">
      <c r="B26" s="119" t="s">
        <v>222</v>
      </c>
      <c r="C26" s="216"/>
      <c r="D26" s="214"/>
      <c r="E26" s="230"/>
      <c r="F26" s="218"/>
      <c r="G26" s="222"/>
      <c r="H26" s="176"/>
      <c r="I26" s="134"/>
      <c r="J26" s="178"/>
      <c r="K26" s="180"/>
      <c r="L26" s="134"/>
      <c r="M26" s="134"/>
      <c r="N26" s="122"/>
    </row>
    <row r="30" spans="2:14" x14ac:dyDescent="0.3">
      <c r="B30" s="186" t="s">
        <v>259</v>
      </c>
      <c r="C30" s="186"/>
    </row>
    <row r="32" spans="2:14" ht="14.4" customHeight="1" thickBot="1" x14ac:dyDescent="0.35"/>
    <row r="33" spans="2:23" ht="35.4" customHeight="1" x14ac:dyDescent="0.3">
      <c r="B33" s="117" t="s">
        <v>262</v>
      </c>
      <c r="C33" s="130" t="s">
        <v>204</v>
      </c>
      <c r="D33" s="117" t="s">
        <v>203</v>
      </c>
      <c r="E33" s="184"/>
      <c r="F33" s="183" t="s">
        <v>212</v>
      </c>
      <c r="G33" s="129"/>
      <c r="H33" s="192" t="s">
        <v>265</v>
      </c>
      <c r="I33" s="193"/>
      <c r="J33" s="183" t="s">
        <v>260</v>
      </c>
      <c r="K33" s="129"/>
      <c r="L33" s="192" t="s">
        <v>266</v>
      </c>
      <c r="M33" s="193"/>
      <c r="N33" s="183" t="s">
        <v>261</v>
      </c>
      <c r="O33" s="129"/>
      <c r="P33" s="192" t="s">
        <v>267</v>
      </c>
      <c r="Q33" s="193"/>
      <c r="R33" s="192" t="s">
        <v>268</v>
      </c>
      <c r="S33" s="193"/>
      <c r="T33" s="192" t="s">
        <v>269</v>
      </c>
      <c r="U33" s="193"/>
      <c r="V33" s="130" t="s">
        <v>87</v>
      </c>
      <c r="W33" s="194" t="s">
        <v>215</v>
      </c>
    </row>
    <row r="34" spans="2:23" ht="30" customHeight="1" thickBot="1" x14ac:dyDescent="0.35">
      <c r="B34" s="137"/>
      <c r="C34" s="131"/>
      <c r="D34" s="137"/>
      <c r="E34" s="231"/>
      <c r="F34" s="136" t="s">
        <v>213</v>
      </c>
      <c r="G34" s="138" t="s">
        <v>214</v>
      </c>
      <c r="H34" s="136" t="s">
        <v>213</v>
      </c>
      <c r="I34" s="138" t="s">
        <v>214</v>
      </c>
      <c r="J34" s="136" t="s">
        <v>213</v>
      </c>
      <c r="K34" s="138" t="s">
        <v>214</v>
      </c>
      <c r="L34" s="136" t="s">
        <v>213</v>
      </c>
      <c r="M34" s="138" t="s">
        <v>214</v>
      </c>
      <c r="N34" s="136" t="s">
        <v>213</v>
      </c>
      <c r="O34" s="138" t="s">
        <v>214</v>
      </c>
      <c r="P34" s="136" t="s">
        <v>213</v>
      </c>
      <c r="Q34" s="138" t="s">
        <v>214</v>
      </c>
      <c r="R34" s="136" t="s">
        <v>213</v>
      </c>
      <c r="S34" s="138" t="s">
        <v>214</v>
      </c>
      <c r="T34" s="136" t="s">
        <v>213</v>
      </c>
      <c r="U34" s="138" t="s">
        <v>214</v>
      </c>
      <c r="V34" s="131"/>
      <c r="W34" s="195"/>
    </row>
    <row r="35" spans="2:23" x14ac:dyDescent="0.3">
      <c r="B35" s="189" t="s">
        <v>263</v>
      </c>
      <c r="C35" s="189" t="s">
        <v>205</v>
      </c>
      <c r="D35" s="118" t="s">
        <v>221</v>
      </c>
      <c r="E35" s="232"/>
      <c r="F35" s="123"/>
      <c r="G35" s="147"/>
      <c r="H35" s="140">
        <f>K4</f>
        <v>283.14999999999998</v>
      </c>
      <c r="I35" s="140">
        <f>L4</f>
        <v>173.15</v>
      </c>
      <c r="J35" s="123"/>
      <c r="K35" s="147"/>
      <c r="L35" s="132"/>
      <c r="M35" s="132"/>
      <c r="N35" s="123"/>
      <c r="O35" s="147"/>
      <c r="P35" s="132"/>
      <c r="Q35" s="132"/>
      <c r="R35" s="123"/>
      <c r="S35" s="147"/>
      <c r="T35" s="132"/>
      <c r="U35" s="132"/>
      <c r="V35" s="135"/>
      <c r="W35" s="127"/>
    </row>
    <row r="36" spans="2:23" ht="15" thickBot="1" x14ac:dyDescent="0.35">
      <c r="B36" s="190"/>
      <c r="C36" s="190"/>
      <c r="D36" s="119" t="s">
        <v>222</v>
      </c>
      <c r="E36" s="233"/>
      <c r="F36" s="148"/>
      <c r="G36" s="146"/>
      <c r="H36" s="198"/>
      <c r="I36" s="198"/>
      <c r="J36" s="148"/>
      <c r="K36" s="146"/>
      <c r="L36" s="201"/>
      <c r="M36" s="201"/>
      <c r="N36" s="148"/>
      <c r="O36" s="146"/>
      <c r="P36" s="201"/>
      <c r="Q36" s="201"/>
      <c r="R36" s="148"/>
      <c r="S36" s="146"/>
      <c r="T36" s="201"/>
      <c r="U36" s="201"/>
      <c r="V36" s="134"/>
      <c r="W36" s="128"/>
    </row>
    <row r="37" spans="2:23" x14ac:dyDescent="0.3">
      <c r="B37" s="190"/>
      <c r="C37" s="197" t="s">
        <v>270</v>
      </c>
      <c r="D37" s="118" t="s">
        <v>221</v>
      </c>
      <c r="E37" s="232"/>
      <c r="F37" s="123"/>
      <c r="G37" s="124"/>
      <c r="H37" s="199">
        <f>K6</f>
        <v>100</v>
      </c>
      <c r="I37" s="199">
        <f>L6</f>
        <v>60</v>
      </c>
      <c r="J37" s="123"/>
      <c r="K37" s="124"/>
      <c r="L37" s="201"/>
      <c r="M37" s="201"/>
      <c r="N37" s="123"/>
      <c r="O37" s="124"/>
      <c r="P37" s="201"/>
      <c r="Q37" s="201"/>
      <c r="R37" s="123"/>
      <c r="S37" s="124"/>
      <c r="T37" s="201"/>
      <c r="U37" s="201"/>
      <c r="V37" s="135"/>
      <c r="W37" s="127"/>
    </row>
    <row r="38" spans="2:23" ht="15" thickBot="1" x14ac:dyDescent="0.35">
      <c r="B38" s="191"/>
      <c r="C38" s="196"/>
      <c r="D38" s="119" t="s">
        <v>222</v>
      </c>
      <c r="E38" s="233"/>
      <c r="F38" s="125"/>
      <c r="G38" s="126"/>
      <c r="H38" s="200"/>
      <c r="I38" s="200"/>
      <c r="J38" s="125"/>
      <c r="K38" s="126"/>
      <c r="L38" s="201"/>
      <c r="M38" s="201"/>
      <c r="N38" s="125"/>
      <c r="O38" s="126"/>
      <c r="P38" s="201"/>
      <c r="Q38" s="201"/>
      <c r="R38" s="125"/>
      <c r="S38" s="126"/>
      <c r="T38" s="201"/>
      <c r="U38" s="201"/>
      <c r="V38" s="134"/>
      <c r="W38" s="128"/>
    </row>
    <row r="39" spans="2:23" ht="14.4" customHeight="1" x14ac:dyDescent="0.3">
      <c r="B39" s="189" t="s">
        <v>264</v>
      </c>
      <c r="C39" s="189" t="s">
        <v>205</v>
      </c>
      <c r="D39" s="118" t="s">
        <v>221</v>
      </c>
      <c r="E39" s="232"/>
      <c r="F39" s="123"/>
      <c r="G39" s="147"/>
      <c r="H39" s="199">
        <f>H35</f>
        <v>283.14999999999998</v>
      </c>
      <c r="I39" s="199">
        <f>I35</f>
        <v>173.15</v>
      </c>
      <c r="J39" s="123"/>
      <c r="K39" s="147"/>
      <c r="L39" s="201"/>
      <c r="M39" s="201"/>
      <c r="N39" s="123"/>
      <c r="O39" s="147"/>
      <c r="P39" s="201"/>
      <c r="Q39" s="201"/>
      <c r="R39" s="123"/>
      <c r="S39" s="147"/>
      <c r="T39" s="201"/>
      <c r="U39" s="201"/>
      <c r="V39" s="135"/>
      <c r="W39" s="127"/>
    </row>
    <row r="40" spans="2:23" ht="15" thickBot="1" x14ac:dyDescent="0.35">
      <c r="B40" s="190"/>
      <c r="C40" s="190"/>
      <c r="D40" s="119" t="s">
        <v>222</v>
      </c>
      <c r="E40" s="233"/>
      <c r="F40" s="148"/>
      <c r="G40" s="146"/>
      <c r="H40" s="200"/>
      <c r="I40" s="200"/>
      <c r="J40" s="148"/>
      <c r="K40" s="146"/>
      <c r="L40" s="201"/>
      <c r="M40" s="201"/>
      <c r="N40" s="148"/>
      <c r="O40" s="146"/>
      <c r="P40" s="201"/>
      <c r="Q40" s="201"/>
      <c r="R40" s="148"/>
      <c r="S40" s="146"/>
      <c r="T40" s="201"/>
      <c r="U40" s="201"/>
      <c r="V40" s="134"/>
      <c r="W40" s="128"/>
    </row>
    <row r="41" spans="2:23" x14ac:dyDescent="0.3">
      <c r="B41" s="190"/>
      <c r="C41" s="197" t="s">
        <v>270</v>
      </c>
      <c r="D41" s="118" t="s">
        <v>221</v>
      </c>
      <c r="E41" s="232"/>
      <c r="F41" s="123"/>
      <c r="G41" s="124"/>
      <c r="H41" s="199">
        <f>H37</f>
        <v>100</v>
      </c>
      <c r="I41" s="199">
        <f>I37</f>
        <v>60</v>
      </c>
      <c r="J41" s="123"/>
      <c r="K41" s="124"/>
      <c r="L41" s="201"/>
      <c r="M41" s="201"/>
      <c r="N41" s="123"/>
      <c r="O41" s="124"/>
      <c r="P41" s="201"/>
      <c r="Q41" s="201"/>
      <c r="R41" s="123"/>
      <c r="S41" s="124"/>
      <c r="T41" s="201"/>
      <c r="U41" s="201"/>
      <c r="V41" s="135"/>
      <c r="W41" s="127"/>
    </row>
    <row r="42" spans="2:23" ht="15" thickBot="1" x14ac:dyDescent="0.35">
      <c r="B42" s="191"/>
      <c r="C42" s="196"/>
      <c r="D42" s="119" t="s">
        <v>222</v>
      </c>
      <c r="E42" s="233"/>
      <c r="F42" s="125"/>
      <c r="G42" s="126"/>
      <c r="H42" s="141"/>
      <c r="I42" s="141"/>
      <c r="J42" s="125"/>
      <c r="K42" s="126"/>
      <c r="L42" s="133"/>
      <c r="M42" s="133"/>
      <c r="N42" s="125"/>
      <c r="O42" s="126"/>
      <c r="P42" s="133"/>
      <c r="Q42" s="133"/>
      <c r="R42" s="125"/>
      <c r="S42" s="126"/>
      <c r="T42" s="133"/>
      <c r="U42" s="133"/>
      <c r="V42" s="134"/>
      <c r="W42" s="128"/>
    </row>
  </sheetData>
  <mergeCells count="80">
    <mergeCell ref="C4:C5"/>
    <mergeCell ref="C6:C7"/>
    <mergeCell ref="C23:C24"/>
    <mergeCell ref="C25:C26"/>
    <mergeCell ref="E2:E3"/>
    <mergeCell ref="E4:E5"/>
    <mergeCell ref="E6:E7"/>
    <mergeCell ref="C21:C22"/>
    <mergeCell ref="D21:D22"/>
    <mergeCell ref="F21:F22"/>
    <mergeCell ref="G21:G22"/>
    <mergeCell ref="J21:L21"/>
    <mergeCell ref="M21:M22"/>
    <mergeCell ref="F2:F3"/>
    <mergeCell ref="C2:C3"/>
    <mergeCell ref="D2:D3"/>
    <mergeCell ref="H2:I2"/>
    <mergeCell ref="J2:J3"/>
    <mergeCell ref="K2:L2"/>
    <mergeCell ref="T35:T42"/>
    <mergeCell ref="U35:U42"/>
    <mergeCell ref="H35:H36"/>
    <mergeCell ref="H37:H38"/>
    <mergeCell ref="H39:H40"/>
    <mergeCell ref="H41:H42"/>
    <mergeCell ref="I35:I36"/>
    <mergeCell ref="I37:I38"/>
    <mergeCell ref="I39:I40"/>
    <mergeCell ref="I41:I42"/>
    <mergeCell ref="C39:C40"/>
    <mergeCell ref="C41:C42"/>
    <mergeCell ref="L35:L42"/>
    <mergeCell ref="M35:M42"/>
    <mergeCell ref="N33:O33"/>
    <mergeCell ref="P33:Q33"/>
    <mergeCell ref="R33:S33"/>
    <mergeCell ref="T33:U33"/>
    <mergeCell ref="V33:V34"/>
    <mergeCell ref="W33:W34"/>
    <mergeCell ref="B35:B38"/>
    <mergeCell ref="B39:B42"/>
    <mergeCell ref="F33:G33"/>
    <mergeCell ref="H33:I33"/>
    <mergeCell ref="J33:K33"/>
    <mergeCell ref="L33:M33"/>
    <mergeCell ref="C33:C34"/>
    <mergeCell ref="C35:C36"/>
    <mergeCell ref="C37:C38"/>
    <mergeCell ref="P35:P42"/>
    <mergeCell ref="Q35:Q42"/>
    <mergeCell ref="D33:D34"/>
    <mergeCell ref="B33:B34"/>
    <mergeCell ref="N25:N26"/>
    <mergeCell ref="H21:H22"/>
    <mergeCell ref="N23:N24"/>
    <mergeCell ref="D25:D26"/>
    <mergeCell ref="F25:F26"/>
    <mergeCell ref="G25:G26"/>
    <mergeCell ref="N21:N22"/>
    <mergeCell ref="D23:D24"/>
    <mergeCell ref="F23:F24"/>
    <mergeCell ref="G23:G24"/>
    <mergeCell ref="B21:B22"/>
    <mergeCell ref="M4:M5"/>
    <mergeCell ref="L6:L7"/>
    <mergeCell ref="M6:M7"/>
    <mergeCell ref="M2:M3"/>
    <mergeCell ref="N6:N7"/>
    <mergeCell ref="N4:N5"/>
    <mergeCell ref="N2:N3"/>
    <mergeCell ref="K4:K5"/>
    <mergeCell ref="K6:K7"/>
    <mergeCell ref="L4:L5"/>
    <mergeCell ref="D4:D5"/>
    <mergeCell ref="D6:D7"/>
    <mergeCell ref="G4:G5"/>
    <mergeCell ref="F4:F5"/>
    <mergeCell ref="F6:F7"/>
    <mergeCell ref="G6:G7"/>
    <mergeCell ref="B2:B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sheetPr codeName="Sheet6">
    <tabColor theme="7" tint="-0.499984740745262"/>
  </sheetPr>
  <dimension ref="A2:M31"/>
  <sheetViews>
    <sheetView topLeftCell="A13" workbookViewId="0">
      <selection activeCell="H42" sqref="H4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NODES&amp;LABELS (cnfg5)</vt:lpstr>
      <vt:lpstr>NODES&amp;LABELS (CryoCool)</vt:lpstr>
      <vt:lpstr>PROPERTIES</vt:lpstr>
      <vt:lpstr>THERMO-OPTICALS</vt:lpstr>
      <vt:lpstr>MATERIALS</vt:lpstr>
      <vt:lpstr>GLs</vt:lpstr>
      <vt:lpstr>GLs (CC)</vt:lpstr>
      <vt:lpstr>Final Configs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2021-05-11T23:57:38Z</dcterms:modified>
</cp:coreProperties>
</file>