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8915" windowHeight="9285" tabRatio="825"/>
  </bookViews>
  <sheets>
    <sheet name="Hoja1" sheetId="1" r:id="rId1"/>
    <sheet name="Configuración de Imagenes" sheetId="2" r:id="rId2"/>
    <sheet name="Selección S3" sheetId="6" r:id="rId3"/>
    <sheet name="Selección CloudFront" sheetId="11" r:id="rId4"/>
    <sheet name="Selección MaxCDN" sheetId="13" r:id="rId5"/>
    <sheet name="Selección KeyCDN" sheetId="15" r:id="rId6"/>
    <sheet name="Datos CloudImage.io" sheetId="16" r:id="rId7"/>
    <sheet name="Datos Heroku" sheetId="3" r:id="rId8"/>
    <sheet name="Datos Postgres" sheetId="8" r:id="rId9"/>
    <sheet name="Datos Pusher" sheetId="7" r:id="rId10"/>
    <sheet name="Datos Amazon S3" sheetId="5" r:id="rId11"/>
    <sheet name="Datos Amazon CloudFront" sheetId="9" r:id="rId12"/>
    <sheet name="Datos MaxCDN" sheetId="12" r:id="rId13"/>
    <sheet name="Datos KeyCDN" sheetId="14" r:id="rId14"/>
  </sheets>
  <calcPr calcId="145621" concurrentCalc="0"/>
</workbook>
</file>

<file path=xl/calcChain.xml><?xml version="1.0" encoding="utf-8"?>
<calcChain xmlns="http://schemas.openxmlformats.org/spreadsheetml/2006/main">
  <c r="C6" i="11" l="1"/>
  <c r="I82" i="1"/>
  <c r="I83" i="1"/>
  <c r="C9" i="11"/>
  <c r="I84" i="1"/>
  <c r="B11" i="11"/>
  <c r="C11" i="11"/>
  <c r="B12" i="11"/>
  <c r="C12" i="11"/>
  <c r="B13" i="11"/>
  <c r="C13" i="11"/>
  <c r="B14" i="11"/>
  <c r="C14" i="11"/>
  <c r="B15" i="11"/>
  <c r="C15" i="11"/>
  <c r="B16" i="11"/>
  <c r="I86" i="1"/>
  <c r="B6" i="6"/>
  <c r="C6" i="6"/>
  <c r="B7" i="6"/>
  <c r="C7" i="6"/>
  <c r="B8" i="6"/>
  <c r="C8" i="6"/>
  <c r="B9" i="6"/>
  <c r="B10" i="6"/>
  <c r="I87" i="1"/>
  <c r="I89" i="1"/>
  <c r="I56" i="1"/>
  <c r="I50" i="1"/>
  <c r="J5" i="3"/>
  <c r="J11" i="3"/>
  <c r="J14" i="3"/>
  <c r="I51" i="1"/>
  <c r="L4" i="8"/>
  <c r="L5" i="8"/>
  <c r="L6" i="8"/>
  <c r="L7" i="8"/>
  <c r="N8" i="8"/>
  <c r="I53" i="1"/>
  <c r="H82" i="1"/>
  <c r="H83" i="1"/>
  <c r="H84" i="1"/>
  <c r="H86" i="1"/>
  <c r="H87" i="1"/>
  <c r="H89" i="1"/>
  <c r="H56" i="1"/>
  <c r="H50" i="1"/>
  <c r="H51" i="1"/>
  <c r="H53" i="1"/>
  <c r="G82" i="1"/>
  <c r="G83" i="1"/>
  <c r="G84" i="1"/>
  <c r="G86" i="1"/>
  <c r="G87" i="1"/>
  <c r="G89" i="1"/>
  <c r="G56" i="1"/>
  <c r="G50" i="1"/>
  <c r="G51" i="1"/>
  <c r="G53" i="1"/>
  <c r="F82" i="1"/>
  <c r="F83" i="1"/>
  <c r="F84" i="1"/>
  <c r="F86" i="1"/>
  <c r="F87" i="1"/>
  <c r="F89" i="1"/>
  <c r="F56" i="1"/>
  <c r="F50" i="1"/>
  <c r="F51" i="1"/>
  <c r="N7" i="8"/>
  <c r="F53" i="1"/>
  <c r="E82" i="1"/>
  <c r="E83" i="1"/>
  <c r="E84" i="1"/>
  <c r="E86" i="1"/>
  <c r="E87" i="1"/>
  <c r="E89" i="1"/>
  <c r="E56" i="1"/>
  <c r="E50" i="1"/>
  <c r="E51" i="1"/>
  <c r="N5" i="8"/>
  <c r="E53" i="1"/>
  <c r="D82" i="1"/>
  <c r="D83" i="1"/>
  <c r="D84" i="1"/>
  <c r="D86" i="1"/>
  <c r="D87" i="1"/>
  <c r="D89" i="1"/>
  <c r="D56" i="1"/>
  <c r="D50" i="1"/>
  <c r="D51" i="1"/>
  <c r="N4" i="8"/>
  <c r="D53" i="1"/>
  <c r="C82" i="1"/>
  <c r="C83" i="1"/>
  <c r="C84" i="1"/>
  <c r="C86" i="1"/>
  <c r="C87" i="1"/>
  <c r="C89" i="1"/>
  <c r="C56" i="1"/>
  <c r="C50" i="1"/>
  <c r="C51" i="1"/>
  <c r="C53" i="1"/>
  <c r="B28" i="6"/>
  <c r="C28" i="6"/>
  <c r="I68" i="1"/>
  <c r="B23" i="6"/>
  <c r="C23" i="6"/>
  <c r="I69" i="1"/>
  <c r="C31" i="6"/>
  <c r="I70" i="1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I72" i="1"/>
  <c r="I73" i="1"/>
  <c r="I75" i="1"/>
  <c r="I55" i="1"/>
  <c r="C68" i="1"/>
  <c r="C69" i="1"/>
  <c r="C70" i="1"/>
  <c r="C72" i="1"/>
  <c r="C73" i="1"/>
  <c r="C75" i="1"/>
  <c r="C55" i="1"/>
  <c r="D68" i="1"/>
  <c r="D69" i="1"/>
  <c r="D70" i="1"/>
  <c r="D72" i="1"/>
  <c r="D73" i="1"/>
  <c r="D75" i="1"/>
  <c r="D55" i="1"/>
  <c r="F68" i="1"/>
  <c r="F69" i="1"/>
  <c r="F70" i="1"/>
  <c r="F72" i="1"/>
  <c r="F73" i="1"/>
  <c r="F75" i="1"/>
  <c r="F55" i="1"/>
  <c r="E68" i="1"/>
  <c r="E69" i="1"/>
  <c r="E70" i="1"/>
  <c r="E72" i="1"/>
  <c r="E73" i="1"/>
  <c r="E75" i="1"/>
  <c r="E55" i="1"/>
  <c r="G68" i="1"/>
  <c r="G69" i="1"/>
  <c r="G70" i="1"/>
  <c r="G72" i="1"/>
  <c r="G73" i="1"/>
  <c r="G75" i="1"/>
  <c r="G55" i="1"/>
  <c r="H68" i="1"/>
  <c r="H69" i="1"/>
  <c r="H70" i="1"/>
  <c r="H72" i="1"/>
  <c r="H73" i="1"/>
  <c r="H75" i="1"/>
  <c r="H55" i="1"/>
  <c r="I35" i="1"/>
  <c r="C17" i="11"/>
  <c r="C16" i="11"/>
  <c r="I130" i="1"/>
  <c r="H130" i="1"/>
  <c r="G130" i="1"/>
  <c r="F130" i="1"/>
  <c r="E130" i="1"/>
  <c r="D130" i="1"/>
  <c r="C130" i="1"/>
  <c r="B59" i="1"/>
  <c r="B58" i="1"/>
  <c r="B57" i="1"/>
  <c r="C11" i="16"/>
  <c r="H121" i="1"/>
  <c r="D121" i="1"/>
  <c r="C10" i="16"/>
  <c r="C9" i="16"/>
  <c r="C8" i="16"/>
  <c r="C7" i="16"/>
  <c r="B10" i="16"/>
  <c r="B7" i="16"/>
  <c r="B11" i="16"/>
  <c r="D109" i="1"/>
  <c r="H107" i="1"/>
  <c r="D107" i="1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5" i="15"/>
  <c r="C8" i="15"/>
  <c r="B8" i="15"/>
  <c r="A8" i="15"/>
  <c r="B13" i="14"/>
  <c r="B12" i="14"/>
  <c r="B11" i="14"/>
  <c r="B10" i="14"/>
  <c r="B9" i="14"/>
  <c r="B8" i="14"/>
  <c r="D95" i="1"/>
  <c r="H93" i="1"/>
  <c r="D93" i="1"/>
  <c r="B17" i="11"/>
  <c r="A17" i="11"/>
  <c r="A16" i="11"/>
  <c r="A15" i="11"/>
  <c r="A14" i="11"/>
  <c r="A13" i="11"/>
  <c r="A12" i="11"/>
  <c r="A11" i="11"/>
  <c r="C16" i="13"/>
  <c r="C15" i="13"/>
  <c r="C14" i="13"/>
  <c r="C13" i="13"/>
  <c r="C12" i="13"/>
  <c r="C11" i="13"/>
  <c r="C10" i="13"/>
  <c r="C9" i="13"/>
  <c r="C5" i="13"/>
  <c r="C8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10" i="12"/>
  <c r="B14" i="12"/>
  <c r="B13" i="12"/>
  <c r="B12" i="12"/>
  <c r="B11" i="12"/>
  <c r="B15" i="12"/>
  <c r="B9" i="12"/>
  <c r="B8" i="12"/>
  <c r="H81" i="1"/>
  <c r="D81" i="1"/>
  <c r="H79" i="1"/>
  <c r="D79" i="1"/>
  <c r="A6" i="11"/>
  <c r="A9" i="11"/>
  <c r="H67" i="1"/>
  <c r="B16" i="9"/>
  <c r="B15" i="9"/>
  <c r="B14" i="9"/>
  <c r="B13" i="9"/>
  <c r="B12" i="9"/>
  <c r="B11" i="9"/>
  <c r="G11" i="2"/>
  <c r="G10" i="2"/>
  <c r="C37" i="1"/>
  <c r="C36" i="1"/>
  <c r="G12" i="2"/>
  <c r="I9" i="2"/>
  <c r="I6" i="2"/>
  <c r="I5" i="2"/>
  <c r="I12" i="2"/>
  <c r="H12" i="2"/>
  <c r="I11" i="2"/>
  <c r="I10" i="2"/>
  <c r="C10" i="2"/>
  <c r="B10" i="2"/>
  <c r="D11" i="2"/>
  <c r="F11" i="2"/>
  <c r="C12" i="2"/>
  <c r="D12" i="2"/>
  <c r="F12" i="2"/>
  <c r="C39" i="1"/>
  <c r="C38" i="1"/>
  <c r="H11" i="2"/>
  <c r="D10" i="2"/>
  <c r="F10" i="2"/>
  <c r="H10" i="2"/>
  <c r="M85" i="1"/>
  <c r="N9" i="8"/>
  <c r="M9" i="8"/>
  <c r="L9" i="8"/>
  <c r="M8" i="8"/>
  <c r="L8" i="8"/>
  <c r="M7" i="8"/>
  <c r="N6" i="8"/>
  <c r="M6" i="8"/>
  <c r="M5" i="8"/>
  <c r="M4" i="8"/>
  <c r="K9" i="8"/>
  <c r="K8" i="8"/>
  <c r="K7" i="8"/>
  <c r="K6" i="8"/>
  <c r="K5" i="8"/>
  <c r="K4" i="8"/>
  <c r="I5" i="1"/>
  <c r="H5" i="1"/>
  <c r="G5" i="1"/>
  <c r="F5" i="1"/>
  <c r="E5" i="1"/>
  <c r="D5" i="1"/>
  <c r="C5" i="1"/>
  <c r="K26" i="1"/>
  <c r="K17" i="1"/>
  <c r="C20" i="7"/>
  <c r="J8" i="3"/>
  <c r="I14" i="3"/>
  <c r="I11" i="3"/>
  <c r="B14" i="3"/>
  <c r="C14" i="3"/>
  <c r="B11" i="3"/>
  <c r="E11" i="3"/>
  <c r="D5" i="3"/>
  <c r="E5" i="3"/>
  <c r="D39" i="1"/>
  <c r="E39" i="1"/>
  <c r="F39" i="1"/>
  <c r="G39" i="1"/>
  <c r="H39" i="1"/>
  <c r="I39" i="1"/>
  <c r="D38" i="1"/>
  <c r="E38" i="1"/>
  <c r="F38" i="1"/>
  <c r="G38" i="1"/>
  <c r="H38" i="1"/>
  <c r="I38" i="1"/>
  <c r="D37" i="1"/>
  <c r="E37" i="1"/>
  <c r="F37" i="1"/>
  <c r="G37" i="1"/>
  <c r="H37" i="1"/>
  <c r="I37" i="1"/>
  <c r="D36" i="1"/>
  <c r="E36" i="1"/>
  <c r="F36" i="1"/>
  <c r="G36" i="1"/>
  <c r="H36" i="1"/>
  <c r="I36" i="1"/>
  <c r="C22" i="1"/>
  <c r="I8" i="2"/>
  <c r="I7" i="2"/>
  <c r="A10" i="6"/>
  <c r="M71" i="1"/>
  <c r="B44" i="6"/>
  <c r="A44" i="6"/>
  <c r="A43" i="6"/>
  <c r="A42" i="6"/>
  <c r="A41" i="6"/>
  <c r="A40" i="6"/>
  <c r="A39" i="6"/>
  <c r="A38" i="6"/>
  <c r="A37" i="6"/>
  <c r="A35" i="6"/>
  <c r="A34" i="6"/>
  <c r="A33" i="6"/>
  <c r="A31" i="6"/>
  <c r="A28" i="6"/>
  <c r="B27" i="6"/>
  <c r="A27" i="6"/>
  <c r="B26" i="6"/>
  <c r="A26" i="6"/>
  <c r="B25" i="6"/>
  <c r="A25" i="6"/>
  <c r="B24" i="6"/>
  <c r="A24" i="6"/>
  <c r="A23" i="6"/>
  <c r="B22" i="6"/>
  <c r="A22" i="6"/>
  <c r="A21" i="6"/>
  <c r="B21" i="6"/>
  <c r="B18" i="6"/>
  <c r="A18" i="6"/>
  <c r="A17" i="6"/>
  <c r="A16" i="6"/>
  <c r="A15" i="6"/>
  <c r="A14" i="6"/>
  <c r="A13" i="6"/>
  <c r="B13" i="6"/>
  <c r="B49" i="5"/>
  <c r="B48" i="5"/>
  <c r="B47" i="5"/>
  <c r="B46" i="5"/>
  <c r="B45" i="5"/>
  <c r="B44" i="5"/>
  <c r="A8" i="6"/>
  <c r="B11" i="6"/>
  <c r="A6" i="6"/>
  <c r="A11" i="6"/>
  <c r="A7" i="6"/>
  <c r="A9" i="6"/>
  <c r="C11" i="3"/>
  <c r="D11" i="3"/>
  <c r="E14" i="3"/>
  <c r="D14" i="3"/>
  <c r="B23" i="5"/>
  <c r="B17" i="6"/>
  <c r="B22" i="5"/>
  <c r="B16" i="6"/>
  <c r="B21" i="5"/>
  <c r="B15" i="6"/>
  <c r="B20" i="5"/>
  <c r="B14" i="6"/>
  <c r="B16" i="5"/>
  <c r="B15" i="5"/>
  <c r="B14" i="5"/>
  <c r="B13" i="5"/>
  <c r="B9" i="5"/>
  <c r="B8" i="5"/>
  <c r="B7" i="5"/>
  <c r="B6" i="5"/>
  <c r="D43" i="1"/>
  <c r="B32" i="1"/>
  <c r="B33" i="1"/>
  <c r="B34" i="1"/>
  <c r="B41" i="1"/>
  <c r="B40" i="1"/>
  <c r="D22" i="1"/>
  <c r="E22" i="1"/>
  <c r="F22" i="1"/>
  <c r="G22" i="1"/>
  <c r="H22" i="1"/>
  <c r="I22" i="1"/>
  <c r="D7" i="2"/>
  <c r="F7" i="2"/>
  <c r="H7" i="2"/>
  <c r="D5" i="2"/>
  <c r="F5" i="2"/>
  <c r="H5" i="2"/>
  <c r="N3" i="2"/>
  <c r="C9" i="2"/>
  <c r="D9" i="2"/>
  <c r="F9" i="2"/>
  <c r="H9" i="2"/>
  <c r="N5" i="2"/>
  <c r="C8" i="2"/>
  <c r="B8" i="2"/>
  <c r="C6" i="2"/>
  <c r="B6" i="2"/>
  <c r="I17" i="1"/>
  <c r="H17" i="1"/>
  <c r="G17" i="1"/>
  <c r="F17" i="1"/>
  <c r="E17" i="1"/>
  <c r="D17" i="1"/>
  <c r="C17" i="1"/>
  <c r="B17" i="1"/>
  <c r="B15" i="1"/>
  <c r="B16" i="1"/>
  <c r="B11" i="1"/>
  <c r="B9" i="1"/>
  <c r="I9" i="1"/>
  <c r="I8" i="1"/>
  <c r="B18" i="1"/>
  <c r="B20" i="1"/>
  <c r="D6" i="2"/>
  <c r="F6" i="2"/>
  <c r="H6" i="2"/>
  <c r="D8" i="2"/>
  <c r="F8" i="2"/>
  <c r="H8" i="2"/>
  <c r="E43" i="1"/>
  <c r="I13" i="1"/>
  <c r="I16" i="1"/>
  <c r="I29" i="1"/>
  <c r="I6" i="1"/>
  <c r="C9" i="1"/>
  <c r="C8" i="1"/>
  <c r="C44" i="1"/>
  <c r="C45" i="1"/>
  <c r="D9" i="1"/>
  <c r="D8" i="1"/>
  <c r="D44" i="1"/>
  <c r="D45" i="1"/>
  <c r="E9" i="1"/>
  <c r="E8" i="1"/>
  <c r="F9" i="1"/>
  <c r="F8" i="1"/>
  <c r="G9" i="1"/>
  <c r="G8" i="1"/>
  <c r="H9" i="1"/>
  <c r="H8" i="1"/>
  <c r="I26" i="1"/>
  <c r="I30" i="1"/>
  <c r="I24" i="1"/>
  <c r="N2" i="2"/>
  <c r="I10" i="1"/>
  <c r="I11" i="1"/>
  <c r="I18" i="1"/>
  <c r="I28" i="1"/>
  <c r="I41" i="1"/>
  <c r="F43" i="1"/>
  <c r="E44" i="1"/>
  <c r="E45" i="1"/>
  <c r="H13" i="1"/>
  <c r="H16" i="1"/>
  <c r="H6" i="1"/>
  <c r="G13" i="1"/>
  <c r="G16" i="1"/>
  <c r="G6" i="1"/>
  <c r="F13" i="1"/>
  <c r="F16" i="1"/>
  <c r="F6" i="1"/>
  <c r="E13" i="1"/>
  <c r="E16" i="1"/>
  <c r="E6" i="1"/>
  <c r="D13" i="1"/>
  <c r="D16" i="1"/>
  <c r="D6" i="1"/>
  <c r="C16" i="1"/>
  <c r="C13" i="1"/>
  <c r="C6" i="1"/>
  <c r="C24" i="1"/>
  <c r="C26" i="1"/>
  <c r="C30" i="1"/>
  <c r="C46" i="1"/>
  <c r="C29" i="1"/>
  <c r="D26" i="1"/>
  <c r="D24" i="1"/>
  <c r="D30" i="1"/>
  <c r="D46" i="1"/>
  <c r="D29" i="1"/>
  <c r="F30" i="1"/>
  <c r="F46" i="1"/>
  <c r="F24" i="1"/>
  <c r="F29" i="1"/>
  <c r="F26" i="1"/>
  <c r="H24" i="1"/>
  <c r="H30" i="1"/>
  <c r="H29" i="1"/>
  <c r="H26" i="1"/>
  <c r="E30" i="1"/>
  <c r="E46" i="1"/>
  <c r="E26" i="1"/>
  <c r="E29" i="1"/>
  <c r="E24" i="1"/>
  <c r="G29" i="1"/>
  <c r="G26" i="1"/>
  <c r="G24" i="1"/>
  <c r="G30" i="1"/>
  <c r="I27" i="1"/>
  <c r="I25" i="1"/>
  <c r="I33" i="1"/>
  <c r="I23" i="1"/>
  <c r="I32" i="1"/>
  <c r="H25" i="1"/>
  <c r="H23" i="1"/>
  <c r="G25" i="1"/>
  <c r="G23" i="1"/>
  <c r="E25" i="1"/>
  <c r="F23" i="1"/>
  <c r="D25" i="1"/>
  <c r="F25" i="1"/>
  <c r="D23" i="1"/>
  <c r="E23" i="1"/>
  <c r="N4" i="2"/>
  <c r="C25" i="1"/>
  <c r="C23" i="1"/>
  <c r="E10" i="1"/>
  <c r="E11" i="1"/>
  <c r="C10" i="1"/>
  <c r="C11" i="1"/>
  <c r="K20" i="1"/>
  <c r="K22" i="1"/>
  <c r="G10" i="1"/>
  <c r="G11" i="1"/>
  <c r="F10" i="1"/>
  <c r="F11" i="1"/>
  <c r="D10" i="1"/>
  <c r="D11" i="1"/>
  <c r="H10" i="1"/>
  <c r="H11" i="1"/>
  <c r="C18" i="1"/>
  <c r="C28" i="1"/>
  <c r="C41" i="1"/>
  <c r="D18" i="1"/>
  <c r="D28" i="1"/>
  <c r="D41" i="1"/>
  <c r="E18" i="1"/>
  <c r="E28" i="1"/>
  <c r="E41" i="1"/>
  <c r="F18" i="1"/>
  <c r="F28" i="1"/>
  <c r="F41" i="1"/>
  <c r="G18" i="1"/>
  <c r="G28" i="1"/>
  <c r="G41" i="1"/>
  <c r="H18" i="1"/>
  <c r="H28" i="1"/>
  <c r="H41" i="1"/>
  <c r="G43" i="1"/>
  <c r="F44" i="1"/>
  <c r="F45" i="1"/>
  <c r="I20" i="1"/>
  <c r="I31" i="1"/>
  <c r="G46" i="1"/>
  <c r="E27" i="1"/>
  <c r="C27" i="1"/>
  <c r="H27" i="1"/>
  <c r="F27" i="1"/>
  <c r="G27" i="1"/>
  <c r="D27" i="1"/>
  <c r="E32" i="1"/>
  <c r="H33" i="1"/>
  <c r="E33" i="1"/>
  <c r="E47" i="1"/>
  <c r="H32" i="1"/>
  <c r="D32" i="1"/>
  <c r="G33" i="1"/>
  <c r="G47" i="1"/>
  <c r="D33" i="1"/>
  <c r="D47" i="1"/>
  <c r="G32" i="1"/>
  <c r="F33" i="1"/>
  <c r="F47" i="1"/>
  <c r="C33" i="1"/>
  <c r="C47" i="1"/>
  <c r="F32" i="1"/>
  <c r="C32" i="1"/>
  <c r="I40" i="1"/>
  <c r="I34" i="1"/>
  <c r="H43" i="1"/>
  <c r="I43" i="1"/>
  <c r="I46" i="1"/>
  <c r="G44" i="1"/>
  <c r="G45" i="1"/>
  <c r="H20" i="1"/>
  <c r="H31" i="1"/>
  <c r="G20" i="1"/>
  <c r="G31" i="1"/>
  <c r="F20" i="1"/>
  <c r="F31" i="1"/>
  <c r="E20" i="1"/>
  <c r="E31" i="1"/>
  <c r="D20" i="1"/>
  <c r="D31" i="1"/>
  <c r="C20" i="1"/>
  <c r="C31" i="1"/>
  <c r="H46" i="1"/>
  <c r="I128" i="1"/>
  <c r="M128" i="1"/>
  <c r="I100" i="1"/>
  <c r="M100" i="1"/>
  <c r="I114" i="1"/>
  <c r="M114" i="1"/>
  <c r="K34" i="1"/>
  <c r="H47" i="1"/>
  <c r="C40" i="1"/>
  <c r="C34" i="1"/>
  <c r="D40" i="1"/>
  <c r="D34" i="1"/>
  <c r="D128" i="1"/>
  <c r="E40" i="1"/>
  <c r="E34" i="1"/>
  <c r="E128" i="1"/>
  <c r="F40" i="1"/>
  <c r="F34" i="1"/>
  <c r="F128" i="1"/>
  <c r="G40" i="1"/>
  <c r="G34" i="1"/>
  <c r="G128" i="1"/>
  <c r="H40" i="1"/>
  <c r="H34" i="1"/>
  <c r="H128" i="1"/>
  <c r="H44" i="1"/>
  <c r="H45" i="1"/>
  <c r="C128" i="1"/>
  <c r="K121" i="1"/>
  <c r="M121" i="1"/>
  <c r="E114" i="1"/>
  <c r="D114" i="1"/>
  <c r="F114" i="1"/>
  <c r="C114" i="1"/>
  <c r="H100" i="1"/>
  <c r="H114" i="1"/>
  <c r="G100" i="1"/>
  <c r="G114" i="1"/>
  <c r="E100" i="1"/>
  <c r="F100" i="1"/>
  <c r="C100" i="1"/>
  <c r="D100" i="1"/>
  <c r="H35" i="1"/>
  <c r="G35" i="1"/>
  <c r="F35" i="1"/>
  <c r="D35" i="1"/>
  <c r="E35" i="1"/>
  <c r="C35" i="1"/>
  <c r="K32" i="1"/>
  <c r="K30" i="1"/>
  <c r="I44" i="1"/>
  <c r="I45" i="1"/>
  <c r="I47" i="1"/>
  <c r="M130" i="1"/>
  <c r="C13" i="6"/>
  <c r="C24" i="6"/>
  <c r="C26" i="6"/>
  <c r="C9" i="6"/>
  <c r="C10" i="6"/>
  <c r="C35" i="6"/>
  <c r="C43" i="6"/>
  <c r="C14" i="6"/>
  <c r="C21" i="6"/>
  <c r="C33" i="6"/>
  <c r="C15" i="6"/>
  <c r="C17" i="6"/>
  <c r="C34" i="6"/>
  <c r="C27" i="6"/>
  <c r="C44" i="6"/>
  <c r="C16" i="6"/>
  <c r="C22" i="6"/>
  <c r="C25" i="6"/>
  <c r="C11" i="6"/>
  <c r="C18" i="6"/>
  <c r="D67" i="1"/>
  <c r="C124" i="1"/>
  <c r="I124" i="1"/>
  <c r="H124" i="1"/>
  <c r="G124" i="1"/>
  <c r="F124" i="1"/>
  <c r="E124" i="1"/>
  <c r="D124" i="1"/>
  <c r="I125" i="1"/>
  <c r="M125" i="1"/>
  <c r="H125" i="1"/>
  <c r="G125" i="1"/>
  <c r="F125" i="1"/>
  <c r="E125" i="1"/>
  <c r="D125" i="1"/>
  <c r="C125" i="1"/>
  <c r="C129" i="1"/>
  <c r="I129" i="1"/>
  <c r="M129" i="1"/>
  <c r="E129" i="1"/>
  <c r="F129" i="1"/>
  <c r="G129" i="1"/>
  <c r="D129" i="1"/>
  <c r="H129" i="1"/>
  <c r="I110" i="1"/>
  <c r="H110" i="1"/>
  <c r="D110" i="1"/>
  <c r="G110" i="1"/>
  <c r="F110" i="1"/>
  <c r="E110" i="1"/>
  <c r="C110" i="1"/>
  <c r="I127" i="1"/>
  <c r="M127" i="1"/>
  <c r="H127" i="1"/>
  <c r="G127" i="1"/>
  <c r="F127" i="1"/>
  <c r="E127" i="1"/>
  <c r="D127" i="1"/>
  <c r="C127" i="1"/>
  <c r="C113" i="1"/>
  <c r="I113" i="1"/>
  <c r="M113" i="1"/>
  <c r="F113" i="1"/>
  <c r="D113" i="1"/>
  <c r="H113" i="1"/>
  <c r="G113" i="1"/>
  <c r="E113" i="1"/>
  <c r="I99" i="1"/>
  <c r="M99" i="1"/>
  <c r="H99" i="1"/>
  <c r="G99" i="1"/>
  <c r="F99" i="1"/>
  <c r="E99" i="1"/>
  <c r="D99" i="1"/>
  <c r="C99" i="1"/>
  <c r="G126" i="1"/>
  <c r="F126" i="1"/>
  <c r="E126" i="1"/>
  <c r="D126" i="1"/>
  <c r="I126" i="1"/>
  <c r="M126" i="1"/>
  <c r="C126" i="1"/>
  <c r="H126" i="1"/>
  <c r="M116" i="1"/>
  <c r="M102" i="1"/>
  <c r="M88" i="1"/>
  <c r="M74" i="1"/>
  <c r="F112" i="1"/>
  <c r="E112" i="1"/>
  <c r="D112" i="1"/>
  <c r="I112" i="1"/>
  <c r="M112" i="1"/>
  <c r="C112" i="1"/>
  <c r="H112" i="1"/>
  <c r="G112" i="1"/>
  <c r="H111" i="1"/>
  <c r="I111" i="1"/>
  <c r="M111" i="1"/>
  <c r="G111" i="1"/>
  <c r="E111" i="1"/>
  <c r="F111" i="1"/>
  <c r="D111" i="1"/>
  <c r="C111" i="1"/>
  <c r="D115" i="1"/>
  <c r="F115" i="1"/>
  <c r="H115" i="1"/>
  <c r="C115" i="1"/>
  <c r="I115" i="1"/>
  <c r="M115" i="1"/>
  <c r="E115" i="1"/>
  <c r="G115" i="1"/>
  <c r="I96" i="1"/>
  <c r="H96" i="1"/>
  <c r="G96" i="1"/>
  <c r="F96" i="1"/>
  <c r="D96" i="1"/>
  <c r="E96" i="1"/>
  <c r="C96" i="1"/>
  <c r="C98" i="1"/>
  <c r="I98" i="1"/>
  <c r="M98" i="1"/>
  <c r="E98" i="1"/>
  <c r="H98" i="1"/>
  <c r="G98" i="1"/>
  <c r="F98" i="1"/>
  <c r="D98" i="1"/>
  <c r="E101" i="1"/>
  <c r="H101" i="1"/>
  <c r="I101" i="1"/>
  <c r="G101" i="1"/>
  <c r="F101" i="1"/>
  <c r="D101" i="1"/>
  <c r="I97" i="1"/>
  <c r="M97" i="1"/>
  <c r="E97" i="1"/>
  <c r="H97" i="1"/>
  <c r="F97" i="1"/>
  <c r="D97" i="1"/>
  <c r="G97" i="1"/>
  <c r="C97" i="1"/>
  <c r="C101" i="1"/>
  <c r="M84" i="1"/>
  <c r="M70" i="1"/>
  <c r="M72" i="1"/>
  <c r="M86" i="1"/>
  <c r="M69" i="1"/>
  <c r="M83" i="1"/>
  <c r="D131" i="1"/>
  <c r="D59" i="1"/>
  <c r="G131" i="1"/>
  <c r="G59" i="1"/>
  <c r="C131" i="1"/>
  <c r="C59" i="1"/>
  <c r="F131" i="1"/>
  <c r="F59" i="1"/>
  <c r="E131" i="1"/>
  <c r="E59" i="1"/>
  <c r="D117" i="1"/>
  <c r="I131" i="1"/>
  <c r="M124" i="1"/>
  <c r="H131" i="1"/>
  <c r="H59" i="1"/>
  <c r="E117" i="1"/>
  <c r="F117" i="1"/>
  <c r="C117" i="1"/>
  <c r="H117" i="1"/>
  <c r="G117" i="1"/>
  <c r="G58" i="1"/>
  <c r="I117" i="1"/>
  <c r="I58" i="1"/>
  <c r="H103" i="1"/>
  <c r="C103" i="1"/>
  <c r="C57" i="1"/>
  <c r="M96" i="1"/>
  <c r="I103" i="1"/>
  <c r="E103" i="1"/>
  <c r="D103" i="1"/>
  <c r="D57" i="1"/>
  <c r="F103" i="1"/>
  <c r="G103" i="1"/>
  <c r="G57" i="1"/>
  <c r="M89" i="1"/>
  <c r="M68" i="1"/>
  <c r="M110" i="1"/>
  <c r="F57" i="1"/>
  <c r="H57" i="1"/>
  <c r="E57" i="1"/>
  <c r="M101" i="1"/>
  <c r="M73" i="1"/>
  <c r="M87" i="1"/>
  <c r="M82" i="1"/>
  <c r="M131" i="1"/>
  <c r="I59" i="1"/>
  <c r="H58" i="1"/>
  <c r="H60" i="1"/>
  <c r="D58" i="1"/>
  <c r="D60" i="1"/>
  <c r="F58" i="1"/>
  <c r="F60" i="1"/>
  <c r="E58" i="1"/>
  <c r="E60" i="1"/>
  <c r="C58" i="1"/>
  <c r="C60" i="1"/>
  <c r="G60" i="1"/>
  <c r="M117" i="1"/>
  <c r="M103" i="1"/>
  <c r="I57" i="1"/>
  <c r="M75" i="1"/>
  <c r="I60" i="1"/>
  <c r="I61" i="1"/>
  <c r="G61" i="1"/>
  <c r="H61" i="1"/>
  <c r="F61" i="1"/>
  <c r="E61" i="1"/>
  <c r="D61" i="1"/>
  <c r="J59" i="1"/>
  <c r="J58" i="1"/>
  <c r="C61" i="1"/>
  <c r="J57" i="1"/>
  <c r="J50" i="1"/>
  <c r="J52" i="1"/>
  <c r="J53" i="1"/>
  <c r="J51" i="1"/>
  <c r="J54" i="1"/>
  <c r="J55" i="1"/>
  <c r="J56" i="1"/>
</calcChain>
</file>

<file path=xl/sharedStrings.xml><?xml version="1.0" encoding="utf-8"?>
<sst xmlns="http://schemas.openxmlformats.org/spreadsheetml/2006/main" count="485" uniqueCount="242">
  <si>
    <t>Whatsapp - april 2014</t>
  </si>
  <si>
    <t>Monthly Active Users</t>
  </si>
  <si>
    <t>Diary Messages</t>
  </si>
  <si>
    <t>% Sent Messages</t>
  </si>
  <si>
    <t>Diary Sent Messages</t>
  </si>
  <si>
    <t>Diary Sent Messages per user</t>
  </si>
  <si>
    <t>Diary Received Messages</t>
  </si>
  <si>
    <t>Diary Received Messages per user</t>
  </si>
  <si>
    <t>Msg sent per second</t>
  </si>
  <si>
    <t>Diary Sent Images</t>
  </si>
  <si>
    <t>% Sent Images / Sent Messages</t>
  </si>
  <si>
    <t>% Downloaded Thumbnails / Images</t>
  </si>
  <si>
    <t>% Downloaded Images / Thumbnails</t>
  </si>
  <si>
    <t>Diary Downloaded Thumbnails</t>
  </si>
  <si>
    <t>Diary Downloaded Images</t>
  </si>
  <si>
    <t>Images</t>
  </si>
  <si>
    <t>Images Traffic</t>
  </si>
  <si>
    <t>Medium image</t>
  </si>
  <si>
    <t>File Image</t>
  </si>
  <si>
    <t>Xlarge Image</t>
  </si>
  <si>
    <t>Height</t>
  </si>
  <si>
    <t>Width</t>
  </si>
  <si>
    <t>Pixels</t>
  </si>
  <si>
    <t>Bytes/pixel</t>
  </si>
  <si>
    <t>Bytes</t>
  </si>
  <si>
    <t>Raw image</t>
  </si>
  <si>
    <t>JPEG</t>
  </si>
  <si>
    <t>Mean ratio</t>
  </si>
  <si>
    <t>Mean size</t>
  </si>
  <si>
    <t>Medium ligth</t>
  </si>
  <si>
    <t>Xlarge ligth</t>
  </si>
  <si>
    <t>% Ligth version images</t>
  </si>
  <si>
    <t>Sent ligth version thumbnails size</t>
  </si>
  <si>
    <t>Sent full version thumbnails size</t>
  </si>
  <si>
    <t>Received ligth version thumbnails size</t>
  </si>
  <si>
    <t>Received full version thumbnails size</t>
  </si>
  <si>
    <t>Stored ligth version thumbnails size</t>
  </si>
  <si>
    <t>GET request per thumbnail</t>
  </si>
  <si>
    <t>GET request per file</t>
  </si>
  <si>
    <t>Sent file size</t>
  </si>
  <si>
    <t>Stored file size</t>
  </si>
  <si>
    <t>Received file size</t>
  </si>
  <si>
    <t>Stored full version thumbnails size</t>
  </si>
  <si>
    <t>PUSHER</t>
  </si>
  <si>
    <t>HEROKU</t>
  </si>
  <si>
    <t>SENTGRID</t>
  </si>
  <si>
    <t>POSTGRES</t>
  </si>
  <si>
    <t>SSL</t>
  </si>
  <si>
    <t>AMAZON S3</t>
  </si>
  <si>
    <t>Total Cost</t>
  </si>
  <si>
    <t>ACPU</t>
  </si>
  <si>
    <t>Stored Data</t>
  </si>
  <si>
    <t>Storage period in days</t>
  </si>
  <si>
    <t>Total stored messages</t>
  </si>
  <si>
    <t>Total stored images</t>
  </si>
  <si>
    <t>PUT</t>
  </si>
  <si>
    <t>PUT requests per file</t>
  </si>
  <si>
    <t>PUT requests per thumbnail</t>
  </si>
  <si>
    <t>Total GET requests</t>
  </si>
  <si>
    <t>Total PUT requests</t>
  </si>
  <si>
    <t xml:space="preserve">GET </t>
  </si>
  <si>
    <t>Región:</t>
  </si>
  <si>
    <t>EE.UU. Estándar</t>
  </si>
  <si>
    <t>Almacenamiento de redundancia reducida</t>
  </si>
  <si>
    <t>Almacenamiento en Glacier</t>
  </si>
  <si>
    <t>Amazon CloudFront</t>
  </si>
  <si>
    <t>Outbound Traffic</t>
  </si>
  <si>
    <t>Storage</t>
  </si>
  <si>
    <t>TOTAL</t>
  </si>
  <si>
    <t>Estándar</t>
  </si>
  <si>
    <t>Regiones</t>
  </si>
  <si>
    <t>Precios de almacenamiento</t>
  </si>
  <si>
    <t>Almacenamiento estándar</t>
  </si>
  <si>
    <t>RESTO</t>
  </si>
  <si>
    <t>Precios de las solicitudes</t>
  </si>
  <si>
    <t>COPY</t>
  </si>
  <si>
    <t>POST</t>
  </si>
  <si>
    <t>LIST</t>
  </si>
  <si>
    <t>DELETE</t>
  </si>
  <si>
    <t>Primer TB</t>
  </si>
  <si>
    <t>Siguientes 49TB</t>
  </si>
  <si>
    <t>Siguientes 450TB</t>
  </si>
  <si>
    <t>Siguientes 500TB</t>
  </si>
  <si>
    <t>Siguientes 4000TB</t>
  </si>
  <si>
    <t>Más de 5000TB</t>
  </si>
  <si>
    <t>Tipo de solicitud y cantidad</t>
  </si>
  <si>
    <t>Restauración y archivado en Glacier</t>
  </si>
  <si>
    <t>Restauraciones en Glacier</t>
  </si>
  <si>
    <t>Transferencia de datos</t>
  </si>
  <si>
    <t>Trafico ENTRANTE</t>
  </si>
  <si>
    <t>Trafico SALIENTE a</t>
  </si>
  <si>
    <t>Tipo destino</t>
  </si>
  <si>
    <t>EC2 (misma región) - (EEUU estándar: Norte Virginia)</t>
  </si>
  <si>
    <t>Otras regiones AWS</t>
  </si>
  <si>
    <t>Trafico SALIENTE a INTERNET</t>
  </si>
  <si>
    <t>Volúmen máximo (GB)</t>
  </si>
  <si>
    <t>Primer GB</t>
  </si>
  <si>
    <t>Hasta 10TB</t>
  </si>
  <si>
    <t>Siguientes 40TB</t>
  </si>
  <si>
    <t>Siguientes 100TB</t>
  </si>
  <si>
    <t>Siguientes 350TB</t>
  </si>
  <si>
    <t>Siguientes 524TB</t>
  </si>
  <si>
    <t>Siguientes 4PB</t>
  </si>
  <si>
    <t>Más de 5PB</t>
  </si>
  <si>
    <t>Precio por GB</t>
  </si>
  <si>
    <t>EE.UU. Oeste (Oregón)</t>
  </si>
  <si>
    <t>EE.UU. Oeste (Norte de California)</t>
  </si>
  <si>
    <t>UE (Irlanda)</t>
  </si>
  <si>
    <t>UE (Frankfurt)</t>
  </si>
  <si>
    <t>Asia Pacífico (Singapur)</t>
  </si>
  <si>
    <t>Asia Pacífico (Tokio)</t>
  </si>
  <si>
    <t>Asia Pacífico (Sídney)</t>
  </si>
  <si>
    <t>América del Sur (São Paulo)</t>
  </si>
  <si>
    <t>GET y otras</t>
  </si>
  <si>
    <t>Tipo de almacenamiento:</t>
  </si>
  <si>
    <t>Almacenamiento</t>
  </si>
  <si>
    <t>N/A</t>
  </si>
  <si>
    <t>Inbound Traffic</t>
  </si>
  <si>
    <t>Intra-AWS Traffic</t>
  </si>
  <si>
    <t>Utilizar</t>
  </si>
  <si>
    <t>Sí</t>
  </si>
  <si>
    <t>User versión full:</t>
  </si>
  <si>
    <t>Usar versión light:</t>
  </si>
  <si>
    <t>No</t>
  </si>
  <si>
    <t>% Version Light:</t>
  </si>
  <si>
    <t>Empaquetar thumbnails:</t>
  </si>
  <si>
    <t>1X</t>
  </si>
  <si>
    <t>2X</t>
  </si>
  <si>
    <t>PX</t>
  </si>
  <si>
    <t>Precios por hora</t>
  </si>
  <si>
    <t>Precio por hora / dyno</t>
  </si>
  <si>
    <t>Tipo de dyno</t>
  </si>
  <si>
    <t>Segundos</t>
  </si>
  <si>
    <t>Descuento</t>
  </si>
  <si>
    <t>750h gratis</t>
  </si>
  <si>
    <t>Capacidad de procesado de mensajes</t>
  </si>
  <si>
    <t>Mensajes/segundo</t>
  </si>
  <si>
    <t>Precio por mes / dyno</t>
  </si>
  <si>
    <t>% Simultaneously Active Users</t>
  </si>
  <si>
    <t>Simultaneusly Active Users</t>
  </si>
  <si>
    <t>Plan</t>
  </si>
  <si>
    <t>Sandbox</t>
  </si>
  <si>
    <t>Bootstrap</t>
  </si>
  <si>
    <t>Startup</t>
  </si>
  <si>
    <t>Business</t>
  </si>
  <si>
    <t>Premium</t>
  </si>
  <si>
    <t>Soporte Técnico</t>
  </si>
  <si>
    <t>Tipo de soporte</t>
  </si>
  <si>
    <t>Limited Support</t>
  </si>
  <si>
    <t>Standard Support</t>
  </si>
  <si>
    <t>Precio</t>
  </si>
  <si>
    <t>Conexiones máximas</t>
  </si>
  <si>
    <t>Nº Máximo de conexiones simultáneas</t>
  </si>
  <si>
    <t>Número de canales</t>
  </si>
  <si>
    <t>Nº Máximo de canales</t>
  </si>
  <si>
    <t>Mensajes diarios</t>
  </si>
  <si>
    <t>Nº máximo de mensajes diarios</t>
  </si>
  <si>
    <t>Protección SSL</t>
  </si>
  <si>
    <t>Nivel</t>
  </si>
  <si>
    <t>Enterprise</t>
  </si>
  <si>
    <t>Características</t>
  </si>
  <si>
    <t>RAM (GB)</t>
  </si>
  <si>
    <t>Almacenamiento (GB)</t>
  </si>
  <si>
    <t>Conexiones</t>
  </si>
  <si>
    <t>Tipo de servicio:</t>
  </si>
  <si>
    <t>Medium message size</t>
  </si>
  <si>
    <t>Stored message size</t>
  </si>
  <si>
    <t>AMAZON S3 (WITHOUT CDN)</t>
  </si>
  <si>
    <t>AMAZON S3 (Amazon CloudFront)</t>
  </si>
  <si>
    <t>TOTAL Monthly Costs Estimated</t>
  </si>
  <si>
    <t>chattyhive</t>
  </si>
  <si>
    <t>Sin límite</t>
  </si>
  <si>
    <t>Usar thumbnails:</t>
  </si>
  <si>
    <t>Total sent size per day</t>
  </si>
  <si>
    <t>Total stored size per day</t>
  </si>
  <si>
    <t>Total received size per day</t>
  </si>
  <si>
    <t xml:space="preserve">        (monthly)</t>
  </si>
  <si>
    <t>P1</t>
  </si>
  <si>
    <t>P2</t>
  </si>
  <si>
    <t>P3</t>
  </si>
  <si>
    <t>P4</t>
  </si>
  <si>
    <t>P5</t>
  </si>
  <si>
    <t xml:space="preserve">% </t>
  </si>
  <si>
    <t>Escenario</t>
  </si>
  <si>
    <t>Escenario 1</t>
  </si>
  <si>
    <t>Escenario 2</t>
  </si>
  <si>
    <t>Escenario 3</t>
  </si>
  <si>
    <t>Escenario 4</t>
  </si>
  <si>
    <t>Escenario 5</t>
  </si>
  <si>
    <t>Escenario 6</t>
  </si>
  <si>
    <t>Escenario 7</t>
  </si>
  <si>
    <t>pJPEG File Image</t>
  </si>
  <si>
    <t>pJPEG thumbnail light</t>
  </si>
  <si>
    <t>pJPEG thumbnail</t>
  </si>
  <si>
    <t>Usar pJPEG:</t>
  </si>
  <si>
    <t>Light Thumbnail Size:</t>
  </si>
  <si>
    <t>Normal Thumbnail Size:</t>
  </si>
  <si>
    <t>Total Thumbnail Size:</t>
  </si>
  <si>
    <t>File Size:</t>
  </si>
  <si>
    <t>Image Result Size</t>
  </si>
  <si>
    <t>HTTP</t>
  </si>
  <si>
    <t>HTTPS</t>
  </si>
  <si>
    <t>AMAZON CloudFront</t>
  </si>
  <si>
    <t>EE.UU.</t>
  </si>
  <si>
    <t>Europa</t>
  </si>
  <si>
    <t>Hong Kong, Filipinas, Corea del Sur, Singapur y Taiwán</t>
  </si>
  <si>
    <t>Japón</t>
  </si>
  <si>
    <t>América del Sur</t>
  </si>
  <si>
    <t>Australia</t>
  </si>
  <si>
    <t>India</t>
  </si>
  <si>
    <t>SSL:</t>
  </si>
  <si>
    <t>Almacenamiento: 91 días (3 meses)</t>
  </si>
  <si>
    <t>CloudFront</t>
  </si>
  <si>
    <t>MaxCDN</t>
  </si>
  <si>
    <t>Asia Pacífico</t>
  </si>
  <si>
    <t>EE.UU. Norte</t>
  </si>
  <si>
    <t>Hasta 50TB</t>
  </si>
  <si>
    <t>Siguientes 674TB</t>
  </si>
  <si>
    <t>Siguientes 1PB</t>
  </si>
  <si>
    <t>Siguientes 200TB</t>
  </si>
  <si>
    <t>HTTP/HTTPS</t>
  </si>
  <si>
    <t>AMAZON S3 (MaxCDN)</t>
  </si>
  <si>
    <t>Descargas por fichero:</t>
  </si>
  <si>
    <t>AWS Traffic</t>
  </si>
  <si>
    <t>KeyCDN</t>
  </si>
  <si>
    <t>Asia / ANZ</t>
  </si>
  <si>
    <t>Siguientes 2PB</t>
  </si>
  <si>
    <t>Más de 3PB</t>
  </si>
  <si>
    <t>AMAZON S3 (KeyCDN)</t>
  </si>
  <si>
    <t>CloudImage.io</t>
  </si>
  <si>
    <t>Por 1 TB</t>
  </si>
  <si>
    <t>Hasta 10GB</t>
  </si>
  <si>
    <t>Hasta 50GB</t>
  </si>
  <si>
    <t>Hasta 100GB</t>
  </si>
  <si>
    <t>Hasta 1TB</t>
  </si>
  <si>
    <t>Más de 1TB</t>
  </si>
  <si>
    <t>CDN Storage</t>
  </si>
  <si>
    <t>AMAZON S3 (CloudImage.io)</t>
  </si>
  <si>
    <t>% Replicado:</t>
  </si>
  <si>
    <r>
      <t xml:space="preserve">Stored images </t>
    </r>
    <r>
      <rPr>
        <i/>
        <sz val="11"/>
        <color theme="1"/>
        <rFont val="Calibri"/>
        <family val="2"/>
        <scheme val="minor"/>
      </rPr>
      <t>file</t>
    </r>
  </si>
  <si>
    <t>Personalizado (E7)</t>
  </si>
  <si>
    <t>Personalizado (E2)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</si>
</sst>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€_-;\-* #,##0.00\ _€_-;_-* &quot;-&quot;??\ _€_-;_-@_-"/>
    <numFmt numFmtId="164" formatCode="_-* #,##0\ _€_-;\-* #,##0\ _€_-;_-* &quot;-&quot;??\ _€_-;_-@_-"/>
    <numFmt numFmtId="165" formatCode="_-[$$-409]* #,##0.00_ ;_-[$$-409]* \-#,##0.00\ ;_-[$$-409]* &quot;-&quot;??_ ;_-@_ "/>
    <numFmt numFmtId="166" formatCode="_-[$$-409]* #,##0.0000_ ;_-[$$-409]* \-#,##0.0000\ ;_-[$$-409]* &quot;-&quot;??_ ;_-@_ "/>
    <numFmt numFmtId="167" formatCode="#,##0.00\ &quot;Gbytes&quot;"/>
    <numFmt numFmtId="168" formatCode="#,##0\ &quot;GB&quot;"/>
    <numFmt numFmtId="169" formatCode="_-[$$-409]* #,##0.0000_ ;_-[$$-409]* \-#,##0.0000\ ;_-[$$-409]* &quot;-&quot;????_ ;_-@_ "/>
    <numFmt numFmtId="170" formatCode="#,##0\ &quot;s&quot;"/>
    <numFmt numFmtId="171" formatCode="#,##0.0\ &quot;GB&quot;"/>
    <numFmt numFmtId="172" formatCode="#,##0\ &quot;KB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36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theme="1" tint="0.14996795556505021"/>
      </bottom>
      <diagonal/>
    </border>
    <border>
      <left/>
      <right/>
      <top style="thick">
        <color indexed="64"/>
      </top>
      <bottom style="thin">
        <color theme="1" tint="0.14996795556505021"/>
      </bottom>
      <diagonal/>
    </border>
    <border>
      <left/>
      <right style="thick">
        <color indexed="64"/>
      </right>
      <top style="thick">
        <color indexed="64"/>
      </top>
      <bottom style="thin">
        <color theme="1" tint="0.14996795556505021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4">
    <xf numFmtId="0" fontId="0" fillId="0" borderId="0" xfId="0"/>
    <xf numFmtId="0" fontId="0" fillId="0" borderId="0" xfId="0"/>
    <xf numFmtId="164" fontId="0" fillId="0" borderId="1" xfId="0" applyNumberFormat="1" applyBorder="1"/>
    <xf numFmtId="12" fontId="0" fillId="0" borderId="1" xfId="0" applyNumberFormat="1" applyBorder="1" applyAlignment="1">
      <alignment horizontal="center"/>
    </xf>
    <xf numFmtId="164" fontId="0" fillId="0" borderId="4" xfId="1" applyNumberFormat="1" applyFont="1" applyBorder="1"/>
    <xf numFmtId="164" fontId="0" fillId="0" borderId="7" xfId="1" applyNumberFormat="1" applyFont="1" applyBorder="1"/>
    <xf numFmtId="164" fontId="0" fillId="0" borderId="8" xfId="0" applyNumberFormat="1" applyBorder="1"/>
    <xf numFmtId="12" fontId="0" fillId="0" borderId="8" xfId="0" applyNumberFormat="1" applyBorder="1" applyAlignment="1">
      <alignment horizontal="center"/>
    </xf>
    <xf numFmtId="43" fontId="0" fillId="0" borderId="14" xfId="0" applyNumberFormat="1" applyBorder="1"/>
    <xf numFmtId="3" fontId="0" fillId="2" borderId="9" xfId="0" applyNumberFormat="1" applyFill="1" applyBorder="1"/>
    <xf numFmtId="3" fontId="0" fillId="2" borderId="10" xfId="0" applyNumberFormat="1" applyFill="1" applyBorder="1"/>
    <xf numFmtId="43" fontId="0" fillId="2" borderId="13" xfId="1" applyFont="1" applyFill="1" applyBorder="1"/>
    <xf numFmtId="13" fontId="0" fillId="2" borderId="10" xfId="0" applyNumberFormat="1" applyFill="1" applyBorder="1" applyAlignment="1">
      <alignment horizontal="center"/>
    </xf>
    <xf numFmtId="13" fontId="0" fillId="0" borderId="8" xfId="0" applyNumberFormat="1" applyBorder="1" applyAlignment="1">
      <alignment horizontal="center"/>
    </xf>
    <xf numFmtId="13" fontId="0" fillId="2" borderId="9" xfId="0" applyNumberFormat="1" applyFill="1" applyBorder="1" applyAlignment="1">
      <alignment horizontal="center"/>
    </xf>
    <xf numFmtId="13" fontId="0" fillId="0" borderId="7" xfId="0" applyNumberFormat="1" applyBorder="1" applyAlignment="1">
      <alignment horizontal="center"/>
    </xf>
    <xf numFmtId="3" fontId="0" fillId="2" borderId="13" xfId="0" applyNumberFormat="1" applyFill="1" applyBorder="1"/>
    <xf numFmtId="164" fontId="0" fillId="0" borderId="14" xfId="0" applyNumberFormat="1" applyBorder="1"/>
    <xf numFmtId="167" fontId="0" fillId="2" borderId="10" xfId="0" applyNumberFormat="1" applyFill="1" applyBorder="1"/>
    <xf numFmtId="0" fontId="0" fillId="2" borderId="9" xfId="0" applyFill="1" applyBorder="1"/>
    <xf numFmtId="167" fontId="6" fillId="2" borderId="10" xfId="0" applyNumberFormat="1" applyFont="1" applyFill="1" applyBorder="1"/>
    <xf numFmtId="3" fontId="6" fillId="2" borderId="10" xfId="0" applyNumberFormat="1" applyFont="1" applyFill="1" applyBorder="1"/>
    <xf numFmtId="13" fontId="0" fillId="0" borderId="12" xfId="0" applyNumberFormat="1" applyBorder="1"/>
    <xf numFmtId="13" fontId="0" fillId="0" borderId="4" xfId="0" applyNumberFormat="1" applyBorder="1"/>
    <xf numFmtId="167" fontId="6" fillId="0" borderId="2" xfId="0" applyNumberFormat="1" applyFont="1" applyBorder="1"/>
    <xf numFmtId="167" fontId="6" fillId="0" borderId="1" xfId="0" applyNumberFormat="1" applyFont="1" applyBorder="1"/>
    <xf numFmtId="167" fontId="0" fillId="0" borderId="2" xfId="0" applyNumberFormat="1" applyBorder="1"/>
    <xf numFmtId="167" fontId="0" fillId="0" borderId="1" xfId="0" applyNumberFormat="1" applyBorder="1"/>
    <xf numFmtId="3" fontId="6" fillId="0" borderId="2" xfId="0" applyNumberFormat="1" applyFont="1" applyBorder="1"/>
    <xf numFmtId="3" fontId="6" fillId="0" borderId="1" xfId="0" applyNumberFormat="1" applyFont="1" applyBorder="1"/>
    <xf numFmtId="3" fontId="0" fillId="0" borderId="2" xfId="0" applyNumberFormat="1" applyBorder="1"/>
    <xf numFmtId="3" fontId="0" fillId="0" borderId="1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0" fillId="0" borderId="18" xfId="0" applyBorder="1"/>
    <xf numFmtId="164" fontId="0" fillId="0" borderId="19" xfId="1" applyNumberFormat="1" applyFont="1" applyBorder="1"/>
    <xf numFmtId="0" fontId="0" fillId="0" borderId="20" xfId="0" applyBorder="1"/>
    <xf numFmtId="164" fontId="0" fillId="0" borderId="21" xfId="0" applyNumberFormat="1" applyBorder="1"/>
    <xf numFmtId="0" fontId="0" fillId="0" borderId="20" xfId="0" applyBorder="1" applyAlignment="1">
      <alignment horizontal="right"/>
    </xf>
    <xf numFmtId="12" fontId="0" fillId="0" borderId="21" xfId="0" applyNumberFormat="1" applyBorder="1" applyAlignment="1">
      <alignment horizontal="center"/>
    </xf>
    <xf numFmtId="164" fontId="0" fillId="0" borderId="22" xfId="0" applyNumberFormat="1" applyBorder="1"/>
    <xf numFmtId="0" fontId="0" fillId="0" borderId="23" xfId="0" applyBorder="1"/>
    <xf numFmtId="43" fontId="0" fillId="0" borderId="24" xfId="0" applyNumberFormat="1" applyBorder="1"/>
    <xf numFmtId="0" fontId="0" fillId="0" borderId="27" xfId="0" applyFill="1" applyBorder="1" applyAlignment="1">
      <alignment horizontal="right"/>
    </xf>
    <xf numFmtId="13" fontId="0" fillId="0" borderId="28" xfId="0" applyNumberFormat="1" applyBorder="1" applyAlignment="1">
      <alignment horizontal="center"/>
    </xf>
    <xf numFmtId="0" fontId="0" fillId="0" borderId="29" xfId="0" applyFill="1" applyBorder="1"/>
    <xf numFmtId="0" fontId="0" fillId="0" borderId="29" xfId="0" applyFill="1" applyBorder="1" applyAlignment="1">
      <alignment horizontal="right"/>
    </xf>
    <xf numFmtId="13" fontId="0" fillId="0" borderId="22" xfId="0" applyNumberFormat="1" applyBorder="1" applyAlignment="1">
      <alignment horizontal="center"/>
    </xf>
    <xf numFmtId="0" fontId="0" fillId="0" borderId="30" xfId="0" applyFill="1" applyBorder="1"/>
    <xf numFmtId="164" fontId="0" fillId="0" borderId="24" xfId="0" applyNumberFormat="1" applyBorder="1"/>
    <xf numFmtId="0" fontId="0" fillId="0" borderId="31" xfId="0" applyBorder="1"/>
    <xf numFmtId="13" fontId="0" fillId="0" borderId="19" xfId="0" applyNumberFormat="1" applyBorder="1"/>
    <xf numFmtId="0" fontId="6" fillId="0" borderId="32" xfId="0" applyFont="1" applyBorder="1"/>
    <xf numFmtId="167" fontId="6" fillId="0" borderId="21" xfId="0" applyNumberFormat="1" applyFont="1" applyBorder="1"/>
    <xf numFmtId="0" fontId="0" fillId="0" borderId="32" xfId="0" applyBorder="1"/>
    <xf numFmtId="167" fontId="0" fillId="0" borderId="21" xfId="0" applyNumberFormat="1" applyBorder="1"/>
    <xf numFmtId="3" fontId="6" fillId="0" borderId="21" xfId="0" applyNumberFormat="1" applyFont="1" applyBorder="1"/>
    <xf numFmtId="3" fontId="0" fillId="0" borderId="21" xfId="0" applyNumberFormat="1" applyBorder="1"/>
    <xf numFmtId="3" fontId="0" fillId="2" borderId="33" xfId="0" applyNumberFormat="1" applyFill="1" applyBorder="1"/>
    <xf numFmtId="0" fontId="0" fillId="0" borderId="36" xfId="0" applyBorder="1"/>
    <xf numFmtId="165" fontId="0" fillId="0" borderId="21" xfId="0" applyNumberFormat="1" applyBorder="1"/>
    <xf numFmtId="0" fontId="0" fillId="0" borderId="0" xfId="0"/>
    <xf numFmtId="165" fontId="0" fillId="0" borderId="1" xfId="0" applyNumberFormat="1" applyBorder="1"/>
    <xf numFmtId="165" fontId="0" fillId="0" borderId="4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14" xfId="0" applyNumberFormat="1" applyBorder="1"/>
    <xf numFmtId="3" fontId="0" fillId="2" borderId="9" xfId="0" applyNumberFormat="1" applyFill="1" applyBorder="1"/>
    <xf numFmtId="3" fontId="0" fillId="2" borderId="10" xfId="0" applyNumberFormat="1" applyFill="1" applyBorder="1"/>
    <xf numFmtId="0" fontId="0" fillId="0" borderId="37" xfId="0" applyFill="1" applyBorder="1"/>
    <xf numFmtId="0" fontId="3" fillId="0" borderId="39" xfId="0" applyFont="1" applyFill="1" applyBorder="1"/>
    <xf numFmtId="166" fontId="3" fillId="0" borderId="40" xfId="0" applyNumberFormat="1" applyFont="1" applyBorder="1"/>
    <xf numFmtId="166" fontId="3" fillId="0" borderId="41" xfId="0" applyNumberFormat="1" applyFont="1" applyBorder="1"/>
    <xf numFmtId="0" fontId="0" fillId="0" borderId="43" xfId="0" applyBorder="1"/>
    <xf numFmtId="0" fontId="0" fillId="0" borderId="0" xfId="0" applyBorder="1"/>
    <xf numFmtId="3" fontId="0" fillId="0" borderId="0" xfId="0" applyNumberFormat="1" applyBorder="1"/>
    <xf numFmtId="0" fontId="0" fillId="0" borderId="44" xfId="0" applyBorder="1"/>
    <xf numFmtId="3" fontId="0" fillId="0" borderId="45" xfId="0" applyNumberFormat="1" applyBorder="1"/>
    <xf numFmtId="3" fontId="0" fillId="0" borderId="8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19" xfId="0" applyNumberFormat="1" applyBorder="1"/>
    <xf numFmtId="0" fontId="0" fillId="0" borderId="20" xfId="0" applyFill="1" applyBorder="1"/>
    <xf numFmtId="0" fontId="0" fillId="0" borderId="47" xfId="0" applyFill="1" applyBorder="1"/>
    <xf numFmtId="167" fontId="0" fillId="0" borderId="48" xfId="0" applyNumberFormat="1" applyBorder="1"/>
    <xf numFmtId="167" fontId="0" fillId="0" borderId="34" xfId="0" applyNumberFormat="1" applyBorder="1"/>
    <xf numFmtId="167" fontId="0" fillId="0" borderId="35" xfId="0" applyNumberFormat="1" applyBorder="1"/>
    <xf numFmtId="3" fontId="0" fillId="0" borderId="0" xfId="0" applyNumberFormat="1" applyFill="1" applyBorder="1"/>
    <xf numFmtId="165" fontId="0" fillId="0" borderId="19" xfId="0" applyNumberFormat="1" applyBorder="1"/>
    <xf numFmtId="0" fontId="3" fillId="0" borderId="51" xfId="0" applyFont="1" applyFill="1" applyBorder="1" applyAlignment="1">
      <alignment horizontal="right"/>
    </xf>
    <xf numFmtId="165" fontId="3" fillId="0" borderId="34" xfId="0" applyNumberFormat="1" applyFont="1" applyBorder="1"/>
    <xf numFmtId="165" fontId="3" fillId="0" borderId="35" xfId="0" applyNumberFormat="1" applyFont="1" applyBorder="1"/>
    <xf numFmtId="0" fontId="0" fillId="0" borderId="0" xfId="0" applyAlignment="1">
      <alignment horizontal="center"/>
    </xf>
    <xf numFmtId="10" fontId="0" fillId="0" borderId="0" xfId="2" applyNumberFormat="1" applyFont="1"/>
    <xf numFmtId="165" fontId="0" fillId="0" borderId="0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wrapText="1"/>
    </xf>
    <xf numFmtId="0" fontId="3" fillId="0" borderId="0" xfId="0" applyFont="1" applyAlignment="1">
      <alignment horizontal="right"/>
    </xf>
    <xf numFmtId="169" fontId="0" fillId="0" borderId="0" xfId="0" applyNumberFormat="1" applyBorder="1" applyAlignment="1">
      <alignment horizontal="center" vertical="center" wrapText="1"/>
    </xf>
    <xf numFmtId="169" fontId="0" fillId="0" borderId="52" xfId="0" applyNumberFormat="1" applyBorder="1" applyAlignment="1">
      <alignment horizontal="center" vertical="center" wrapText="1"/>
    </xf>
    <xf numFmtId="168" fontId="3" fillId="0" borderId="58" xfId="0" applyNumberFormat="1" applyFont="1" applyBorder="1" applyAlignment="1">
      <alignment horizontal="right" vertical="center" wrapText="1"/>
    </xf>
    <xf numFmtId="0" fontId="3" fillId="0" borderId="60" xfId="0" applyFont="1" applyBorder="1" applyAlignment="1">
      <alignment horizontal="center" vertical="center" wrapText="1"/>
    </xf>
    <xf numFmtId="3" fontId="3" fillId="0" borderId="58" xfId="0" applyNumberFormat="1" applyFont="1" applyBorder="1" applyAlignment="1">
      <alignment horizontal="right" vertical="center" wrapText="1"/>
    </xf>
    <xf numFmtId="3" fontId="3" fillId="0" borderId="60" xfId="0" applyNumberFormat="1" applyFont="1" applyBorder="1" applyAlignment="1">
      <alignment horizontal="right" vertical="center" wrapText="1"/>
    </xf>
    <xf numFmtId="169" fontId="0" fillId="8" borderId="0" xfId="0" applyNumberForma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right" vertical="center" wrapText="1"/>
    </xf>
    <xf numFmtId="169" fontId="0" fillId="0" borderId="46" xfId="0" applyNumberFormat="1" applyBorder="1" applyAlignment="1">
      <alignment horizontal="center" vertical="center" wrapText="1"/>
    </xf>
    <xf numFmtId="0" fontId="3" fillId="0" borderId="30" xfId="0" applyFont="1" applyBorder="1" applyAlignment="1">
      <alignment horizontal="right" vertical="center" wrapText="1"/>
    </xf>
    <xf numFmtId="169" fontId="0" fillId="0" borderId="65" xfId="0" applyNumberFormat="1" applyBorder="1" applyAlignment="1">
      <alignment horizontal="center" vertical="center" wrapText="1"/>
    </xf>
    <xf numFmtId="0" fontId="3" fillId="0" borderId="29" xfId="0" applyFont="1" applyBorder="1" applyAlignment="1">
      <alignment horizontal="right" vertical="center" wrapText="1"/>
    </xf>
    <xf numFmtId="0" fontId="3" fillId="0" borderId="29" xfId="0" applyFont="1" applyBorder="1" applyAlignment="1">
      <alignment horizontal="right" vertical="center"/>
    </xf>
    <xf numFmtId="169" fontId="0" fillId="8" borderId="46" xfId="0" applyNumberFormat="1" applyFill="1" applyBorder="1" applyAlignment="1">
      <alignment horizontal="center" vertical="center" wrapText="1"/>
    </xf>
    <xf numFmtId="0" fontId="3" fillId="0" borderId="66" xfId="0" applyFont="1" applyBorder="1" applyAlignment="1">
      <alignment horizontal="right" vertical="center"/>
    </xf>
    <xf numFmtId="0" fontId="3" fillId="0" borderId="67" xfId="0" applyFont="1" applyBorder="1" applyAlignment="1">
      <alignment horizontal="center" vertical="center" wrapText="1"/>
    </xf>
    <xf numFmtId="169" fontId="0" fillId="8" borderId="68" xfId="0" applyNumberFormat="1" applyFill="1" applyBorder="1" applyAlignment="1">
      <alignment horizontal="center" vertical="center" wrapText="1"/>
    </xf>
    <xf numFmtId="169" fontId="0" fillId="8" borderId="42" xfId="0" applyNumberFormat="1" applyFill="1" applyBorder="1" applyAlignment="1">
      <alignment horizontal="center" vertical="center" wrapText="1"/>
    </xf>
    <xf numFmtId="0" fontId="3" fillId="6" borderId="64" xfId="0" applyFont="1" applyFill="1" applyBorder="1" applyAlignment="1">
      <alignment horizontal="center" vertical="center" wrapText="1"/>
    </xf>
    <xf numFmtId="0" fontId="3" fillId="6" borderId="46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5" borderId="25" xfId="0" applyFont="1" applyFill="1" applyBorder="1" applyAlignment="1">
      <alignment horizontal="right" vertical="center" wrapText="1"/>
    </xf>
    <xf numFmtId="0" fontId="3" fillId="0" borderId="49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166" fontId="3" fillId="0" borderId="0" xfId="0" applyNumberFormat="1" applyFont="1" applyFill="1" applyBorder="1"/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4" fontId="0" fillId="0" borderId="0" xfId="0" applyNumberFormat="1" applyBorder="1" applyAlignment="1">
      <alignment vertical="center"/>
    </xf>
    <xf numFmtId="13" fontId="0" fillId="0" borderId="0" xfId="0" applyNumberFormat="1" applyBorder="1" applyAlignment="1">
      <alignment vertical="center"/>
    </xf>
    <xf numFmtId="0" fontId="0" fillId="0" borderId="46" xfId="0" applyBorder="1" applyAlignment="1">
      <alignment vertical="center"/>
    </xf>
    <xf numFmtId="1" fontId="0" fillId="0" borderId="68" xfId="0" applyNumberFormat="1" applyBorder="1" applyAlignment="1">
      <alignment vertical="center"/>
    </xf>
    <xf numFmtId="3" fontId="0" fillId="0" borderId="68" xfId="0" applyNumberFormat="1" applyBorder="1" applyAlignment="1">
      <alignment vertical="center"/>
    </xf>
    <xf numFmtId="0" fontId="0" fillId="0" borderId="68" xfId="0" applyBorder="1" applyAlignment="1">
      <alignment vertical="center"/>
    </xf>
    <xf numFmtId="4" fontId="0" fillId="0" borderId="68" xfId="0" applyNumberFormat="1" applyBorder="1" applyAlignment="1">
      <alignment vertical="center"/>
    </xf>
    <xf numFmtId="13" fontId="0" fillId="0" borderId="68" xfId="0" applyNumberFormat="1" applyBorder="1" applyAlignment="1">
      <alignment vertical="center"/>
    </xf>
    <xf numFmtId="0" fontId="0" fillId="0" borderId="42" xfId="0" applyBorder="1" applyAlignment="1">
      <alignment vertical="center"/>
    </xf>
    <xf numFmtId="0" fontId="3" fillId="0" borderId="70" xfId="0" applyFont="1" applyBorder="1" applyAlignment="1">
      <alignment horizontal="right" vertical="center"/>
    </xf>
    <xf numFmtId="0" fontId="3" fillId="0" borderId="59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12" fontId="5" fillId="5" borderId="16" xfId="0" applyNumberFormat="1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12" fontId="5" fillId="5" borderId="6" xfId="0" applyNumberFormat="1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165" fontId="3" fillId="0" borderId="0" xfId="0" applyNumberFormat="1" applyFont="1" applyBorder="1"/>
    <xf numFmtId="170" fontId="3" fillId="0" borderId="58" xfId="0" applyNumberFormat="1" applyFont="1" applyBorder="1" applyAlignment="1">
      <alignment horizontal="right" vertical="center" wrapText="1"/>
    </xf>
    <xf numFmtId="2" fontId="0" fillId="0" borderId="52" xfId="0" applyNumberFormat="1" applyBorder="1" applyAlignment="1">
      <alignment horizontal="center" vertical="center" wrapText="1"/>
    </xf>
    <xf numFmtId="2" fontId="0" fillId="0" borderId="65" xfId="0" applyNumberFormat="1" applyBorder="1" applyAlignment="1">
      <alignment horizontal="center" vertical="center" wrapText="1"/>
    </xf>
    <xf numFmtId="0" fontId="3" fillId="0" borderId="66" xfId="0" applyFont="1" applyBorder="1" applyAlignment="1">
      <alignment horizontal="right" vertical="center" wrapText="1"/>
    </xf>
    <xf numFmtId="170" fontId="3" fillId="0" borderId="67" xfId="0" applyNumberFormat="1" applyFont="1" applyBorder="1" applyAlignment="1">
      <alignment horizontal="right" vertical="center" wrapText="1"/>
    </xf>
    <xf numFmtId="169" fontId="0" fillId="0" borderId="68" xfId="0" applyNumberFormat="1" applyBorder="1" applyAlignment="1">
      <alignment horizontal="center" vertical="center" wrapText="1"/>
    </xf>
    <xf numFmtId="169" fontId="0" fillId="0" borderId="42" xfId="0" applyNumberFormat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wrapText="1"/>
    </xf>
    <xf numFmtId="0" fontId="3" fillId="5" borderId="65" xfId="0" quotePrefix="1" applyFont="1" applyFill="1" applyBorder="1" applyAlignment="1">
      <alignment horizontal="center" wrapText="1"/>
    </xf>
    <xf numFmtId="0" fontId="3" fillId="5" borderId="26" xfId="0" applyFont="1" applyFill="1" applyBorder="1" applyAlignment="1">
      <alignment horizontal="center" wrapText="1"/>
    </xf>
    <xf numFmtId="3" fontId="0" fillId="2" borderId="73" xfId="0" applyNumberFormat="1" applyFill="1" applyBorder="1"/>
    <xf numFmtId="164" fontId="0" fillId="0" borderId="74" xfId="1" applyNumberFormat="1" applyFont="1" applyBorder="1"/>
    <xf numFmtId="0" fontId="0" fillId="0" borderId="72" xfId="0" applyBorder="1" applyAlignment="1">
      <alignment horizontal="right"/>
    </xf>
    <xf numFmtId="10" fontId="0" fillId="0" borderId="74" xfId="2" applyNumberFormat="1" applyFont="1" applyBorder="1"/>
    <xf numFmtId="10" fontId="0" fillId="0" borderId="21" xfId="2" applyNumberFormat="1" applyFont="1" applyBorder="1"/>
    <xf numFmtId="0" fontId="0" fillId="0" borderId="72" xfId="0" applyBorder="1" applyAlignment="1">
      <alignment horizontal="left"/>
    </xf>
    <xf numFmtId="164" fontId="0" fillId="0" borderId="21" xfId="1" applyNumberFormat="1" applyFont="1" applyBorder="1"/>
    <xf numFmtId="2" fontId="0" fillId="0" borderId="52" xfId="0" quotePrefix="1" applyNumberFormat="1" applyBorder="1" applyAlignment="1">
      <alignment horizontal="center" vertical="center" wrapText="1"/>
    </xf>
    <xf numFmtId="2" fontId="0" fillId="0" borderId="65" xfId="0" quotePrefix="1" applyNumberFormat="1" applyBorder="1" applyAlignment="1">
      <alignment horizontal="center" vertical="center" wrapText="1"/>
    </xf>
    <xf numFmtId="164" fontId="0" fillId="0" borderId="52" xfId="1" quotePrefix="1" applyNumberFormat="1" applyFont="1" applyBorder="1" applyAlignment="1">
      <alignment horizontal="center" vertical="center" wrapText="1"/>
    </xf>
    <xf numFmtId="164" fontId="0" fillId="0" borderId="52" xfId="1" applyNumberFormat="1" applyFont="1" applyBorder="1" applyAlignment="1">
      <alignment horizontal="center" vertical="center" wrapText="1"/>
    </xf>
    <xf numFmtId="164" fontId="0" fillId="0" borderId="65" xfId="1" quotePrefix="1" applyNumberFormat="1" applyFont="1" applyBorder="1" applyAlignment="1">
      <alignment horizontal="center" vertical="center" wrapText="1"/>
    </xf>
    <xf numFmtId="169" fontId="0" fillId="0" borderId="0" xfId="0" quotePrefix="1" applyNumberFormat="1" applyBorder="1" applyAlignment="1">
      <alignment horizontal="center" vertical="center" wrapText="1"/>
    </xf>
    <xf numFmtId="164" fontId="0" fillId="0" borderId="68" xfId="1" applyNumberFormat="1" applyFont="1" applyBorder="1" applyAlignment="1">
      <alignment horizontal="center" vertical="center" wrapText="1"/>
    </xf>
    <xf numFmtId="164" fontId="0" fillId="0" borderId="42" xfId="1" applyNumberFormat="1" applyFont="1" applyBorder="1" applyAlignment="1">
      <alignment horizontal="center" vertical="center" wrapText="1"/>
    </xf>
    <xf numFmtId="13" fontId="0" fillId="0" borderId="0" xfId="0" applyNumberForma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wrapText="1"/>
    </xf>
    <xf numFmtId="0" fontId="3" fillId="7" borderId="64" xfId="0" applyFont="1" applyFill="1" applyBorder="1" applyAlignment="1">
      <alignment horizontal="center" wrapText="1"/>
    </xf>
    <xf numFmtId="164" fontId="0" fillId="0" borderId="46" xfId="1" applyNumberFormat="1" applyFont="1" applyBorder="1" applyAlignment="1">
      <alignment horizontal="center" vertical="center" wrapText="1"/>
    </xf>
    <xf numFmtId="168" fontId="3" fillId="0" borderId="67" xfId="0" applyNumberFormat="1" applyFont="1" applyBorder="1" applyAlignment="1">
      <alignment horizontal="right" vertical="center" wrapText="1"/>
    </xf>
    <xf numFmtId="171" fontId="0" fillId="0" borderId="0" xfId="0" applyNumberFormat="1" applyBorder="1" applyAlignment="1">
      <alignment horizontal="right" vertical="center" wrapText="1"/>
    </xf>
    <xf numFmtId="171" fontId="0" fillId="0" borderId="46" xfId="0" applyNumberFormat="1" applyBorder="1" applyAlignment="1">
      <alignment horizontal="right" vertical="center" wrapText="1"/>
    </xf>
    <xf numFmtId="0" fontId="3" fillId="7" borderId="2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171" fontId="0" fillId="0" borderId="53" xfId="0" applyNumberFormat="1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29" xfId="0" applyBorder="1" applyAlignment="1">
      <alignment horizontal="center"/>
    </xf>
    <xf numFmtId="17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6" xfId="0" applyBorder="1" applyAlignment="1">
      <alignment horizontal="center"/>
    </xf>
    <xf numFmtId="171" fontId="0" fillId="0" borderId="68" xfId="0" applyNumberFormat="1" applyBorder="1" applyAlignment="1">
      <alignment horizontal="right"/>
    </xf>
    <xf numFmtId="0" fontId="0" fillId="0" borderId="68" xfId="0" applyBorder="1" applyAlignment="1">
      <alignment horizontal="right"/>
    </xf>
    <xf numFmtId="0" fontId="3" fillId="7" borderId="76" xfId="0" applyFont="1" applyFill="1" applyBorder="1" applyAlignment="1">
      <alignment horizontal="center"/>
    </xf>
    <xf numFmtId="169" fontId="0" fillId="0" borderId="38" xfId="0" applyNumberFormat="1" applyBorder="1" applyAlignment="1">
      <alignment horizontal="center" vertical="center" wrapText="1"/>
    </xf>
    <xf numFmtId="169" fontId="0" fillId="0" borderId="77" xfId="0" applyNumberFormat="1" applyBorder="1" applyAlignment="1">
      <alignment horizontal="center" vertical="center" wrapText="1"/>
    </xf>
    <xf numFmtId="169" fontId="0" fillId="0" borderId="78" xfId="0" applyNumberFormat="1" applyBorder="1" applyAlignment="1">
      <alignment horizontal="center" vertical="center" wrapText="1"/>
    </xf>
    <xf numFmtId="0" fontId="0" fillId="0" borderId="79" xfId="0" applyBorder="1"/>
    <xf numFmtId="3" fontId="0" fillId="2" borderId="80" xfId="0" applyNumberFormat="1" applyFill="1" applyBorder="1"/>
    <xf numFmtId="172" fontId="0" fillId="0" borderId="81" xfId="0" applyNumberFormat="1" applyBorder="1"/>
    <xf numFmtId="172" fontId="0" fillId="0" borderId="82" xfId="0" applyNumberFormat="1" applyBorder="1"/>
    <xf numFmtId="0" fontId="0" fillId="0" borderId="79" xfId="0" applyFill="1" applyBorder="1"/>
    <xf numFmtId="167" fontId="0" fillId="0" borderId="81" xfId="0" applyNumberFormat="1" applyBorder="1"/>
    <xf numFmtId="167" fontId="0" fillId="0" borderId="83" xfId="0" applyNumberFormat="1" applyBorder="1"/>
    <xf numFmtId="167" fontId="0" fillId="0" borderId="84" xfId="0" applyNumberFormat="1" applyBorder="1"/>
    <xf numFmtId="165" fontId="2" fillId="0" borderId="1" xfId="0" applyNumberFormat="1" applyFont="1" applyBorder="1"/>
    <xf numFmtId="167" fontId="0" fillId="0" borderId="0" xfId="0" applyNumberFormat="1" applyFill="1" applyBorder="1"/>
    <xf numFmtId="165" fontId="9" fillId="0" borderId="1" xfId="0" applyNumberFormat="1" applyFont="1" applyBorder="1"/>
    <xf numFmtId="0" fontId="3" fillId="7" borderId="85" xfId="0" applyFont="1" applyFill="1" applyBorder="1" applyAlignment="1">
      <alignment horizontal="center" wrapText="1"/>
    </xf>
    <xf numFmtId="0" fontId="3" fillId="7" borderId="86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right" vertical="center" wrapText="1"/>
    </xf>
    <xf numFmtId="169" fontId="0" fillId="0" borderId="46" xfId="0" quotePrefix="1" applyNumberFormat="1" applyBorder="1" applyAlignment="1">
      <alignment horizontal="center" vertical="center" wrapText="1"/>
    </xf>
    <xf numFmtId="165" fontId="9" fillId="0" borderId="4" xfId="0" applyNumberFormat="1" applyFont="1" applyBorder="1"/>
    <xf numFmtId="0" fontId="0" fillId="0" borderId="0" xfId="0" applyAlignment="1"/>
    <xf numFmtId="165" fontId="9" fillId="0" borderId="88" xfId="0" applyNumberFormat="1" applyFont="1" applyBorder="1"/>
    <xf numFmtId="165" fontId="0" fillId="0" borderId="89" xfId="0" applyNumberFormat="1" applyBorder="1"/>
    <xf numFmtId="165" fontId="2" fillId="0" borderId="89" xfId="0" applyNumberFormat="1" applyFont="1" applyBorder="1"/>
    <xf numFmtId="166" fontId="3" fillId="0" borderId="91" xfId="0" applyNumberFormat="1" applyFont="1" applyBorder="1"/>
    <xf numFmtId="0" fontId="0" fillId="5" borderId="87" xfId="0" applyFill="1" applyBorder="1" applyAlignment="1">
      <alignment horizontal="center"/>
    </xf>
    <xf numFmtId="0" fontId="3" fillId="5" borderId="92" xfId="0" applyFont="1" applyFill="1" applyBorder="1" applyAlignment="1">
      <alignment horizontal="center"/>
    </xf>
    <xf numFmtId="0" fontId="8" fillId="3" borderId="93" xfId="0" applyFont="1" applyFill="1" applyBorder="1" applyAlignment="1">
      <alignment horizontal="center"/>
    </xf>
    <xf numFmtId="10" fontId="10" fillId="0" borderId="94" xfId="2" applyNumberFormat="1" applyFont="1" applyBorder="1"/>
    <xf numFmtId="10" fontId="10" fillId="0" borderId="95" xfId="2" applyNumberFormat="1" applyFont="1" applyBorder="1"/>
    <xf numFmtId="10" fontId="10" fillId="0" borderId="96" xfId="2" applyNumberFormat="1" applyFont="1" applyBorder="1"/>
    <xf numFmtId="0" fontId="5" fillId="3" borderId="0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3" fillId="6" borderId="46" xfId="0" applyFont="1" applyFill="1" applyBorder="1" applyAlignment="1">
      <alignment horizontal="center" vertical="center" wrapText="1"/>
    </xf>
    <xf numFmtId="0" fontId="3" fillId="6" borderId="64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right" vertical="center" wrapText="1"/>
    </xf>
    <xf numFmtId="0" fontId="3" fillId="0" borderId="29" xfId="0" applyFont="1" applyBorder="1" applyAlignment="1">
      <alignment horizontal="right" vertical="center"/>
    </xf>
    <xf numFmtId="0" fontId="3" fillId="6" borderId="46" xfId="0" applyFont="1" applyFill="1" applyBorder="1" applyAlignment="1">
      <alignment horizontal="center" vertical="center" wrapText="1"/>
    </xf>
    <xf numFmtId="0" fontId="3" fillId="6" borderId="64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right" vertical="center" wrapText="1"/>
    </xf>
    <xf numFmtId="0" fontId="3" fillId="0" borderId="29" xfId="0" applyFont="1" applyBorder="1" applyAlignment="1">
      <alignment horizontal="right" vertical="center"/>
    </xf>
    <xf numFmtId="1" fontId="0" fillId="0" borderId="59" xfId="0" applyNumberFormat="1" applyBorder="1" applyAlignment="1">
      <alignment vertical="center"/>
    </xf>
    <xf numFmtId="1" fontId="0" fillId="0" borderId="52" xfId="0" applyNumberFormat="1" applyBorder="1" applyAlignment="1">
      <alignment vertical="center"/>
    </xf>
    <xf numFmtId="3" fontId="0" fillId="0" borderId="52" xfId="0" applyNumberFormat="1" applyBorder="1" applyAlignment="1">
      <alignment vertical="center"/>
    </xf>
    <xf numFmtId="0" fontId="0" fillId="0" borderId="52" xfId="0" applyBorder="1" applyAlignment="1">
      <alignment vertical="center"/>
    </xf>
    <xf numFmtId="4" fontId="0" fillId="0" borderId="52" xfId="0" applyNumberFormat="1" applyBorder="1" applyAlignment="1">
      <alignment vertical="center"/>
    </xf>
    <xf numFmtId="13" fontId="0" fillId="0" borderId="52" xfId="0" applyNumberFormat="1" applyBorder="1" applyAlignment="1">
      <alignment vertical="center"/>
    </xf>
    <xf numFmtId="0" fontId="0" fillId="0" borderId="65" xfId="0" applyBorder="1" applyAlignment="1">
      <alignment vertical="center"/>
    </xf>
    <xf numFmtId="0" fontId="3" fillId="0" borderId="71" xfId="0" applyFont="1" applyFill="1" applyBorder="1" applyAlignment="1">
      <alignment horizontal="right" vertical="center"/>
    </xf>
    <xf numFmtId="0" fontId="3" fillId="0" borderId="101" xfId="0" applyFont="1" applyBorder="1" applyAlignment="1">
      <alignment horizontal="right" vertical="center"/>
    </xf>
    <xf numFmtId="4" fontId="0" fillId="0" borderId="64" xfId="0" applyNumberFormat="1" applyBorder="1" applyAlignment="1">
      <alignment vertical="center"/>
    </xf>
    <xf numFmtId="4" fontId="0" fillId="0" borderId="46" xfId="0" applyNumberFormat="1" applyBorder="1" applyAlignment="1">
      <alignment vertical="center"/>
    </xf>
    <xf numFmtId="4" fontId="0" fillId="0" borderId="42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69" fontId="0" fillId="0" borderId="46" xfId="0" applyNumberFormat="1" applyFill="1" applyBorder="1" applyAlignment="1">
      <alignment horizontal="center" vertical="center" wrapText="1"/>
    </xf>
    <xf numFmtId="169" fontId="0" fillId="0" borderId="42" xfId="0" applyNumberFormat="1" applyFill="1" applyBorder="1" applyAlignment="1">
      <alignment horizontal="center" vertical="center" wrapText="1"/>
    </xf>
    <xf numFmtId="169" fontId="0" fillId="0" borderId="0" xfId="0" applyNumberFormat="1" applyFill="1" applyBorder="1" applyAlignment="1">
      <alignment horizontal="center" vertical="center" wrapText="1"/>
    </xf>
    <xf numFmtId="169" fontId="0" fillId="0" borderId="68" xfId="0" applyNumberFormat="1" applyFill="1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wrapText="1"/>
    </xf>
    <xf numFmtId="165" fontId="0" fillId="0" borderId="102" xfId="0" applyNumberFormat="1" applyBorder="1"/>
    <xf numFmtId="165" fontId="0" fillId="0" borderId="81" xfId="0" applyNumberFormat="1" applyBorder="1"/>
    <xf numFmtId="10" fontId="10" fillId="0" borderId="103" xfId="2" applyNumberFormat="1" applyFont="1" applyBorder="1"/>
    <xf numFmtId="0" fontId="11" fillId="0" borderId="0" xfId="0" applyFont="1"/>
    <xf numFmtId="165" fontId="0" fillId="0" borderId="104" xfId="0" applyNumberFormat="1" applyBorder="1"/>
    <xf numFmtId="0" fontId="11" fillId="0" borderId="0" xfId="0" applyFont="1" applyFill="1"/>
    <xf numFmtId="0" fontId="11" fillId="0" borderId="42" xfId="0" applyFont="1" applyBorder="1"/>
    <xf numFmtId="165" fontId="0" fillId="0" borderId="105" xfId="0" applyNumberFormat="1" applyBorder="1"/>
    <xf numFmtId="165" fontId="0" fillId="0" borderId="106" xfId="0" applyNumberFormat="1" applyBorder="1"/>
    <xf numFmtId="0" fontId="3" fillId="0" borderId="29" xfId="0" applyFont="1" applyBorder="1" applyAlignment="1">
      <alignment horizontal="right" vertical="center"/>
    </xf>
    <xf numFmtId="0" fontId="3" fillId="0" borderId="29" xfId="0" applyFont="1" applyBorder="1" applyAlignment="1">
      <alignment horizontal="right" vertical="center" wrapText="1"/>
    </xf>
    <xf numFmtId="0" fontId="3" fillId="6" borderId="64" xfId="0" applyFont="1" applyFill="1" applyBorder="1" applyAlignment="1">
      <alignment horizontal="center" vertical="center" wrapText="1"/>
    </xf>
    <xf numFmtId="0" fontId="3" fillId="6" borderId="4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55" xfId="0" applyFont="1" applyFill="1" applyBorder="1" applyAlignment="1">
      <alignment horizontal="center" vertical="center" wrapText="1"/>
    </xf>
    <xf numFmtId="0" fontId="8" fillId="5" borderId="54" xfId="0" applyFont="1" applyFill="1" applyBorder="1" applyAlignment="1">
      <alignment horizontal="right" vertical="center" wrapText="1"/>
    </xf>
    <xf numFmtId="0" fontId="8" fillId="5" borderId="6" xfId="0" applyFont="1" applyFill="1" applyBorder="1" applyAlignment="1">
      <alignment horizontal="right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5" fillId="3" borderId="61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63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0" fontId="3" fillId="0" borderId="9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8" fillId="3" borderId="98" xfId="0" applyFont="1" applyFill="1" applyBorder="1" applyAlignment="1">
      <alignment horizontal="center"/>
    </xf>
    <xf numFmtId="0" fontId="8" fillId="3" borderId="99" xfId="0" applyFont="1" applyFill="1" applyBorder="1" applyAlignment="1">
      <alignment horizontal="center"/>
    </xf>
    <xf numFmtId="0" fontId="8" fillId="3" borderId="100" xfId="0" applyFont="1" applyFill="1" applyBorder="1" applyAlignment="1">
      <alignment horizontal="center"/>
    </xf>
    <xf numFmtId="10" fontId="4" fillId="5" borderId="6" xfId="2" applyNumberFormat="1" applyFont="1" applyFill="1" applyBorder="1" applyAlignment="1">
      <alignment horizontal="center" vertical="center" wrapText="1"/>
    </xf>
    <xf numFmtId="10" fontId="4" fillId="5" borderId="55" xfId="2" applyNumberFormat="1" applyFont="1" applyFill="1" applyBorder="1" applyAlignment="1">
      <alignment horizontal="center" vertical="center" wrapText="1"/>
    </xf>
    <xf numFmtId="0" fontId="3" fillId="0" borderId="66" xfId="0" applyFont="1" applyBorder="1" applyAlignment="1">
      <alignment horizontal="right"/>
    </xf>
    <xf numFmtId="0" fontId="3" fillId="0" borderId="68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0" fontId="3" fillId="0" borderId="90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8" fillId="3" borderId="61" xfId="0" applyFont="1" applyFill="1" applyBorder="1" applyAlignment="1">
      <alignment horizontal="center"/>
    </xf>
    <xf numFmtId="0" fontId="8" fillId="3" borderId="62" xfId="0" applyFont="1" applyFill="1" applyBorder="1" applyAlignment="1">
      <alignment horizontal="center"/>
    </xf>
    <xf numFmtId="0" fontId="8" fillId="3" borderId="63" xfId="0" applyFont="1" applyFill="1" applyBorder="1" applyAlignment="1">
      <alignment horizont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5" fillId="5" borderId="25" xfId="0" applyFont="1" applyFill="1" applyBorder="1" applyAlignment="1">
      <alignment horizontal="right"/>
    </xf>
    <xf numFmtId="0" fontId="5" fillId="5" borderId="6" xfId="0" applyFont="1" applyFill="1" applyBorder="1" applyAlignment="1">
      <alignment horizontal="right"/>
    </xf>
    <xf numFmtId="0" fontId="3" fillId="0" borderId="53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right"/>
    </xf>
    <xf numFmtId="0" fontId="5" fillId="5" borderId="15" xfId="0" applyFont="1" applyFill="1" applyBorder="1" applyAlignment="1">
      <alignment horizontal="right"/>
    </xf>
    <xf numFmtId="0" fontId="3" fillId="0" borderId="37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right" vertical="center"/>
    </xf>
    <xf numFmtId="0" fontId="3" fillId="0" borderId="60" xfId="0" applyFont="1" applyBorder="1" applyAlignment="1">
      <alignment horizontal="right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57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right" vertical="center" wrapText="1"/>
    </xf>
    <xf numFmtId="0" fontId="3" fillId="5" borderId="52" xfId="0" applyFont="1" applyFill="1" applyBorder="1" applyAlignment="1">
      <alignment horizontal="right" vertical="center" wrapText="1"/>
    </xf>
    <xf numFmtId="0" fontId="3" fillId="0" borderId="29" xfId="0" applyFont="1" applyBorder="1" applyAlignment="1">
      <alignment horizontal="right" vertical="center" wrapText="1"/>
    </xf>
    <xf numFmtId="0" fontId="3" fillId="0" borderId="58" xfId="0" applyFont="1" applyBorder="1" applyAlignment="1">
      <alignment horizontal="right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7" fillId="4" borderId="61" xfId="0" applyFont="1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0" fillId="4" borderId="63" xfId="0" applyFill="1" applyBorder="1" applyAlignment="1">
      <alignment horizontal="center"/>
    </xf>
    <xf numFmtId="0" fontId="3" fillId="5" borderId="18" xfId="0" applyFont="1" applyFill="1" applyBorder="1" applyAlignment="1">
      <alignment horizontal="right" vertical="center" wrapText="1"/>
    </xf>
    <xf numFmtId="0" fontId="3" fillId="5" borderId="69" xfId="0" applyFont="1" applyFill="1" applyBorder="1" applyAlignment="1">
      <alignment horizontal="right" vertical="center" wrapText="1"/>
    </xf>
    <xf numFmtId="0" fontId="3" fillId="0" borderId="29" xfId="0" applyFont="1" applyBorder="1" applyAlignment="1">
      <alignment horizontal="right" vertical="center"/>
    </xf>
    <xf numFmtId="0" fontId="3" fillId="0" borderId="58" xfId="0" applyFont="1" applyBorder="1" applyAlignment="1">
      <alignment horizontal="right" vertical="center"/>
    </xf>
    <xf numFmtId="0" fontId="3" fillId="5" borderId="2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64" xfId="0" applyFont="1" applyFill="1" applyBorder="1" applyAlignment="1">
      <alignment horizontal="center" vertical="center" wrapText="1"/>
    </xf>
    <xf numFmtId="0" fontId="3" fillId="6" borderId="75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46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7" fillId="4" borderId="62" xfId="0" applyFont="1" applyFill="1" applyBorder="1" applyAlignment="1">
      <alignment horizontal="center"/>
    </xf>
    <xf numFmtId="0" fontId="7" fillId="4" borderId="63" xfId="0" applyFont="1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3" fillId="5" borderId="25" xfId="0" applyFont="1" applyFill="1" applyBorder="1" applyAlignment="1">
      <alignment horizontal="right"/>
    </xf>
    <xf numFmtId="0" fontId="3" fillId="5" borderId="6" xfId="0" applyFont="1" applyFill="1" applyBorder="1" applyAlignment="1">
      <alignment horizontal="right"/>
    </xf>
    <xf numFmtId="0" fontId="3" fillId="7" borderId="27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64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46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Radio" firstButton="1" fmlaLink="$B$49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2152650</xdr:colOff>
          <xdr:row>54</xdr:row>
          <xdr:rowOff>9525</xdr:rowOff>
        </xdr:from>
        <xdr:to>
          <xdr:col>0</xdr:col>
          <xdr:colOff>2352675</xdr:colOff>
          <xdr:row>55</xdr:row>
          <xdr:rowOff>28575</xdr:rowOff>
        </xdr:to>
        <xdr:sp macro="" textlink="">
          <xdr:nvSpPr>
            <xdr:cNvPr id="2059" name="Option 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2152650</xdr:colOff>
          <xdr:row>55</xdr:row>
          <xdr:rowOff>0</xdr:rowOff>
        </xdr:from>
        <xdr:to>
          <xdr:col>0</xdr:col>
          <xdr:colOff>2352675</xdr:colOff>
          <xdr:row>56</xdr:row>
          <xdr:rowOff>19050</xdr:rowOff>
        </xdr:to>
        <xdr:sp macro="" textlink="">
          <xdr:nvSpPr>
            <xdr:cNvPr id="2060" name="Option 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2152650</xdr:colOff>
          <xdr:row>56</xdr:row>
          <xdr:rowOff>9525</xdr:rowOff>
        </xdr:from>
        <xdr:to>
          <xdr:col>0</xdr:col>
          <xdr:colOff>2352675</xdr:colOff>
          <xdr:row>57</xdr:row>
          <xdr:rowOff>28575</xdr:rowOff>
        </xdr:to>
        <xdr:sp macro="" textlink="">
          <xdr:nvSpPr>
            <xdr:cNvPr id="2066" name="Option Butto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2152650</xdr:colOff>
          <xdr:row>58</xdr:row>
          <xdr:rowOff>0</xdr:rowOff>
        </xdr:from>
        <xdr:to>
          <xdr:col>0</xdr:col>
          <xdr:colOff>2352675</xdr:colOff>
          <xdr:row>59</xdr:row>
          <xdr:rowOff>9525</xdr:rowOff>
        </xdr:to>
        <xdr:sp macro="" textlink="">
          <xdr:nvSpPr>
            <xdr:cNvPr id="2069" name="Option 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2152650</xdr:colOff>
          <xdr:row>57</xdr:row>
          <xdr:rowOff>0</xdr:rowOff>
        </xdr:from>
        <xdr:to>
          <xdr:col>0</xdr:col>
          <xdr:colOff>2352675</xdr:colOff>
          <xdr:row>58</xdr:row>
          <xdr:rowOff>19050</xdr:rowOff>
        </xdr:to>
        <xdr:sp macro="" textlink="">
          <xdr:nvSpPr>
            <xdr:cNvPr id="2073" name="Option Button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M132"/>
  <sheetViews>
    <sheetView tabSelected="1" zoomScale="90" zoomScaleNormal="90" workbookViewId="0">
      <pane ySplit="1440" activePane="bottomLeft"/>
      <selection activeCell="I56" sqref="I56"/>
      <selection pane="bottomLeft" activeCell="A3" sqref="A3:I5"/>
    </sheetView>
  </sheetViews>
  <sheetFormatPr baseColWidth="10" defaultColWidth="11.42578125" defaultRowHeight="15" x14ac:dyDescent="0.25"/>
  <cols>
    <col min="1" max="1" width="35.42578125" bestFit="1" customWidth="1"/>
    <col min="2" max="2" width="16.42578125" bestFit="1" customWidth="1"/>
    <col min="3" max="9" width="18.42578125" customWidth="1"/>
    <col min="10" max="10" width="11.85546875" bestFit="1" customWidth="1"/>
    <col min="11" max="11" width="18.42578125" bestFit="1" customWidth="1"/>
    <col min="12" max="12" width="5.85546875" customWidth="1"/>
    <col min="13" max="13" width="14" bestFit="1" customWidth="1"/>
  </cols>
  <sheetData>
    <row r="1" spans="1:13" ht="19.5" thickTop="1" x14ac:dyDescent="0.3">
      <c r="A1" s="280" t="s">
        <v>0</v>
      </c>
      <c r="B1" s="281"/>
      <c r="C1" s="291" t="s">
        <v>170</v>
      </c>
      <c r="D1" s="292"/>
      <c r="E1" s="292"/>
      <c r="F1" s="292"/>
      <c r="G1" s="292"/>
      <c r="H1" s="292"/>
      <c r="I1" s="293"/>
    </row>
    <row r="2" spans="1:13" s="61" customFormat="1" ht="16.5" thickBot="1" x14ac:dyDescent="0.3">
      <c r="A2" s="282"/>
      <c r="B2" s="283"/>
      <c r="C2" s="227" t="s">
        <v>184</v>
      </c>
      <c r="D2" s="227" t="s">
        <v>185</v>
      </c>
      <c r="E2" s="227" t="s">
        <v>186</v>
      </c>
      <c r="F2" s="227" t="s">
        <v>187</v>
      </c>
      <c r="G2" s="227" t="s">
        <v>188</v>
      </c>
      <c r="H2" s="227" t="s">
        <v>189</v>
      </c>
      <c r="I2" s="228" t="s">
        <v>190</v>
      </c>
    </row>
    <row r="3" spans="1:13" x14ac:dyDescent="0.25">
      <c r="A3" s="34" t="s">
        <v>1</v>
      </c>
      <c r="B3" s="9">
        <v>500000000</v>
      </c>
      <c r="C3" s="5">
        <v>5000</v>
      </c>
      <c r="D3" s="4">
        <v>50000</v>
      </c>
      <c r="E3" s="4">
        <v>100000</v>
      </c>
      <c r="F3" s="4">
        <v>500000</v>
      </c>
      <c r="G3" s="4">
        <v>1000000</v>
      </c>
      <c r="H3" s="4">
        <v>5000000</v>
      </c>
      <c r="I3" s="35">
        <v>10000000</v>
      </c>
    </row>
    <row r="4" spans="1:13" s="61" customFormat="1" x14ac:dyDescent="0.25">
      <c r="A4" s="164" t="s">
        <v>138</v>
      </c>
      <c r="B4" s="162"/>
      <c r="C4" s="165">
        <v>0.05</v>
      </c>
      <c r="D4" s="165">
        <v>0.05</v>
      </c>
      <c r="E4" s="165">
        <v>0.05</v>
      </c>
      <c r="F4" s="165">
        <v>0.05</v>
      </c>
      <c r="G4" s="165">
        <v>0.05</v>
      </c>
      <c r="H4" s="165">
        <v>0.05</v>
      </c>
      <c r="I4" s="166">
        <v>0.05</v>
      </c>
    </row>
    <row r="5" spans="1:13" s="61" customFormat="1" x14ac:dyDescent="0.25">
      <c r="A5" s="167" t="s">
        <v>139</v>
      </c>
      <c r="B5" s="162"/>
      <c r="C5" s="163">
        <f>C3*C4</f>
        <v>250</v>
      </c>
      <c r="D5" s="163">
        <f t="shared" ref="D5:I5" si="0">D3*D4</f>
        <v>2500</v>
      </c>
      <c r="E5" s="163">
        <f t="shared" si="0"/>
        <v>5000</v>
      </c>
      <c r="F5" s="163">
        <f t="shared" si="0"/>
        <v>25000</v>
      </c>
      <c r="G5" s="163">
        <f t="shared" si="0"/>
        <v>50000</v>
      </c>
      <c r="H5" s="163">
        <f t="shared" si="0"/>
        <v>250000</v>
      </c>
      <c r="I5" s="168">
        <f t="shared" si="0"/>
        <v>500000</v>
      </c>
    </row>
    <row r="6" spans="1:13" x14ac:dyDescent="0.25">
      <c r="A6" s="36" t="s">
        <v>2</v>
      </c>
      <c r="B6" s="10">
        <v>64000000000</v>
      </c>
      <c r="C6" s="6">
        <f>C8/C7</f>
        <v>1000000</v>
      </c>
      <c r="D6" s="2">
        <f t="shared" ref="D6:I6" si="1">D8/D7</f>
        <v>10000000</v>
      </c>
      <c r="E6" s="2">
        <f t="shared" si="1"/>
        <v>24000000</v>
      </c>
      <c r="F6" s="2">
        <f t="shared" si="1"/>
        <v>120000000</v>
      </c>
      <c r="G6" s="2">
        <f t="shared" si="1"/>
        <v>280000000</v>
      </c>
      <c r="H6" s="2">
        <f t="shared" si="1"/>
        <v>1400000000</v>
      </c>
      <c r="I6" s="37">
        <f t="shared" si="1"/>
        <v>3200000000</v>
      </c>
    </row>
    <row r="7" spans="1:13" x14ac:dyDescent="0.25">
      <c r="A7" s="38" t="s">
        <v>3</v>
      </c>
      <c r="B7" s="12">
        <v>0.3125</v>
      </c>
      <c r="C7" s="7">
        <v>0.2</v>
      </c>
      <c r="D7" s="3">
        <v>0.2</v>
      </c>
      <c r="E7" s="3">
        <v>0.16666666666666666</v>
      </c>
      <c r="F7" s="3">
        <v>0.16666666666666666</v>
      </c>
      <c r="G7" s="3">
        <v>0.14285714285714285</v>
      </c>
      <c r="H7" s="3">
        <v>0.14285714285714285</v>
      </c>
      <c r="I7" s="39">
        <v>0.125</v>
      </c>
    </row>
    <row r="8" spans="1:13" x14ac:dyDescent="0.25">
      <c r="A8" s="36" t="s">
        <v>4</v>
      </c>
      <c r="B8" s="10">
        <v>20000000000</v>
      </c>
      <c r="C8" s="6">
        <f>C3*C9</f>
        <v>200000</v>
      </c>
      <c r="D8" s="6">
        <f t="shared" ref="D8:I8" si="2">D3*D9</f>
        <v>2000000</v>
      </c>
      <c r="E8" s="6">
        <f t="shared" si="2"/>
        <v>4000000</v>
      </c>
      <c r="F8" s="6">
        <f t="shared" si="2"/>
        <v>20000000</v>
      </c>
      <c r="G8" s="6">
        <f t="shared" si="2"/>
        <v>40000000</v>
      </c>
      <c r="H8" s="6">
        <f t="shared" si="2"/>
        <v>200000000</v>
      </c>
      <c r="I8" s="40">
        <f t="shared" si="2"/>
        <v>400000000</v>
      </c>
    </row>
    <row r="9" spans="1:13" x14ac:dyDescent="0.25">
      <c r="A9" s="36" t="s">
        <v>5</v>
      </c>
      <c r="B9" s="10">
        <f>B8/B3</f>
        <v>40</v>
      </c>
      <c r="C9" s="6">
        <f>$B9</f>
        <v>40</v>
      </c>
      <c r="D9" s="6">
        <f t="shared" ref="D9:I9" si="3">$B9</f>
        <v>40</v>
      </c>
      <c r="E9" s="6">
        <f t="shared" si="3"/>
        <v>40</v>
      </c>
      <c r="F9" s="6">
        <f t="shared" si="3"/>
        <v>40</v>
      </c>
      <c r="G9" s="6">
        <f t="shared" si="3"/>
        <v>40</v>
      </c>
      <c r="H9" s="6">
        <f t="shared" si="3"/>
        <v>40</v>
      </c>
      <c r="I9" s="40">
        <f t="shared" si="3"/>
        <v>40</v>
      </c>
    </row>
    <row r="10" spans="1:13" x14ac:dyDescent="0.25">
      <c r="A10" s="36" t="s">
        <v>6</v>
      </c>
      <c r="B10" s="10">
        <v>44000000000</v>
      </c>
      <c r="C10" s="6">
        <f>C6-C8</f>
        <v>800000</v>
      </c>
      <c r="D10" s="6">
        <f t="shared" ref="D10:I10" si="4">D6-D8</f>
        <v>8000000</v>
      </c>
      <c r="E10" s="6">
        <f t="shared" si="4"/>
        <v>20000000</v>
      </c>
      <c r="F10" s="6">
        <f t="shared" si="4"/>
        <v>100000000</v>
      </c>
      <c r="G10" s="6">
        <f t="shared" si="4"/>
        <v>240000000</v>
      </c>
      <c r="H10" s="6">
        <f t="shared" si="4"/>
        <v>1200000000</v>
      </c>
      <c r="I10" s="40">
        <f t="shared" si="4"/>
        <v>2800000000</v>
      </c>
    </row>
    <row r="11" spans="1:13" x14ac:dyDescent="0.25">
      <c r="A11" s="36" t="s">
        <v>7</v>
      </c>
      <c r="B11" s="10">
        <f>B10/B3</f>
        <v>88</v>
      </c>
      <c r="C11" s="6">
        <f>C10/C3</f>
        <v>160</v>
      </c>
      <c r="D11" s="6">
        <f t="shared" ref="D11:I11" si="5">D10/D3</f>
        <v>160</v>
      </c>
      <c r="E11" s="6">
        <f t="shared" si="5"/>
        <v>200</v>
      </c>
      <c r="F11" s="6">
        <f t="shared" si="5"/>
        <v>200</v>
      </c>
      <c r="G11" s="6">
        <f t="shared" si="5"/>
        <v>240</v>
      </c>
      <c r="H11" s="6">
        <f t="shared" si="5"/>
        <v>240</v>
      </c>
      <c r="I11" s="40">
        <f t="shared" si="5"/>
        <v>280</v>
      </c>
    </row>
    <row r="12" spans="1:13" s="61" customFormat="1" x14ac:dyDescent="0.25">
      <c r="A12" s="200" t="s">
        <v>165</v>
      </c>
      <c r="B12" s="201"/>
      <c r="C12" s="202">
        <v>1</v>
      </c>
      <c r="D12" s="202">
        <v>1</v>
      </c>
      <c r="E12" s="202">
        <v>1</v>
      </c>
      <c r="F12" s="202">
        <v>1</v>
      </c>
      <c r="G12" s="202">
        <v>1</v>
      </c>
      <c r="H12" s="202">
        <v>1</v>
      </c>
      <c r="I12" s="203">
        <v>1</v>
      </c>
    </row>
    <row r="13" spans="1:13" ht="15.75" thickBot="1" x14ac:dyDescent="0.3">
      <c r="A13" s="41" t="s">
        <v>8</v>
      </c>
      <c r="B13" s="11">
        <v>231481.48148148149</v>
      </c>
      <c r="C13" s="8">
        <f>C8/(24*3600)</f>
        <v>2.3148148148148149</v>
      </c>
      <c r="D13" s="8">
        <f t="shared" ref="D13:I13" si="6">D8/(24*3600)</f>
        <v>23.148148148148149</v>
      </c>
      <c r="E13" s="8">
        <f t="shared" si="6"/>
        <v>46.296296296296298</v>
      </c>
      <c r="F13" s="8">
        <f t="shared" si="6"/>
        <v>231.4814814814815</v>
      </c>
      <c r="G13" s="8">
        <f t="shared" si="6"/>
        <v>462.96296296296299</v>
      </c>
      <c r="H13" s="8">
        <f t="shared" si="6"/>
        <v>2314.8148148148148</v>
      </c>
      <c r="I13" s="42">
        <f t="shared" si="6"/>
        <v>4629.6296296296296</v>
      </c>
    </row>
    <row r="14" spans="1:13" s="1" customFormat="1" ht="16.5" thickBot="1" x14ac:dyDescent="0.3">
      <c r="A14" s="284" t="s">
        <v>15</v>
      </c>
      <c r="B14" s="285"/>
      <c r="C14" s="285"/>
      <c r="D14" s="285"/>
      <c r="E14" s="285"/>
      <c r="F14" s="285"/>
      <c r="G14" s="285"/>
      <c r="H14" s="285"/>
      <c r="I14" s="286"/>
    </row>
    <row r="15" spans="1:13" x14ac:dyDescent="0.25">
      <c r="A15" s="43" t="s">
        <v>10</v>
      </c>
      <c r="B15" s="14">
        <f>40/1280</f>
        <v>3.125E-2</v>
      </c>
      <c r="C15" s="15">
        <v>6.6666666666666666E-2</v>
      </c>
      <c r="D15" s="15">
        <v>6.6666666666666666E-2</v>
      </c>
      <c r="E15" s="15">
        <v>6.6666666666666666E-2</v>
      </c>
      <c r="F15" s="15">
        <v>6.6666666666666666E-2</v>
      </c>
      <c r="G15" s="15">
        <v>6.6666666666666666E-2</v>
      </c>
      <c r="H15" s="15">
        <v>6.6666666666666666E-2</v>
      </c>
      <c r="I15" s="44">
        <v>6.6666666666666666E-2</v>
      </c>
      <c r="M15" s="97"/>
    </row>
    <row r="16" spans="1:13" x14ac:dyDescent="0.25">
      <c r="A16" s="45" t="s">
        <v>9</v>
      </c>
      <c r="B16" s="10">
        <f>B15*B8</f>
        <v>625000000</v>
      </c>
      <c r="C16" s="6">
        <f t="shared" ref="C16:I16" si="7">C15*C8</f>
        <v>13333.333333333334</v>
      </c>
      <c r="D16" s="6">
        <f t="shared" si="7"/>
        <v>133333.33333333334</v>
      </c>
      <c r="E16" s="6">
        <f t="shared" si="7"/>
        <v>266666.66666666669</v>
      </c>
      <c r="F16" s="6">
        <f t="shared" si="7"/>
        <v>1333333.3333333333</v>
      </c>
      <c r="G16" s="6">
        <f t="shared" si="7"/>
        <v>2666666.6666666665</v>
      </c>
      <c r="H16" s="6">
        <f t="shared" si="7"/>
        <v>13333333.333333334</v>
      </c>
      <c r="I16" s="40">
        <f t="shared" si="7"/>
        <v>26666666.666666668</v>
      </c>
      <c r="K16" s="97"/>
      <c r="M16" s="97"/>
    </row>
    <row r="17" spans="1:11" x14ac:dyDescent="0.25">
      <c r="A17" s="46" t="s">
        <v>11</v>
      </c>
      <c r="B17" s="12">
        <f>1/B7</f>
        <v>3.2</v>
      </c>
      <c r="C17" s="13">
        <f t="shared" ref="C17:I17" si="8">1/C7</f>
        <v>5</v>
      </c>
      <c r="D17" s="13">
        <f t="shared" si="8"/>
        <v>5</v>
      </c>
      <c r="E17" s="13">
        <f t="shared" si="8"/>
        <v>6</v>
      </c>
      <c r="F17" s="13">
        <f t="shared" si="8"/>
        <v>6</v>
      </c>
      <c r="G17" s="13">
        <f t="shared" si="8"/>
        <v>7</v>
      </c>
      <c r="H17" s="13">
        <f t="shared" si="8"/>
        <v>7</v>
      </c>
      <c r="I17" s="47">
        <f t="shared" si="8"/>
        <v>8</v>
      </c>
      <c r="K17" s="177">
        <f>MATCH(Hoja1!C$5,'Datos Pusher'!C5:I5,1)</f>
        <v>2</v>
      </c>
    </row>
    <row r="18" spans="1:11" x14ac:dyDescent="0.25">
      <c r="A18" s="45" t="s">
        <v>13</v>
      </c>
      <c r="B18" s="10">
        <f>B16*B17</f>
        <v>2000000000</v>
      </c>
      <c r="C18" s="6">
        <f t="shared" ref="C18:I18" si="9">C16*C17</f>
        <v>66666.666666666672</v>
      </c>
      <c r="D18" s="6">
        <f t="shared" si="9"/>
        <v>666666.66666666674</v>
      </c>
      <c r="E18" s="6">
        <f t="shared" si="9"/>
        <v>1600000</v>
      </c>
      <c r="F18" s="6">
        <f t="shared" si="9"/>
        <v>8000000</v>
      </c>
      <c r="G18" s="6">
        <f t="shared" si="9"/>
        <v>18666666.666666664</v>
      </c>
      <c r="H18" s="6">
        <f t="shared" si="9"/>
        <v>93333333.333333343</v>
      </c>
      <c r="I18" s="40">
        <f t="shared" si="9"/>
        <v>213333333.33333334</v>
      </c>
    </row>
    <row r="19" spans="1:11" x14ac:dyDescent="0.25">
      <c r="A19" s="46" t="s">
        <v>12</v>
      </c>
      <c r="B19" s="12"/>
      <c r="C19" s="13">
        <v>0.25</v>
      </c>
      <c r="D19" s="13">
        <v>0.25</v>
      </c>
      <c r="E19" s="13">
        <v>0.25</v>
      </c>
      <c r="F19" s="13">
        <v>0.25</v>
      </c>
      <c r="G19" s="13">
        <v>0.25</v>
      </c>
      <c r="H19" s="13">
        <v>0.25</v>
      </c>
      <c r="I19" s="47">
        <v>0.25</v>
      </c>
    </row>
    <row r="20" spans="1:11" ht="15.75" thickBot="1" x14ac:dyDescent="0.3">
      <c r="A20" s="48" t="s">
        <v>14</v>
      </c>
      <c r="B20" s="16">
        <f>B18*B19</f>
        <v>0</v>
      </c>
      <c r="C20" s="17">
        <f>C18*C19</f>
        <v>16666.666666666668</v>
      </c>
      <c r="D20" s="17">
        <f t="shared" ref="D20:I20" si="10">D18*D19</f>
        <v>166666.66666666669</v>
      </c>
      <c r="E20" s="17">
        <f t="shared" si="10"/>
        <v>400000</v>
      </c>
      <c r="F20" s="17">
        <f t="shared" si="10"/>
        <v>2000000</v>
      </c>
      <c r="G20" s="17">
        <f t="shared" si="10"/>
        <v>4666666.666666666</v>
      </c>
      <c r="H20" s="17">
        <f t="shared" si="10"/>
        <v>23333333.333333336</v>
      </c>
      <c r="I20" s="49">
        <f t="shared" si="10"/>
        <v>53333333.333333336</v>
      </c>
      <c r="K20">
        <f>MATCH(Hoja1!C$6,'Datos Pusher'!$C$11:$I$11,1)</f>
        <v>3</v>
      </c>
    </row>
    <row r="21" spans="1:11" ht="16.5" thickBot="1" x14ac:dyDescent="0.3">
      <c r="A21" s="284" t="s">
        <v>16</v>
      </c>
      <c r="B21" s="285"/>
      <c r="C21" s="285"/>
      <c r="D21" s="285"/>
      <c r="E21" s="285"/>
      <c r="F21" s="285"/>
      <c r="G21" s="285"/>
      <c r="H21" s="285"/>
      <c r="I21" s="286"/>
    </row>
    <row r="22" spans="1:11" x14ac:dyDescent="0.25">
      <c r="A22" s="50" t="s">
        <v>31</v>
      </c>
      <c r="B22" s="19"/>
      <c r="C22" s="22">
        <f>IF(AND('Configuración de Imagenes'!$F$1="Sí",'Configuración de Imagenes'!$I$1="Sí"),'Configuración de Imagenes'!$C$1,IF('Configuración de Imagenes'!$F$1="Sí",1,0))</f>
        <v>0.33333333333333331</v>
      </c>
      <c r="D22" s="23">
        <f>C22</f>
        <v>0.33333333333333331</v>
      </c>
      <c r="E22" s="23">
        <f t="shared" ref="E22:H22" si="11">D22</f>
        <v>0.33333333333333331</v>
      </c>
      <c r="F22" s="23">
        <f t="shared" si="11"/>
        <v>0.33333333333333331</v>
      </c>
      <c r="G22" s="23">
        <f t="shared" si="11"/>
        <v>0.33333333333333331</v>
      </c>
      <c r="H22" s="23">
        <f t="shared" si="11"/>
        <v>0.33333333333333331</v>
      </c>
      <c r="I22" s="51">
        <f>H22</f>
        <v>0.33333333333333331</v>
      </c>
      <c r="K22">
        <f>MAX(MATCH(Hoja1!C$5,'Datos Pusher'!$C$5:$I$5,1),MATCH(Hoja1!C$6,'Datos Pusher'!$C$11:$I$11,1))</f>
        <v>3</v>
      </c>
    </row>
    <row r="23" spans="1:11" x14ac:dyDescent="0.25">
      <c r="A23" s="52" t="s">
        <v>32</v>
      </c>
      <c r="B23" s="20"/>
      <c r="C23" s="24">
        <f>C16*('Configuración de Imagenes'!$N$2)/(1024*1024*1024)</f>
        <v>0.61260329352484821</v>
      </c>
      <c r="D23" s="25">
        <f>D16*('Configuración de Imagenes'!$N$2)/(1024*1024*1024)</f>
        <v>6.1260329352484826</v>
      </c>
      <c r="E23" s="25">
        <f>E16*('Configuración de Imagenes'!$N$2)/(1024*1024*1024)</f>
        <v>12.252065870496965</v>
      </c>
      <c r="F23" s="25">
        <f>F16*('Configuración de Imagenes'!$N$2)/(1024*1024*1024)</f>
        <v>61.260329352484817</v>
      </c>
      <c r="G23" s="25">
        <f>G16*('Configuración de Imagenes'!$N$2)/(1024*1024*1024)</f>
        <v>122.52065870496963</v>
      </c>
      <c r="H23" s="25">
        <f>H16*('Configuración de Imagenes'!$N$2)/(1024*1024*1024)</f>
        <v>612.60329352484825</v>
      </c>
      <c r="I23" s="53">
        <f>I16*('Configuración de Imagenes'!$N$2)/(1024*1024*1024)</f>
        <v>1225.2065870496965</v>
      </c>
    </row>
    <row r="24" spans="1:11" x14ac:dyDescent="0.25">
      <c r="A24" s="52" t="s">
        <v>33</v>
      </c>
      <c r="B24" s="20"/>
      <c r="C24" s="24">
        <f>C16*('Configuración de Imagenes'!$N$3)/(1024*1024*1024)</f>
        <v>1.8378098805745444</v>
      </c>
      <c r="D24" s="25">
        <f>D16*('Configuración de Imagenes'!$N$3)/(1024*1024*1024)</f>
        <v>18.378098805745445</v>
      </c>
      <c r="E24" s="25">
        <f>E16*('Configuración de Imagenes'!$N$3)/(1024*1024*1024)</f>
        <v>36.75619761149089</v>
      </c>
      <c r="F24" s="25">
        <f>F16*('Configuración de Imagenes'!$N$3)/(1024*1024*1024)</f>
        <v>183.78098805745441</v>
      </c>
      <c r="G24" s="25">
        <f>G16*('Configuración de Imagenes'!$N$3)/(1024*1024*1024)</f>
        <v>367.56197611490882</v>
      </c>
      <c r="H24" s="25">
        <f>H16*('Configuración de Imagenes'!$N$3)/(1024*1024*1024)</f>
        <v>1837.8098805745444</v>
      </c>
      <c r="I24" s="53">
        <f>I16*('Configuración de Imagenes'!$N$3)/(1024*1024*1024)</f>
        <v>3675.6197611490888</v>
      </c>
    </row>
    <row r="25" spans="1:11" s="1" customFormat="1" x14ac:dyDescent="0.25">
      <c r="A25" s="52" t="s">
        <v>36</v>
      </c>
      <c r="B25" s="20"/>
      <c r="C25" s="24">
        <f>C16*('Configuración de Imagenes'!$N$2)/(1024*1024*1024)</f>
        <v>0.61260329352484821</v>
      </c>
      <c r="D25" s="25">
        <f>D16*('Configuración de Imagenes'!$N$2)/(1024*1024*1024)</f>
        <v>6.1260329352484826</v>
      </c>
      <c r="E25" s="25">
        <f>E16*('Configuración de Imagenes'!$N$2)/(1024*1024*1024)</f>
        <v>12.252065870496965</v>
      </c>
      <c r="F25" s="25">
        <f>F16*('Configuración de Imagenes'!$N$2)/(1024*1024*1024)</f>
        <v>61.260329352484817</v>
      </c>
      <c r="G25" s="25">
        <f>G16*('Configuración de Imagenes'!$N$2)/(1024*1024*1024)</f>
        <v>122.52065870496963</v>
      </c>
      <c r="H25" s="25">
        <f>H16*('Configuración de Imagenes'!$N$2)/(1024*1024*1024)</f>
        <v>612.60329352484825</v>
      </c>
      <c r="I25" s="53">
        <f>I16*('Configuración de Imagenes'!$N$2)/(1024*1024*1024)</f>
        <v>1225.2065870496965</v>
      </c>
    </row>
    <row r="26" spans="1:11" s="1" customFormat="1" x14ac:dyDescent="0.25">
      <c r="A26" s="52" t="s">
        <v>42</v>
      </c>
      <c r="B26" s="20"/>
      <c r="C26" s="24">
        <f>C16*('Configuración de Imagenes'!$N$3)/(1024*1024*1024)</f>
        <v>1.8378098805745444</v>
      </c>
      <c r="D26" s="25">
        <f>D16*('Configuración de Imagenes'!$N$3)/(1024*1024*1024)</f>
        <v>18.378098805745445</v>
      </c>
      <c r="E26" s="25">
        <f>E16*('Configuración de Imagenes'!$N$3)/(1024*1024*1024)</f>
        <v>36.75619761149089</v>
      </c>
      <c r="F26" s="25">
        <f>F16*('Configuración de Imagenes'!$N$3)/(1024*1024*1024)</f>
        <v>183.78098805745441</v>
      </c>
      <c r="G26" s="25">
        <f>G16*('Configuración de Imagenes'!$N$3)/(1024*1024*1024)</f>
        <v>367.56197611490882</v>
      </c>
      <c r="H26" s="25">
        <f>H16*('Configuración de Imagenes'!$N$3)/(1024*1024*1024)</f>
        <v>1837.8098805745444</v>
      </c>
      <c r="I26" s="53">
        <f>I16*('Configuración de Imagenes'!$N$3)/(1024*1024*1024)</f>
        <v>3675.6197611490888</v>
      </c>
      <c r="K26" s="1">
        <f>HLOOKUP(C5,'Datos Pusher'!C5:I20,16,TRUE)</f>
        <v>19</v>
      </c>
    </row>
    <row r="27" spans="1:11" x14ac:dyDescent="0.25">
      <c r="A27" s="52" t="s">
        <v>34</v>
      </c>
      <c r="B27" s="20"/>
      <c r="C27" s="24">
        <f>C18*C22*('Configuración de Imagenes'!$N$2)/(1024*1024*1024)</f>
        <v>1.0210054892080804</v>
      </c>
      <c r="D27" s="25">
        <f>D18*D22*('Configuración de Imagenes'!$N$2)/(1024*1024*1024)</f>
        <v>10.210054892080805</v>
      </c>
      <c r="E27" s="25">
        <f>E18*E22*('Configuración de Imagenes'!$N$2)/(1024*1024*1024)</f>
        <v>24.504131740993923</v>
      </c>
      <c r="F27" s="25">
        <f>F18*F22*('Configuración de Imagenes'!$N$2)/(1024*1024*1024)</f>
        <v>122.52065870496963</v>
      </c>
      <c r="G27" s="25">
        <f>G18*G22*('Configuración de Imagenes'!$N$2)/(1024*1024*1024)</f>
        <v>285.88153697826243</v>
      </c>
      <c r="H27" s="25">
        <f>H18*H22*('Configuración de Imagenes'!$N$2)/(1024*1024*1024)</f>
        <v>1429.4076848913126</v>
      </c>
      <c r="I27" s="53">
        <f>I18*I22*('Configuración de Imagenes'!$N$2)/(1024*1024*1024)</f>
        <v>3267.2175654658568</v>
      </c>
    </row>
    <row r="28" spans="1:11" x14ac:dyDescent="0.25">
      <c r="A28" s="52" t="s">
        <v>35</v>
      </c>
      <c r="B28" s="20"/>
      <c r="C28" s="24">
        <f>C18*(1-C22)*('Configuración de Imagenes'!$N$3)/(1024*1024*1024)</f>
        <v>6.1260329352484817</v>
      </c>
      <c r="D28" s="25">
        <f>D18*(1-D22)*('Configuración de Imagenes'!$N$3)/(1024*1024*1024)</f>
        <v>61.260329352484824</v>
      </c>
      <c r="E28" s="25">
        <f>E18*(1-E22)*('Configuración de Imagenes'!$N$3)/(1024*1024*1024)</f>
        <v>147.02479044596356</v>
      </c>
      <c r="F28" s="25">
        <f>F18*(1-F22)*('Configuración de Imagenes'!$N$3)/(1024*1024*1024)</f>
        <v>735.12395222981775</v>
      </c>
      <c r="G28" s="25">
        <f>G18*(1-G22)*('Configuración de Imagenes'!$N$3)/(1024*1024*1024)</f>
        <v>1715.2892218695747</v>
      </c>
      <c r="H28" s="25">
        <f>H18*(1-H22)*('Configuración de Imagenes'!$N$3)/(1024*1024*1024)</f>
        <v>8576.4461093478749</v>
      </c>
      <c r="I28" s="53">
        <f>I18*(1-I22)*('Configuración de Imagenes'!$N$3)/(1024*1024*1024)</f>
        <v>19603.305392795141</v>
      </c>
    </row>
    <row r="29" spans="1:11" x14ac:dyDescent="0.25">
      <c r="A29" s="52" t="s">
        <v>39</v>
      </c>
      <c r="B29" s="20"/>
      <c r="C29" s="24">
        <f>C16*'Configuración de Imagenes'!$N$5/(1024*1024*1024)</f>
        <v>2.9296875</v>
      </c>
      <c r="D29" s="25">
        <f>D16*'Configuración de Imagenes'!$N$5/(1024*1024*1024)</f>
        <v>29.296875000000004</v>
      </c>
      <c r="E29" s="25">
        <f>E16*'Configuración de Imagenes'!$N$5/(1024*1024*1024)</f>
        <v>58.593750000000007</v>
      </c>
      <c r="F29" s="25">
        <f>F16*'Configuración de Imagenes'!$N$5/(1024*1024*1024)</f>
        <v>292.96875</v>
      </c>
      <c r="G29" s="25">
        <f>G16*'Configuración de Imagenes'!$N$5/(1024*1024*1024)</f>
        <v>585.9375</v>
      </c>
      <c r="H29" s="25">
        <f>H16*'Configuración de Imagenes'!$N$5/(1024*1024*1024)</f>
        <v>2929.6875</v>
      </c>
      <c r="I29" s="53">
        <f>I16*'Configuración de Imagenes'!$N$5/(1024*1024*1024)</f>
        <v>5859.375</v>
      </c>
    </row>
    <row r="30" spans="1:11" x14ac:dyDescent="0.25">
      <c r="A30" s="52" t="s">
        <v>40</v>
      </c>
      <c r="B30" s="20"/>
      <c r="C30" s="24">
        <f>C16*'Configuración de Imagenes'!$N$5/(1024*1024*1024)</f>
        <v>2.9296875</v>
      </c>
      <c r="D30" s="25">
        <f>D16*'Configuración de Imagenes'!$N$5/(1024*1024*1024)</f>
        <v>29.296875000000004</v>
      </c>
      <c r="E30" s="25">
        <f>E16*'Configuración de Imagenes'!$N$5/(1024*1024*1024)</f>
        <v>58.593750000000007</v>
      </c>
      <c r="F30" s="25">
        <f>F16*'Configuración de Imagenes'!$N$5/(1024*1024*1024)</f>
        <v>292.96875</v>
      </c>
      <c r="G30" s="25">
        <f>G16*'Configuración de Imagenes'!$N$5/(1024*1024*1024)</f>
        <v>585.9375</v>
      </c>
      <c r="H30" s="25">
        <f>H16*'Configuración de Imagenes'!$N$5/(1024*1024*1024)</f>
        <v>2929.6875</v>
      </c>
      <c r="I30" s="53">
        <f>I16*'Configuración de Imagenes'!$N$5/(1024*1024*1024)</f>
        <v>5859.375</v>
      </c>
      <c r="K30">
        <f>30*G34</f>
        <v>90796.84151543511</v>
      </c>
    </row>
    <row r="31" spans="1:11" x14ac:dyDescent="0.25">
      <c r="A31" s="52" t="s">
        <v>41</v>
      </c>
      <c r="B31" s="20"/>
      <c r="C31" s="24">
        <f>IF(AND('Configuración de Imagenes'!$F$2="Sí",OR('Configuración de Imagenes'!$F$1="Sí",'Configuración de Imagenes'!$I$1="Sí")),C20*'Configuración de Imagenes'!$N$5/(1024*1024*1024),C18*'Configuración de Imagenes'!$N$5/(1024*1024*1024))</f>
        <v>3.6621093750000004</v>
      </c>
      <c r="D31" s="25">
        <f>IF(AND('Configuración de Imagenes'!$F$2="Sí",OR('Configuración de Imagenes'!$F$1="Sí",'Configuración de Imagenes'!$I$1="Sí")),D20*'Configuración de Imagenes'!$N$5/(1024*1024*1024),D18*'Configuración de Imagenes'!$N$5/(1024*1024*1024))</f>
        <v>36.621093750000007</v>
      </c>
      <c r="E31" s="25">
        <f>IF(AND('Configuración de Imagenes'!$F$2="Sí",OR('Configuración de Imagenes'!$F$1="Sí",'Configuración de Imagenes'!$I$1="Sí")),E20*'Configuración de Imagenes'!$N$5/(1024*1024*1024),E18*'Configuración de Imagenes'!$N$5/(1024*1024*1024))</f>
        <v>87.890625</v>
      </c>
      <c r="F31" s="25">
        <f>IF(AND('Configuración de Imagenes'!$F$2="Sí",OR('Configuración de Imagenes'!$F$1="Sí",'Configuración de Imagenes'!$I$1="Sí")),F20*'Configuración de Imagenes'!$N$5/(1024*1024*1024),F18*'Configuración de Imagenes'!$N$5/(1024*1024*1024))</f>
        <v>439.453125</v>
      </c>
      <c r="G31" s="25">
        <f>IF(AND('Configuración de Imagenes'!$F$2="Sí",OR('Configuración de Imagenes'!$F$1="Sí",'Configuración de Imagenes'!$I$1="Sí")),G20*'Configuración de Imagenes'!$N$5/(1024*1024*1024),G18*'Configuración de Imagenes'!$N$5/(1024*1024*1024))</f>
        <v>1025.390625</v>
      </c>
      <c r="H31" s="25">
        <f>IF(AND('Configuración de Imagenes'!$F$2="Sí",OR('Configuración de Imagenes'!$F$1="Sí",'Configuración de Imagenes'!$I$1="Sí")),H20*'Configuración de Imagenes'!$N$5/(1024*1024*1024),H18*'Configuración de Imagenes'!$N$5/(1024*1024*1024))</f>
        <v>5126.9531250000009</v>
      </c>
      <c r="I31" s="53">
        <f>IF(AND('Configuración de Imagenes'!$F$2="Sí",OR('Configuración de Imagenes'!$F$1="Sí",'Configuración de Imagenes'!$I$1="Sí")),I20*'Configuración de Imagenes'!$N$5/(1024*1024*1024),I18*'Configuración de Imagenes'!$N$5/(1024*1024*1024))</f>
        <v>11718.75</v>
      </c>
    </row>
    <row r="32" spans="1:11" x14ac:dyDescent="0.25">
      <c r="A32" s="54" t="s">
        <v>173</v>
      </c>
      <c r="B32" s="18">
        <f>B29+B24+B23</f>
        <v>0</v>
      </c>
      <c r="C32" s="26">
        <f t="shared" ref="C32" si="12">C29+C24+C23</f>
        <v>5.3801006740993929</v>
      </c>
      <c r="D32" s="27">
        <f t="shared" ref="D32:I32" si="13">D29+D24+D23</f>
        <v>53.801006740993934</v>
      </c>
      <c r="E32" s="27">
        <f t="shared" si="13"/>
        <v>107.60201348198787</v>
      </c>
      <c r="F32" s="27">
        <f t="shared" si="13"/>
        <v>538.01006740993921</v>
      </c>
      <c r="G32" s="27">
        <f t="shared" si="13"/>
        <v>1076.0201348198784</v>
      </c>
      <c r="H32" s="27">
        <f t="shared" si="13"/>
        <v>5380.1006740993935</v>
      </c>
      <c r="I32" s="55">
        <f t="shared" si="13"/>
        <v>10760.201348198787</v>
      </c>
      <c r="K32" s="209">
        <f>30*H34</f>
        <v>453984.20757717558</v>
      </c>
    </row>
    <row r="33" spans="1:11" x14ac:dyDescent="0.25">
      <c r="A33" s="54" t="s">
        <v>174</v>
      </c>
      <c r="B33" s="18">
        <f>B30+B26+B25</f>
        <v>0</v>
      </c>
      <c r="C33" s="26">
        <f t="shared" ref="C33" si="14">C30+C26+C25</f>
        <v>5.3801006740993929</v>
      </c>
      <c r="D33" s="27">
        <f t="shared" ref="D33:I33" si="15">D30+D26+D25</f>
        <v>53.801006740993934</v>
      </c>
      <c r="E33" s="27">
        <f t="shared" si="15"/>
        <v>107.60201348198787</v>
      </c>
      <c r="F33" s="27">
        <f t="shared" si="15"/>
        <v>538.01006740993921</v>
      </c>
      <c r="G33" s="27">
        <f t="shared" si="15"/>
        <v>1076.0201348198784</v>
      </c>
      <c r="H33" s="27">
        <f t="shared" si="15"/>
        <v>5380.1006740993935</v>
      </c>
      <c r="I33" s="55">
        <f t="shared" si="15"/>
        <v>10760.201348198787</v>
      </c>
    </row>
    <row r="34" spans="1:11" x14ac:dyDescent="0.25">
      <c r="A34" s="54" t="s">
        <v>175</v>
      </c>
      <c r="B34" s="18">
        <f>B31+B28+B27</f>
        <v>0</v>
      </c>
      <c r="C34" s="26">
        <f t="shared" ref="C34" si="16">C31+C28+C27</f>
        <v>10.809147799456563</v>
      </c>
      <c r="D34" s="27">
        <f t="shared" ref="D34:I34" si="17">D31+D28+D27</f>
        <v>108.09147799456564</v>
      </c>
      <c r="E34" s="27">
        <f t="shared" si="17"/>
        <v>259.41954718695746</v>
      </c>
      <c r="F34" s="27">
        <f t="shared" si="17"/>
        <v>1297.0977359347876</v>
      </c>
      <c r="G34" s="27">
        <f t="shared" si="17"/>
        <v>3026.5613838478371</v>
      </c>
      <c r="H34" s="27">
        <f t="shared" si="17"/>
        <v>15132.806919239187</v>
      </c>
      <c r="I34" s="55">
        <f t="shared" si="17"/>
        <v>34589.272958260997</v>
      </c>
      <c r="K34" s="209">
        <f>30*I34</f>
        <v>1037678.1887478299</v>
      </c>
    </row>
    <row r="35" spans="1:11" s="61" customFormat="1" x14ac:dyDescent="0.25">
      <c r="A35" s="54" t="s">
        <v>176</v>
      </c>
      <c r="B35" s="18"/>
      <c r="C35" s="26">
        <f>30*C34</f>
        <v>324.27443398369689</v>
      </c>
      <c r="D35" s="27">
        <f t="shared" ref="D35:H35" si="18">30*D34</f>
        <v>3242.7443398369692</v>
      </c>
      <c r="E35" s="27">
        <f t="shared" si="18"/>
        <v>7782.5864156087237</v>
      </c>
      <c r="F35" s="27">
        <f t="shared" si="18"/>
        <v>38912.932078043625</v>
      </c>
      <c r="G35" s="27">
        <f t="shared" si="18"/>
        <v>90796.84151543511</v>
      </c>
      <c r="H35" s="27">
        <f t="shared" si="18"/>
        <v>453984.20757717558</v>
      </c>
      <c r="I35" s="55">
        <f>30*I34</f>
        <v>1037678.1887478299</v>
      </c>
      <c r="K35" s="209"/>
    </row>
    <row r="36" spans="1:11" x14ac:dyDescent="0.25">
      <c r="A36" s="52" t="s">
        <v>57</v>
      </c>
      <c r="B36" s="21"/>
      <c r="C36" s="28">
        <f>IF('Configuración de Imagenes'!$F$2="Sí",IF('Configuración de Imagenes'!$F$1="Sí",2,0)+IF('Configuración de Imagenes'!$I$1="Sí",2,0),0)*IF(OR('Configuración de Imagenes'!$I$2="Sí",'Configuración de Imagenes'!$C$2="Sí"),0.5,1)</f>
        <v>4</v>
      </c>
      <c r="D36" s="29">
        <f>C36</f>
        <v>4</v>
      </c>
      <c r="E36" s="29">
        <f t="shared" ref="E36:I36" si="19">D36</f>
        <v>4</v>
      </c>
      <c r="F36" s="29">
        <f t="shared" si="19"/>
        <v>4</v>
      </c>
      <c r="G36" s="29">
        <f t="shared" si="19"/>
        <v>4</v>
      </c>
      <c r="H36" s="29">
        <f t="shared" si="19"/>
        <v>4</v>
      </c>
      <c r="I36" s="56">
        <f t="shared" si="19"/>
        <v>4</v>
      </c>
    </row>
    <row r="37" spans="1:11" x14ac:dyDescent="0.25">
      <c r="A37" s="52" t="s">
        <v>37</v>
      </c>
      <c r="B37" s="21"/>
      <c r="C37" s="28">
        <f>IF(AND('Configuración de Imagenes'!$F$2="Sí",OR('Configuración de Imagenes'!$F$1="Sí",'Configuración de Imagenes'!$I$1="Sí")),IF(OR('Configuración de Imagenes'!$I$2="Sí",'Configuración de Imagenes'!$C$2="Sí"),1,2),0)</f>
        <v>2</v>
      </c>
      <c r="D37" s="29">
        <f t="shared" ref="D37:D39" si="20">C37</f>
        <v>2</v>
      </c>
      <c r="E37" s="29">
        <f t="shared" ref="E37:I37" si="21">D37</f>
        <v>2</v>
      </c>
      <c r="F37" s="29">
        <f t="shared" si="21"/>
        <v>2</v>
      </c>
      <c r="G37" s="29">
        <f t="shared" si="21"/>
        <v>2</v>
      </c>
      <c r="H37" s="29">
        <f t="shared" si="21"/>
        <v>2</v>
      </c>
      <c r="I37" s="56">
        <f t="shared" si="21"/>
        <v>2</v>
      </c>
    </row>
    <row r="38" spans="1:11" x14ac:dyDescent="0.25">
      <c r="A38" s="52" t="s">
        <v>56</v>
      </c>
      <c r="B38" s="21"/>
      <c r="C38" s="28">
        <f>('Configuración de Imagenes'!$I$9+'Configuración de Imagenes'!$I$12)</f>
        <v>1</v>
      </c>
      <c r="D38" s="29">
        <f t="shared" si="20"/>
        <v>1</v>
      </c>
      <c r="E38" s="29">
        <f t="shared" ref="E38:I38" si="22">D38</f>
        <v>1</v>
      </c>
      <c r="F38" s="29">
        <f t="shared" si="22"/>
        <v>1</v>
      </c>
      <c r="G38" s="29">
        <f t="shared" si="22"/>
        <v>1</v>
      </c>
      <c r="H38" s="29">
        <f t="shared" si="22"/>
        <v>1</v>
      </c>
      <c r="I38" s="56">
        <f t="shared" si="22"/>
        <v>1</v>
      </c>
    </row>
    <row r="39" spans="1:11" x14ac:dyDescent="0.25">
      <c r="A39" s="52" t="s">
        <v>38</v>
      </c>
      <c r="B39" s="21"/>
      <c r="C39" s="28">
        <f>('Configuración de Imagenes'!$I$9+'Configuración de Imagenes'!$I$12)</f>
        <v>1</v>
      </c>
      <c r="D39" s="29">
        <f t="shared" si="20"/>
        <v>1</v>
      </c>
      <c r="E39" s="29">
        <f t="shared" ref="E39:I39" si="23">D39</f>
        <v>1</v>
      </c>
      <c r="F39" s="29">
        <f t="shared" si="23"/>
        <v>1</v>
      </c>
      <c r="G39" s="29">
        <f t="shared" si="23"/>
        <v>1</v>
      </c>
      <c r="H39" s="29">
        <f t="shared" si="23"/>
        <v>1</v>
      </c>
      <c r="I39" s="56">
        <f t="shared" si="23"/>
        <v>1</v>
      </c>
    </row>
    <row r="40" spans="1:11" x14ac:dyDescent="0.25">
      <c r="A40" s="54" t="s">
        <v>58</v>
      </c>
      <c r="B40" s="10">
        <f>B39+B37</f>
        <v>0</v>
      </c>
      <c r="C40" s="30">
        <f>C39*C20+C37*C18</f>
        <v>150000</v>
      </c>
      <c r="D40" s="31">
        <f t="shared" ref="D40:I40" si="24">D39*D20+D37*D18</f>
        <v>1500000.0000000002</v>
      </c>
      <c r="E40" s="31">
        <f t="shared" si="24"/>
        <v>3600000</v>
      </c>
      <c r="F40" s="31">
        <f t="shared" si="24"/>
        <v>18000000</v>
      </c>
      <c r="G40" s="31">
        <f t="shared" si="24"/>
        <v>41999999.999999993</v>
      </c>
      <c r="H40" s="31">
        <f t="shared" si="24"/>
        <v>210000000.00000003</v>
      </c>
      <c r="I40" s="57">
        <f t="shared" si="24"/>
        <v>480000000</v>
      </c>
    </row>
    <row r="41" spans="1:11" ht="15.75" thickBot="1" x14ac:dyDescent="0.3">
      <c r="A41" s="78" t="s">
        <v>59</v>
      </c>
      <c r="B41" s="16">
        <f>B38+B36</f>
        <v>0</v>
      </c>
      <c r="C41" s="32">
        <f>C38*C16+C36*C16</f>
        <v>66666.666666666672</v>
      </c>
      <c r="D41" s="33">
        <f t="shared" ref="D41:I41" si="25">D38*D16+D36*D16</f>
        <v>666666.66666666674</v>
      </c>
      <c r="E41" s="33">
        <f t="shared" si="25"/>
        <v>1333333.3333333335</v>
      </c>
      <c r="F41" s="33">
        <f t="shared" si="25"/>
        <v>6666666.666666666</v>
      </c>
      <c r="G41" s="33">
        <f t="shared" si="25"/>
        <v>13333333.333333332</v>
      </c>
      <c r="H41" s="33">
        <f t="shared" si="25"/>
        <v>66666666.666666672</v>
      </c>
      <c r="I41" s="79">
        <f t="shared" si="25"/>
        <v>133333333.33333334</v>
      </c>
    </row>
    <row r="42" spans="1:11" s="61" customFormat="1" ht="16.5" thickBot="1" x14ac:dyDescent="0.3">
      <c r="A42" s="288" t="s">
        <v>51</v>
      </c>
      <c r="B42" s="289"/>
      <c r="C42" s="289"/>
      <c r="D42" s="289"/>
      <c r="E42" s="289"/>
      <c r="F42" s="289"/>
      <c r="G42" s="289"/>
      <c r="H42" s="289"/>
      <c r="I42" s="290"/>
    </row>
    <row r="43" spans="1:11" s="61" customFormat="1" x14ac:dyDescent="0.25">
      <c r="A43" s="34" t="s">
        <v>52</v>
      </c>
      <c r="B43" s="69"/>
      <c r="C43" s="81">
        <v>30</v>
      </c>
      <c r="D43" s="82">
        <f>C43</f>
        <v>30</v>
      </c>
      <c r="E43" s="82">
        <f t="shared" ref="E43:H43" si="26">D43</f>
        <v>30</v>
      </c>
      <c r="F43" s="82">
        <f t="shared" si="26"/>
        <v>30</v>
      </c>
      <c r="G43" s="82">
        <f t="shared" si="26"/>
        <v>30</v>
      </c>
      <c r="H43" s="82">
        <f t="shared" si="26"/>
        <v>30</v>
      </c>
      <c r="I43" s="83">
        <f>H43</f>
        <v>30</v>
      </c>
    </row>
    <row r="44" spans="1:11" s="61" customFormat="1" x14ac:dyDescent="0.25">
      <c r="A44" s="84" t="s">
        <v>53</v>
      </c>
      <c r="B44" s="70"/>
      <c r="C44" s="80">
        <f>C43*C8</f>
        <v>6000000</v>
      </c>
      <c r="D44" s="31">
        <f t="shared" ref="D44:I44" si="27">D43*D8</f>
        <v>60000000</v>
      </c>
      <c r="E44" s="31">
        <f t="shared" si="27"/>
        <v>120000000</v>
      </c>
      <c r="F44" s="31">
        <f t="shared" si="27"/>
        <v>600000000</v>
      </c>
      <c r="G44" s="31">
        <f t="shared" si="27"/>
        <v>1200000000</v>
      </c>
      <c r="H44" s="31">
        <f t="shared" si="27"/>
        <v>6000000000</v>
      </c>
      <c r="I44" s="57">
        <f t="shared" si="27"/>
        <v>12000000000</v>
      </c>
    </row>
    <row r="45" spans="1:11" s="61" customFormat="1" x14ac:dyDescent="0.25">
      <c r="A45" s="204" t="s">
        <v>166</v>
      </c>
      <c r="B45" s="201"/>
      <c r="C45" s="205">
        <f>C$44*C$12/(1024*1024)</f>
        <v>5.7220458984375</v>
      </c>
      <c r="D45" s="206">
        <f t="shared" ref="D45:I45" si="28">D$44*D$12/(1024*1024)</f>
        <v>57.220458984375</v>
      </c>
      <c r="E45" s="206">
        <f t="shared" si="28"/>
        <v>114.44091796875</v>
      </c>
      <c r="F45" s="206">
        <f t="shared" si="28"/>
        <v>572.20458984375</v>
      </c>
      <c r="G45" s="206">
        <f t="shared" si="28"/>
        <v>1144.4091796875</v>
      </c>
      <c r="H45" s="206">
        <f t="shared" si="28"/>
        <v>5722.0458984375</v>
      </c>
      <c r="I45" s="207">
        <f t="shared" si="28"/>
        <v>11444.091796875</v>
      </c>
    </row>
    <row r="46" spans="1:11" s="61" customFormat="1" x14ac:dyDescent="0.25">
      <c r="A46" s="204" t="s">
        <v>239</v>
      </c>
      <c r="B46" s="201"/>
      <c r="C46" s="205">
        <f>C43*C30</f>
        <v>87.890625</v>
      </c>
      <c r="D46" s="206">
        <f t="shared" ref="D46:I46" si="29">D43*D30</f>
        <v>878.90625000000011</v>
      </c>
      <c r="E46" s="206">
        <f t="shared" si="29"/>
        <v>1757.8125000000002</v>
      </c>
      <c r="F46" s="206">
        <f t="shared" si="29"/>
        <v>8789.0625</v>
      </c>
      <c r="G46" s="206">
        <f t="shared" si="29"/>
        <v>17578.125</v>
      </c>
      <c r="H46" s="206">
        <f t="shared" si="29"/>
        <v>87890.625</v>
      </c>
      <c r="I46" s="207">
        <f t="shared" si="29"/>
        <v>175781.25</v>
      </c>
    </row>
    <row r="47" spans="1:11" s="61" customFormat="1" ht="15.75" thickBot="1" x14ac:dyDescent="0.3">
      <c r="A47" s="85" t="s">
        <v>54</v>
      </c>
      <c r="B47" s="58"/>
      <c r="C47" s="86">
        <f>C43*C33</f>
        <v>161.40302022298178</v>
      </c>
      <c r="D47" s="87">
        <f t="shared" ref="D47:I47" si="30">D43*D33</f>
        <v>1614.0302022298181</v>
      </c>
      <c r="E47" s="87">
        <f t="shared" si="30"/>
        <v>3228.0604044596362</v>
      </c>
      <c r="F47" s="87">
        <f t="shared" si="30"/>
        <v>16140.302022298176</v>
      </c>
      <c r="G47" s="87">
        <f t="shared" si="30"/>
        <v>32280.604044596352</v>
      </c>
      <c r="H47" s="87">
        <f t="shared" si="30"/>
        <v>161403.02022298181</v>
      </c>
      <c r="I47" s="88">
        <f t="shared" si="30"/>
        <v>322806.04044596362</v>
      </c>
    </row>
    <row r="48" spans="1:11" s="61" customFormat="1" ht="16.5" thickTop="1" thickBot="1" x14ac:dyDescent="0.3">
      <c r="A48" s="76"/>
      <c r="B48" s="89"/>
      <c r="C48" s="77"/>
      <c r="D48" s="77"/>
      <c r="E48" s="77"/>
      <c r="F48" s="77"/>
      <c r="G48" s="77"/>
      <c r="H48" s="77"/>
      <c r="I48" s="77"/>
    </row>
    <row r="49" spans="1:11" ht="20.25" thickTop="1" thickBot="1" x14ac:dyDescent="0.35">
      <c r="B49" s="261">
        <v>2</v>
      </c>
      <c r="C49" s="287" t="s">
        <v>169</v>
      </c>
      <c r="D49" s="287"/>
      <c r="E49" s="287"/>
      <c r="F49" s="287"/>
      <c r="G49" s="287"/>
      <c r="H49" s="287"/>
      <c r="I49" s="287"/>
      <c r="J49" s="223" t="s">
        <v>182</v>
      </c>
      <c r="K49" s="216"/>
    </row>
    <row r="50" spans="1:11" ht="15.75" thickTop="1" x14ac:dyDescent="0.25">
      <c r="B50" s="75" t="s">
        <v>43</v>
      </c>
      <c r="C50" s="65">
        <f ca="1">OFFSET('Datos Pusher'!$C$20,0,MAX(COUNTIF('Datos Pusher'!$C$5:$L$5,CONCATENATE("&lt;",TEXT(Hoja1!C$5,0))),COUNTIF('Datos Pusher'!$C$11:$L$11,CONCATENATE("&lt;",TEXT(Hoja1!C$6,0)))))</f>
        <v>49</v>
      </c>
      <c r="D50" s="63">
        <f ca="1">OFFSET('Datos Pusher'!$C$20,0,MAX(COUNTIF('Datos Pusher'!$C$5:$L$5,CONCATENATE("&lt;",TEXT(Hoja1!D$5,0))),COUNTIF('Datos Pusher'!$C$11:$L$11,CONCATENATE("&lt;",TEXT(Hoja1!D$6,0)))))</f>
        <v>199</v>
      </c>
      <c r="E50" s="215">
        <f ca="1">OFFSET('Datos Pusher'!$C$20,0,MAX(COUNTIF('Datos Pusher'!$C$5:$L$5,CONCATENATE("&lt;",TEXT(Hoja1!E$5,0))),COUNTIF('Datos Pusher'!$C$11:$L$11,CONCATENATE("&lt;",TEXT(Hoja1!E$6,0)))))</f>
        <v>348</v>
      </c>
      <c r="F50" s="215">
        <f ca="1">OFFSET('Datos Pusher'!$C$20,0,MAX(COUNTIF('Datos Pusher'!$C$5:$L$5,CONCATENATE("&lt;",TEXT(Hoja1!F$5,0))),COUNTIF('Datos Pusher'!$C$11:$L$11,CONCATENATE("&lt;",TEXT(Hoja1!F$6,0)))))</f>
        <v>1799</v>
      </c>
      <c r="G50" s="215">
        <f ca="1">OFFSET('Datos Pusher'!$C$20,0,MAX(COUNTIF('Datos Pusher'!$C$5:$L$5,CONCATENATE("&lt;",TEXT(Hoja1!G$5,0))),COUNTIF('Datos Pusher'!$C$11:$L$11,CONCATENATE("&lt;",TEXT(Hoja1!G$6,0)))))</f>
        <v>4768</v>
      </c>
      <c r="H50" s="215">
        <f ca="1">OFFSET('Datos Pusher'!$C$20,0,MAX(COUNTIF('Datos Pusher'!$C$5:$L$5,CONCATENATE("&lt;",TEXT(Hoja1!H$5,0))),COUNTIF('Datos Pusher'!$C$11:$L$11,CONCATENATE("&lt;",TEXT(Hoja1!H$6,0)))))</f>
        <v>10500</v>
      </c>
      <c r="I50" s="217">
        <f ca="1">OFFSET('Datos Pusher'!$C$20,0,MAX(COUNTIF('Datos Pusher'!$C$5:$L$5,CONCATENATE("&lt;",TEXT(Hoja1!I$5,0))),COUNTIF('Datos Pusher'!$C$11:$L$11,CONCATENATE("&lt;",TEXT(Hoja1!I$6,0)))))</f>
        <v>21000</v>
      </c>
      <c r="J50" s="224">
        <f t="shared" ref="J50:J59" ca="1" si="31">OFFSET($B50,0,$J$61)/OFFSET($B$60,0,$J$61)</f>
        <v>0.38964471030782083</v>
      </c>
    </row>
    <row r="51" spans="1:11" x14ac:dyDescent="0.25">
      <c r="B51" s="54" t="s">
        <v>44</v>
      </c>
      <c r="C51" s="66">
        <f ca="1">MAX((ROUNDUP(Hoja1!C13/'Datos Heroku'!$J$5,0)*'Datos Heroku'!$J$11)+'Datos Heroku'!$J$14,0)</f>
        <v>0</v>
      </c>
      <c r="D51" s="62">
        <f ca="1">MAX((ROUNDUP(Hoja1!D13/'Datos Heroku'!$J$5,0)*'Datos Heroku'!$J$11)+'Datos Heroku'!$J$14,0)</f>
        <v>0</v>
      </c>
      <c r="E51" s="62">
        <f ca="1">MAX((ROUNDUP(Hoja1!E13/'Datos Heroku'!$J$5,0)*'Datos Heroku'!$J$11)+'Datos Heroku'!$J$14,0)</f>
        <v>0</v>
      </c>
      <c r="F51" s="62">
        <f ca="1">MAX((ROUNDUP(Hoja1!F13/'Datos Heroku'!$J$5,0)*'Datos Heroku'!$J$11)+'Datos Heroku'!$J$14,0)</f>
        <v>70.5</v>
      </c>
      <c r="G51" s="62">
        <f ca="1">MAX((ROUNDUP(Hoja1!G13/'Datos Heroku'!$J$5,0)*'Datos Heroku'!$J$11)+'Datos Heroku'!$J$14,0)</f>
        <v>142.5</v>
      </c>
      <c r="H51" s="62">
        <f ca="1">MAX((ROUNDUP(Hoja1!H13/'Datos Heroku'!$J$5,0)*'Datos Heroku'!$J$11)+'Datos Heroku'!$J$14,0)</f>
        <v>826.5</v>
      </c>
      <c r="I51" s="218">
        <f ca="1">MAX((ROUNDUP(Hoja1!I13/'Datos Heroku'!$J$5,0)*'Datos Heroku'!$J$11)+'Datos Heroku'!$J$14,0)</f>
        <v>1654.5</v>
      </c>
      <c r="J51" s="225">
        <f t="shared" ca="1" si="31"/>
        <v>1.1645212084493387E-2</v>
      </c>
    </row>
    <row r="52" spans="1:11" x14ac:dyDescent="0.25">
      <c r="B52" s="54" t="s">
        <v>45</v>
      </c>
      <c r="C52" s="66">
        <v>9.9499999999999993</v>
      </c>
      <c r="D52" s="62">
        <v>9.9499999999999993</v>
      </c>
      <c r="E52" s="62">
        <v>9.9499999999999993</v>
      </c>
      <c r="F52" s="62">
        <v>9.9499999999999993</v>
      </c>
      <c r="G52" s="62">
        <v>79.95</v>
      </c>
      <c r="H52" s="62">
        <v>199.95</v>
      </c>
      <c r="I52" s="218">
        <v>399.95</v>
      </c>
      <c r="J52" s="225">
        <f t="shared" ca="1" si="31"/>
        <v>6.5335768852999741E-3</v>
      </c>
    </row>
    <row r="53" spans="1:11" x14ac:dyDescent="0.25">
      <c r="B53" s="54" t="s">
        <v>46</v>
      </c>
      <c r="C53" s="66">
        <f ca="1">OFFSET('Datos Postgres'!$N$4,COUNTIF('Datos Postgres'!$L$4:$L$7,CONCATENATE("&lt;",TEXT(Hoja1!C$45,0))),0)</f>
        <v>50</v>
      </c>
      <c r="D53" s="62">
        <f ca="1">OFFSET('Datos Postgres'!$N$4,COUNTIF('Datos Postgres'!$L$4:$L$7,CONCATENATE("&lt;",TEXT(Hoja1!D$45,0))),0)</f>
        <v>50</v>
      </c>
      <c r="E53" s="62">
        <f ca="1">OFFSET('Datos Postgres'!$N$4,COUNTIF('Datos Postgres'!$L$4:$L$7,CONCATENATE("&lt;",TEXT(Hoja1!E$45,0))),0)</f>
        <v>200</v>
      </c>
      <c r="F53" s="210">
        <f ca="1">OFFSET('Datos Postgres'!$N$4,COUNTIF('Datos Postgres'!$L$4:$L$7,CONCATENATE("&lt;",TEXT(Hoja1!F$45,0))),0)</f>
        <v>2000</v>
      </c>
      <c r="G53" s="208">
        <f ca="1">OFFSET('Datos Postgres'!$N$4,COUNTIF('Datos Postgres'!$L$4:$L$7,CONCATENATE("&lt;",TEXT(Hoja1!G$45,0))),0)</f>
        <v>3500</v>
      </c>
      <c r="H53" s="208">
        <f ca="1">OFFSET('Datos Postgres'!$N$4,COUNTIF('Datos Postgres'!$L$4:$L$7,CONCATENATE("&lt;",TEXT(Hoja1!H$45,0))),0)</f>
        <v>3500</v>
      </c>
      <c r="I53" s="219">
        <f ca="1">OFFSET('Datos Postgres'!$N$4,COUNTIF('Datos Postgres'!$L$4:$L$7,CONCATENATE("&lt;",TEXT(Hoja1!I$45,0))),0)</f>
        <v>3500</v>
      </c>
      <c r="J53" s="225">
        <f t="shared" ca="1" si="31"/>
        <v>0.28602275295246915</v>
      </c>
    </row>
    <row r="54" spans="1:11" x14ac:dyDescent="0.25">
      <c r="B54" s="54" t="s">
        <v>47</v>
      </c>
      <c r="C54" s="66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218">
        <v>0</v>
      </c>
      <c r="J54" s="225">
        <f t="shared" ca="1" si="31"/>
        <v>0</v>
      </c>
    </row>
    <row r="55" spans="1:11" s="61" customFormat="1" x14ac:dyDescent="0.25">
      <c r="A55" s="258">
        <v>1</v>
      </c>
      <c r="B55" s="59" t="s">
        <v>48</v>
      </c>
      <c r="C55" s="66">
        <f t="shared" ref="C55:I55" si="32">IF($B$49=$A55,C75,0)</f>
        <v>0</v>
      </c>
      <c r="D55" s="62">
        <f t="shared" si="32"/>
        <v>0</v>
      </c>
      <c r="E55" s="62">
        <f t="shared" si="32"/>
        <v>0</v>
      </c>
      <c r="F55" s="62">
        <f t="shared" si="32"/>
        <v>0</v>
      </c>
      <c r="G55" s="62">
        <f t="shared" si="32"/>
        <v>0</v>
      </c>
      <c r="H55" s="62">
        <f t="shared" si="32"/>
        <v>0</v>
      </c>
      <c r="I55" s="262">
        <f t="shared" si="32"/>
        <v>0</v>
      </c>
      <c r="J55" s="257">
        <f t="shared" ca="1" si="31"/>
        <v>0</v>
      </c>
    </row>
    <row r="56" spans="1:11" x14ac:dyDescent="0.25">
      <c r="A56" s="260">
        <v>2</v>
      </c>
      <c r="B56" s="59" t="s">
        <v>212</v>
      </c>
      <c r="C56" s="255">
        <f t="shared" ref="C56:I56" ca="1" si="33">IF($B$49=$A56,C89,0)</f>
        <v>15.855639690823025</v>
      </c>
      <c r="D56" s="256">
        <f t="shared" ca="1" si="33"/>
        <v>158.26138180711536</v>
      </c>
      <c r="E56" s="256">
        <f t="shared" ca="1" si="33"/>
        <v>345.55271833292647</v>
      </c>
      <c r="F56" s="256">
        <f t="shared" ca="1" si="33"/>
        <v>1725.715591664632</v>
      </c>
      <c r="G56" s="256">
        <f t="shared" ca="1" si="33"/>
        <v>3746.3387305162214</v>
      </c>
      <c r="H56" s="256">
        <f t="shared" ca="1" si="33"/>
        <v>18674.544142469622</v>
      </c>
      <c r="I56" s="263">
        <f t="shared" ca="1" si="33"/>
        <v>40277.171756808813</v>
      </c>
      <c r="J56" s="257">
        <f t="shared" ca="1" si="31"/>
        <v>0.30615374776991661</v>
      </c>
    </row>
    <row r="57" spans="1:11" s="61" customFormat="1" x14ac:dyDescent="0.25">
      <c r="A57" s="260">
        <v>3</v>
      </c>
      <c r="B57" s="59" t="str">
        <f>C94</f>
        <v>MaxCDN</v>
      </c>
      <c r="C57" s="255">
        <f t="shared" ref="C57:I57" si="34">IF($B$49=$A57,C103,0)</f>
        <v>0</v>
      </c>
      <c r="D57" s="256">
        <f t="shared" si="34"/>
        <v>0</v>
      </c>
      <c r="E57" s="256">
        <f t="shared" si="34"/>
        <v>0</v>
      </c>
      <c r="F57" s="256">
        <f t="shared" si="34"/>
        <v>0</v>
      </c>
      <c r="G57" s="256">
        <f t="shared" si="34"/>
        <v>0</v>
      </c>
      <c r="H57" s="256">
        <f t="shared" si="34"/>
        <v>0</v>
      </c>
      <c r="I57" s="263">
        <f t="shared" si="34"/>
        <v>0</v>
      </c>
      <c r="J57" s="257">
        <f t="shared" ca="1" si="31"/>
        <v>0</v>
      </c>
    </row>
    <row r="58" spans="1:11" s="61" customFormat="1" x14ac:dyDescent="0.25">
      <c r="A58" s="260">
        <v>5</v>
      </c>
      <c r="B58" s="59" t="str">
        <f>C108</f>
        <v>KeyCDN</v>
      </c>
      <c r="C58" s="255">
        <f>IF($B$49=$A58,C117,0)</f>
        <v>0</v>
      </c>
      <c r="D58" s="256">
        <f t="shared" ref="D58:I58" si="35">IF($B$49=$A58,D117,0)</f>
        <v>0</v>
      </c>
      <c r="E58" s="256">
        <f t="shared" si="35"/>
        <v>0</v>
      </c>
      <c r="F58" s="256">
        <f t="shared" si="35"/>
        <v>0</v>
      </c>
      <c r="G58" s="256">
        <f t="shared" si="35"/>
        <v>0</v>
      </c>
      <c r="H58" s="256">
        <f t="shared" si="35"/>
        <v>0</v>
      </c>
      <c r="I58" s="263">
        <f t="shared" si="35"/>
        <v>0</v>
      </c>
      <c r="J58" s="257">
        <f t="shared" ca="1" si="31"/>
        <v>0</v>
      </c>
    </row>
    <row r="59" spans="1:11" s="61" customFormat="1" ht="15.75" thickBot="1" x14ac:dyDescent="0.3">
      <c r="A59" s="260">
        <v>4</v>
      </c>
      <c r="B59" s="59" t="str">
        <f>C122</f>
        <v>CloudImage.io</v>
      </c>
      <c r="C59" s="67">
        <f>IF($B$49=$A59,C131,0)</f>
        <v>0</v>
      </c>
      <c r="D59" s="68">
        <f t="shared" ref="D59:I59" si="36">IF($B$49=$A59,D131,0)</f>
        <v>0</v>
      </c>
      <c r="E59" s="68">
        <f t="shared" si="36"/>
        <v>0</v>
      </c>
      <c r="F59" s="68">
        <f t="shared" si="36"/>
        <v>0</v>
      </c>
      <c r="G59" s="68">
        <f t="shared" si="36"/>
        <v>0</v>
      </c>
      <c r="H59" s="68">
        <f t="shared" si="36"/>
        <v>0</v>
      </c>
      <c r="I59" s="259">
        <f t="shared" si="36"/>
        <v>0</v>
      </c>
      <c r="J59" s="226">
        <f t="shared" ca="1" si="31"/>
        <v>0</v>
      </c>
    </row>
    <row r="60" spans="1:11" ht="16.5" thickTop="1" thickBot="1" x14ac:dyDescent="0.3">
      <c r="B60" s="71" t="s">
        <v>49</v>
      </c>
      <c r="C60" s="64">
        <f ca="1">SUM(C50:C59)</f>
        <v>124.80563969082303</v>
      </c>
      <c r="D60" s="64">
        <f t="shared" ref="D60:I60" ca="1" si="37">SUM(D50:D59)</f>
        <v>417.21138180711534</v>
      </c>
      <c r="E60" s="64">
        <f t="shared" ca="1" si="37"/>
        <v>903.50271833292652</v>
      </c>
      <c r="F60" s="64">
        <f t="shared" ca="1" si="37"/>
        <v>5605.1655916646323</v>
      </c>
      <c r="G60" s="64">
        <f t="shared" ca="1" si="37"/>
        <v>12236.788730516222</v>
      </c>
      <c r="H60" s="64">
        <f t="shared" ca="1" si="37"/>
        <v>33700.994142469623</v>
      </c>
      <c r="I60" s="64">
        <f t="shared" ca="1" si="37"/>
        <v>66831.621756808818</v>
      </c>
      <c r="J60" s="222" t="s">
        <v>183</v>
      </c>
    </row>
    <row r="61" spans="1:11" ht="15.75" thickBot="1" x14ac:dyDescent="0.3">
      <c r="B61" s="72" t="s">
        <v>50</v>
      </c>
      <c r="C61" s="73">
        <f t="shared" ref="C61:I61" ca="1" si="38">C60/C3</f>
        <v>2.4961127938164605E-2</v>
      </c>
      <c r="D61" s="74">
        <f t="shared" ca="1" si="38"/>
        <v>8.3442276361423064E-3</v>
      </c>
      <c r="E61" s="74">
        <f t="shared" ca="1" si="38"/>
        <v>9.035027183329266E-3</v>
      </c>
      <c r="F61" s="74">
        <f t="shared" ca="1" si="38"/>
        <v>1.1210331183329265E-2</v>
      </c>
      <c r="G61" s="74">
        <f t="shared" ca="1" si="38"/>
        <v>1.2236788730516222E-2</v>
      </c>
      <c r="H61" s="74">
        <f t="shared" ca="1" si="38"/>
        <v>6.7401988284939247E-3</v>
      </c>
      <c r="I61" s="220">
        <f t="shared" ca="1" si="38"/>
        <v>6.6831621756808816E-3</v>
      </c>
      <c r="J61" s="221">
        <v>5</v>
      </c>
      <c r="K61" s="129"/>
    </row>
    <row r="62" spans="1:11" ht="15.75" thickTop="1" x14ac:dyDescent="0.25"/>
    <row r="65" spans="2:13" ht="15.75" thickBot="1" x14ac:dyDescent="0.3">
      <c r="K65" s="279" t="s">
        <v>211</v>
      </c>
    </row>
    <row r="66" spans="2:13" ht="20.25" thickTop="1" thickBot="1" x14ac:dyDescent="0.3">
      <c r="B66" s="124"/>
      <c r="C66" s="273" t="s">
        <v>167</v>
      </c>
      <c r="D66" s="274"/>
      <c r="E66" s="274"/>
      <c r="F66" s="274"/>
      <c r="G66" s="274"/>
      <c r="H66" s="274"/>
      <c r="I66" s="275"/>
      <c r="K66" s="279"/>
    </row>
    <row r="67" spans="2:13" s="125" customFormat="1" ht="19.5" thickBot="1" x14ac:dyDescent="0.3">
      <c r="B67" s="100"/>
      <c r="C67" s="126" t="s">
        <v>61</v>
      </c>
      <c r="D67" s="268" t="str">
        <f>'Selección S3'!$C$2</f>
        <v>EE.UU. Estándar</v>
      </c>
      <c r="E67" s="269"/>
      <c r="F67" s="270" t="s">
        <v>114</v>
      </c>
      <c r="G67" s="271"/>
      <c r="H67" s="268" t="str">
        <f>'Selección S3'!$C$3</f>
        <v>Estándar</v>
      </c>
      <c r="I67" s="272"/>
    </row>
    <row r="68" spans="2:13" ht="15.75" thickTop="1" x14ac:dyDescent="0.25">
      <c r="B68" s="127" t="s">
        <v>60</v>
      </c>
      <c r="C68" s="63">
        <f ca="1">ROUNDUP((C$40*30)/'Selección S3'!$B$28,0)*'Selección S3'!$C$28</f>
        <v>1.8</v>
      </c>
      <c r="D68" s="63">
        <f ca="1">ROUNDUP((D$40*30)/'Selección S3'!$B$28,0)*'Selección S3'!$C$28</f>
        <v>18</v>
      </c>
      <c r="E68" s="63">
        <f ca="1">ROUNDUP((E$40*30)/'Selección S3'!$B$28,0)*'Selección S3'!$C$28</f>
        <v>43.2</v>
      </c>
      <c r="F68" s="63">
        <f ca="1">ROUNDUP((F$40*30)/'Selección S3'!$B$28,0)*'Selección S3'!$C$28</f>
        <v>216</v>
      </c>
      <c r="G68" s="63">
        <f ca="1">ROUNDUP((G$40*30)/'Selección S3'!$B$28,0)*'Selección S3'!$C$28</f>
        <v>504</v>
      </c>
      <c r="H68" s="63">
        <f ca="1">ROUNDUP((H$40*30)/'Selección S3'!$B$28,0)*'Selección S3'!$C$28</f>
        <v>2520</v>
      </c>
      <c r="I68" s="90">
        <f ca="1">ROUNDUP((I$40*30)/'Selección S3'!$B$28,0)*'Selección S3'!$C$28</f>
        <v>5760</v>
      </c>
      <c r="K68" s="96">
        <v>5760</v>
      </c>
      <c r="M68" s="95">
        <f t="shared" ref="M68:M69" ca="1" si="39">IF(K68=0,IF(I68=0,0,"Infinito"),1-(I68/K68))</f>
        <v>0</v>
      </c>
    </row>
    <row r="69" spans="2:13" x14ac:dyDescent="0.25">
      <c r="B69" s="128" t="s">
        <v>55</v>
      </c>
      <c r="C69" s="62">
        <f ca="1">ROUNDUP((C$41*30)/'Selección S3'!$B$23,0)*'Selección S3'!$C$23</f>
        <v>10</v>
      </c>
      <c r="D69" s="62">
        <f ca="1">ROUNDUP((D$41*30)/'Selección S3'!$B$23,0)*'Selección S3'!$C$23</f>
        <v>100</v>
      </c>
      <c r="E69" s="62">
        <f ca="1">ROUNDUP((E$41*30)/'Selección S3'!$B$23,0)*'Selección S3'!$C$23</f>
        <v>200</v>
      </c>
      <c r="F69" s="62">
        <f ca="1">ROUNDUP((F$41*30)/'Selección S3'!$B$23,0)*'Selección S3'!$C$23</f>
        <v>1000</v>
      </c>
      <c r="G69" s="62">
        <f ca="1">ROUNDUP((G$41*30)/'Selección S3'!$B$23,0)*'Selección S3'!$C$23</f>
        <v>2000</v>
      </c>
      <c r="H69" s="62">
        <f ca="1">ROUNDUP((H$41*30)/'Selección S3'!$B$23,0)*'Selección S3'!$C$23</f>
        <v>10000</v>
      </c>
      <c r="I69" s="60">
        <f ca="1">ROUNDUP((I$41*30)/'Selección S3'!$B$23,0)*'Selección S3'!$C$23</f>
        <v>20000</v>
      </c>
      <c r="K69" s="96">
        <v>20000.000000000004</v>
      </c>
      <c r="M69" s="95">
        <f t="shared" ca="1" si="39"/>
        <v>2.2204460492503131E-16</v>
      </c>
    </row>
    <row r="70" spans="2:13" s="61" customFormat="1" x14ac:dyDescent="0.25">
      <c r="B70" s="128" t="s">
        <v>117</v>
      </c>
      <c r="C70" s="62">
        <f ca="1">C$32*30*'Selección S3'!$C$31</f>
        <v>0</v>
      </c>
      <c r="D70" s="62">
        <f ca="1">D$32*30*'Selección S3'!$C$31</f>
        <v>0</v>
      </c>
      <c r="E70" s="62">
        <f ca="1">E$32*30*'Selección S3'!$C$31</f>
        <v>0</v>
      </c>
      <c r="F70" s="62">
        <f ca="1">F$32*30*'Selección S3'!$C$31</f>
        <v>0</v>
      </c>
      <c r="G70" s="62">
        <f ca="1">G$32*30*'Selección S3'!$C$31</f>
        <v>0</v>
      </c>
      <c r="H70" s="62">
        <f ca="1">H$32*30*'Selección S3'!$C$31</f>
        <v>0</v>
      </c>
      <c r="I70" s="60">
        <f ca="1">I$32*30*'Selección S3'!$C$31</f>
        <v>0</v>
      </c>
      <c r="K70" s="96">
        <v>0</v>
      </c>
      <c r="M70" s="95">
        <f ca="1">IF(K70=0,IF(I70=0,0,"Infinito"),1-(I70/K70))</f>
        <v>0</v>
      </c>
    </row>
    <row r="71" spans="2:13" s="61" customFormat="1" x14ac:dyDescent="0.25">
      <c r="B71" s="128" t="s">
        <v>118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0">
        <v>0</v>
      </c>
      <c r="K71" s="96">
        <v>0</v>
      </c>
      <c r="M71" s="95">
        <f t="shared" ref="M71:M75" si="40">IF(K71=0,IF(I71=0,0,"Infinito"),1-(I71/K71))</f>
        <v>0</v>
      </c>
    </row>
    <row r="72" spans="2:13" x14ac:dyDescent="0.25">
      <c r="B72" s="128" t="s">
        <v>66</v>
      </c>
      <c r="C72" s="62">
        <f ca="1">IF(C$34*30&gt;0,IF(C$34*30&lt;'Selección S3'!$B$37,(C$34*30-0)*'Selección S3'!$C$37,('Selección S3'!$B$37-0)*'Selección S3'!$C$37),0)
+IF(C$34*30&gt;'Selección S3'!$B$37,IF(C$34*30&lt;'Selección S3'!$B$38,(C$34*30-'Selección S3'!$B$37)*'Selección S3'!$C$38,('Selección S3'!$B$38-'Selección S3'!$B$37)*'Selección S3'!$C$38),0)
+IF(C$34*30&gt;'Selección S3'!$B$38,IF(C$34*30&lt;'Selección S3'!$B$39,(C$34*30-'Selección S3'!$B$38)*'Selección S3'!$C$39,('Selección S3'!$B$39-'Selección S3'!$B$38)*'Selección S3'!$C$39),0)
+IF(C$34*30&gt;'Selección S3'!$B$39,IF(C$34*30&lt;'Selección S3'!$B$40,(C$34*30-'Selección S3'!$B$39)*'Selección S3'!$C$40,('Selección S3'!$B$40-'Selección S3'!$B$39)*'Selección S3'!$C$40),0)
+IF(C$34*30&gt;'Selección S3'!$B$40,IF(C$34*30&lt;'Selección S3'!$B$41,(C$34*30-'Selección S3'!$B$40)*'Selección S3'!$C$41,('Selección S3'!$B$41-'Selección S3'!$B$40)*'Selección S3'!$C$41),0)
+IF(C$34*30&gt;'Selección S3'!$B$41,IF(C$34*30&lt;'Selección S3'!$B$42,(C$34*30-'Selección S3'!$B$41)*'Selección S3'!$C$42,('Selección S3'!$B$42-'Selección S3'!$B$41)*'Selección S3'!$C$42),0)
+IF(C$34*30&gt;'Selección S3'!$B$42,IF(C$34*30&lt;'Selección S3'!$B$43,(C$34*30-'Selección S3'!$B$42)*'Selección S3'!$C$43,('Selección S3'!$B$43-'Selección S3'!$B$42)*'Selección S3'!$C$43),0)
+IF(C$34*30&gt;'Selección S3'!$B$43,(C$34*30-'Selección S3'!$B$43)*'Selección S3'!$C$44,0)</f>
        <v>29.094699058532719</v>
      </c>
      <c r="D72" s="62">
        <f ca="1">IF(D$34*30&gt;0,IF(D$34*30&lt;'Selección S3'!$B$37,(D$34*30-0)*'Selección S3'!$C$37,('Selección S3'!$B$37-0)*'Selección S3'!$C$37),0)
+IF(D$34*30&gt;'Selección S3'!$B$37,IF(D$34*30&lt;'Selección S3'!$B$38,(D$34*30-'Selección S3'!$B$37)*'Selección S3'!$C$38,('Selección S3'!$B$38-'Selección S3'!$B$37)*'Selección S3'!$C$38),0)
+IF(D$34*30&gt;'Selección S3'!$B$38,IF(D$34*30&lt;'Selección S3'!$B$39,(D$34*30-'Selección S3'!$B$38)*'Selección S3'!$C$39,('Selección S3'!$B$39-'Selección S3'!$B$38)*'Selección S3'!$C$39),0)
+IF(D$34*30&gt;'Selección S3'!$B$39,IF(D$34*30&lt;'Selección S3'!$B$40,(D$34*30-'Selección S3'!$B$39)*'Selección S3'!$C$40,('Selección S3'!$B$40-'Selección S3'!$B$39)*'Selección S3'!$C$40),0)
+IF(D$34*30&gt;'Selección S3'!$B$40,IF(D$34*30&lt;'Selección S3'!$B$41,(D$34*30-'Selección S3'!$B$40)*'Selección S3'!$C$41,('Selección S3'!$B$41-'Selección S3'!$B$40)*'Selección S3'!$C$41),0)
+IF(D$34*30&gt;'Selección S3'!$B$41,IF(D$34*30&lt;'Selección S3'!$B$42,(D$34*30-'Selección S3'!$B$41)*'Selección S3'!$C$42,('Selección S3'!$B$42-'Selección S3'!$B$41)*'Selección S3'!$C$42),0)
+IF(D$34*30&gt;'Selección S3'!$B$42,IF(D$34*30&lt;'Selección S3'!$B$43,(D$34*30-'Selección S3'!$B$42)*'Selección S3'!$C$43,('Selección S3'!$B$43-'Selección S3'!$B$42)*'Selección S3'!$C$43),0)
+IF(D$34*30&gt;'Selección S3'!$B$43,(D$34*30-'Selección S3'!$B$43)*'Selección S3'!$C$44,0)</f>
        <v>291.75699058532723</v>
      </c>
      <c r="E72" s="62">
        <f ca="1">IF(E$34*30&gt;0,IF(E$34*30&lt;'Selección S3'!$B$37,(E$34*30-0)*'Selección S3'!$C$37,('Selección S3'!$B$37-0)*'Selección S3'!$C$37),0)
+IF(E$34*30&gt;'Selección S3'!$B$37,IF(E$34*30&lt;'Selección S3'!$B$38,(E$34*30-'Selección S3'!$B$37)*'Selección S3'!$C$38,('Selección S3'!$B$38-'Selección S3'!$B$37)*'Selección S3'!$C$38),0)
+IF(E$34*30&gt;'Selección S3'!$B$38,IF(E$34*30&lt;'Selección S3'!$B$39,(E$34*30-'Selección S3'!$B$38)*'Selección S3'!$C$39,('Selección S3'!$B$39-'Selección S3'!$B$38)*'Selección S3'!$C$39),0)
+IF(E$34*30&gt;'Selección S3'!$B$39,IF(E$34*30&lt;'Selección S3'!$B$40,(E$34*30-'Selección S3'!$B$39)*'Selección S3'!$C$40,('Selección S3'!$B$40-'Selección S3'!$B$39)*'Selección S3'!$C$40),0)
+IF(E$34*30&gt;'Selección S3'!$B$40,IF(E$34*30&lt;'Selección S3'!$B$41,(E$34*30-'Selección S3'!$B$40)*'Selección S3'!$C$41,('Selección S3'!$B$41-'Selección S3'!$B$40)*'Selección S3'!$C$41),0)
+IF(E$34*30&gt;'Selección S3'!$B$41,IF(E$34*30&lt;'Selección S3'!$B$42,(E$34*30-'Selección S3'!$B$41)*'Selección S3'!$C$42,('Selección S3'!$B$42-'Selección S3'!$B$41)*'Selección S3'!$C$42),0)
+IF(E$34*30&gt;'Selección S3'!$B$42,IF(E$34*30&lt;'Selección S3'!$B$43,(E$34*30-'Selección S3'!$B$42)*'Selección S3'!$C$43,('Selección S3'!$B$43-'Selección S3'!$B$42)*'Selección S3'!$C$43),0)
+IF(E$34*30&gt;'Selección S3'!$B$43,(E$34*30-'Selección S3'!$B$43)*'Selección S3'!$C$44,0)</f>
        <v>700.34277740478512</v>
      </c>
      <c r="F72" s="62">
        <f ca="1">IF(F$34*30&gt;0,IF(F$34*30&lt;'Selección S3'!$B$37,(F$34*30-0)*'Selección S3'!$C$37,('Selección S3'!$B$37-0)*'Selección S3'!$C$37),0)
+IF(F$34*30&gt;'Selección S3'!$B$37,IF(F$34*30&lt;'Selección S3'!$B$38,(F$34*30-'Selección S3'!$B$37)*'Selección S3'!$C$38,('Selección S3'!$B$38-'Selección S3'!$B$37)*'Selección S3'!$C$38),0)
+IF(F$34*30&gt;'Selección S3'!$B$38,IF(F$34*30&lt;'Selección S3'!$B$39,(F$34*30-'Selección S3'!$B$38)*'Selección S3'!$C$39,('Selección S3'!$B$39-'Selección S3'!$B$38)*'Selección S3'!$C$39),0)
+IF(F$34*30&gt;'Selección S3'!$B$39,IF(F$34*30&lt;'Selección S3'!$B$40,(F$34*30-'Selección S3'!$B$39)*'Selección S3'!$C$40,('Selección S3'!$B$40-'Selección S3'!$B$39)*'Selección S3'!$C$40),0)
+IF(F$34*30&gt;'Selección S3'!$B$40,IF(F$34*30&lt;'Selección S3'!$B$41,(F$34*30-'Selección S3'!$B$40)*'Selección S3'!$C$41,('Selección S3'!$B$41-'Selección S3'!$B$40)*'Selección S3'!$C$41),0)
+IF(F$34*30&gt;'Selección S3'!$B$41,IF(F$34*30&lt;'Selección S3'!$B$42,(F$34*30-'Selección S3'!$B$41)*'Selección S3'!$C$42,('Selección S3'!$B$42-'Selección S3'!$B$41)*'Selección S3'!$C$42),0)
+IF(F$34*30&gt;'Selección S3'!$B$42,IF(F$34*30&lt;'Selección S3'!$B$43,(F$34*30-'Selección S3'!$B$42)*'Selección S3'!$C$43,('Selección S3'!$B$43-'Selección S3'!$B$42)*'Selección S3'!$C$43),0)
+IF(F$34*30&gt;'Selección S3'!$B$43,(F$34*30-'Selección S3'!$B$43)*'Selección S3'!$C$44,0)</f>
        <v>3358.7092266337086</v>
      </c>
      <c r="G72" s="62">
        <f ca="1">IF(G$34*30&gt;0,IF(G$34*30&lt;'Selección S3'!$B$37,(G$34*30-0)*'Selección S3'!$C$37,('Selección S3'!$B$37-0)*'Selección S3'!$C$37),0)
+IF(G$34*30&gt;'Selección S3'!$B$37,IF(G$34*30&lt;'Selección S3'!$B$38,(G$34*30-'Selección S3'!$B$37)*'Selección S3'!$C$38,('Selección S3'!$B$38-'Selección S3'!$B$37)*'Selección S3'!$C$38),0)
+IF(G$34*30&gt;'Selección S3'!$B$38,IF(G$34*30&lt;'Selección S3'!$B$39,(G$34*30-'Selección S3'!$B$38)*'Selección S3'!$C$39,('Selección S3'!$B$39-'Selección S3'!$B$38)*'Selección S3'!$C$39),0)
+IF(G$34*30&gt;'Selección S3'!$B$39,IF(G$34*30&lt;'Selección S3'!$B$40,(G$34*30-'Selección S3'!$B$39)*'Selección S3'!$C$40,('Selección S3'!$B$40-'Selección S3'!$B$39)*'Selección S3'!$C$40),0)
+IF(G$34*30&gt;'Selección S3'!$B$40,IF(G$34*30&lt;'Selección S3'!$B$41,(G$34*30-'Selección S3'!$B$40)*'Selección S3'!$C$41,('Selección S3'!$B$41-'Selección S3'!$B$40)*'Selección S3'!$C$41),0)
+IF(G$34*30&gt;'Selección S3'!$B$41,IF(G$34*30&lt;'Selección S3'!$B$42,(G$34*30-'Selección S3'!$B$41)*'Selección S3'!$C$42,('Selección S3'!$B$42-'Selección S3'!$B$41)*'Selección S3'!$C$42),0)
+IF(G$34*30&gt;'Selección S3'!$B$42,IF(G$34*30&lt;'Selección S3'!$B$43,(G$34*30-'Selección S3'!$B$42)*'Selección S3'!$C$43,('Selección S3'!$B$43-'Selección S3'!$B$42)*'Selección S3'!$C$43),0)
+IF(G$34*30&gt;'Selección S3'!$B$43,(G$34*30-'Selección S3'!$B$43)*'Selección S3'!$C$44,0)</f>
        <v>7174.8889060804586</v>
      </c>
      <c r="H72" s="62">
        <f ca="1">IF(H$34*30&gt;0,IF(H$34*30&lt;'Selección S3'!$B$37,(H$34*30-0)*'Selección S3'!$C$37,('Selección S3'!$B$37-0)*'Selección S3'!$C$37),0)
+IF(H$34*30&gt;'Selección S3'!$B$37,IF(H$34*30&lt;'Selección S3'!$B$38,(H$34*30-'Selección S3'!$B$37)*'Selección S3'!$C$38,('Selección S3'!$B$38-'Selección S3'!$B$37)*'Selección S3'!$C$38),0)
+IF(H$34*30&gt;'Selección S3'!$B$38,IF(H$34*30&lt;'Selección S3'!$B$39,(H$34*30-'Selección S3'!$B$38)*'Selección S3'!$C$39,('Selección S3'!$B$39-'Selección S3'!$B$38)*'Selección S3'!$C$39),0)
+IF(H$34*30&gt;'Selección S3'!$B$39,IF(H$34*30&lt;'Selección S3'!$B$40,(H$34*30-'Selección S3'!$B$39)*'Selección S3'!$C$40,('Selección S3'!$B$40-'Selección S3'!$B$39)*'Selección S3'!$C$40),0)
+IF(H$34*30&gt;'Selección S3'!$B$40,IF(H$34*30&lt;'Selección S3'!$B$41,(H$34*30-'Selección S3'!$B$40)*'Selección S3'!$C$41,('Selección S3'!$B$41-'Selección S3'!$B$40)*'Selección S3'!$C$41),0)
+IF(H$34*30&gt;'Selección S3'!$B$41,IF(H$34*30&lt;'Selección S3'!$B$42,(H$34*30-'Selección S3'!$B$41)*'Selección S3'!$C$42,('Selección S3'!$B$42-'Selección S3'!$B$41)*'Selección S3'!$C$42),0)
+IF(H$34*30&gt;'Selección S3'!$B$42,IF(H$34*30&lt;'Selección S3'!$B$43,(H$34*30-'Selección S3'!$B$42)*'Selección S3'!$C$43,('Selección S3'!$B$43-'Selección S3'!$B$42)*'Selección S3'!$C$43),0)
+IF(H$34*30&gt;'Selección S3'!$B$43,(H$34*30-'Selección S3'!$B$43)*'Selección S3'!$C$44,0)</f>
        <v>26590.320378858778</v>
      </c>
      <c r="I72" s="60">
        <f ca="1">IF(I$34*30&gt;0,IF(I$34*30&lt;'Selección S3'!$B$37,(I$34*30-0)*'Selección S3'!$C$37,('Selección S3'!$B$37-0)*'Selección S3'!$C$37),0)
+IF(I$34*30&gt;'Selección S3'!$B$37,IF(I$34*30&lt;'Selección S3'!$B$38,(I$34*30-'Selección S3'!$B$37)*'Selección S3'!$C$38,('Selección S3'!$B$38-'Selección S3'!$B$37)*'Selección S3'!$C$38),0)
+IF(I$34*30&gt;'Selección S3'!$B$38,IF(I$34*30&lt;'Selección S3'!$B$39,(I$34*30-'Selección S3'!$B$38)*'Selección S3'!$C$39,('Selección S3'!$B$39-'Selección S3'!$B$38)*'Selección S3'!$C$39),0)
+IF(I$34*30&gt;'Selección S3'!$B$39,IF(I$34*30&lt;'Selección S3'!$B$40,(I$34*30-'Selección S3'!$B$39)*'Selección S3'!$C$40,('Selección S3'!$B$40-'Selección S3'!$B$39)*'Selección S3'!$C$40),0)
+IF(I$34*30&gt;'Selección S3'!$B$40,IF(I$34*30&lt;'Selección S3'!$B$41,(I$34*30-'Selección S3'!$B$40)*'Selección S3'!$C$41,('Selección S3'!$B$41-'Selección S3'!$B$40)*'Selección S3'!$C$41),0)
+IF(I$34*30&gt;'Selección S3'!$B$41,IF(I$34*30&lt;'Selección S3'!$B$42,(I$34*30-'Selección S3'!$B$41)*'Selección S3'!$C$42,('Selección S3'!$B$42-'Selección S3'!$B$41)*'Selección S3'!$C$42),0)
+IF(I$34*30&gt;'Selección S3'!$B$42,IF(I$34*30&lt;'Selección S3'!$B$43,(I$34*30-'Selección S3'!$B$42)*'Selección S3'!$C$43,('Selección S3'!$B$43-'Selección S3'!$B$42)*'Selección S3'!$C$43),0)
+IF(I$34*30&gt;'Selección S3'!$B$43,(I$34*30-'Selección S3'!$B$43)*'Selección S3'!$C$44,0)</f>
        <v>55775.0194373915</v>
      </c>
      <c r="K72" s="96">
        <v>55775.0194373915</v>
      </c>
      <c r="M72" s="95">
        <f t="shared" ca="1" si="40"/>
        <v>0</v>
      </c>
    </row>
    <row r="73" spans="2:13" x14ac:dyDescent="0.25">
      <c r="B73" s="128" t="s">
        <v>67</v>
      </c>
      <c r="C73" s="62">
        <f ca="1">IF(C$47&gt;0,IF(C$47&lt;'Selección S3'!$B$6,(C$47-0)*'Selección S3'!$C$6,('Selección S3'!$B$6-0)*'Selección S3'!$C$6),0)
+IF(C$47&gt;'Selección S3'!$B$6,IF(C$47&lt;'Selección S3'!$B$7,(C$47-'Selección S3'!$B$6)*'Selección S3'!$C$7,('Selección S3'!$B$7-'Selección S3'!$B$6)*'Selección S3'!$C$7),0)
+IF(C$47&gt;'Selección S3'!$B$7,IF(C$47&lt;'Selección S3'!$B$8,(C$47-'Selección S3'!$B$7)*'Selección S3'!$C$8,('Selección S3'!$B$8-'Selección S3'!$B$7)*'Selección S3'!$C$8),0)
+IF(C$47&gt;'Selección S3'!$B$8,IF(C$47&lt;'Selección S3'!$B$9,(C$47-'Selección S3'!$B$8)*'Selección S3'!$C$9,('Selección S3'!$B$9-'Selección S3'!$B$8)*'Selección S3'!$C$9),0)
+IF(C$47&gt;'Selección S3'!$B$9,IF(C$47&lt;'Selección S3'!$B$10,(C$47-'Selección S3'!$B$9)*'Selección S3'!$C$10,('Selección S3'!$B$10-'Selección S3'!$B$9)*'Selección S3'!$C$10),0)
+IF(C$47&gt;'Selección S3'!$B$10,(C$47-'Selección S3'!$B$10)*'Selección S3'!$C$11,0)</f>
        <v>4.8420906066894531</v>
      </c>
      <c r="D73" s="62">
        <f ca="1">IF(D$47&gt;0,IF(D$47&lt;'Selección S3'!$B$6,(D$47-0)*'Selección S3'!$C$6,('Selección S3'!$B$6-0)*'Selección S3'!$C$6),0)
+IF(D$47&gt;'Selección S3'!$B$6,IF(D$47&lt;'Selección S3'!$B$7,(D$47-'Selección S3'!$B$6)*'Selección S3'!$C$7,('Selección S3'!$B$7-'Selección S3'!$B$6)*'Selección S3'!$C$7),0)
+IF(D$47&gt;'Selección S3'!$B$7,IF(D$47&lt;'Selección S3'!$B$8,(D$47-'Selección S3'!$B$7)*'Selección S3'!$C$8,('Selección S3'!$B$8-'Selección S3'!$B$7)*'Selección S3'!$C$8),0)
+IF(D$47&gt;'Selección S3'!$B$8,IF(D$47&lt;'Selección S3'!$B$9,(D$47-'Selección S3'!$B$8)*'Selección S3'!$C$9,('Selección S3'!$B$9-'Selección S3'!$B$8)*'Selección S3'!$C$9),0)
+IF(D$47&gt;'Selección S3'!$B$9,IF(D$47&lt;'Selección S3'!$B$10,(D$47-'Selección S3'!$B$9)*'Selección S3'!$C$10,('Selección S3'!$B$10-'Selección S3'!$B$9)*'Selección S3'!$C$10),0)
+IF(D$47&gt;'Selección S3'!$B$10,(D$47-'Selección S3'!$B$10)*'Selección S3'!$C$11,0)</f>
        <v>48.125890965779632</v>
      </c>
      <c r="E73" s="62">
        <f ca="1">IF(E$47&gt;0,IF(E$47&lt;'Selección S3'!$B$6,(E$47-0)*'Selección S3'!$C$6,('Selección S3'!$B$6-0)*'Selección S3'!$C$6),0)
+IF(E$47&gt;'Selección S3'!$B$6,IF(E$47&lt;'Selección S3'!$B$7,(E$47-'Selección S3'!$B$6)*'Selección S3'!$C$7,('Selección S3'!$B$7-'Selección S3'!$B$6)*'Selección S3'!$C$7),0)
+IF(E$47&gt;'Selección S3'!$B$7,IF(E$47&lt;'Selección S3'!$B$8,(E$47-'Selección S3'!$B$7)*'Selección S3'!$C$8,('Selección S3'!$B$8-'Selección S3'!$B$7)*'Selección S3'!$C$8),0)
+IF(E$47&gt;'Selección S3'!$B$8,IF(E$47&lt;'Selección S3'!$B$9,(E$47-'Selección S3'!$B$8)*'Selección S3'!$C$9,('Selección S3'!$B$9-'Selección S3'!$B$8)*'Selección S3'!$C$9),0)
+IF(E$47&gt;'Selección S3'!$B$9,IF(E$47&lt;'Selección S3'!$B$10,(E$47-'Selección S3'!$B$9)*'Selección S3'!$C$10,('Selección S3'!$B$10-'Selección S3'!$B$9)*'Selección S3'!$C$10),0)
+IF(E$47&gt;'Selección S3'!$B$10,(E$47-'Selección S3'!$B$10)*'Selección S3'!$C$11,0)</f>
        <v>95.739781931559264</v>
      </c>
      <c r="F73" s="62">
        <f ca="1">IF(F$47&gt;0,IF(F$47&lt;'Selección S3'!$B$6,(F$47-0)*'Selección S3'!$C$6,('Selección S3'!$B$6-0)*'Selección S3'!$C$6),0)
+IF(F$47&gt;'Selección S3'!$B$6,IF(F$47&lt;'Selección S3'!$B$7,(F$47-'Selección S3'!$B$6)*'Selección S3'!$C$7,('Selección S3'!$B$7-'Selección S3'!$B$6)*'Selección S3'!$C$7),0)
+IF(F$47&gt;'Selección S3'!$B$7,IF(F$47&lt;'Selección S3'!$B$8,(F$47-'Selección S3'!$B$7)*'Selección S3'!$C$8,('Selección S3'!$B$8-'Selección S3'!$B$7)*'Selección S3'!$C$8),0)
+IF(F$47&gt;'Selección S3'!$B$8,IF(F$47&lt;'Selección S3'!$B$9,(F$47-'Selección S3'!$B$8)*'Selección S3'!$C$9,('Selección S3'!$B$9-'Selección S3'!$B$8)*'Selección S3'!$C$9),0)
+IF(F$47&gt;'Selección S3'!$B$9,IF(F$47&lt;'Selección S3'!$B$10,(F$47-'Selección S3'!$B$9)*'Selección S3'!$C$10,('Selección S3'!$B$10-'Selección S3'!$B$9)*'Selección S3'!$C$10),0)
+IF(F$47&gt;'Selección S3'!$B$10,(F$47-'Selección S3'!$B$10)*'Selección S3'!$C$11,0)</f>
        <v>476.65090965779621</v>
      </c>
      <c r="G73" s="62">
        <f ca="1">IF(G$47&gt;0,IF(G$47&lt;'Selección S3'!$B$6,(G$47-0)*'Selección S3'!$C$6,('Selección S3'!$B$6-0)*'Selección S3'!$C$6),0)
+IF(G$47&gt;'Selección S3'!$B$6,IF(G$47&lt;'Selección S3'!$B$7,(G$47-'Selección S3'!$B$6)*'Selección S3'!$C$7,('Selección S3'!$B$7-'Selección S3'!$B$6)*'Selección S3'!$C$7),0)
+IF(G$47&gt;'Selección S3'!$B$7,IF(G$47&lt;'Selección S3'!$B$8,(G$47-'Selección S3'!$B$7)*'Selección S3'!$C$8,('Selección S3'!$B$8-'Selección S3'!$B$7)*'Selección S3'!$C$8),0)
+IF(G$47&gt;'Selección S3'!$B$8,IF(G$47&lt;'Selección S3'!$B$9,(G$47-'Selección S3'!$B$8)*'Selección S3'!$C$9,('Selección S3'!$B$9-'Selección S3'!$B$8)*'Selección S3'!$C$9),0)
+IF(G$47&gt;'Selección S3'!$B$9,IF(G$47&lt;'Selección S3'!$B$10,(G$47-'Selección S3'!$B$9)*'Selección S3'!$C$10,('Selección S3'!$B$10-'Selección S3'!$B$9)*'Selección S3'!$C$10),0)
+IF(G$47&gt;'Selección S3'!$B$10,(G$47-'Selección S3'!$B$10)*'Selección S3'!$C$11,0)</f>
        <v>952.78981931559235</v>
      </c>
      <c r="H73" s="62">
        <f ca="1">IF(H$47&gt;0,IF(H$47&lt;'Selección S3'!$B$6,(H$47-0)*'Selección S3'!$C$6,('Selección S3'!$B$6-0)*'Selección S3'!$C$6),0)
+IF(H$47&gt;'Selección S3'!$B$6,IF(H$47&lt;'Selección S3'!$B$7,(H$47-'Selección S3'!$B$6)*'Selección S3'!$C$7,('Selección S3'!$B$7-'Selección S3'!$B$6)*'Selección S3'!$C$7),0)
+IF(H$47&gt;'Selección S3'!$B$7,IF(H$47&lt;'Selección S3'!$B$8,(H$47-'Selección S3'!$B$7)*'Selección S3'!$C$8,('Selección S3'!$B$8-'Selección S3'!$B$7)*'Selección S3'!$C$8),0)
+IF(H$47&gt;'Selección S3'!$B$8,IF(H$47&lt;'Selección S3'!$B$9,(H$47-'Selección S3'!$B$8)*'Selección S3'!$C$9,('Selección S3'!$B$9-'Selección S3'!$B$8)*'Selección S3'!$C$9),0)
+IF(H$47&gt;'Selección S3'!$B$9,IF(H$47&lt;'Selección S3'!$B$10,(H$47-'Selección S3'!$B$9)*'Selección S3'!$C$10,('Selección S3'!$B$10-'Selección S3'!$B$9)*'Selección S3'!$C$10),0)
+IF(H$47&gt;'Selección S3'!$B$10,(H$47-'Selección S3'!$B$10)*'Selección S3'!$C$11,0)</f>
        <v>4706.7995864664726</v>
      </c>
      <c r="I73" s="60">
        <f ca="1">IF(I$47&gt;0,IF(I$47&lt;'Selección S3'!$B$6,(I$47-0)*'Selección S3'!$C$6,('Selección S3'!$B$6-0)*'Selección S3'!$C$6),0)
+IF(I$47&gt;'Selección S3'!$B$6,IF(I$47&lt;'Selección S3'!$B$7,(I$47-'Selección S3'!$B$6)*'Selección S3'!$C$7,('Selección S3'!$B$7-'Selección S3'!$B$6)*'Selección S3'!$C$7),0)
+IF(I$47&gt;'Selección S3'!$B$7,IF(I$47&lt;'Selección S3'!$B$8,(I$47-'Selección S3'!$B$7)*'Selección S3'!$C$8,('Selección S3'!$B$8-'Selección S3'!$B$7)*'Selección S3'!$C$8),0)
+IF(I$47&gt;'Selección S3'!$B$8,IF(I$47&lt;'Selección S3'!$B$9,(I$47-'Selección S3'!$B$8)*'Selección S3'!$C$9,('Selección S3'!$B$9-'Selección S3'!$B$8)*'Selección S3'!$C$9),0)
+IF(I$47&gt;'Selección S3'!$B$9,IF(I$47&lt;'Selección S3'!$B$10,(I$47-'Selección S3'!$B$9)*'Selección S3'!$C$10,('Selección S3'!$B$10-'Selección S3'!$B$9)*'Selección S3'!$C$10),0)
+IF(I$47&gt;'Selección S3'!$B$10,(I$47-'Selección S3'!$B$10)*'Selección S3'!$C$11,0)</f>
        <v>9387.4871729329443</v>
      </c>
      <c r="K73" s="96">
        <v>28188.694196553559</v>
      </c>
      <c r="M73" s="95">
        <f t="shared" ca="1" si="40"/>
        <v>0.66697686996509797</v>
      </c>
    </row>
    <row r="74" spans="2:13" s="61" customFormat="1" x14ac:dyDescent="0.25">
      <c r="B74" s="128" t="s">
        <v>236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0">
        <v>0</v>
      </c>
      <c r="K74" s="96">
        <v>0</v>
      </c>
      <c r="M74" s="95">
        <f t="shared" ref="M74" si="41">IF(K74=0,IF(I74=0,0,"Infinito"),1-(I74/K74))</f>
        <v>0</v>
      </c>
    </row>
    <row r="75" spans="2:13" ht="15.75" thickBot="1" x14ac:dyDescent="0.3">
      <c r="B75" s="91" t="s">
        <v>68</v>
      </c>
      <c r="C75" s="92">
        <f ca="1">SUM(C68:C74)</f>
        <v>45.736789665222176</v>
      </c>
      <c r="D75" s="92">
        <f t="shared" ref="D75:I75" ca="1" si="42">SUM(D68:D74)</f>
        <v>457.88288155110683</v>
      </c>
      <c r="E75" s="92">
        <f t="shared" ca="1" si="42"/>
        <v>1039.2825593363443</v>
      </c>
      <c r="F75" s="92">
        <f t="shared" ca="1" si="42"/>
        <v>5051.3601362915051</v>
      </c>
      <c r="G75" s="92">
        <f t="shared" ca="1" si="42"/>
        <v>10631.67872539605</v>
      </c>
      <c r="H75" s="92">
        <f t="shared" ca="1" si="42"/>
        <v>43817.119965325248</v>
      </c>
      <c r="I75" s="93">
        <f t="shared" ca="1" si="42"/>
        <v>90922.506610324446</v>
      </c>
      <c r="K75" s="151">
        <v>109723.71363394507</v>
      </c>
      <c r="M75" s="95">
        <f t="shared" ca="1" si="40"/>
        <v>0.17135044377320563</v>
      </c>
    </row>
    <row r="76" spans="2:13" ht="15.75" thickTop="1" x14ac:dyDescent="0.25"/>
    <row r="77" spans="2:13" ht="15.75" thickBot="1" x14ac:dyDescent="0.3">
      <c r="H77" s="61"/>
    </row>
    <row r="78" spans="2:13" ht="20.25" thickTop="1" thickBot="1" x14ac:dyDescent="0.3">
      <c r="B78" s="124"/>
      <c r="C78" s="273" t="s">
        <v>168</v>
      </c>
      <c r="D78" s="274"/>
      <c r="E78" s="274"/>
      <c r="F78" s="274"/>
      <c r="G78" s="274"/>
      <c r="H78" s="274"/>
      <c r="I78" s="275"/>
      <c r="J78" s="61"/>
      <c r="K78" s="61"/>
      <c r="L78" s="61"/>
      <c r="M78" s="61"/>
    </row>
    <row r="79" spans="2:13" ht="19.5" thickBot="1" x14ac:dyDescent="0.3">
      <c r="B79" s="100"/>
      <c r="C79" s="126" t="s">
        <v>61</v>
      </c>
      <c r="D79" s="268" t="str">
        <f>'Selección S3'!$C$2</f>
        <v>EE.UU. Estándar</v>
      </c>
      <c r="E79" s="269"/>
      <c r="F79" s="270" t="s">
        <v>114</v>
      </c>
      <c r="G79" s="271"/>
      <c r="H79" s="268" t="str">
        <f>'Selección S3'!$C$3</f>
        <v>Estándar</v>
      </c>
      <c r="I79" s="272"/>
      <c r="J79" s="125"/>
      <c r="K79" s="125"/>
      <c r="L79" s="125"/>
      <c r="M79" s="125"/>
    </row>
    <row r="80" spans="2:13" s="61" customFormat="1" ht="17.25" thickTop="1" thickBot="1" x14ac:dyDescent="0.3">
      <c r="B80" s="124"/>
      <c r="C80" s="276" t="s">
        <v>65</v>
      </c>
      <c r="D80" s="277"/>
      <c r="E80" s="277"/>
      <c r="F80" s="277"/>
      <c r="G80" s="277"/>
      <c r="H80" s="277"/>
      <c r="I80" s="278"/>
    </row>
    <row r="81" spans="2:13" s="61" customFormat="1" ht="19.5" thickBot="1" x14ac:dyDescent="0.3">
      <c r="B81" s="100"/>
      <c r="C81" s="126" t="s">
        <v>61</v>
      </c>
      <c r="D81" s="268" t="str">
        <f>'Selección CloudFront'!$C$2</f>
        <v>Personalizado (E7)</v>
      </c>
      <c r="E81" s="269"/>
      <c r="F81" s="270" t="s">
        <v>210</v>
      </c>
      <c r="G81" s="271"/>
      <c r="H81" s="268" t="str">
        <f>'Selección CloudFront'!$C$3</f>
        <v>No</v>
      </c>
      <c r="I81" s="272"/>
      <c r="J81" s="125"/>
      <c r="K81" s="125"/>
      <c r="L81" s="125"/>
      <c r="M81" s="125"/>
    </row>
    <row r="82" spans="2:13" ht="15.75" thickTop="1" x14ac:dyDescent="0.25">
      <c r="B82" s="127" t="s">
        <v>60</v>
      </c>
      <c r="C82" s="63">
        <f ca="1">ROUNDUP((C$40*30)/'Selección CloudFront'!$B$6,0)*'Selección CloudFront'!$C$6</f>
        <v>0.9</v>
      </c>
      <c r="D82" s="63">
        <f ca="1">ROUNDUP((D$40*30)/'Selección CloudFront'!$B$6,0)*'Selección CloudFront'!$C$6</f>
        <v>9</v>
      </c>
      <c r="E82" s="63">
        <f ca="1">ROUNDUP((E$40*30)/'Selección CloudFront'!$B$6,0)*'Selección CloudFront'!$C$6</f>
        <v>21.6</v>
      </c>
      <c r="F82" s="63">
        <f ca="1">ROUNDUP((F$40*30)/'Selección CloudFront'!$B$6,0)*'Selección CloudFront'!$C$6</f>
        <v>108</v>
      </c>
      <c r="G82" s="63">
        <f ca="1">ROUNDUP((G$40*30)/'Selección CloudFront'!$B$6,0)*'Selección CloudFront'!$C$6</f>
        <v>252</v>
      </c>
      <c r="H82" s="63">
        <f ca="1">ROUNDUP((H$40*30)/'Selección CloudFront'!$B$6,0)*'Selección CloudFront'!$C$6</f>
        <v>1260</v>
      </c>
      <c r="I82" s="90">
        <f ca="1">ROUNDUP((I$40*30)/'Selección CloudFront'!$B$6,0)*'Selección CloudFront'!$C$6</f>
        <v>2880</v>
      </c>
      <c r="J82" s="61"/>
      <c r="K82" s="96">
        <v>5760</v>
      </c>
      <c r="L82" s="61"/>
      <c r="M82" s="95">
        <f t="shared" ref="M82:M83" ca="1" si="43">IF(K82=0,IF(I82=0,0,"Infinito"),1-(I82/K82))</f>
        <v>0.5</v>
      </c>
    </row>
    <row r="83" spans="2:13" x14ac:dyDescent="0.25">
      <c r="B83" s="128" t="s">
        <v>55</v>
      </c>
      <c r="C83" s="62">
        <f ca="1">ROUNDUP((C$41*30)/'Selección CloudFront'!$B$6,0)*'Selección CloudFront'!$C$6</f>
        <v>0.4</v>
      </c>
      <c r="D83" s="62">
        <f ca="1">ROUNDUP((D$41*30)/'Selección CloudFront'!$B$6,0)*'Selección CloudFront'!$C$6</f>
        <v>4</v>
      </c>
      <c r="E83" s="62">
        <f ca="1">ROUNDUP((E$41*30)/'Selección CloudFront'!$B$6,0)*'Selección CloudFront'!$C$6</f>
        <v>8</v>
      </c>
      <c r="F83" s="62">
        <f ca="1">ROUNDUP((F$41*30)/'Selección CloudFront'!$B$6,0)*'Selección CloudFront'!$C$6</f>
        <v>40</v>
      </c>
      <c r="G83" s="62">
        <f ca="1">ROUNDUP((G$41*30)/'Selección CloudFront'!$B$6,0)*'Selección CloudFront'!$C$6</f>
        <v>80</v>
      </c>
      <c r="H83" s="62">
        <f ca="1">ROUNDUP((H$41*30)/'Selección CloudFront'!$B$6,0)*'Selección CloudFront'!$C$6</f>
        <v>400</v>
      </c>
      <c r="I83" s="60">
        <f ca="1">ROUNDUP((I$41*30)/'Selección CloudFront'!$B$6,0)*'Selección CloudFront'!$C$6</f>
        <v>800</v>
      </c>
      <c r="J83" s="61"/>
      <c r="K83" s="96">
        <v>20000.000000000004</v>
      </c>
      <c r="L83" s="61"/>
      <c r="M83" s="95">
        <f t="shared" ca="1" si="43"/>
        <v>0.96</v>
      </c>
    </row>
    <row r="84" spans="2:13" x14ac:dyDescent="0.25">
      <c r="B84" s="128" t="s">
        <v>117</v>
      </c>
      <c r="C84" s="62">
        <f ca="1">C$32*30*'Selección CloudFront'!$C$9</f>
        <v>3.2280604044596357</v>
      </c>
      <c r="D84" s="62">
        <f ca="1">D$32*30*'Selección CloudFront'!$C$9</f>
        <v>32.280604044596359</v>
      </c>
      <c r="E84" s="62">
        <f ca="1">E$32*30*'Selección CloudFront'!$C$9</f>
        <v>64.561208089192718</v>
      </c>
      <c r="F84" s="62">
        <f ca="1">F$32*30*'Selección CloudFront'!$C$9</f>
        <v>322.8060404459635</v>
      </c>
      <c r="G84" s="62">
        <f ca="1">G$32*30*'Selección CloudFront'!$C$9</f>
        <v>645.61208089192701</v>
      </c>
      <c r="H84" s="62">
        <f ca="1">H$32*30*'Selección CloudFront'!$C$9</f>
        <v>3228.0604044596362</v>
      </c>
      <c r="I84" s="60">
        <f ca="1">I$32*30*'Selección CloudFront'!$C$9</f>
        <v>6456.1208089192723</v>
      </c>
      <c r="J84" s="61"/>
      <c r="K84" s="96">
        <v>0</v>
      </c>
      <c r="L84" s="61"/>
      <c r="M84" s="95" t="str">
        <f ca="1">IF(K84=0,IF(I84=0,0,"Infinito"),1-(I84/K84))</f>
        <v>Infinito</v>
      </c>
    </row>
    <row r="85" spans="2:13" x14ac:dyDescent="0.25">
      <c r="B85" s="128" t="s">
        <v>118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0">
        <v>0</v>
      </c>
      <c r="J85" s="61"/>
      <c r="K85" s="96">
        <v>0</v>
      </c>
      <c r="L85" s="61"/>
      <c r="M85" s="95">
        <f t="shared" ref="M85:M89" si="44">IF(K85=0,IF(I85=0,0,"Infinito"),1-(I85/K85))</f>
        <v>0</v>
      </c>
    </row>
    <row r="86" spans="2:13" x14ac:dyDescent="0.25">
      <c r="B86" s="128" t="s">
        <v>66</v>
      </c>
      <c r="C86" s="62">
        <f ca="1">IF(C$34*30&gt;0,IF(C$34*30&lt;'Selección CloudFront'!$B$11,(C$34*30-0)*'Selección CloudFront'!$C$11,('Selección CloudFront'!$B$11-0)*'Selección CloudFront'!$C$11),0)
+IF(C$34*30&gt;'Selección CloudFront'!$B$11,IF(C$34*30&lt;'Selección CloudFront'!$B$12,(C$34*30-'Selección CloudFront'!$B$11)*'Selección CloudFront'!$C$12,('Selección CloudFront'!$B$12-'Selección CloudFront'!$B$11)*'Selección CloudFront'!$C$12),0)
+IF(C$34*30&gt;'Selección CloudFront'!$B$12,IF(C$34*30&lt;'Selección CloudFront'!$B$13,(C$34*30-'Selección CloudFront'!$B$12)*'Selección CloudFront'!$C$13,('Selección CloudFront'!$B$13-'Selección CloudFront'!$B$12)*'Selección CloudFront'!$C$13),0)
+IF(C$34*30&gt;'Selección CloudFront'!$B$13,IF(C$34*30&lt;'Selección CloudFront'!$B$14,(C$34*30-'Selección CloudFront'!$B$13)*'Selección CloudFront'!$C$14,('Selección CloudFront'!$B$14-'Selección CloudFront'!$B$13)*'Selección CloudFront'!$C$14),0)
+IF(C$34*30&gt;'Selección CloudFront'!$B$14,IF(C$34*30&lt;'Selección CloudFront'!$B$15,(C$34*30-'Selección CloudFront'!$B$14)*'Selección CloudFront'!$C$15,('Selección CloudFront'!$B$15-'Selección CloudFront'!$B$14)*'Selección CloudFront'!$C$15),0)
+IF(C$34*30&gt;'Selección CloudFront'!$B$15,IF(C$34*30&lt;'Selección CloudFront'!$B$16,(C$34*30-'Selección CloudFront'!$B$15)*'Selección CloudFront'!$C$16,('Selección CloudFront'!$B$16-'Selección CloudFront'!$B$15)*'Selección CloudFront'!$C$16),0)
+IF(C$34*30&gt;'Selección CloudFront'!$B$16,(C$34*30-'Selección CloudFront'!$B$16)*'Selección CloudFront'!$C$17,0)</f>
        <v>6.4854886796739377</v>
      </c>
      <c r="D86" s="62">
        <f ca="1">IF(D$34*30&gt;0,IF(D$34*30&lt;'Selección CloudFront'!$B$11,(D$34*30-0)*'Selección CloudFront'!$C$11,('Selección CloudFront'!$B$11-0)*'Selección CloudFront'!$C$11),0)
+IF(D$34*30&gt;'Selección CloudFront'!$B$11,IF(D$34*30&lt;'Selección CloudFront'!$B$12,(D$34*30-'Selección CloudFront'!$B$11)*'Selección CloudFront'!$C$12,('Selección CloudFront'!$B$12-'Selección CloudFront'!$B$11)*'Selección CloudFront'!$C$12),0)
+IF(D$34*30&gt;'Selección CloudFront'!$B$12,IF(D$34*30&lt;'Selección CloudFront'!$B$13,(D$34*30-'Selección CloudFront'!$B$12)*'Selección CloudFront'!$C$13,('Selección CloudFront'!$B$13-'Selección CloudFront'!$B$12)*'Selección CloudFront'!$C$13),0)
+IF(D$34*30&gt;'Selección CloudFront'!$B$13,IF(D$34*30&lt;'Selección CloudFront'!$B$14,(D$34*30-'Selección CloudFront'!$B$13)*'Selección CloudFront'!$C$14,('Selección CloudFront'!$B$14-'Selección CloudFront'!$B$13)*'Selección CloudFront'!$C$14),0)
+IF(D$34*30&gt;'Selección CloudFront'!$B$14,IF(D$34*30&lt;'Selección CloudFront'!$B$15,(D$34*30-'Selección CloudFront'!$B$14)*'Selección CloudFront'!$C$15,('Selección CloudFront'!$B$15-'Selección CloudFront'!$B$14)*'Selección CloudFront'!$C$15),0)
+IF(D$34*30&gt;'Selección CloudFront'!$B$15,IF(D$34*30&lt;'Selección CloudFront'!$B$16,(D$34*30-'Selección CloudFront'!$B$15)*'Selección CloudFront'!$C$16,('Selección CloudFront'!$B$16-'Selección CloudFront'!$B$15)*'Selección CloudFront'!$C$16),0)
+IF(D$34*30&gt;'Selección CloudFront'!$B$16,(D$34*30-'Selección CloudFront'!$B$16)*'Selección CloudFront'!$C$17,0)</f>
        <v>64.854886796739379</v>
      </c>
      <c r="E86" s="62">
        <f ca="1">IF(E$34*30&gt;0,IF(E$34*30&lt;'Selección CloudFront'!$B$11,(E$34*30-0)*'Selección CloudFront'!$C$11,('Selección CloudFront'!$B$11-0)*'Selección CloudFront'!$C$11),0)
+IF(E$34*30&gt;'Selección CloudFront'!$B$11,IF(E$34*30&lt;'Selección CloudFront'!$B$12,(E$34*30-'Selección CloudFront'!$B$11)*'Selección CloudFront'!$C$12,('Selección CloudFront'!$B$12-'Selección CloudFront'!$B$11)*'Selección CloudFront'!$C$12),0)
+IF(E$34*30&gt;'Selección CloudFront'!$B$12,IF(E$34*30&lt;'Selección CloudFront'!$B$13,(E$34*30-'Selección CloudFront'!$B$12)*'Selección CloudFront'!$C$13,('Selección CloudFront'!$B$13-'Selección CloudFront'!$B$12)*'Selección CloudFront'!$C$13),0)
+IF(E$34*30&gt;'Selección CloudFront'!$B$13,IF(E$34*30&lt;'Selección CloudFront'!$B$14,(E$34*30-'Selección CloudFront'!$B$13)*'Selección CloudFront'!$C$14,('Selección CloudFront'!$B$14-'Selección CloudFront'!$B$13)*'Selección CloudFront'!$C$14),0)
+IF(E$34*30&gt;'Selección CloudFront'!$B$14,IF(E$34*30&lt;'Selección CloudFront'!$B$15,(E$34*30-'Selección CloudFront'!$B$14)*'Selección CloudFront'!$C$15,('Selección CloudFront'!$B$15-'Selección CloudFront'!$B$14)*'Selección CloudFront'!$C$15),0)
+IF(E$34*30&gt;'Selección CloudFront'!$B$15,IF(E$34*30&lt;'Selección CloudFront'!$B$16,(E$34*30-'Selección CloudFront'!$B$15)*'Selección CloudFront'!$C$16,('Selección CloudFront'!$B$16-'Selección CloudFront'!$B$15)*'Selección CloudFront'!$C$16),0)
+IF(E$34*30&gt;'Selección CloudFront'!$B$16,(E$34*30-'Selección CloudFront'!$B$16)*'Selección CloudFront'!$C$17,0)</f>
        <v>155.65172831217447</v>
      </c>
      <c r="F86" s="62">
        <f ca="1">IF(F$34*30&gt;0,IF(F$34*30&lt;'Selección CloudFront'!$B$11,(F$34*30-0)*'Selección CloudFront'!$C$11,('Selección CloudFront'!$B$11-0)*'Selección CloudFront'!$C$11),0)
+IF(F$34*30&gt;'Selección CloudFront'!$B$11,IF(F$34*30&lt;'Selección CloudFront'!$B$12,(F$34*30-'Selección CloudFront'!$B$11)*'Selección CloudFront'!$C$12,('Selección CloudFront'!$B$12-'Selección CloudFront'!$B$11)*'Selección CloudFront'!$C$12),0)
+IF(F$34*30&gt;'Selección CloudFront'!$B$12,IF(F$34*30&lt;'Selección CloudFront'!$B$13,(F$34*30-'Selección CloudFront'!$B$12)*'Selección CloudFront'!$C$13,('Selección CloudFront'!$B$13-'Selección CloudFront'!$B$12)*'Selección CloudFront'!$C$13),0)
+IF(F$34*30&gt;'Selección CloudFront'!$B$13,IF(F$34*30&lt;'Selección CloudFront'!$B$14,(F$34*30-'Selección CloudFront'!$B$13)*'Selección CloudFront'!$C$14,('Selección CloudFront'!$B$14-'Selección CloudFront'!$B$13)*'Selección CloudFront'!$C$14),0)
+IF(F$34*30&gt;'Selección CloudFront'!$B$14,IF(F$34*30&lt;'Selección CloudFront'!$B$15,(F$34*30-'Selección CloudFront'!$B$14)*'Selección CloudFront'!$C$15,('Selección CloudFront'!$B$15-'Selección CloudFront'!$B$14)*'Selección CloudFront'!$C$15),0)
+IF(F$34*30&gt;'Selección CloudFront'!$B$15,IF(F$34*30&lt;'Selección CloudFront'!$B$16,(F$34*30-'Selección CloudFront'!$B$15)*'Selección CloudFront'!$C$16,('Selección CloudFront'!$B$16-'Selección CloudFront'!$B$15)*'Selección CloudFront'!$C$16),0)
+IF(F$34*30&gt;'Selección CloudFront'!$B$16,(F$34*30-'Selección CloudFront'!$B$16)*'Selección CloudFront'!$C$17,0)</f>
        <v>778.25864156087255</v>
      </c>
      <c r="G86" s="62">
        <f ca="1">IF(G$34*30&gt;0,IF(G$34*30&lt;'Selección CloudFront'!$B$11,(G$34*30-0)*'Selección CloudFront'!$C$11,('Selección CloudFront'!$B$11-0)*'Selección CloudFront'!$C$11),0)
+IF(G$34*30&gt;'Selección CloudFront'!$B$11,IF(G$34*30&lt;'Selección CloudFront'!$B$12,(G$34*30-'Selección CloudFront'!$B$11)*'Selección CloudFront'!$C$12,('Selección CloudFront'!$B$12-'Selección CloudFront'!$B$11)*'Selección CloudFront'!$C$12),0)
+IF(G$34*30&gt;'Selección CloudFront'!$B$12,IF(G$34*30&lt;'Selección CloudFront'!$B$13,(G$34*30-'Selección CloudFront'!$B$12)*'Selección CloudFront'!$C$13,('Selección CloudFront'!$B$13-'Selección CloudFront'!$B$12)*'Selección CloudFront'!$C$13),0)
+IF(G$34*30&gt;'Selección CloudFront'!$B$13,IF(G$34*30&lt;'Selección CloudFront'!$B$14,(G$34*30-'Selección CloudFront'!$B$13)*'Selección CloudFront'!$C$14,('Selección CloudFront'!$B$14-'Selección CloudFront'!$B$13)*'Selección CloudFront'!$C$14),0)
+IF(G$34*30&gt;'Selección CloudFront'!$B$14,IF(G$34*30&lt;'Selección CloudFront'!$B$15,(G$34*30-'Selección CloudFront'!$B$14)*'Selección CloudFront'!$C$15,('Selección CloudFront'!$B$15-'Selección CloudFront'!$B$14)*'Selección CloudFront'!$C$15),0)
+IF(G$34*30&gt;'Selección CloudFront'!$B$15,IF(G$34*30&lt;'Selección CloudFront'!$B$16,(G$34*30-'Selección CloudFront'!$B$15)*'Selección CloudFront'!$C$16,('Selección CloudFront'!$B$16-'Selección CloudFront'!$B$15)*'Selección CloudFront'!$C$16),0)
+IF(G$34*30&gt;'Selección CloudFront'!$B$16,(G$34*30-'Selección CloudFront'!$B$16)*'Selección CloudFront'!$C$17,0)</f>
        <v>1815.9368303087022</v>
      </c>
      <c r="H86" s="62">
        <f ca="1">IF(H$34*30&gt;0,IF(H$34*30&lt;'Selección CloudFront'!$B$11,(H$34*30-0)*'Selección CloudFront'!$C$11,('Selección CloudFront'!$B$11-0)*'Selección CloudFront'!$C$11),0)
+IF(H$34*30&gt;'Selección CloudFront'!$B$11,IF(H$34*30&lt;'Selección CloudFront'!$B$12,(H$34*30-'Selección CloudFront'!$B$11)*'Selección CloudFront'!$C$12,('Selección CloudFront'!$B$12-'Selección CloudFront'!$B$11)*'Selección CloudFront'!$C$12),0)
+IF(H$34*30&gt;'Selección CloudFront'!$B$12,IF(H$34*30&lt;'Selección CloudFront'!$B$13,(H$34*30-'Selección CloudFront'!$B$12)*'Selección CloudFront'!$C$13,('Selección CloudFront'!$B$13-'Selección CloudFront'!$B$12)*'Selección CloudFront'!$C$13),0)
+IF(H$34*30&gt;'Selección CloudFront'!$B$13,IF(H$34*30&lt;'Selección CloudFront'!$B$14,(H$34*30-'Selección CloudFront'!$B$13)*'Selección CloudFront'!$C$14,('Selección CloudFront'!$B$14-'Selección CloudFront'!$B$13)*'Selección CloudFront'!$C$14),0)
+IF(H$34*30&gt;'Selección CloudFront'!$B$14,IF(H$34*30&lt;'Selección CloudFront'!$B$15,(H$34*30-'Selección CloudFront'!$B$14)*'Selección CloudFront'!$C$15,('Selección CloudFront'!$B$15-'Selección CloudFront'!$B$14)*'Selección CloudFront'!$C$15),0)
+IF(H$34*30&gt;'Selección CloudFront'!$B$15,IF(H$34*30&lt;'Selección CloudFront'!$B$16,(H$34*30-'Selección CloudFront'!$B$15)*'Selección CloudFront'!$C$16,('Selección CloudFront'!$B$16-'Selección CloudFront'!$B$15)*'Selección CloudFront'!$C$16),0)
+IF(H$34*30&gt;'Selección CloudFront'!$B$16,(H$34*30-'Selección CloudFront'!$B$16)*'Selección CloudFront'!$C$17,0)</f>
        <v>9079.6841515435117</v>
      </c>
      <c r="I86" s="60">
        <f ca="1">IF(I$34*30&gt;0,IF(I$34*30&lt;'Selección CloudFront'!$B$11,(I$34*30-0)*'Selección CloudFront'!$C$11,('Selección CloudFront'!$B$11-0)*'Selección CloudFront'!$C$11),0)
+IF(I$34*30&gt;'Selección CloudFront'!$B$11,IF(I$34*30&lt;'Selección CloudFront'!$B$12,(I$34*30-'Selección CloudFront'!$B$11)*'Selección CloudFront'!$C$12,('Selección CloudFront'!$B$12-'Selección CloudFront'!$B$11)*'Selección CloudFront'!$C$12),0)
+IF(I$34*30&gt;'Selección CloudFront'!$B$12,IF(I$34*30&lt;'Selección CloudFront'!$B$13,(I$34*30-'Selección CloudFront'!$B$12)*'Selección CloudFront'!$C$13,('Selección CloudFront'!$B$13-'Selección CloudFront'!$B$12)*'Selección CloudFront'!$C$13),0)
+IF(I$34*30&gt;'Selección CloudFront'!$B$13,IF(I$34*30&lt;'Selección CloudFront'!$B$14,(I$34*30-'Selección CloudFront'!$B$13)*'Selección CloudFront'!$C$14,('Selección CloudFront'!$B$14-'Selección CloudFront'!$B$13)*'Selección CloudFront'!$C$14),0)
+IF(I$34*30&gt;'Selección CloudFront'!$B$14,IF(I$34*30&lt;'Selección CloudFront'!$B$15,(I$34*30-'Selección CloudFront'!$B$14)*'Selección CloudFront'!$C$15,('Selección CloudFront'!$B$15-'Selección CloudFront'!$B$14)*'Selección CloudFront'!$C$15),0)
+IF(I$34*30&gt;'Selección CloudFront'!$B$15,IF(I$34*30&lt;'Selección CloudFront'!$B$16,(I$34*30-'Selección CloudFront'!$B$15)*'Selección CloudFront'!$C$16,('Selección CloudFront'!$B$16-'Selección CloudFront'!$B$15)*'Selección CloudFront'!$C$16),0)
+IF(I$34*30&gt;'Selección CloudFront'!$B$16,(I$34*30-'Selección CloudFront'!$B$16)*'Selección CloudFront'!$C$17,0)</f>
        <v>20753.563774956598</v>
      </c>
      <c r="J86" s="61"/>
      <c r="K86" s="96">
        <v>55775.0194373915</v>
      </c>
      <c r="L86" s="61"/>
      <c r="M86" s="95">
        <f t="shared" ca="1" si="44"/>
        <v>0.6279057545062291</v>
      </c>
    </row>
    <row r="87" spans="2:13" x14ac:dyDescent="0.25">
      <c r="B87" s="128" t="s">
        <v>67</v>
      </c>
      <c r="C87" s="62">
        <f ca="1">IF(C$47&gt;0,IF(C$47&lt;'Selección S3'!$B$6,(C$47-0)*'Selección S3'!$C$6,('Selección S3'!$B$6-0)*'Selección S3'!$C$6),0)
+IF(C$47&gt;'Selección S3'!$B$6,IF(C$47&lt;'Selección S3'!$B$7,(C$47-'Selección S3'!$B$6)*'Selección S3'!$C$7,('Selección S3'!$B$7-'Selección S3'!$B$6)*'Selección S3'!$C$7),0)
+IF(C$47&gt;'Selección S3'!$B$7,IF(C$47&lt;'Selección S3'!$B$8,(C$47-'Selección S3'!$B$7)*'Selección S3'!$C$8,('Selección S3'!$B$8-'Selección S3'!$B$7)*'Selección S3'!$C$8),0)
+IF(C$47&gt;'Selección S3'!$B$8,IF(C$47&lt;'Selección S3'!$B$9,(C$47-'Selección S3'!$B$8)*'Selección S3'!$C$9,('Selección S3'!$B$9-'Selección S3'!$B$8)*'Selección S3'!$C$9),0)
+IF(C$47&gt;'Selección S3'!$B$9,IF(C$47&lt;'Selección S3'!$B$10,(C$47-'Selección S3'!$B$9)*'Selección S3'!$C$10,('Selección S3'!$B$10-'Selección S3'!$B$9)*'Selección S3'!$C$10),0)
+IF(C$47&gt;'Selección S3'!$B$10,(C$47-'Selección S3'!$B$10)*'Selección S3'!$C$11,0)</f>
        <v>4.8420906066894531</v>
      </c>
      <c r="D87" s="62">
        <f ca="1">IF(D$47&gt;0,IF(D$47&lt;'Selección S3'!$B$6,(D$47-0)*'Selección S3'!$C$6,('Selección S3'!$B$6-0)*'Selección S3'!$C$6),0)
+IF(D$47&gt;'Selección S3'!$B$6,IF(D$47&lt;'Selección S3'!$B$7,(D$47-'Selección S3'!$B$6)*'Selección S3'!$C$7,('Selección S3'!$B$7-'Selección S3'!$B$6)*'Selección S3'!$C$7),0)
+IF(D$47&gt;'Selección S3'!$B$7,IF(D$47&lt;'Selección S3'!$B$8,(D$47-'Selección S3'!$B$7)*'Selección S3'!$C$8,('Selección S3'!$B$8-'Selección S3'!$B$7)*'Selección S3'!$C$8),0)
+IF(D$47&gt;'Selección S3'!$B$8,IF(D$47&lt;'Selección S3'!$B$9,(D$47-'Selección S3'!$B$8)*'Selección S3'!$C$9,('Selección S3'!$B$9-'Selección S3'!$B$8)*'Selección S3'!$C$9),0)
+IF(D$47&gt;'Selección S3'!$B$9,IF(D$47&lt;'Selección S3'!$B$10,(D$47-'Selección S3'!$B$9)*'Selección S3'!$C$10,('Selección S3'!$B$10-'Selección S3'!$B$9)*'Selección S3'!$C$10),0)
+IF(D$47&gt;'Selección S3'!$B$10,(D$47-'Selección S3'!$B$10)*'Selección S3'!$C$11,0)</f>
        <v>48.125890965779632</v>
      </c>
      <c r="E87" s="62">
        <f ca="1">IF(E$47&gt;0,IF(E$47&lt;'Selección S3'!$B$6,(E$47-0)*'Selección S3'!$C$6,('Selección S3'!$B$6-0)*'Selección S3'!$C$6),0)
+IF(E$47&gt;'Selección S3'!$B$6,IF(E$47&lt;'Selección S3'!$B$7,(E$47-'Selección S3'!$B$6)*'Selección S3'!$C$7,('Selección S3'!$B$7-'Selección S3'!$B$6)*'Selección S3'!$C$7),0)
+IF(E$47&gt;'Selección S3'!$B$7,IF(E$47&lt;'Selección S3'!$B$8,(E$47-'Selección S3'!$B$7)*'Selección S3'!$C$8,('Selección S3'!$B$8-'Selección S3'!$B$7)*'Selección S3'!$C$8),0)
+IF(E$47&gt;'Selección S3'!$B$8,IF(E$47&lt;'Selección S3'!$B$9,(E$47-'Selección S3'!$B$8)*'Selección S3'!$C$9,('Selección S3'!$B$9-'Selección S3'!$B$8)*'Selección S3'!$C$9),0)
+IF(E$47&gt;'Selección S3'!$B$9,IF(E$47&lt;'Selección S3'!$B$10,(E$47-'Selección S3'!$B$9)*'Selección S3'!$C$10,('Selección S3'!$B$10-'Selección S3'!$B$9)*'Selección S3'!$C$10),0)
+IF(E$47&gt;'Selección S3'!$B$10,(E$47-'Selección S3'!$B$10)*'Selección S3'!$C$11,0)</f>
        <v>95.739781931559264</v>
      </c>
      <c r="F87" s="62">
        <f ca="1">IF(F$47&gt;0,IF(F$47&lt;'Selección S3'!$B$6,(F$47-0)*'Selección S3'!$C$6,('Selección S3'!$B$6-0)*'Selección S3'!$C$6),0)
+IF(F$47&gt;'Selección S3'!$B$6,IF(F$47&lt;'Selección S3'!$B$7,(F$47-'Selección S3'!$B$6)*'Selección S3'!$C$7,('Selección S3'!$B$7-'Selección S3'!$B$6)*'Selección S3'!$C$7),0)
+IF(F$47&gt;'Selección S3'!$B$7,IF(F$47&lt;'Selección S3'!$B$8,(F$47-'Selección S3'!$B$7)*'Selección S3'!$C$8,('Selección S3'!$B$8-'Selección S3'!$B$7)*'Selección S3'!$C$8),0)
+IF(F$47&gt;'Selección S3'!$B$8,IF(F$47&lt;'Selección S3'!$B$9,(F$47-'Selección S3'!$B$8)*'Selección S3'!$C$9,('Selección S3'!$B$9-'Selección S3'!$B$8)*'Selección S3'!$C$9),0)
+IF(F$47&gt;'Selección S3'!$B$9,IF(F$47&lt;'Selección S3'!$B$10,(F$47-'Selección S3'!$B$9)*'Selección S3'!$C$10,('Selección S3'!$B$10-'Selección S3'!$B$9)*'Selección S3'!$C$10),0)
+IF(F$47&gt;'Selección S3'!$B$10,(F$47-'Selección S3'!$B$10)*'Selección S3'!$C$11,0)</f>
        <v>476.65090965779621</v>
      </c>
      <c r="G87" s="62">
        <f ca="1">IF(G$47&gt;0,IF(G$47&lt;'Selección S3'!$B$6,(G$47-0)*'Selección S3'!$C$6,('Selección S3'!$B$6-0)*'Selección S3'!$C$6),0)
+IF(G$47&gt;'Selección S3'!$B$6,IF(G$47&lt;'Selección S3'!$B$7,(G$47-'Selección S3'!$B$6)*'Selección S3'!$C$7,('Selección S3'!$B$7-'Selección S3'!$B$6)*'Selección S3'!$C$7),0)
+IF(G$47&gt;'Selección S3'!$B$7,IF(G$47&lt;'Selección S3'!$B$8,(G$47-'Selección S3'!$B$7)*'Selección S3'!$C$8,('Selección S3'!$B$8-'Selección S3'!$B$7)*'Selección S3'!$C$8),0)
+IF(G$47&gt;'Selección S3'!$B$8,IF(G$47&lt;'Selección S3'!$B$9,(G$47-'Selección S3'!$B$8)*'Selección S3'!$C$9,('Selección S3'!$B$9-'Selección S3'!$B$8)*'Selección S3'!$C$9),0)
+IF(G$47&gt;'Selección S3'!$B$9,IF(G$47&lt;'Selección S3'!$B$10,(G$47-'Selección S3'!$B$9)*'Selección S3'!$C$10,('Selección S3'!$B$10-'Selección S3'!$B$9)*'Selección S3'!$C$10),0)
+IF(G$47&gt;'Selección S3'!$B$10,(G$47-'Selección S3'!$B$10)*'Selección S3'!$C$11,0)</f>
        <v>952.78981931559235</v>
      </c>
      <c r="H87" s="62">
        <f ca="1">IF(H$47&gt;0,IF(H$47&lt;'Selección S3'!$B$6,(H$47-0)*'Selección S3'!$C$6,('Selección S3'!$B$6-0)*'Selección S3'!$C$6),0)
+IF(H$47&gt;'Selección S3'!$B$6,IF(H$47&lt;'Selección S3'!$B$7,(H$47-'Selección S3'!$B$6)*'Selección S3'!$C$7,('Selección S3'!$B$7-'Selección S3'!$B$6)*'Selección S3'!$C$7),0)
+IF(H$47&gt;'Selección S3'!$B$7,IF(H$47&lt;'Selección S3'!$B$8,(H$47-'Selección S3'!$B$7)*'Selección S3'!$C$8,('Selección S3'!$B$8-'Selección S3'!$B$7)*'Selección S3'!$C$8),0)
+IF(H$47&gt;'Selección S3'!$B$8,IF(H$47&lt;'Selección S3'!$B$9,(H$47-'Selección S3'!$B$8)*'Selección S3'!$C$9,('Selección S3'!$B$9-'Selección S3'!$B$8)*'Selección S3'!$C$9),0)
+IF(H$47&gt;'Selección S3'!$B$9,IF(H$47&lt;'Selección S3'!$B$10,(H$47-'Selección S3'!$B$9)*'Selección S3'!$C$10,('Selección S3'!$B$10-'Selección S3'!$B$9)*'Selección S3'!$C$10),0)
+IF(H$47&gt;'Selección S3'!$B$10,(H$47-'Selección S3'!$B$10)*'Selección S3'!$C$11,0)</f>
        <v>4706.7995864664726</v>
      </c>
      <c r="I87" s="60">
        <f ca="1">IF(I$47&gt;0,IF(I$47&lt;'Selección S3'!$B$6,(I$47-0)*'Selección S3'!$C$6,('Selección S3'!$B$6-0)*'Selección S3'!$C$6),0)
+IF(I$47&gt;'Selección S3'!$B$6,IF(I$47&lt;'Selección S3'!$B$7,(I$47-'Selección S3'!$B$6)*'Selección S3'!$C$7,('Selección S3'!$B$7-'Selección S3'!$B$6)*'Selección S3'!$C$7),0)
+IF(I$47&gt;'Selección S3'!$B$7,IF(I$47&lt;'Selección S3'!$B$8,(I$47-'Selección S3'!$B$7)*'Selección S3'!$C$8,('Selección S3'!$B$8-'Selección S3'!$B$7)*'Selección S3'!$C$8),0)
+IF(I$47&gt;'Selección S3'!$B$8,IF(I$47&lt;'Selección S3'!$B$9,(I$47-'Selección S3'!$B$8)*'Selección S3'!$C$9,('Selección S3'!$B$9-'Selección S3'!$B$8)*'Selección S3'!$C$9),0)
+IF(I$47&gt;'Selección S3'!$B$9,IF(I$47&lt;'Selección S3'!$B$10,(I$47-'Selección S3'!$B$9)*'Selección S3'!$C$10,('Selección S3'!$B$10-'Selección S3'!$B$9)*'Selección S3'!$C$10),0)
+IF(I$47&gt;'Selección S3'!$B$10,(I$47-'Selección S3'!$B$10)*'Selección S3'!$C$11,0)</f>
        <v>9387.4871729329443</v>
      </c>
      <c r="J87" s="61"/>
      <c r="K87" s="96">
        <v>28188.694196553559</v>
      </c>
      <c r="L87" s="61"/>
      <c r="M87" s="95">
        <f t="shared" ca="1" si="44"/>
        <v>0.66697686996509797</v>
      </c>
    </row>
    <row r="88" spans="2:13" s="61" customFormat="1" x14ac:dyDescent="0.25">
      <c r="B88" s="128" t="s">
        <v>236</v>
      </c>
      <c r="C88" s="62">
        <v>0</v>
      </c>
      <c r="D88" s="62">
        <v>0</v>
      </c>
      <c r="E88" s="62">
        <v>0</v>
      </c>
      <c r="F88" s="62">
        <v>0</v>
      </c>
      <c r="G88" s="62">
        <v>0</v>
      </c>
      <c r="H88" s="62">
        <v>0</v>
      </c>
      <c r="I88" s="60">
        <v>0</v>
      </c>
      <c r="K88" s="96">
        <v>0</v>
      </c>
      <c r="M88" s="95">
        <f t="shared" ref="M88" si="45">IF(K88=0,IF(I88=0,0,"Infinito"),1-(I88/K88))</f>
        <v>0</v>
      </c>
    </row>
    <row r="89" spans="2:13" ht="15.75" thickBot="1" x14ac:dyDescent="0.3">
      <c r="B89" s="91" t="s">
        <v>68</v>
      </c>
      <c r="C89" s="92">
        <f ca="1">SUM(C82:C88)</f>
        <v>15.855639690823025</v>
      </c>
      <c r="D89" s="92">
        <f t="shared" ref="D89:I89" ca="1" si="46">SUM(D82:D88)</f>
        <v>158.26138180711536</v>
      </c>
      <c r="E89" s="92">
        <f t="shared" ca="1" si="46"/>
        <v>345.55271833292647</v>
      </c>
      <c r="F89" s="92">
        <f t="shared" ca="1" si="46"/>
        <v>1725.715591664632</v>
      </c>
      <c r="G89" s="92">
        <f t="shared" ca="1" si="46"/>
        <v>3746.3387305162214</v>
      </c>
      <c r="H89" s="92">
        <f t="shared" ca="1" si="46"/>
        <v>18674.544142469622</v>
      </c>
      <c r="I89" s="93">
        <f t="shared" ca="1" si="46"/>
        <v>40277.171756808813</v>
      </c>
      <c r="J89" s="61"/>
      <c r="K89" s="151">
        <v>109723.71363394507</v>
      </c>
      <c r="L89" s="61"/>
      <c r="M89" s="95">
        <f t="shared" ca="1" si="44"/>
        <v>0.6329219051846936</v>
      </c>
    </row>
    <row r="90" spans="2:13" ht="15.75" thickTop="1" x14ac:dyDescent="0.25"/>
    <row r="91" spans="2:13" ht="15.75" thickBot="1" x14ac:dyDescent="0.3"/>
    <row r="92" spans="2:13" s="61" customFormat="1" ht="20.25" thickTop="1" thickBot="1" x14ac:dyDescent="0.3">
      <c r="B92" s="124"/>
      <c r="C92" s="273" t="s">
        <v>221</v>
      </c>
      <c r="D92" s="274"/>
      <c r="E92" s="274"/>
      <c r="F92" s="274"/>
      <c r="G92" s="274"/>
      <c r="H92" s="274"/>
      <c r="I92" s="275"/>
    </row>
    <row r="93" spans="2:13" s="61" customFormat="1" ht="19.5" thickBot="1" x14ac:dyDescent="0.3">
      <c r="B93" s="100"/>
      <c r="C93" s="126" t="s">
        <v>61</v>
      </c>
      <c r="D93" s="268" t="str">
        <f>'Selección S3'!$C$2</f>
        <v>EE.UU. Estándar</v>
      </c>
      <c r="E93" s="269"/>
      <c r="F93" s="270" t="s">
        <v>114</v>
      </c>
      <c r="G93" s="271"/>
      <c r="H93" s="268" t="str">
        <f>'Selección S3'!$C$3</f>
        <v>Estándar</v>
      </c>
      <c r="I93" s="272"/>
      <c r="J93" s="125"/>
      <c r="K93" s="125"/>
      <c r="L93" s="125"/>
      <c r="M93" s="125"/>
    </row>
    <row r="94" spans="2:13" s="61" customFormat="1" ht="17.25" thickTop="1" thickBot="1" x14ac:dyDescent="0.3">
      <c r="B94" s="124"/>
      <c r="C94" s="276" t="s">
        <v>213</v>
      </c>
      <c r="D94" s="277"/>
      <c r="E94" s="277"/>
      <c r="F94" s="277"/>
      <c r="G94" s="277"/>
      <c r="H94" s="277"/>
      <c r="I94" s="278"/>
    </row>
    <row r="95" spans="2:13" s="61" customFormat="1" ht="19.5" thickBot="1" x14ac:dyDescent="0.3">
      <c r="B95" s="100"/>
      <c r="C95" s="126" t="s">
        <v>61</v>
      </c>
      <c r="D95" s="268" t="str">
        <f>'Selección MaxCDN'!$C$2</f>
        <v>EE.UU. Norte</v>
      </c>
      <c r="E95" s="269"/>
      <c r="F95" s="270" t="s">
        <v>222</v>
      </c>
      <c r="G95" s="271"/>
      <c r="H95" s="268">
        <v>1</v>
      </c>
      <c r="I95" s="272"/>
      <c r="J95" s="125"/>
      <c r="K95" s="125"/>
      <c r="L95" s="125"/>
      <c r="M95" s="125"/>
    </row>
    <row r="96" spans="2:13" s="61" customFormat="1" ht="15.75" thickTop="1" x14ac:dyDescent="0.25">
      <c r="B96" s="127" t="s">
        <v>60</v>
      </c>
      <c r="C96" s="63">
        <f ca="1">ROUNDUP((C$41*$H$95*30)/'Selección S3'!$B$28,0)*'Selección S3'!$C$28</f>
        <v>0.8</v>
      </c>
      <c r="D96" s="63">
        <f ca="1">ROUNDUP((D$41*$H$95*30)/'Selección S3'!$B$28,0)*'Selección S3'!$C$28</f>
        <v>8</v>
      </c>
      <c r="E96" s="63">
        <f ca="1">ROUNDUP((E$41*$H$95*30)/'Selección S3'!$B$28,0)*'Selección S3'!$C$28</f>
        <v>16</v>
      </c>
      <c r="F96" s="63">
        <f ca="1">ROUNDUP((F$41*$H$95*30)/'Selección S3'!$B$28,0)*'Selección S3'!$C$28</f>
        <v>80</v>
      </c>
      <c r="G96" s="63">
        <f ca="1">ROUNDUP((G$41*$H$95*30)/'Selección S3'!$B$28,0)*'Selección S3'!$C$28</f>
        <v>160</v>
      </c>
      <c r="H96" s="63">
        <f ca="1">ROUNDUP((H$41*$H$95*30)/'Selección S3'!$B$28,0)*'Selección S3'!$C$28</f>
        <v>800</v>
      </c>
      <c r="I96" s="90">
        <f ca="1">ROUNDUP((I$41*$H$95*30)/'Selección S3'!$B$28,0)*'Selección S3'!$C$28</f>
        <v>1600</v>
      </c>
      <c r="K96" s="96">
        <v>5760</v>
      </c>
      <c r="M96" s="95">
        <f t="shared" ref="M96:M97" ca="1" si="47">IF(K96=0,IF(I96=0,0,"Infinito"),1-(I96/K96))</f>
        <v>0.72222222222222221</v>
      </c>
    </row>
    <row r="97" spans="2:13" s="61" customFormat="1" x14ac:dyDescent="0.25">
      <c r="B97" s="128" t="s">
        <v>55</v>
      </c>
      <c r="C97" s="62">
        <f ca="1">ROUNDUP((C$41*30)/'Selección S3'!$B$23,0)*'Selección S3'!$C$23</f>
        <v>10</v>
      </c>
      <c r="D97" s="62">
        <f ca="1">ROUNDUP((D$41*30)/'Selección S3'!$B$23,0)*'Selección S3'!$C$23</f>
        <v>100</v>
      </c>
      <c r="E97" s="62">
        <f ca="1">ROUNDUP((E$41*30)/'Selección S3'!$B$23,0)*'Selección S3'!$C$23</f>
        <v>200</v>
      </c>
      <c r="F97" s="62">
        <f ca="1">ROUNDUP((F$41*30)/'Selección S3'!$B$23,0)*'Selección S3'!$C$23</f>
        <v>1000</v>
      </c>
      <c r="G97" s="62">
        <f ca="1">ROUNDUP((G$41*30)/'Selección S3'!$B$23,0)*'Selección S3'!$C$23</f>
        <v>2000</v>
      </c>
      <c r="H97" s="62">
        <f ca="1">ROUNDUP((H$41*30)/'Selección S3'!$B$23,0)*'Selección S3'!$C$23</f>
        <v>10000</v>
      </c>
      <c r="I97" s="60">
        <f ca="1">ROUNDUP((I$41*30)/'Selección S3'!$B$23,0)*'Selección S3'!$C$23</f>
        <v>20000</v>
      </c>
      <c r="K97" s="96">
        <v>20000.000000000004</v>
      </c>
      <c r="M97" s="95">
        <f t="shared" ca="1" si="47"/>
        <v>2.2204460492503131E-16</v>
      </c>
    </row>
    <row r="98" spans="2:13" s="61" customFormat="1" x14ac:dyDescent="0.25">
      <c r="B98" s="128" t="s">
        <v>117</v>
      </c>
      <c r="C98" s="62">
        <f ca="1">C$32*30*'Selección S3'!$C$31</f>
        <v>0</v>
      </c>
      <c r="D98" s="62">
        <f ca="1">D$32*30*'Selección S3'!$C$31</f>
        <v>0</v>
      </c>
      <c r="E98" s="62">
        <f ca="1">E$32*30*'Selección S3'!$C$31</f>
        <v>0</v>
      </c>
      <c r="F98" s="62">
        <f ca="1">F$32*30*'Selección S3'!$C$31</f>
        <v>0</v>
      </c>
      <c r="G98" s="62">
        <f ca="1">G$32*30*'Selección S3'!$C$31</f>
        <v>0</v>
      </c>
      <c r="H98" s="62">
        <f ca="1">H$32*30*'Selección S3'!$C$31</f>
        <v>0</v>
      </c>
      <c r="I98" s="60">
        <f ca="1">I$32*30*'Selección S3'!$C$31</f>
        <v>0</v>
      </c>
      <c r="K98" s="96">
        <v>0</v>
      </c>
      <c r="M98" s="95">
        <f ca="1">IF(K98=0,IF(I98=0,0,"Infinito"),1-(I98/K98))</f>
        <v>0</v>
      </c>
    </row>
    <row r="99" spans="2:13" s="61" customFormat="1" x14ac:dyDescent="0.25">
      <c r="B99" s="128" t="s">
        <v>223</v>
      </c>
      <c r="C99" s="62">
        <f ca="1">IF(C$32*$H$95*30&gt;0,IF(C$32*$H$95*30&lt;'Selección S3'!$B$37,(C$32*$H$95*30-0)*'Selección S3'!$C$37,('Selección S3'!$B$37-0)*'Selección S3'!$C$37),0)
+IF(C$32*$H$95*30&gt;'Selección S3'!$B$37,IF(C$32*$H$95*30&lt;'Selección S3'!$B$38,(C$32*$H$95*30-'Selección S3'!$B$37)*'Selección S3'!$C$38,('Selección S3'!$B$38-'Selección S3'!$B$37)*'Selección S3'!$C$38),0)
+IF(C$32*$H$95*30&gt;'Selección S3'!$B$38,IF(C$32*$H$95*30&lt;'Selección S3'!$B$39,(C$32*$H$95*30-'Selección S3'!$B$38)*'Selección S3'!$C$39,('Selección S3'!$B$39-'Selección S3'!$B$38)*'Selección S3'!$C$39),0)
+IF(C$32*$H$95*30&gt;'Selección S3'!$B$39,IF(C$32*$H$95*30&lt;'Selección S3'!$B$40,(C$32*$H$95*30-'Selección S3'!$B$39)*'Selección S3'!$C$40,('Selección S3'!$B$40-'Selección S3'!$B$39)*'Selección S3'!$C$40),0)
+IF(C$32*$H$95*30&gt;'Selección S3'!$B$40,IF(C$32*$H$95*30&lt;'Selección S3'!$B$41,(C$32*$H$95*30-'Selección S3'!$B$40)*'Selección S3'!$C$41,('Selección S3'!$B$41-'Selección S3'!$B$40)*'Selección S3'!$C$41),0)
+IF(C$32*$H$95*30&gt;'Selección S3'!$B$41,IF(C$32*$H$95*30&lt;'Selección S3'!$B$42,(C$32*$H$95*30-'Selección S3'!$B$41)*'Selección S3'!$C$42,('Selección S3'!$B$42-'Selección S3'!$B$41)*'Selección S3'!$C$42),0)
+IF(C$32*$H$95*30&gt;'Selección S3'!$B$42,IF(C$32*$H$95*30&lt;'Selección S3'!$B$43,(C$32*$H$95*30-'Selección S3'!$B$42)*'Selección S3'!$C$43,('Selección S3'!$B$43-'Selección S3'!$B$42)*'Selección S3'!$C$43),0)
+IF(C$32*$H$95*30&gt;'Selección S3'!$B$43,(C$32*$H$95*30-'Selección S3'!$B$43)*'Selección S3'!$C$44,0)</f>
        <v>14.43627182006836</v>
      </c>
      <c r="D99" s="62">
        <f ca="1">IF(D$32*$H$95*30&gt;0,IF(D$32*$H$95*30&lt;'Selección S3'!$B$37,(D$32*$H$95*30-0)*'Selección S3'!$C$37,('Selección S3'!$B$37-0)*'Selección S3'!$C$37),0)
+IF(D$32*$H$95*30&gt;'Selección S3'!$B$37,IF(D$32*$H$95*30&lt;'Selección S3'!$B$38,(D$32*$H$95*30-'Selección S3'!$B$37)*'Selección S3'!$C$38,('Selección S3'!$B$38-'Selección S3'!$B$37)*'Selección S3'!$C$38),0)
+IF(D$32*$H$95*30&gt;'Selección S3'!$B$38,IF(D$32*$H$95*30&lt;'Selección S3'!$B$39,(D$32*$H$95*30-'Selección S3'!$B$38)*'Selección S3'!$C$39,('Selección S3'!$B$39-'Selección S3'!$B$38)*'Selección S3'!$C$39),0)
+IF(D$32*$H$95*30&gt;'Selección S3'!$B$39,IF(D$32*$H$95*30&lt;'Selección S3'!$B$40,(D$32*$H$95*30-'Selección S3'!$B$39)*'Selección S3'!$C$40,('Selección S3'!$B$40-'Selección S3'!$B$39)*'Selección S3'!$C$40),0)
+IF(D$32*$H$95*30&gt;'Selección S3'!$B$40,IF(D$32*$H$95*30&lt;'Selección S3'!$B$41,(D$32*$H$95*30-'Selección S3'!$B$40)*'Selección S3'!$C$41,('Selección S3'!$B$41-'Selección S3'!$B$40)*'Selección S3'!$C$41),0)
+IF(D$32*$H$95*30&gt;'Selección S3'!$B$41,IF(D$32*$H$95*30&lt;'Selección S3'!$B$42,(D$32*$H$95*30-'Selección S3'!$B$41)*'Selección S3'!$C$42,('Selección S3'!$B$42-'Selección S3'!$B$41)*'Selección S3'!$C$42),0)
+IF(D$32*$H$95*30&gt;'Selección S3'!$B$42,IF(D$32*$H$95*30&lt;'Selección S3'!$B$43,(D$32*$H$95*30-'Selección S3'!$B$42)*'Selección S3'!$C$43,('Selección S3'!$B$43-'Selección S3'!$B$42)*'Selección S3'!$C$43),0)
+IF(D$32*$H$95*30&gt;'Selección S3'!$B$43,(D$32*$H$95*30-'Selección S3'!$B$43)*'Selección S3'!$C$44,0)</f>
        <v>145.17271820068362</v>
      </c>
      <c r="E99" s="62">
        <f ca="1">IF(E$32*$H$95*30&gt;0,IF(E$32*$H$95*30&lt;'Selección S3'!$B$37,(E$32*$H$95*30-0)*'Selección S3'!$C$37,('Selección S3'!$B$37-0)*'Selección S3'!$C$37),0)
+IF(E$32*$H$95*30&gt;'Selección S3'!$B$37,IF(E$32*$H$95*30&lt;'Selección S3'!$B$38,(E$32*$H$95*30-'Selección S3'!$B$37)*'Selección S3'!$C$38,('Selección S3'!$B$38-'Selección S3'!$B$37)*'Selección S3'!$C$38),0)
+IF(E$32*$H$95*30&gt;'Selección S3'!$B$38,IF(E$32*$H$95*30&lt;'Selección S3'!$B$39,(E$32*$H$95*30-'Selección S3'!$B$38)*'Selección S3'!$C$39,('Selección S3'!$B$39-'Selección S3'!$B$38)*'Selección S3'!$C$39),0)
+IF(E$32*$H$95*30&gt;'Selección S3'!$B$39,IF(E$32*$H$95*30&lt;'Selección S3'!$B$40,(E$32*$H$95*30-'Selección S3'!$B$39)*'Selección S3'!$C$40,('Selección S3'!$B$40-'Selección S3'!$B$39)*'Selección S3'!$C$40),0)
+IF(E$32*$H$95*30&gt;'Selección S3'!$B$40,IF(E$32*$H$95*30&lt;'Selección S3'!$B$41,(E$32*$H$95*30-'Selección S3'!$B$40)*'Selección S3'!$C$41,('Selección S3'!$B$41-'Selección S3'!$B$40)*'Selección S3'!$C$41),0)
+IF(E$32*$H$95*30&gt;'Selección S3'!$B$41,IF(E$32*$H$95*30&lt;'Selección S3'!$B$42,(E$32*$H$95*30-'Selección S3'!$B$41)*'Selección S3'!$C$42,('Selección S3'!$B$42-'Selección S3'!$B$41)*'Selección S3'!$C$42),0)
+IF(E$32*$H$95*30&gt;'Selección S3'!$B$42,IF(E$32*$H$95*30&lt;'Selección S3'!$B$43,(E$32*$H$95*30-'Selección S3'!$B$42)*'Selección S3'!$C$43,('Selección S3'!$B$43-'Selección S3'!$B$42)*'Selección S3'!$C$43),0)
+IF(E$32*$H$95*30&gt;'Selección S3'!$B$43,(E$32*$H$95*30-'Selección S3'!$B$43)*'Selección S3'!$C$44,0)</f>
        <v>290.43543640136727</v>
      </c>
      <c r="F99" s="62">
        <f ca="1">IF(F$32*$H$95*30&gt;0,IF(F$32*$H$95*30&lt;'Selección S3'!$B$37,(F$32*$H$95*30-0)*'Selección S3'!$C$37,('Selección S3'!$B$37-0)*'Selección S3'!$C$37),0)
+IF(F$32*$H$95*30&gt;'Selección S3'!$B$37,IF(F$32*$H$95*30&lt;'Selección S3'!$B$38,(F$32*$H$95*30-'Selección S3'!$B$37)*'Selección S3'!$C$38,('Selección S3'!$B$38-'Selección S3'!$B$37)*'Selección S3'!$C$38),0)
+IF(F$32*$H$95*30&gt;'Selección S3'!$B$38,IF(F$32*$H$95*30&lt;'Selección S3'!$B$39,(F$32*$H$95*30-'Selección S3'!$B$38)*'Selección S3'!$C$39,('Selección S3'!$B$39-'Selección S3'!$B$38)*'Selección S3'!$C$39),0)
+IF(F$32*$H$95*30&gt;'Selección S3'!$B$39,IF(F$32*$H$95*30&lt;'Selección S3'!$B$40,(F$32*$H$95*30-'Selección S3'!$B$39)*'Selección S3'!$C$40,('Selección S3'!$B$40-'Selección S3'!$B$39)*'Selección S3'!$C$40),0)
+IF(F$32*$H$95*30&gt;'Selección S3'!$B$40,IF(F$32*$H$95*30&lt;'Selección S3'!$B$41,(F$32*$H$95*30-'Selección S3'!$B$40)*'Selección S3'!$C$41,('Selección S3'!$B$41-'Selección S3'!$B$40)*'Selección S3'!$C$41),0)
+IF(F$32*$H$95*30&gt;'Selección S3'!$B$41,IF(F$32*$H$95*30&lt;'Selección S3'!$B$42,(F$32*$H$95*30-'Selección S3'!$B$41)*'Selección S3'!$C$42,('Selección S3'!$B$42-'Selección S3'!$B$41)*'Selección S3'!$C$42),0)
+IF(F$32*$H$95*30&gt;'Selección S3'!$B$42,IF(F$32*$H$95*30&lt;'Selección S3'!$B$43,(F$32*$H$95*30-'Selección S3'!$B$42)*'Selección S3'!$C$43,('Selección S3'!$B$43-'Selección S3'!$B$42)*'Selección S3'!$C$43),0)
+IF(F$32*$H$95*30&gt;'Selección S3'!$B$43,(F$32*$H$95*30-'Selección S3'!$B$43)*'Selección S3'!$C$44,0)</f>
        <v>1423.0356718953449</v>
      </c>
      <c r="G99" s="62">
        <f ca="1">IF(G$32*$H$95*30&gt;0,IF(G$32*$H$95*30&lt;'Selección S3'!$B$37,(G$32*$H$95*30-0)*'Selección S3'!$C$37,('Selección S3'!$B$37-0)*'Selección S3'!$C$37),0)
+IF(G$32*$H$95*30&gt;'Selección S3'!$B$37,IF(G$32*$H$95*30&lt;'Selección S3'!$B$38,(G$32*$H$95*30-'Selección S3'!$B$37)*'Selección S3'!$C$38,('Selección S3'!$B$38-'Selección S3'!$B$37)*'Selección S3'!$C$38),0)
+IF(G$32*$H$95*30&gt;'Selección S3'!$B$38,IF(G$32*$H$95*30&lt;'Selección S3'!$B$39,(G$32*$H$95*30-'Selección S3'!$B$38)*'Selección S3'!$C$39,('Selección S3'!$B$39-'Selección S3'!$B$38)*'Selección S3'!$C$39),0)
+IF(G$32*$H$95*30&gt;'Selección S3'!$B$39,IF(G$32*$H$95*30&lt;'Selección S3'!$B$40,(G$32*$H$95*30-'Selección S3'!$B$39)*'Selección S3'!$C$40,('Selección S3'!$B$40-'Selección S3'!$B$39)*'Selección S3'!$C$40),0)
+IF(G$32*$H$95*30&gt;'Selección S3'!$B$40,IF(G$32*$H$95*30&lt;'Selección S3'!$B$41,(G$32*$H$95*30-'Selección S3'!$B$40)*'Selección S3'!$C$41,('Selección S3'!$B$41-'Selección S3'!$B$40)*'Selección S3'!$C$41),0)
+IF(G$32*$H$95*30&gt;'Selección S3'!$B$41,IF(G$32*$H$95*30&lt;'Selección S3'!$B$42,(G$32*$H$95*30-'Selección S3'!$B$41)*'Selección S3'!$C$42,('Selección S3'!$B$42-'Selección S3'!$B$41)*'Selección S3'!$C$42),0)
+IF(G$32*$H$95*30&gt;'Selección S3'!$B$42,IF(G$32*$H$95*30&lt;'Selección S3'!$B$43,(G$32*$H$95*30-'Selección S3'!$B$42)*'Selección S3'!$C$43,('Selección S3'!$B$43-'Selección S3'!$B$42)*'Selección S3'!$C$43),0)
+IF(G$32*$H$95*30&gt;'Selección S3'!$B$43,(G$32*$H$95*30-'Selección S3'!$B$43)*'Selección S3'!$C$44,0)</f>
        <v>2794.9613437906901</v>
      </c>
      <c r="H99" s="62">
        <f ca="1">IF(H$32*$H$95*30&gt;0,IF(H$32*$H$95*30&lt;'Selección S3'!$B$37,(H$32*$H$95*30-0)*'Selección S3'!$C$37,('Selección S3'!$B$37-0)*'Selección S3'!$C$37),0)
+IF(H$32*$H$95*30&gt;'Selección S3'!$B$37,IF(H$32*$H$95*30&lt;'Selección S3'!$B$38,(H$32*$H$95*30-'Selección S3'!$B$37)*'Selección S3'!$C$38,('Selección S3'!$B$38-'Selección S3'!$B$37)*'Selección S3'!$C$38),0)
+IF(H$32*$H$95*30&gt;'Selección S3'!$B$38,IF(H$32*$H$95*30&lt;'Selección S3'!$B$39,(H$32*$H$95*30-'Selección S3'!$B$38)*'Selección S3'!$C$39,('Selección S3'!$B$39-'Selección S3'!$B$38)*'Selección S3'!$C$39),0)
+IF(H$32*$H$95*30&gt;'Selección S3'!$B$39,IF(H$32*$H$95*30&lt;'Selección S3'!$B$40,(H$32*$H$95*30-'Selección S3'!$B$39)*'Selección S3'!$C$40,('Selección S3'!$B$40-'Selección S3'!$B$39)*'Selección S3'!$C$40),0)
+IF(H$32*$H$95*30&gt;'Selección S3'!$B$40,IF(H$32*$H$95*30&lt;'Selección S3'!$B$41,(H$32*$H$95*30-'Selección S3'!$B$40)*'Selección S3'!$C$41,('Selección S3'!$B$41-'Selección S3'!$B$40)*'Selección S3'!$C$41),0)
+IF(H$32*$H$95*30&gt;'Selección S3'!$B$41,IF(H$32*$H$95*30&lt;'Selección S3'!$B$42,(H$32*$H$95*30-'Selección S3'!$B$41)*'Selección S3'!$C$42,('Selección S3'!$B$42-'Selección S3'!$B$41)*'Selección S3'!$C$42),0)
+IF(H$32*$H$95*30&gt;'Selección S3'!$B$42,IF(H$32*$H$95*30&lt;'Selección S3'!$B$43,(H$32*$H$95*30-'Selección S3'!$B$42)*'Selección S3'!$C$43,('Selección S3'!$B$43-'Selección S3'!$B$42)*'Selección S3'!$C$43),0)
+IF(H$32*$H$95*30&gt;'Selección S3'!$B$43,(H$32*$H$95*30-'Selección S3'!$B$43)*'Selección S3'!$C$44,0)</f>
        <v>11961.26101114909</v>
      </c>
      <c r="I99" s="60">
        <f ca="1">IF(I$32*$H$95*30&gt;0,IF(I$32*$H$95*30&lt;'Selección S3'!$B$37,(I$32*$H$95*30-0)*'Selección S3'!$C$37,('Selección S3'!$B$37-0)*'Selección S3'!$C$37),0)
+IF(I$32*$H$95*30&gt;'Selección S3'!$B$37,IF(I$32*$H$95*30&lt;'Selección S3'!$B$38,(I$32*$H$95*30-'Selección S3'!$B$37)*'Selección S3'!$C$38,('Selección S3'!$B$38-'Selección S3'!$B$37)*'Selección S3'!$C$38),0)
+IF(I$32*$H$95*30&gt;'Selección S3'!$B$38,IF(I$32*$H$95*30&lt;'Selección S3'!$B$39,(I$32*$H$95*30-'Selección S3'!$B$38)*'Selección S3'!$C$39,('Selección S3'!$B$39-'Selección S3'!$B$38)*'Selección S3'!$C$39),0)
+IF(I$32*$H$95*30&gt;'Selección S3'!$B$39,IF(I$32*$H$95*30&lt;'Selección S3'!$B$40,(I$32*$H$95*30-'Selección S3'!$B$39)*'Selección S3'!$C$40,('Selección S3'!$B$40-'Selección S3'!$B$39)*'Selección S3'!$C$40),0)
+IF(I$32*$H$95*30&gt;'Selección S3'!$B$40,IF(I$32*$H$95*30&lt;'Selección S3'!$B$41,(I$32*$H$95*30-'Selección S3'!$B$40)*'Selección S3'!$C$41,('Selección S3'!$B$41-'Selección S3'!$B$40)*'Selección S3'!$C$41),0)
+IF(I$32*$H$95*30&gt;'Selección S3'!$B$41,IF(I$32*$H$95*30&lt;'Selección S3'!$B$42,(I$32*$H$95*30-'Selección S3'!$B$41)*'Selección S3'!$C$42,('Selección S3'!$B$42-'Selección S3'!$B$41)*'Selección S3'!$C$42),0)
+IF(I$32*$H$95*30&gt;'Selección S3'!$B$42,IF(I$32*$H$95*30&lt;'Selección S3'!$B$43,(I$32*$H$95*30-'Selección S3'!$B$42)*'Selección S3'!$C$43,('Selección S3'!$B$43-'Selección S3'!$B$42)*'Selección S3'!$C$43),0)
+IF(I$32*$H$95*30&gt;'Selección S3'!$B$43,(I$32*$H$95*30-'Selección S3'!$B$43)*'Selección S3'!$C$44,0)</f>
        <v>20031.41202229818</v>
      </c>
      <c r="K99" s="96">
        <v>0</v>
      </c>
      <c r="M99" s="95" t="str">
        <f t="shared" ref="M99:M103" ca="1" si="48">IF(K99=0,IF(I99=0,0,"Infinito"),1-(I99/K99))</f>
        <v>Infinito</v>
      </c>
    </row>
    <row r="100" spans="2:13" s="61" customFormat="1" x14ac:dyDescent="0.25">
      <c r="B100" s="128" t="s">
        <v>66</v>
      </c>
      <c r="C100" s="62">
        <f ca="1">IF(C$34*30&gt;0,IF(C$34*30&lt;'Selección MaxCDN'!$B$8,(C$34*30-0)*'Selección MaxCDN'!$C$8,('Selección MaxCDN'!$B$8-0)*'Selección MaxCDN'!$C$8),0)
+IF(C$34*30&gt;'Selección MaxCDN'!$B$8,IF(C$34*30&lt;'Selección MaxCDN'!$B$9,(C$34*30-'Selección MaxCDN'!$B$8)*'Selección MaxCDN'!$C$9,('Selección MaxCDN'!$B$9-'Selección MaxCDN'!$B$8)*'Selección MaxCDN'!$C$9),0)
+IF(C$34*30&gt;'Selección MaxCDN'!$B$9,IF(C$34*30&lt;'Selección MaxCDN'!$B$10,(C$34*30-'Selección MaxCDN'!$B$9)*'Selección MaxCDN'!$C$10,('Selección MaxCDN'!$B$10-'Selección MaxCDN'!$B$9)*'Selección MaxCDN'!$C$10),0)
+IF(C$34*30&gt;'Selección MaxCDN'!$B$10,IF(C$34*30&lt;'Selección MaxCDN'!$B$11,(C$34*30-'Selección MaxCDN'!$B$10)*'Selección MaxCDN'!$C$11,('Selección MaxCDN'!$B$11-'Selección MaxCDN'!$B$10)*'Selección MaxCDN'!$C$11),0)
+IF(C$34*30&gt;'Selección MaxCDN'!$B$11,IF(C$34*30&lt;'Selección MaxCDN'!$B$12,(C$34*30-'Selección MaxCDN'!$B$11)*'Selección MaxCDN'!$C$12,('Selección MaxCDN'!$B$12-'Selección MaxCDN'!$B$11)*'Selección MaxCDN'!$C$12),0)
+IF(C$34*30&gt;'Selección MaxCDN'!$B$12,IF(C$34*30&lt;'Selección MaxCDN'!$B$13,(C$34*30-'Selección MaxCDN'!$B$12)*'Selección MaxCDN'!$C$13,('Selección MaxCDN'!$B$13-'Selección MaxCDN'!$B$12)*'Selección MaxCDN'!$C$13),0)
+IF(C$34*30&gt;'Selección MaxCDN'!$B$13,IF(C$34*30&lt;'Selección MaxCDN'!$B$14,(C$34*30-'Selección MaxCDN'!$B$13)*'Selección MaxCDN'!$C$14,('Selección MaxCDN'!$B$14-'Selección MaxCDN'!$B$13)*'Selección MaxCDN'!$C$14),0)
+IF(C$34*30&gt;'Selección MaxCDN'!$B$15,IF(C$34*30&lt;'Selección MaxCDN'!$B$13,(C$34*30-'Selección MaxCDN'!$B$15)*'Selección MaxCDN'!$C$13,('Selección MaxCDN'!$B$13-'Selección MaxCDN'!$B$15)*'Selección MaxCDN'!$C$13),0)
+IF(C$34*30&gt;'Selección MaxCDN'!$B$15,(C$34*30-'Selección MaxCDN'!$B$15)*'Selección MaxCDN'!$C$16,0)</f>
        <v>19.456466039021812</v>
      </c>
      <c r="D100" s="62">
        <f ca="1">IF(D$34*30&gt;0,IF(D$34*30&lt;'Selección MaxCDN'!$B$8,(D$34*30-0)*'Selección MaxCDN'!$C$8,('Selección MaxCDN'!$B$8-0)*'Selección MaxCDN'!$C$8),0)
+IF(D$34*30&gt;'Selección MaxCDN'!$B$8,IF(D$34*30&lt;'Selección MaxCDN'!$B$9,(D$34*30-'Selección MaxCDN'!$B$8)*'Selección MaxCDN'!$C$9,('Selección MaxCDN'!$B$9-'Selección MaxCDN'!$B$8)*'Selección MaxCDN'!$C$9),0)
+IF(D$34*30&gt;'Selección MaxCDN'!$B$9,IF(D$34*30&lt;'Selección MaxCDN'!$B$10,(D$34*30-'Selección MaxCDN'!$B$9)*'Selección MaxCDN'!$C$10,('Selección MaxCDN'!$B$10-'Selección MaxCDN'!$B$9)*'Selección MaxCDN'!$C$10),0)
+IF(D$34*30&gt;'Selección MaxCDN'!$B$10,IF(D$34*30&lt;'Selección MaxCDN'!$B$11,(D$34*30-'Selección MaxCDN'!$B$10)*'Selección MaxCDN'!$C$11,('Selección MaxCDN'!$B$11-'Selección MaxCDN'!$B$10)*'Selección MaxCDN'!$C$11),0)
+IF(D$34*30&gt;'Selección MaxCDN'!$B$11,IF(D$34*30&lt;'Selección MaxCDN'!$B$12,(D$34*30-'Selección MaxCDN'!$B$11)*'Selección MaxCDN'!$C$12,('Selección MaxCDN'!$B$12-'Selección MaxCDN'!$B$11)*'Selección MaxCDN'!$C$12),0)
+IF(D$34*30&gt;'Selección MaxCDN'!$B$12,IF(D$34*30&lt;'Selección MaxCDN'!$B$13,(D$34*30-'Selección MaxCDN'!$B$12)*'Selección MaxCDN'!$C$13,('Selección MaxCDN'!$B$13-'Selección MaxCDN'!$B$12)*'Selección MaxCDN'!$C$13),0)
+IF(D$34*30&gt;'Selección MaxCDN'!$B$13,IF(D$34*30&lt;'Selección MaxCDN'!$B$14,(D$34*30-'Selección MaxCDN'!$B$13)*'Selección MaxCDN'!$C$14,('Selección MaxCDN'!$B$14-'Selección MaxCDN'!$B$13)*'Selección MaxCDN'!$C$14),0)
+IF(D$34*30&gt;'Selección MaxCDN'!$B$15,IF(D$34*30&lt;'Selección MaxCDN'!$B$13,(D$34*30-'Selección MaxCDN'!$B$15)*'Selección MaxCDN'!$C$13,('Selección MaxCDN'!$B$13-'Selección MaxCDN'!$B$15)*'Selección MaxCDN'!$C$13),0)
+IF(D$34*30&gt;'Selección MaxCDN'!$B$15,(D$34*30-'Selección MaxCDN'!$B$15)*'Selección MaxCDN'!$C$16,0)</f>
        <v>194.56466039021814</v>
      </c>
      <c r="E100" s="62">
        <f ca="1">IF(E$34*30&gt;0,IF(E$34*30&lt;'Selección MaxCDN'!$B$8,(E$34*30-0)*'Selección MaxCDN'!$C$8,('Selección MaxCDN'!$B$8-0)*'Selección MaxCDN'!$C$8),0)
+IF(E$34*30&gt;'Selección MaxCDN'!$B$8,IF(E$34*30&lt;'Selección MaxCDN'!$B$9,(E$34*30-'Selección MaxCDN'!$B$8)*'Selección MaxCDN'!$C$9,('Selección MaxCDN'!$B$9-'Selección MaxCDN'!$B$8)*'Selección MaxCDN'!$C$9),0)
+IF(E$34*30&gt;'Selección MaxCDN'!$B$9,IF(E$34*30&lt;'Selección MaxCDN'!$B$10,(E$34*30-'Selección MaxCDN'!$B$9)*'Selección MaxCDN'!$C$10,('Selección MaxCDN'!$B$10-'Selección MaxCDN'!$B$9)*'Selección MaxCDN'!$C$10),0)
+IF(E$34*30&gt;'Selección MaxCDN'!$B$10,IF(E$34*30&lt;'Selección MaxCDN'!$B$11,(E$34*30-'Selección MaxCDN'!$B$10)*'Selección MaxCDN'!$C$11,('Selección MaxCDN'!$B$11-'Selección MaxCDN'!$B$10)*'Selección MaxCDN'!$C$11),0)
+IF(E$34*30&gt;'Selección MaxCDN'!$B$11,IF(E$34*30&lt;'Selección MaxCDN'!$B$12,(E$34*30-'Selección MaxCDN'!$B$11)*'Selección MaxCDN'!$C$12,('Selección MaxCDN'!$B$12-'Selección MaxCDN'!$B$11)*'Selección MaxCDN'!$C$12),0)
+IF(E$34*30&gt;'Selección MaxCDN'!$B$12,IF(E$34*30&lt;'Selección MaxCDN'!$B$13,(E$34*30-'Selección MaxCDN'!$B$12)*'Selección MaxCDN'!$C$13,('Selección MaxCDN'!$B$13-'Selección MaxCDN'!$B$12)*'Selección MaxCDN'!$C$13),0)
+IF(E$34*30&gt;'Selección MaxCDN'!$B$13,IF(E$34*30&lt;'Selección MaxCDN'!$B$14,(E$34*30-'Selección MaxCDN'!$B$13)*'Selección MaxCDN'!$C$14,('Selección MaxCDN'!$B$14-'Selección MaxCDN'!$B$13)*'Selección MaxCDN'!$C$14),0)
+IF(E$34*30&gt;'Selección MaxCDN'!$B$15,IF(E$34*30&lt;'Selección MaxCDN'!$B$13,(E$34*30-'Selección MaxCDN'!$B$15)*'Selección MaxCDN'!$C$13,('Selección MaxCDN'!$B$13-'Selección MaxCDN'!$B$15)*'Selección MaxCDN'!$C$13),0)
+IF(E$34*30&gt;'Selección MaxCDN'!$B$15,(E$34*30-'Selección MaxCDN'!$B$15)*'Selección MaxCDN'!$C$16,0)</f>
        <v>466.95518493652338</v>
      </c>
      <c r="F100" s="62">
        <f ca="1">IF(F$34*30&gt;0,IF(F$34*30&lt;'Selección MaxCDN'!$B$8,(F$34*30-0)*'Selección MaxCDN'!$C$8,('Selección MaxCDN'!$B$8-0)*'Selección MaxCDN'!$C$8),0)
+IF(F$34*30&gt;'Selección MaxCDN'!$B$8,IF(F$34*30&lt;'Selección MaxCDN'!$B$9,(F$34*30-'Selección MaxCDN'!$B$8)*'Selección MaxCDN'!$C$9,('Selección MaxCDN'!$B$9-'Selección MaxCDN'!$B$8)*'Selección MaxCDN'!$C$9),0)
+IF(F$34*30&gt;'Selección MaxCDN'!$B$9,IF(F$34*30&lt;'Selección MaxCDN'!$B$10,(F$34*30-'Selección MaxCDN'!$B$9)*'Selección MaxCDN'!$C$10,('Selección MaxCDN'!$B$10-'Selección MaxCDN'!$B$9)*'Selección MaxCDN'!$C$10),0)
+IF(F$34*30&gt;'Selección MaxCDN'!$B$10,IF(F$34*30&lt;'Selección MaxCDN'!$B$11,(F$34*30-'Selección MaxCDN'!$B$10)*'Selección MaxCDN'!$C$11,('Selección MaxCDN'!$B$11-'Selección MaxCDN'!$B$10)*'Selección MaxCDN'!$C$11),0)
+IF(F$34*30&gt;'Selección MaxCDN'!$B$11,IF(F$34*30&lt;'Selección MaxCDN'!$B$12,(F$34*30-'Selección MaxCDN'!$B$11)*'Selección MaxCDN'!$C$12,('Selección MaxCDN'!$B$12-'Selección MaxCDN'!$B$11)*'Selección MaxCDN'!$C$12),0)
+IF(F$34*30&gt;'Selección MaxCDN'!$B$12,IF(F$34*30&lt;'Selección MaxCDN'!$B$13,(F$34*30-'Selección MaxCDN'!$B$12)*'Selección MaxCDN'!$C$13,('Selección MaxCDN'!$B$13-'Selección MaxCDN'!$B$12)*'Selección MaxCDN'!$C$13),0)
+IF(F$34*30&gt;'Selección MaxCDN'!$B$13,IF(F$34*30&lt;'Selección MaxCDN'!$B$14,(F$34*30-'Selección MaxCDN'!$B$13)*'Selección MaxCDN'!$C$14,('Selección MaxCDN'!$B$14-'Selección MaxCDN'!$B$13)*'Selección MaxCDN'!$C$14),0)
+IF(F$34*30&gt;'Selección MaxCDN'!$B$15,IF(F$34*30&lt;'Selección MaxCDN'!$B$13,(F$34*30-'Selección MaxCDN'!$B$15)*'Selección MaxCDN'!$C$13,('Selección MaxCDN'!$B$13-'Selección MaxCDN'!$B$15)*'Selección MaxCDN'!$C$13),0)
+IF(F$34*30&gt;'Selección MaxCDN'!$B$15,(F$34*30-'Selección MaxCDN'!$B$15)*'Selección MaxCDN'!$C$16,0)</f>
        <v>2334.7759246826172</v>
      </c>
      <c r="G100" s="62">
        <f ca="1">IF(G$34*30&gt;0,IF(G$34*30&lt;'Selección MaxCDN'!$B$8,(G$34*30-0)*'Selección MaxCDN'!$C$8,('Selección MaxCDN'!$B$8-0)*'Selección MaxCDN'!$C$8),0)
+IF(G$34*30&gt;'Selección MaxCDN'!$B$8,IF(G$34*30&lt;'Selección MaxCDN'!$B$9,(G$34*30-'Selección MaxCDN'!$B$8)*'Selección MaxCDN'!$C$9,('Selección MaxCDN'!$B$9-'Selección MaxCDN'!$B$8)*'Selección MaxCDN'!$C$9),0)
+IF(G$34*30&gt;'Selección MaxCDN'!$B$9,IF(G$34*30&lt;'Selección MaxCDN'!$B$10,(G$34*30-'Selección MaxCDN'!$B$9)*'Selección MaxCDN'!$C$10,('Selección MaxCDN'!$B$10-'Selección MaxCDN'!$B$9)*'Selección MaxCDN'!$C$10),0)
+IF(G$34*30&gt;'Selección MaxCDN'!$B$10,IF(G$34*30&lt;'Selección MaxCDN'!$B$11,(G$34*30-'Selección MaxCDN'!$B$10)*'Selección MaxCDN'!$C$11,('Selección MaxCDN'!$B$11-'Selección MaxCDN'!$B$10)*'Selección MaxCDN'!$C$11),0)
+IF(G$34*30&gt;'Selección MaxCDN'!$B$11,IF(G$34*30&lt;'Selección MaxCDN'!$B$12,(G$34*30-'Selección MaxCDN'!$B$11)*'Selección MaxCDN'!$C$12,('Selección MaxCDN'!$B$12-'Selección MaxCDN'!$B$11)*'Selección MaxCDN'!$C$12),0)
+IF(G$34*30&gt;'Selección MaxCDN'!$B$12,IF(G$34*30&lt;'Selección MaxCDN'!$B$13,(G$34*30-'Selección MaxCDN'!$B$12)*'Selección MaxCDN'!$C$13,('Selección MaxCDN'!$B$13-'Selección MaxCDN'!$B$12)*'Selección MaxCDN'!$C$13),0)
+IF(G$34*30&gt;'Selección MaxCDN'!$B$13,IF(G$34*30&lt;'Selección MaxCDN'!$B$14,(G$34*30-'Selección MaxCDN'!$B$13)*'Selección MaxCDN'!$C$14,('Selección MaxCDN'!$B$14-'Selección MaxCDN'!$B$13)*'Selección MaxCDN'!$C$14),0)
+IF(G$34*30&gt;'Selección MaxCDN'!$B$15,IF(G$34*30&lt;'Selección MaxCDN'!$B$13,(G$34*30-'Selección MaxCDN'!$B$15)*'Selección MaxCDN'!$C$13,('Selección MaxCDN'!$B$13-'Selección MaxCDN'!$B$15)*'Selección MaxCDN'!$C$13),0)
+IF(G$34*30&gt;'Selección MaxCDN'!$B$15,(G$34*30-'Selección MaxCDN'!$B$15)*'Selección MaxCDN'!$C$16,0)</f>
        <v>4655.8736606174043</v>
      </c>
      <c r="H100" s="62">
        <f ca="1">IF(H$34*30&gt;0,IF(H$34*30&lt;'Selección MaxCDN'!$B$8,(H$34*30-0)*'Selección MaxCDN'!$C$8,('Selección MaxCDN'!$B$8-0)*'Selección MaxCDN'!$C$8),0)
+IF(H$34*30&gt;'Selección MaxCDN'!$B$8,IF(H$34*30&lt;'Selección MaxCDN'!$B$9,(H$34*30-'Selección MaxCDN'!$B$8)*'Selección MaxCDN'!$C$9,('Selección MaxCDN'!$B$9-'Selección MaxCDN'!$B$8)*'Selección MaxCDN'!$C$9),0)
+IF(H$34*30&gt;'Selección MaxCDN'!$B$9,IF(H$34*30&lt;'Selección MaxCDN'!$B$10,(H$34*30-'Selección MaxCDN'!$B$9)*'Selección MaxCDN'!$C$10,('Selección MaxCDN'!$B$10-'Selección MaxCDN'!$B$9)*'Selección MaxCDN'!$C$10),0)
+IF(H$34*30&gt;'Selección MaxCDN'!$B$10,IF(H$34*30&lt;'Selección MaxCDN'!$B$11,(H$34*30-'Selección MaxCDN'!$B$10)*'Selección MaxCDN'!$C$11,('Selección MaxCDN'!$B$11-'Selección MaxCDN'!$B$10)*'Selección MaxCDN'!$C$11),0)
+IF(H$34*30&gt;'Selección MaxCDN'!$B$11,IF(H$34*30&lt;'Selección MaxCDN'!$B$12,(H$34*30-'Selección MaxCDN'!$B$11)*'Selección MaxCDN'!$C$12,('Selección MaxCDN'!$B$12-'Selección MaxCDN'!$B$11)*'Selección MaxCDN'!$C$12),0)
+IF(H$34*30&gt;'Selección MaxCDN'!$B$12,IF(H$34*30&lt;'Selección MaxCDN'!$B$13,(H$34*30-'Selección MaxCDN'!$B$12)*'Selección MaxCDN'!$C$13,('Selección MaxCDN'!$B$13-'Selección MaxCDN'!$B$12)*'Selección MaxCDN'!$C$13),0)
+IF(H$34*30&gt;'Selección MaxCDN'!$B$13,IF(H$34*30&lt;'Selección MaxCDN'!$B$14,(H$34*30-'Selección MaxCDN'!$B$13)*'Selección MaxCDN'!$C$14,('Selección MaxCDN'!$B$14-'Selección MaxCDN'!$B$13)*'Selección MaxCDN'!$C$14),0)
+IF(H$34*30&gt;'Selección MaxCDN'!$B$15,IF(H$34*30&lt;'Selección MaxCDN'!$B$13,(H$34*30-'Selección MaxCDN'!$B$15)*'Selección MaxCDN'!$C$13,('Selección MaxCDN'!$B$13-'Selección MaxCDN'!$B$15)*'Selección MaxCDN'!$C$13),0)
+IF(H$34*30&gt;'Selección MaxCDN'!$B$15,(H$34*30-'Selección MaxCDN'!$B$15)*'Selección MaxCDN'!$C$16,0)</f>
        <v>17203.526227315266</v>
      </c>
      <c r="I100" s="60">
        <f ca="1">IF(I$34*30&gt;0,IF(I$34*30&lt;'Selección MaxCDN'!$B$8,(I$34*30-0)*'Selección MaxCDN'!$C$8,('Selección MaxCDN'!$B$8-0)*'Selección MaxCDN'!$C$8),0)
+IF(I$34*30&gt;'Selección MaxCDN'!$B$8,IF(I$34*30&lt;'Selección MaxCDN'!$B$9,(I$34*30-'Selección MaxCDN'!$B$8)*'Selección MaxCDN'!$C$9,('Selección MaxCDN'!$B$9-'Selección MaxCDN'!$B$8)*'Selección MaxCDN'!$C$9),0)
+IF(I$34*30&gt;'Selección MaxCDN'!$B$9,IF(I$34*30&lt;'Selección MaxCDN'!$B$10,(I$34*30-'Selección MaxCDN'!$B$9)*'Selección MaxCDN'!$C$10,('Selección MaxCDN'!$B$10-'Selección MaxCDN'!$B$9)*'Selección MaxCDN'!$C$10),0)
+IF(I$34*30&gt;'Selección MaxCDN'!$B$10,IF(I$34*30&lt;'Selección MaxCDN'!$B$11,(I$34*30-'Selección MaxCDN'!$B$10)*'Selección MaxCDN'!$C$11,('Selección MaxCDN'!$B$11-'Selección MaxCDN'!$B$10)*'Selección MaxCDN'!$C$11),0)
+IF(I$34*30&gt;'Selección MaxCDN'!$B$11,IF(I$34*30&lt;'Selección MaxCDN'!$B$12,(I$34*30-'Selección MaxCDN'!$B$11)*'Selección MaxCDN'!$C$12,('Selección MaxCDN'!$B$12-'Selección MaxCDN'!$B$11)*'Selección MaxCDN'!$C$12),0)
+IF(I$34*30&gt;'Selección MaxCDN'!$B$12,IF(I$34*30&lt;'Selección MaxCDN'!$B$13,(I$34*30-'Selección MaxCDN'!$B$12)*'Selección MaxCDN'!$C$13,('Selección MaxCDN'!$B$13-'Selección MaxCDN'!$B$12)*'Selección MaxCDN'!$C$13),0)
+IF(I$34*30&gt;'Selección MaxCDN'!$B$13,IF(I$34*30&lt;'Selección MaxCDN'!$B$14,(I$34*30-'Selección MaxCDN'!$B$13)*'Selección MaxCDN'!$C$14,('Selección MaxCDN'!$B$14-'Selección MaxCDN'!$B$13)*'Selección MaxCDN'!$C$14),0)
+IF(I$34*30&gt;'Selección MaxCDN'!$B$15,IF(I$34*30&lt;'Selección MaxCDN'!$B$13,(I$34*30-'Selección MaxCDN'!$B$15)*'Selección MaxCDN'!$C$13,('Selección MaxCDN'!$B$13-'Selección MaxCDN'!$B$15)*'Selección MaxCDN'!$C$13),0)
+IF(I$34*30&gt;'Selección MaxCDN'!$B$15,(I$34*30-'Selección MaxCDN'!$B$15)*'Selección MaxCDN'!$C$16,0)</f>
        <v>34714.345662434891</v>
      </c>
      <c r="K100" s="96">
        <v>55775.0194373915</v>
      </c>
      <c r="M100" s="95">
        <f t="shared" ca="1" si="48"/>
        <v>0.37760047396482954</v>
      </c>
    </row>
    <row r="101" spans="2:13" s="61" customFormat="1" x14ac:dyDescent="0.25">
      <c r="B101" s="128" t="s">
        <v>67</v>
      </c>
      <c r="C101" s="62">
        <f ca="1">IF(C$47&gt;0,IF(C$47&lt;'Selección S3'!$B$6,(C$47-0)*'Selección S3'!$C$6,('Selección S3'!$B$6-0)*'Selección S3'!$C$6),0)
+IF(C$47&gt;'Selección S3'!$B$6,IF(C$47&lt;'Selección S3'!$B$7,(C$47-'Selección S3'!$B$6)*'Selección S3'!$C$7,('Selección S3'!$B$7-'Selección S3'!$B$6)*'Selección S3'!$C$7),0)
+IF(C$47&gt;'Selección S3'!$B$7,IF(C$47&lt;'Selección S3'!$B$8,(C$47-'Selección S3'!$B$7)*'Selección S3'!$C$8,('Selección S3'!$B$8-'Selección S3'!$B$7)*'Selección S3'!$C$8),0)
+IF(C$47&gt;'Selección S3'!$B$8,IF(C$47&lt;'Selección S3'!$B$9,(C$47-'Selección S3'!$B$8)*'Selección S3'!$C$9,('Selección S3'!$B$9-'Selección S3'!$B$8)*'Selección S3'!$C$9),0)
+IF(C$47&gt;'Selección S3'!$B$9,IF(C$47&lt;'Selección S3'!$B$10,(C$47-'Selección S3'!$B$9)*'Selección S3'!$C$10,('Selección S3'!$B$10-'Selección S3'!$B$9)*'Selección S3'!$C$10),0)
+IF(C$47&gt;'Selección S3'!$B$10,(C$47-'Selección S3'!$B$10)*'Selección S3'!$C$11,0)</f>
        <v>4.8420906066894531</v>
      </c>
      <c r="D101" s="62">
        <f ca="1">IF(D$47&gt;0,IF(D$47&lt;'Selección S3'!$B$6,(D$47-0)*'Selección S3'!$C$6,('Selección S3'!$B$6-0)*'Selección S3'!$C$6),0)
+IF(D$47&gt;'Selección S3'!$B$6,IF(D$47&lt;'Selección S3'!$B$7,(D$47-'Selección S3'!$B$6)*'Selección S3'!$C$7,('Selección S3'!$B$7-'Selección S3'!$B$6)*'Selección S3'!$C$7),0)
+IF(D$47&gt;'Selección S3'!$B$7,IF(D$47&lt;'Selección S3'!$B$8,(D$47-'Selección S3'!$B$7)*'Selección S3'!$C$8,('Selección S3'!$B$8-'Selección S3'!$B$7)*'Selección S3'!$C$8),0)
+IF(D$47&gt;'Selección S3'!$B$8,IF(D$47&lt;'Selección S3'!$B$9,(D$47-'Selección S3'!$B$8)*'Selección S3'!$C$9,('Selección S3'!$B$9-'Selección S3'!$B$8)*'Selección S3'!$C$9),0)
+IF(D$47&gt;'Selección S3'!$B$9,IF(D$47&lt;'Selección S3'!$B$10,(D$47-'Selección S3'!$B$9)*'Selección S3'!$C$10,('Selección S3'!$B$10-'Selección S3'!$B$9)*'Selección S3'!$C$10),0)
+IF(D$47&gt;'Selección S3'!$B$10,(D$47-'Selección S3'!$B$10)*'Selección S3'!$C$11,0)</f>
        <v>48.125890965779632</v>
      </c>
      <c r="E101" s="62">
        <f ca="1">IF(E$47&gt;0,IF(E$47&lt;'Selección S3'!$B$6,(E$47-0)*'Selección S3'!$C$6,('Selección S3'!$B$6-0)*'Selección S3'!$C$6),0)
+IF(E$47&gt;'Selección S3'!$B$6,IF(E$47&lt;'Selección S3'!$B$7,(E$47-'Selección S3'!$B$6)*'Selección S3'!$C$7,('Selección S3'!$B$7-'Selección S3'!$B$6)*'Selección S3'!$C$7),0)
+IF(E$47&gt;'Selección S3'!$B$7,IF(E$47&lt;'Selección S3'!$B$8,(E$47-'Selección S3'!$B$7)*'Selección S3'!$C$8,('Selección S3'!$B$8-'Selección S3'!$B$7)*'Selección S3'!$C$8),0)
+IF(E$47&gt;'Selección S3'!$B$8,IF(E$47&lt;'Selección S3'!$B$9,(E$47-'Selección S3'!$B$8)*'Selección S3'!$C$9,('Selección S3'!$B$9-'Selección S3'!$B$8)*'Selección S3'!$C$9),0)
+IF(E$47&gt;'Selección S3'!$B$9,IF(E$47&lt;'Selección S3'!$B$10,(E$47-'Selección S3'!$B$9)*'Selección S3'!$C$10,('Selección S3'!$B$10-'Selección S3'!$B$9)*'Selección S3'!$C$10),0)
+IF(E$47&gt;'Selección S3'!$B$10,(E$47-'Selección S3'!$B$10)*'Selección S3'!$C$11,0)</f>
        <v>95.739781931559264</v>
      </c>
      <c r="F101" s="62">
        <f ca="1">IF(F$47&gt;0,IF(F$47&lt;'Selección S3'!$B$6,(F$47-0)*'Selección S3'!$C$6,('Selección S3'!$B$6-0)*'Selección S3'!$C$6),0)
+IF(F$47&gt;'Selección S3'!$B$6,IF(F$47&lt;'Selección S3'!$B$7,(F$47-'Selección S3'!$B$6)*'Selección S3'!$C$7,('Selección S3'!$B$7-'Selección S3'!$B$6)*'Selección S3'!$C$7),0)
+IF(F$47&gt;'Selección S3'!$B$7,IF(F$47&lt;'Selección S3'!$B$8,(F$47-'Selección S3'!$B$7)*'Selección S3'!$C$8,('Selección S3'!$B$8-'Selección S3'!$B$7)*'Selección S3'!$C$8),0)
+IF(F$47&gt;'Selección S3'!$B$8,IF(F$47&lt;'Selección S3'!$B$9,(F$47-'Selección S3'!$B$8)*'Selección S3'!$C$9,('Selección S3'!$B$9-'Selección S3'!$B$8)*'Selección S3'!$C$9),0)
+IF(F$47&gt;'Selección S3'!$B$9,IF(F$47&lt;'Selección S3'!$B$10,(F$47-'Selección S3'!$B$9)*'Selección S3'!$C$10,('Selección S3'!$B$10-'Selección S3'!$B$9)*'Selección S3'!$C$10),0)
+IF(F$47&gt;'Selección S3'!$B$10,(F$47-'Selección S3'!$B$10)*'Selección S3'!$C$11,0)</f>
        <v>476.65090965779621</v>
      </c>
      <c r="G101" s="62">
        <f ca="1">IF(G$47&gt;0,IF(G$47&lt;'Selección S3'!$B$6,(G$47-0)*'Selección S3'!$C$6,('Selección S3'!$B$6-0)*'Selección S3'!$C$6),0)
+IF(G$47&gt;'Selección S3'!$B$6,IF(G$47&lt;'Selección S3'!$B$7,(G$47-'Selección S3'!$B$6)*'Selección S3'!$C$7,('Selección S3'!$B$7-'Selección S3'!$B$6)*'Selección S3'!$C$7),0)
+IF(G$47&gt;'Selección S3'!$B$7,IF(G$47&lt;'Selección S3'!$B$8,(G$47-'Selección S3'!$B$7)*'Selección S3'!$C$8,('Selección S3'!$B$8-'Selección S3'!$B$7)*'Selección S3'!$C$8),0)
+IF(G$47&gt;'Selección S3'!$B$8,IF(G$47&lt;'Selección S3'!$B$9,(G$47-'Selección S3'!$B$8)*'Selección S3'!$C$9,('Selección S3'!$B$9-'Selección S3'!$B$8)*'Selección S3'!$C$9),0)
+IF(G$47&gt;'Selección S3'!$B$9,IF(G$47&lt;'Selección S3'!$B$10,(G$47-'Selección S3'!$B$9)*'Selección S3'!$C$10,('Selección S3'!$B$10-'Selección S3'!$B$9)*'Selección S3'!$C$10),0)
+IF(G$47&gt;'Selección S3'!$B$10,(G$47-'Selección S3'!$B$10)*'Selección S3'!$C$11,0)</f>
        <v>952.78981931559235</v>
      </c>
      <c r="H101" s="62">
        <f ca="1">IF(H$47&gt;0,IF(H$47&lt;'Selección S3'!$B$6,(H$47-0)*'Selección S3'!$C$6,('Selección S3'!$B$6-0)*'Selección S3'!$C$6),0)
+IF(H$47&gt;'Selección S3'!$B$6,IF(H$47&lt;'Selección S3'!$B$7,(H$47-'Selección S3'!$B$6)*'Selección S3'!$C$7,('Selección S3'!$B$7-'Selección S3'!$B$6)*'Selección S3'!$C$7),0)
+IF(H$47&gt;'Selección S3'!$B$7,IF(H$47&lt;'Selección S3'!$B$8,(H$47-'Selección S3'!$B$7)*'Selección S3'!$C$8,('Selección S3'!$B$8-'Selección S3'!$B$7)*'Selección S3'!$C$8),0)
+IF(H$47&gt;'Selección S3'!$B$8,IF(H$47&lt;'Selección S3'!$B$9,(H$47-'Selección S3'!$B$8)*'Selección S3'!$C$9,('Selección S3'!$B$9-'Selección S3'!$B$8)*'Selección S3'!$C$9),0)
+IF(H$47&gt;'Selección S3'!$B$9,IF(H$47&lt;'Selección S3'!$B$10,(H$47-'Selección S3'!$B$9)*'Selección S3'!$C$10,('Selección S3'!$B$10-'Selección S3'!$B$9)*'Selección S3'!$C$10),0)
+IF(H$47&gt;'Selección S3'!$B$10,(H$47-'Selección S3'!$B$10)*'Selección S3'!$C$11,0)</f>
        <v>4706.7995864664726</v>
      </c>
      <c r="I101" s="60">
        <f ca="1">IF(I$47&gt;0,IF(I$47&lt;'Selección S3'!$B$6,(I$47-0)*'Selección S3'!$C$6,('Selección S3'!$B$6-0)*'Selección S3'!$C$6),0)
+IF(I$47&gt;'Selección S3'!$B$6,IF(I$47&lt;'Selección S3'!$B$7,(I$47-'Selección S3'!$B$6)*'Selección S3'!$C$7,('Selección S3'!$B$7-'Selección S3'!$B$6)*'Selección S3'!$C$7),0)
+IF(I$47&gt;'Selección S3'!$B$7,IF(I$47&lt;'Selección S3'!$B$8,(I$47-'Selección S3'!$B$7)*'Selección S3'!$C$8,('Selección S3'!$B$8-'Selección S3'!$B$7)*'Selección S3'!$C$8),0)
+IF(I$47&gt;'Selección S3'!$B$8,IF(I$47&lt;'Selección S3'!$B$9,(I$47-'Selección S3'!$B$8)*'Selección S3'!$C$9,('Selección S3'!$B$9-'Selección S3'!$B$8)*'Selección S3'!$C$9),0)
+IF(I$47&gt;'Selección S3'!$B$9,IF(I$47&lt;'Selección S3'!$B$10,(I$47-'Selección S3'!$B$9)*'Selección S3'!$C$10,('Selección S3'!$B$10-'Selección S3'!$B$9)*'Selección S3'!$C$10),0)
+IF(I$47&gt;'Selección S3'!$B$10,(I$47-'Selección S3'!$B$10)*'Selección S3'!$C$11,0)</f>
        <v>9387.4871729329443</v>
      </c>
      <c r="K101" s="96">
        <v>28188.694196553559</v>
      </c>
      <c r="M101" s="95">
        <f t="shared" ca="1" si="48"/>
        <v>0.66697686996509797</v>
      </c>
    </row>
    <row r="102" spans="2:13" s="61" customFormat="1" x14ac:dyDescent="0.25">
      <c r="B102" s="128" t="s">
        <v>236</v>
      </c>
      <c r="C102" s="62">
        <v>0</v>
      </c>
      <c r="D102" s="62">
        <v>0</v>
      </c>
      <c r="E102" s="62">
        <v>0</v>
      </c>
      <c r="F102" s="62">
        <v>0</v>
      </c>
      <c r="G102" s="62">
        <v>0</v>
      </c>
      <c r="H102" s="62">
        <v>0</v>
      </c>
      <c r="I102" s="60">
        <v>0</v>
      </c>
      <c r="K102" s="96">
        <v>0</v>
      </c>
      <c r="M102" s="95">
        <f t="shared" ref="M102" si="49">IF(K102=0,IF(I102=0,0,"Infinito"),1-(I102/K102))</f>
        <v>0</v>
      </c>
    </row>
    <row r="103" spans="2:13" s="61" customFormat="1" ht="15.75" thickBot="1" x14ac:dyDescent="0.3">
      <c r="B103" s="91" t="s">
        <v>68</v>
      </c>
      <c r="C103" s="92">
        <f ca="1">SUM(C96:C102)</f>
        <v>49.534828465779626</v>
      </c>
      <c r="D103" s="92">
        <f t="shared" ref="D103:I103" ca="1" si="50">SUM(D96:D102)</f>
        <v>495.86326955668142</v>
      </c>
      <c r="E103" s="92">
        <f t="shared" ca="1" si="50"/>
        <v>1069.13040326945</v>
      </c>
      <c r="F103" s="92">
        <f t="shared" ca="1" si="50"/>
        <v>5314.4625062357582</v>
      </c>
      <c r="G103" s="92">
        <f t="shared" ca="1" si="50"/>
        <v>10563.624823723687</v>
      </c>
      <c r="H103" s="92">
        <f t="shared" ca="1" si="50"/>
        <v>44671.586824930826</v>
      </c>
      <c r="I103" s="93">
        <f t="shared" ca="1" si="50"/>
        <v>85733.244857666024</v>
      </c>
      <c r="K103" s="151">
        <v>109723.71363394507</v>
      </c>
      <c r="M103" s="95">
        <f t="shared" ca="1" si="48"/>
        <v>0.21864433841817354</v>
      </c>
    </row>
    <row r="104" spans="2:13" ht="15.75" thickTop="1" x14ac:dyDescent="0.25"/>
    <row r="105" spans="2:13" ht="15.75" thickBot="1" x14ac:dyDescent="0.3"/>
    <row r="106" spans="2:13" s="61" customFormat="1" ht="20.25" thickTop="1" thickBot="1" x14ac:dyDescent="0.3">
      <c r="B106" s="124"/>
      <c r="C106" s="273" t="s">
        <v>228</v>
      </c>
      <c r="D106" s="274"/>
      <c r="E106" s="274"/>
      <c r="F106" s="274"/>
      <c r="G106" s="274"/>
      <c r="H106" s="274"/>
      <c r="I106" s="275"/>
    </row>
    <row r="107" spans="2:13" s="61" customFormat="1" ht="19.5" thickBot="1" x14ac:dyDescent="0.3">
      <c r="B107" s="100"/>
      <c r="C107" s="126" t="s">
        <v>61</v>
      </c>
      <c r="D107" s="268" t="str">
        <f>'Selección S3'!$C$2</f>
        <v>EE.UU. Estándar</v>
      </c>
      <c r="E107" s="269"/>
      <c r="F107" s="270" t="s">
        <v>114</v>
      </c>
      <c r="G107" s="271"/>
      <c r="H107" s="268" t="str">
        <f>'Selección S3'!$C$3</f>
        <v>Estándar</v>
      </c>
      <c r="I107" s="272"/>
      <c r="J107" s="125"/>
      <c r="K107" s="125"/>
      <c r="L107" s="125"/>
      <c r="M107" s="125"/>
    </row>
    <row r="108" spans="2:13" s="61" customFormat="1" ht="17.25" thickTop="1" thickBot="1" x14ac:dyDescent="0.3">
      <c r="B108" s="124"/>
      <c r="C108" s="276" t="s">
        <v>224</v>
      </c>
      <c r="D108" s="277"/>
      <c r="E108" s="277"/>
      <c r="F108" s="277"/>
      <c r="G108" s="277"/>
      <c r="H108" s="277"/>
      <c r="I108" s="278"/>
    </row>
    <row r="109" spans="2:13" s="61" customFormat="1" ht="19.5" thickBot="1" x14ac:dyDescent="0.3">
      <c r="B109" s="100"/>
      <c r="C109" s="126" t="s">
        <v>61</v>
      </c>
      <c r="D109" s="268" t="str">
        <f>'Selección KeyCDN'!$C$2</f>
        <v>EE.UU. Norte</v>
      </c>
      <c r="E109" s="269"/>
      <c r="F109" s="270" t="s">
        <v>222</v>
      </c>
      <c r="G109" s="271"/>
      <c r="H109" s="268">
        <v>1</v>
      </c>
      <c r="I109" s="272"/>
      <c r="J109" s="125"/>
      <c r="K109" s="125"/>
      <c r="L109" s="125"/>
      <c r="M109" s="125"/>
    </row>
    <row r="110" spans="2:13" s="61" customFormat="1" ht="15.75" thickTop="1" x14ac:dyDescent="0.25">
      <c r="B110" s="127" t="s">
        <v>60</v>
      </c>
      <c r="C110" s="63">
        <f ca="1">ROUNDUP((C$41*$H$109*30)/'Selección S3'!$B$28,0)*'Selección S3'!$C$28</f>
        <v>0.8</v>
      </c>
      <c r="D110" s="63">
        <f ca="1">ROUNDUP((D$41*$H$109*30)/'Selección S3'!$B$28,0)*'Selección S3'!$C$28</f>
        <v>8</v>
      </c>
      <c r="E110" s="63">
        <f ca="1">ROUNDUP((E$41*$H$109*30)/'Selección S3'!$B$28,0)*'Selección S3'!$C$28</f>
        <v>16</v>
      </c>
      <c r="F110" s="63">
        <f ca="1">ROUNDUP((F$41*$H$109*30)/'Selección S3'!$B$28,0)*'Selección S3'!$C$28</f>
        <v>80</v>
      </c>
      <c r="G110" s="63">
        <f ca="1">ROUNDUP((G$41*$H$109*30)/'Selección S3'!$B$28,0)*'Selección S3'!$C$28</f>
        <v>160</v>
      </c>
      <c r="H110" s="63">
        <f ca="1">ROUNDUP((H$41*$H$109*30)/'Selección S3'!$B$28,0)*'Selección S3'!$C$28</f>
        <v>800</v>
      </c>
      <c r="I110" s="90">
        <f ca="1">ROUNDUP((I$41*$H$109*30)/'Selección S3'!$B$28,0)*'Selección S3'!$C$28</f>
        <v>1600</v>
      </c>
      <c r="K110" s="96">
        <v>5760</v>
      </c>
      <c r="M110" s="95">
        <f t="shared" ref="M110:M111" ca="1" si="51">IF(K110=0,IF(I110=0,0,"Infinito"),1-(I110/K110))</f>
        <v>0.72222222222222221</v>
      </c>
    </row>
    <row r="111" spans="2:13" s="61" customFormat="1" x14ac:dyDescent="0.25">
      <c r="B111" s="128" t="s">
        <v>55</v>
      </c>
      <c r="C111" s="62">
        <f ca="1">ROUNDUP((C$41*30)/'Selección S3'!$B$23,0)*'Selección S3'!$C$23</f>
        <v>10</v>
      </c>
      <c r="D111" s="62">
        <f ca="1">ROUNDUP((D$41*30)/'Selección S3'!$B$23,0)*'Selección S3'!$C$23</f>
        <v>100</v>
      </c>
      <c r="E111" s="62">
        <f ca="1">ROUNDUP((E$41*30)/'Selección S3'!$B$23,0)*'Selección S3'!$C$23</f>
        <v>200</v>
      </c>
      <c r="F111" s="62">
        <f ca="1">ROUNDUP((F$41*30)/'Selección S3'!$B$23,0)*'Selección S3'!$C$23</f>
        <v>1000</v>
      </c>
      <c r="G111" s="62">
        <f ca="1">ROUNDUP((G$41*30)/'Selección S3'!$B$23,0)*'Selección S3'!$C$23</f>
        <v>2000</v>
      </c>
      <c r="H111" s="62">
        <f ca="1">ROUNDUP((H$41*30)/'Selección S3'!$B$23,0)*'Selección S3'!$C$23</f>
        <v>10000</v>
      </c>
      <c r="I111" s="60">
        <f ca="1">ROUNDUP((I$41*30)/'Selección S3'!$B$23,0)*'Selección S3'!$C$23</f>
        <v>20000</v>
      </c>
      <c r="K111" s="96">
        <v>20000.000000000004</v>
      </c>
      <c r="M111" s="95">
        <f t="shared" ca="1" si="51"/>
        <v>2.2204460492503131E-16</v>
      </c>
    </row>
    <row r="112" spans="2:13" s="61" customFormat="1" x14ac:dyDescent="0.25">
      <c r="B112" s="128" t="s">
        <v>117</v>
      </c>
      <c r="C112" s="62">
        <f ca="1">C$32*30*'Selección S3'!$C$31</f>
        <v>0</v>
      </c>
      <c r="D112" s="62">
        <f ca="1">D$32*30*'Selección S3'!$C$31</f>
        <v>0</v>
      </c>
      <c r="E112" s="62">
        <f ca="1">E$32*30*'Selección S3'!$C$31</f>
        <v>0</v>
      </c>
      <c r="F112" s="62">
        <f ca="1">F$32*30*'Selección S3'!$C$31</f>
        <v>0</v>
      </c>
      <c r="G112" s="62">
        <f ca="1">G$32*30*'Selección S3'!$C$31</f>
        <v>0</v>
      </c>
      <c r="H112" s="62">
        <f ca="1">H$32*30*'Selección S3'!$C$31</f>
        <v>0</v>
      </c>
      <c r="I112" s="60">
        <f ca="1">I$32*30*'Selección S3'!$C$31</f>
        <v>0</v>
      </c>
      <c r="K112" s="96">
        <v>0</v>
      </c>
      <c r="M112" s="95">
        <f ca="1">IF(K112=0,IF(I112=0,0,"Infinito"),1-(I112/K112))</f>
        <v>0</v>
      </c>
    </row>
    <row r="113" spans="2:13" s="61" customFormat="1" x14ac:dyDescent="0.25">
      <c r="B113" s="128" t="s">
        <v>223</v>
      </c>
      <c r="C113" s="62">
        <f ca="1">IF(C$32*$H$109*30&gt;0,IF(C$32*$H$109*30&lt;'Selección S3'!$B$37,(C$32*$H$109*30-0)*'Selección S3'!$C$37,('Selección S3'!$B$37-0)*'Selección S3'!$C$37),0)
+IF(C$32*$H$109*30&gt;'Selección S3'!$B$37,IF(C$32*$H$109*30&lt;'Selección S3'!$B$38,(C$32*$H$109*30-'Selección S3'!$B$37)*'Selección S3'!$C$38,('Selección S3'!$B$38-'Selección S3'!$B$37)*'Selección S3'!$C$38),0)
+IF(C$32*$H$109*30&gt;'Selección S3'!$B$38,IF(C$32*$H$109*30&lt;'Selección S3'!$B$39,(C$32*$H$109*30-'Selección S3'!$B$38)*'Selección S3'!$C$39,('Selección S3'!$B$39-'Selección S3'!$B$38)*'Selección S3'!$C$39),0)
+IF(C$32*$H$109*30&gt;'Selección S3'!$B$39,IF(C$32*$H$109*30&lt;'Selección S3'!$B$40,(C$32*$H$109*30-'Selección S3'!$B$39)*'Selección S3'!$C$40,('Selección S3'!$B$40-'Selección S3'!$B$39)*'Selección S3'!$C$40),0)
+IF(C$32*$H$109*30&gt;'Selección S3'!$B$40,IF(C$32*$H$109*30&lt;'Selección S3'!$B$41,(C$32*$H$109*30-'Selección S3'!$B$40)*'Selección S3'!$C$41,('Selección S3'!$B$41-'Selección S3'!$B$40)*'Selección S3'!$C$41),0)
+IF(C$32*$H$109*30&gt;'Selección S3'!$B$41,IF(C$32*$H$109*30&lt;'Selección S3'!$B$42,(C$32*$H$109*30-'Selección S3'!$B$41)*'Selección S3'!$C$42,('Selección S3'!$B$42-'Selección S3'!$B$41)*'Selección S3'!$C$42),0)
+IF(C$32*$H$109*30&gt;'Selección S3'!$B$42,IF(C$32*$H$109*30&lt;'Selección S3'!$B$43,(C$32*$H$109*30-'Selección S3'!$B$42)*'Selección S3'!$C$43,('Selección S3'!$B$43-'Selección S3'!$B$42)*'Selección S3'!$C$43),0)
+IF(C$32*$H$109*30&gt;'Selección S3'!$B$43,(C$32*$H$109*30-'Selección S3'!$B$43)*'Selección S3'!$C$44,0)</f>
        <v>14.43627182006836</v>
      </c>
      <c r="D113" s="62">
        <f ca="1">IF(D$32*$H$109*30&gt;0,IF(D$32*$H$109*30&lt;'Selección S3'!$B$37,(D$32*$H$109*30-0)*'Selección S3'!$C$37,('Selección S3'!$B$37-0)*'Selección S3'!$C$37),0)
+IF(D$32*$H$109*30&gt;'Selección S3'!$B$37,IF(D$32*$H$109*30&lt;'Selección S3'!$B$38,(D$32*$H$109*30-'Selección S3'!$B$37)*'Selección S3'!$C$38,('Selección S3'!$B$38-'Selección S3'!$B$37)*'Selección S3'!$C$38),0)
+IF(D$32*$H$109*30&gt;'Selección S3'!$B$38,IF(D$32*$H$109*30&lt;'Selección S3'!$B$39,(D$32*$H$109*30-'Selección S3'!$B$38)*'Selección S3'!$C$39,('Selección S3'!$B$39-'Selección S3'!$B$38)*'Selección S3'!$C$39),0)
+IF(D$32*$H$109*30&gt;'Selección S3'!$B$39,IF(D$32*$H$109*30&lt;'Selección S3'!$B$40,(D$32*$H$109*30-'Selección S3'!$B$39)*'Selección S3'!$C$40,('Selección S3'!$B$40-'Selección S3'!$B$39)*'Selección S3'!$C$40),0)
+IF(D$32*$H$109*30&gt;'Selección S3'!$B$40,IF(D$32*$H$109*30&lt;'Selección S3'!$B$41,(D$32*$H$109*30-'Selección S3'!$B$40)*'Selección S3'!$C$41,('Selección S3'!$B$41-'Selección S3'!$B$40)*'Selección S3'!$C$41),0)
+IF(D$32*$H$109*30&gt;'Selección S3'!$B$41,IF(D$32*$H$109*30&lt;'Selección S3'!$B$42,(D$32*$H$109*30-'Selección S3'!$B$41)*'Selección S3'!$C$42,('Selección S3'!$B$42-'Selección S3'!$B$41)*'Selección S3'!$C$42),0)
+IF(D$32*$H$109*30&gt;'Selección S3'!$B$42,IF(D$32*$H$109*30&lt;'Selección S3'!$B$43,(D$32*$H$109*30-'Selección S3'!$B$42)*'Selección S3'!$C$43,('Selección S3'!$B$43-'Selección S3'!$B$42)*'Selección S3'!$C$43),0)
+IF(D$32*$H$109*30&gt;'Selección S3'!$B$43,(D$32*$H$109*30-'Selección S3'!$B$43)*'Selección S3'!$C$44,0)</f>
        <v>145.17271820068362</v>
      </c>
      <c r="E113" s="62">
        <f ca="1">IF(E$32*$H$109*30&gt;0,IF(E$32*$H$109*30&lt;'Selección S3'!$B$37,(E$32*$H$109*30-0)*'Selección S3'!$C$37,('Selección S3'!$B$37-0)*'Selección S3'!$C$37),0)
+IF(E$32*$H$109*30&gt;'Selección S3'!$B$37,IF(E$32*$H$109*30&lt;'Selección S3'!$B$38,(E$32*$H$109*30-'Selección S3'!$B$37)*'Selección S3'!$C$38,('Selección S3'!$B$38-'Selección S3'!$B$37)*'Selección S3'!$C$38),0)
+IF(E$32*$H$109*30&gt;'Selección S3'!$B$38,IF(E$32*$H$109*30&lt;'Selección S3'!$B$39,(E$32*$H$109*30-'Selección S3'!$B$38)*'Selección S3'!$C$39,('Selección S3'!$B$39-'Selección S3'!$B$38)*'Selección S3'!$C$39),0)
+IF(E$32*$H$109*30&gt;'Selección S3'!$B$39,IF(E$32*$H$109*30&lt;'Selección S3'!$B$40,(E$32*$H$109*30-'Selección S3'!$B$39)*'Selección S3'!$C$40,('Selección S3'!$B$40-'Selección S3'!$B$39)*'Selección S3'!$C$40),0)
+IF(E$32*$H$109*30&gt;'Selección S3'!$B$40,IF(E$32*$H$109*30&lt;'Selección S3'!$B$41,(E$32*$H$109*30-'Selección S3'!$B$40)*'Selección S3'!$C$41,('Selección S3'!$B$41-'Selección S3'!$B$40)*'Selección S3'!$C$41),0)
+IF(E$32*$H$109*30&gt;'Selección S3'!$B$41,IF(E$32*$H$109*30&lt;'Selección S3'!$B$42,(E$32*$H$109*30-'Selección S3'!$B$41)*'Selección S3'!$C$42,('Selección S3'!$B$42-'Selección S3'!$B$41)*'Selección S3'!$C$42),0)
+IF(E$32*$H$109*30&gt;'Selección S3'!$B$42,IF(E$32*$H$109*30&lt;'Selección S3'!$B$43,(E$32*$H$109*30-'Selección S3'!$B$42)*'Selección S3'!$C$43,('Selección S3'!$B$43-'Selección S3'!$B$42)*'Selección S3'!$C$43),0)
+IF(E$32*$H$109*30&gt;'Selección S3'!$B$43,(E$32*$H$109*30-'Selección S3'!$B$43)*'Selección S3'!$C$44,0)</f>
        <v>290.43543640136727</v>
      </c>
      <c r="F113" s="62">
        <f ca="1">IF(F$32*$H$109*30&gt;0,IF(F$32*$H$109*30&lt;'Selección S3'!$B$37,(F$32*$H$109*30-0)*'Selección S3'!$C$37,('Selección S3'!$B$37-0)*'Selección S3'!$C$37),0)
+IF(F$32*$H$109*30&gt;'Selección S3'!$B$37,IF(F$32*$H$109*30&lt;'Selección S3'!$B$38,(F$32*$H$109*30-'Selección S3'!$B$37)*'Selección S3'!$C$38,('Selección S3'!$B$38-'Selección S3'!$B$37)*'Selección S3'!$C$38),0)
+IF(F$32*$H$109*30&gt;'Selección S3'!$B$38,IF(F$32*$H$109*30&lt;'Selección S3'!$B$39,(F$32*$H$109*30-'Selección S3'!$B$38)*'Selección S3'!$C$39,('Selección S3'!$B$39-'Selección S3'!$B$38)*'Selección S3'!$C$39),0)
+IF(F$32*$H$109*30&gt;'Selección S3'!$B$39,IF(F$32*$H$109*30&lt;'Selección S3'!$B$40,(F$32*$H$109*30-'Selección S3'!$B$39)*'Selección S3'!$C$40,('Selección S3'!$B$40-'Selección S3'!$B$39)*'Selección S3'!$C$40),0)
+IF(F$32*$H$109*30&gt;'Selección S3'!$B$40,IF(F$32*$H$109*30&lt;'Selección S3'!$B$41,(F$32*$H$109*30-'Selección S3'!$B$40)*'Selección S3'!$C$41,('Selección S3'!$B$41-'Selección S3'!$B$40)*'Selección S3'!$C$41),0)
+IF(F$32*$H$109*30&gt;'Selección S3'!$B$41,IF(F$32*$H$109*30&lt;'Selección S3'!$B$42,(F$32*$H$109*30-'Selección S3'!$B$41)*'Selección S3'!$C$42,('Selección S3'!$B$42-'Selección S3'!$B$41)*'Selección S3'!$C$42),0)
+IF(F$32*$H$109*30&gt;'Selección S3'!$B$42,IF(F$32*$H$109*30&lt;'Selección S3'!$B$43,(F$32*$H$109*30-'Selección S3'!$B$42)*'Selección S3'!$C$43,('Selección S3'!$B$43-'Selección S3'!$B$42)*'Selección S3'!$C$43),0)
+IF(F$32*$H$109*30&gt;'Selección S3'!$B$43,(F$32*$H$109*30-'Selección S3'!$B$43)*'Selección S3'!$C$44,0)</f>
        <v>1423.0356718953449</v>
      </c>
      <c r="G113" s="62">
        <f ca="1">IF(G$32*$H$109*30&gt;0,IF(G$32*$H$109*30&lt;'Selección S3'!$B$37,(G$32*$H$109*30-0)*'Selección S3'!$C$37,('Selección S3'!$B$37-0)*'Selección S3'!$C$37),0)
+IF(G$32*$H$109*30&gt;'Selección S3'!$B$37,IF(G$32*$H$109*30&lt;'Selección S3'!$B$38,(G$32*$H$109*30-'Selección S3'!$B$37)*'Selección S3'!$C$38,('Selección S3'!$B$38-'Selección S3'!$B$37)*'Selección S3'!$C$38),0)
+IF(G$32*$H$109*30&gt;'Selección S3'!$B$38,IF(G$32*$H$109*30&lt;'Selección S3'!$B$39,(G$32*$H$109*30-'Selección S3'!$B$38)*'Selección S3'!$C$39,('Selección S3'!$B$39-'Selección S3'!$B$38)*'Selección S3'!$C$39),0)
+IF(G$32*$H$109*30&gt;'Selección S3'!$B$39,IF(G$32*$H$109*30&lt;'Selección S3'!$B$40,(G$32*$H$109*30-'Selección S3'!$B$39)*'Selección S3'!$C$40,('Selección S3'!$B$40-'Selección S3'!$B$39)*'Selección S3'!$C$40),0)
+IF(G$32*$H$109*30&gt;'Selección S3'!$B$40,IF(G$32*$H$109*30&lt;'Selección S3'!$B$41,(G$32*$H$109*30-'Selección S3'!$B$40)*'Selección S3'!$C$41,('Selección S3'!$B$41-'Selección S3'!$B$40)*'Selección S3'!$C$41),0)
+IF(G$32*$H$109*30&gt;'Selección S3'!$B$41,IF(G$32*$H$109*30&lt;'Selección S3'!$B$42,(G$32*$H$109*30-'Selección S3'!$B$41)*'Selección S3'!$C$42,('Selección S3'!$B$42-'Selección S3'!$B$41)*'Selección S3'!$C$42),0)
+IF(G$32*$H$109*30&gt;'Selección S3'!$B$42,IF(G$32*$H$109*30&lt;'Selección S3'!$B$43,(G$32*$H$109*30-'Selección S3'!$B$42)*'Selección S3'!$C$43,('Selección S3'!$B$43-'Selección S3'!$B$42)*'Selección S3'!$C$43),0)
+IF(G$32*$H$109*30&gt;'Selección S3'!$B$43,(G$32*$H$109*30-'Selección S3'!$B$43)*'Selección S3'!$C$44,0)</f>
        <v>2794.9613437906901</v>
      </c>
      <c r="H113" s="62">
        <f ca="1">IF(H$32*$H$109*30&gt;0,IF(H$32*$H$109*30&lt;'Selección S3'!$B$37,(H$32*$H$109*30-0)*'Selección S3'!$C$37,('Selección S3'!$B$37-0)*'Selección S3'!$C$37),0)
+IF(H$32*$H$109*30&gt;'Selección S3'!$B$37,IF(H$32*$H$109*30&lt;'Selección S3'!$B$38,(H$32*$H$109*30-'Selección S3'!$B$37)*'Selección S3'!$C$38,('Selección S3'!$B$38-'Selección S3'!$B$37)*'Selección S3'!$C$38),0)
+IF(H$32*$H$109*30&gt;'Selección S3'!$B$38,IF(H$32*$H$109*30&lt;'Selección S3'!$B$39,(H$32*$H$109*30-'Selección S3'!$B$38)*'Selección S3'!$C$39,('Selección S3'!$B$39-'Selección S3'!$B$38)*'Selección S3'!$C$39),0)
+IF(H$32*$H$109*30&gt;'Selección S3'!$B$39,IF(H$32*$H$109*30&lt;'Selección S3'!$B$40,(H$32*$H$109*30-'Selección S3'!$B$39)*'Selección S3'!$C$40,('Selección S3'!$B$40-'Selección S3'!$B$39)*'Selección S3'!$C$40),0)
+IF(H$32*$H$109*30&gt;'Selección S3'!$B$40,IF(H$32*$H$109*30&lt;'Selección S3'!$B$41,(H$32*$H$109*30-'Selección S3'!$B$40)*'Selección S3'!$C$41,('Selección S3'!$B$41-'Selección S3'!$B$40)*'Selección S3'!$C$41),0)
+IF(H$32*$H$109*30&gt;'Selección S3'!$B$41,IF(H$32*$H$109*30&lt;'Selección S3'!$B$42,(H$32*$H$109*30-'Selección S3'!$B$41)*'Selección S3'!$C$42,('Selección S3'!$B$42-'Selección S3'!$B$41)*'Selección S3'!$C$42),0)
+IF(H$32*$H$109*30&gt;'Selección S3'!$B$42,IF(H$32*$H$109*30&lt;'Selección S3'!$B$43,(H$32*$H$109*30-'Selección S3'!$B$42)*'Selección S3'!$C$43,('Selección S3'!$B$43-'Selección S3'!$B$42)*'Selección S3'!$C$43),0)
+IF(H$32*$H$109*30&gt;'Selección S3'!$B$43,(H$32*$H$109*30-'Selección S3'!$B$43)*'Selección S3'!$C$44,0)</f>
        <v>11961.26101114909</v>
      </c>
      <c r="I113" s="60">
        <f ca="1">IF(I$32*$H$109*30&gt;0,IF(I$32*$H$109*30&lt;'Selección S3'!$B$37,(I$32*$H$109*30-0)*'Selección S3'!$C$37,('Selección S3'!$B$37-0)*'Selección S3'!$C$37),0)
+IF(I$32*$H$109*30&gt;'Selección S3'!$B$37,IF(I$32*$H$109*30&lt;'Selección S3'!$B$38,(I$32*$H$109*30-'Selección S3'!$B$37)*'Selección S3'!$C$38,('Selección S3'!$B$38-'Selección S3'!$B$37)*'Selección S3'!$C$38),0)
+IF(I$32*$H$109*30&gt;'Selección S3'!$B$38,IF(I$32*$H$109*30&lt;'Selección S3'!$B$39,(I$32*$H$109*30-'Selección S3'!$B$38)*'Selección S3'!$C$39,('Selección S3'!$B$39-'Selección S3'!$B$38)*'Selección S3'!$C$39),0)
+IF(I$32*$H$109*30&gt;'Selección S3'!$B$39,IF(I$32*$H$109*30&lt;'Selección S3'!$B$40,(I$32*$H$109*30-'Selección S3'!$B$39)*'Selección S3'!$C$40,('Selección S3'!$B$40-'Selección S3'!$B$39)*'Selección S3'!$C$40),0)
+IF(I$32*$H$109*30&gt;'Selección S3'!$B$40,IF(I$32*$H$109*30&lt;'Selección S3'!$B$41,(I$32*$H$109*30-'Selección S3'!$B$40)*'Selección S3'!$C$41,('Selección S3'!$B$41-'Selección S3'!$B$40)*'Selección S3'!$C$41),0)
+IF(I$32*$H$109*30&gt;'Selección S3'!$B$41,IF(I$32*$H$109*30&lt;'Selección S3'!$B$42,(I$32*$H$109*30-'Selección S3'!$B$41)*'Selección S3'!$C$42,('Selección S3'!$B$42-'Selección S3'!$B$41)*'Selección S3'!$C$42),0)
+IF(I$32*$H$109*30&gt;'Selección S3'!$B$42,IF(I$32*$H$109*30&lt;'Selección S3'!$B$43,(I$32*$H$109*30-'Selección S3'!$B$42)*'Selección S3'!$C$43,('Selección S3'!$B$43-'Selección S3'!$B$42)*'Selección S3'!$C$43),0)
+IF(I$32*$H$109*30&gt;'Selección S3'!$B$43,(I$32*$H$109*30-'Selección S3'!$B$43)*'Selección S3'!$C$44,0)</f>
        <v>20031.41202229818</v>
      </c>
      <c r="K113" s="96">
        <v>0</v>
      </c>
      <c r="M113" s="95" t="str">
        <f t="shared" ref="M113:M117" ca="1" si="52">IF(K113=0,IF(I113=0,0,"Infinito"),1-(I113/K113))</f>
        <v>Infinito</v>
      </c>
    </row>
    <row r="114" spans="2:13" s="61" customFormat="1" x14ac:dyDescent="0.25">
      <c r="B114" s="128" t="s">
        <v>66</v>
      </c>
      <c r="C114" s="62">
        <f ca="1">IF(C$34*30&gt;0,IF(C$34*30&lt;'Selección KeyCDN'!$B$8,(C$34*30-0)*'Selección KeyCDN'!$C$8,('Selección KeyCDN'!$B$8-0)*'Selección KeyCDN'!$C$8),0)
+IF(C$34*30&gt;'Selección KeyCDN'!$B$8,IF(C$34*30&lt;'Selección KeyCDN'!$B$9,(C$34*30-'Selección KeyCDN'!$B$8)*'Selección KeyCDN'!$C$9,('Selección KeyCDN'!$B$9-'Selección KeyCDN'!$B$8)*'Selección KeyCDN'!$C$9),0)
+IF(C$34*30&gt;'Selección KeyCDN'!$B$9,IF(C$34*30&lt;'Selección KeyCDN'!$B$10,(C$34*30-'Selección KeyCDN'!$B$9)*'Selección KeyCDN'!$C$10,('Selección KeyCDN'!$B$10-'Selección KeyCDN'!$B$9)*'Selección KeyCDN'!$C$10),0)
+IF(C$34*30&gt;'Selección KeyCDN'!$B$10,IF(C$34*30&lt;'Selección KeyCDN'!$B$11,(C$34*30-'Selección KeyCDN'!$B$10)*'Selección KeyCDN'!$C$11,('Selección KeyCDN'!$B$11-'Selección KeyCDN'!$B$10)*'Selección KeyCDN'!$C$11),0)
+IF(C$34*30&gt;'Selección KeyCDN'!$B$11,IF(C$34*30&lt;'Selección KeyCDN'!$B$12,(C$34*30-'Selección KeyCDN'!$B$11)*'Selección KeyCDN'!$C$12,('Selección KeyCDN'!$B$12-'Selección KeyCDN'!$B$11)*'Selección KeyCDN'!$C$12),0)
+IF(C$34*30&gt;'Selección KeyCDN'!$B$12,IF(C$34*30&lt;'Selección KeyCDN'!$B$13,(C$34*30-'Selección KeyCDN'!$B$12)*'Selección KeyCDN'!$C$13,('Selección KeyCDN'!$B$13-'Selección KeyCDN'!$B$12)*'Selección KeyCDN'!$C$13),0)
+IF(C$34*30&gt;'Selección KeyCDN'!$B$13,(C$34*30-'Selección KeyCDN'!$B$13)*'Selección KeyCDN'!$C$14,0)</f>
        <v>12.970977359347875</v>
      </c>
      <c r="D114" s="62">
        <f ca="1">IF(D$34*30&gt;0,IF(D$34*30&lt;'Selección KeyCDN'!$B$8,(D$34*30-0)*'Selección KeyCDN'!$C$8,('Selección KeyCDN'!$B$8-0)*'Selección KeyCDN'!$C$8),0)
+IF(D$34*30&gt;'Selección KeyCDN'!$B$8,IF(D$34*30&lt;'Selección KeyCDN'!$B$9,(D$34*30-'Selección KeyCDN'!$B$8)*'Selección KeyCDN'!$C$9,('Selección KeyCDN'!$B$9-'Selección KeyCDN'!$B$8)*'Selección KeyCDN'!$C$9),0)
+IF(D$34*30&gt;'Selección KeyCDN'!$B$9,IF(D$34*30&lt;'Selección KeyCDN'!$B$10,(D$34*30-'Selección KeyCDN'!$B$9)*'Selección KeyCDN'!$C$10,('Selección KeyCDN'!$B$10-'Selección KeyCDN'!$B$9)*'Selección KeyCDN'!$C$10),0)
+IF(D$34*30&gt;'Selección KeyCDN'!$B$10,IF(D$34*30&lt;'Selección KeyCDN'!$B$11,(D$34*30-'Selección KeyCDN'!$B$10)*'Selección KeyCDN'!$C$11,('Selección KeyCDN'!$B$11-'Selección KeyCDN'!$B$10)*'Selección KeyCDN'!$C$11),0)
+IF(D$34*30&gt;'Selección KeyCDN'!$B$11,IF(D$34*30&lt;'Selección KeyCDN'!$B$12,(D$34*30-'Selección KeyCDN'!$B$11)*'Selección KeyCDN'!$C$12,('Selección KeyCDN'!$B$12-'Selección KeyCDN'!$B$11)*'Selección KeyCDN'!$C$12),0)
+IF(D$34*30&gt;'Selección KeyCDN'!$B$12,IF(D$34*30&lt;'Selección KeyCDN'!$B$13,(D$34*30-'Selección KeyCDN'!$B$12)*'Selección KeyCDN'!$C$13,('Selección KeyCDN'!$B$13-'Selección KeyCDN'!$B$12)*'Selección KeyCDN'!$C$13),0)
+IF(D$34*30&gt;'Selección KeyCDN'!$B$13,(D$34*30-'Selección KeyCDN'!$B$13)*'Selección KeyCDN'!$C$14,0)</f>
        <v>129.70977359347876</v>
      </c>
      <c r="E114" s="62">
        <f ca="1">IF(E$34*30&gt;0,IF(E$34*30&lt;'Selección KeyCDN'!$B$8,(E$34*30-0)*'Selección KeyCDN'!$C$8,('Selección KeyCDN'!$B$8-0)*'Selección KeyCDN'!$C$8),0)
+IF(E$34*30&gt;'Selección KeyCDN'!$B$8,IF(E$34*30&lt;'Selección KeyCDN'!$B$9,(E$34*30-'Selección KeyCDN'!$B$8)*'Selección KeyCDN'!$C$9,('Selección KeyCDN'!$B$9-'Selección KeyCDN'!$B$8)*'Selección KeyCDN'!$C$9),0)
+IF(E$34*30&gt;'Selección KeyCDN'!$B$9,IF(E$34*30&lt;'Selección KeyCDN'!$B$10,(E$34*30-'Selección KeyCDN'!$B$9)*'Selección KeyCDN'!$C$10,('Selección KeyCDN'!$B$10-'Selección KeyCDN'!$B$9)*'Selección KeyCDN'!$C$10),0)
+IF(E$34*30&gt;'Selección KeyCDN'!$B$10,IF(E$34*30&lt;'Selección KeyCDN'!$B$11,(E$34*30-'Selección KeyCDN'!$B$10)*'Selección KeyCDN'!$C$11,('Selección KeyCDN'!$B$11-'Selección KeyCDN'!$B$10)*'Selección KeyCDN'!$C$11),0)
+IF(E$34*30&gt;'Selección KeyCDN'!$B$11,IF(E$34*30&lt;'Selección KeyCDN'!$B$12,(E$34*30-'Selección KeyCDN'!$B$11)*'Selección KeyCDN'!$C$12,('Selección KeyCDN'!$B$12-'Selección KeyCDN'!$B$11)*'Selección KeyCDN'!$C$12),0)
+IF(E$34*30&gt;'Selección KeyCDN'!$B$12,IF(E$34*30&lt;'Selección KeyCDN'!$B$13,(E$34*30-'Selección KeyCDN'!$B$12)*'Selección KeyCDN'!$C$13,('Selección KeyCDN'!$B$13-'Selección KeyCDN'!$B$12)*'Selección KeyCDN'!$C$13),0)
+IF(E$34*30&gt;'Selección KeyCDN'!$B$13,(E$34*30-'Selección KeyCDN'!$B$13)*'Selección KeyCDN'!$C$14,0)</f>
        <v>311.30345662434894</v>
      </c>
      <c r="F114" s="62">
        <f ca="1">IF(F$34*30&gt;0,IF(F$34*30&lt;'Selección KeyCDN'!$B$8,(F$34*30-0)*'Selección KeyCDN'!$C$8,('Selección KeyCDN'!$B$8-0)*'Selección KeyCDN'!$C$8),0)
+IF(F$34*30&gt;'Selección KeyCDN'!$B$8,IF(F$34*30&lt;'Selección KeyCDN'!$B$9,(F$34*30-'Selección KeyCDN'!$B$8)*'Selección KeyCDN'!$C$9,('Selección KeyCDN'!$B$9-'Selección KeyCDN'!$B$8)*'Selección KeyCDN'!$C$9),0)
+IF(F$34*30&gt;'Selección KeyCDN'!$B$9,IF(F$34*30&lt;'Selección KeyCDN'!$B$10,(F$34*30-'Selección KeyCDN'!$B$9)*'Selección KeyCDN'!$C$10,('Selección KeyCDN'!$B$10-'Selección KeyCDN'!$B$9)*'Selección KeyCDN'!$C$10),0)
+IF(F$34*30&gt;'Selección KeyCDN'!$B$10,IF(F$34*30&lt;'Selección KeyCDN'!$B$11,(F$34*30-'Selección KeyCDN'!$B$10)*'Selección KeyCDN'!$C$11,('Selección KeyCDN'!$B$11-'Selección KeyCDN'!$B$10)*'Selección KeyCDN'!$C$11),0)
+IF(F$34*30&gt;'Selección KeyCDN'!$B$11,IF(F$34*30&lt;'Selección KeyCDN'!$B$12,(F$34*30-'Selección KeyCDN'!$B$11)*'Selección KeyCDN'!$C$12,('Selección KeyCDN'!$B$12-'Selección KeyCDN'!$B$11)*'Selección KeyCDN'!$C$12),0)
+IF(F$34*30&gt;'Selección KeyCDN'!$B$12,IF(F$34*30&lt;'Selección KeyCDN'!$B$13,(F$34*30-'Selección KeyCDN'!$B$12)*'Selección KeyCDN'!$C$13,('Selección KeyCDN'!$B$13-'Selección KeyCDN'!$B$12)*'Selección KeyCDN'!$C$13),0)
+IF(F$34*30&gt;'Selección KeyCDN'!$B$13,(F$34*30-'Selección KeyCDN'!$B$13)*'Selección KeyCDN'!$C$14,0)</f>
        <v>1441.8255548095703</v>
      </c>
      <c r="G114" s="62">
        <f ca="1">IF(G$34*30&gt;0,IF(G$34*30&lt;'Selección KeyCDN'!$B$8,(G$34*30-0)*'Selección KeyCDN'!$C$8,('Selección KeyCDN'!$B$8-0)*'Selección KeyCDN'!$C$8),0)
+IF(G$34*30&gt;'Selección KeyCDN'!$B$8,IF(G$34*30&lt;'Selección KeyCDN'!$B$9,(G$34*30-'Selección KeyCDN'!$B$8)*'Selección KeyCDN'!$C$9,('Selección KeyCDN'!$B$9-'Selección KeyCDN'!$B$8)*'Selección KeyCDN'!$C$9),0)
+IF(G$34*30&gt;'Selección KeyCDN'!$B$9,IF(G$34*30&lt;'Selección KeyCDN'!$B$10,(G$34*30-'Selección KeyCDN'!$B$9)*'Selección KeyCDN'!$C$10,('Selección KeyCDN'!$B$10-'Selección KeyCDN'!$B$9)*'Selección KeyCDN'!$C$10),0)
+IF(G$34*30&gt;'Selección KeyCDN'!$B$10,IF(G$34*30&lt;'Selección KeyCDN'!$B$11,(G$34*30-'Selección KeyCDN'!$B$10)*'Selección KeyCDN'!$C$11,('Selección KeyCDN'!$B$11-'Selección KeyCDN'!$B$10)*'Selección KeyCDN'!$C$11),0)
+IF(G$34*30&gt;'Selección KeyCDN'!$B$11,IF(G$34*30&lt;'Selección KeyCDN'!$B$12,(G$34*30-'Selección KeyCDN'!$B$11)*'Selección KeyCDN'!$C$12,('Selección KeyCDN'!$B$12-'Selección KeyCDN'!$B$11)*'Selección KeyCDN'!$C$12),0)
+IF(G$34*30&gt;'Selección KeyCDN'!$B$12,IF(G$34*30&lt;'Selección KeyCDN'!$B$13,(G$34*30-'Selección KeyCDN'!$B$12)*'Selección KeyCDN'!$C$13,('Selección KeyCDN'!$B$13-'Selección KeyCDN'!$B$12)*'Selección KeyCDN'!$C$13),0)
+IF(G$34*30&gt;'Selección KeyCDN'!$B$13,(G$34*30-'Selección KeyCDN'!$B$13)*'Selección KeyCDN'!$C$14,0)</f>
        <v>3151.2589284939231</v>
      </c>
      <c r="H114" s="62">
        <f ca="1">IF(H$34*30&gt;0,IF(H$34*30&lt;'Selección KeyCDN'!$B$8,(H$34*30-0)*'Selección KeyCDN'!$C$8,('Selección KeyCDN'!$B$8-0)*'Selección KeyCDN'!$C$8),0)
+IF(H$34*30&gt;'Selección KeyCDN'!$B$8,IF(H$34*30&lt;'Selección KeyCDN'!$B$9,(H$34*30-'Selección KeyCDN'!$B$8)*'Selección KeyCDN'!$C$9,('Selección KeyCDN'!$B$9-'Selección KeyCDN'!$B$8)*'Selección KeyCDN'!$C$9),0)
+IF(H$34*30&gt;'Selección KeyCDN'!$B$9,IF(H$34*30&lt;'Selección KeyCDN'!$B$10,(H$34*30-'Selección KeyCDN'!$B$9)*'Selección KeyCDN'!$C$10,('Selección KeyCDN'!$B$10-'Selección KeyCDN'!$B$9)*'Selección KeyCDN'!$C$10),0)
+IF(H$34*30&gt;'Selección KeyCDN'!$B$10,IF(H$34*30&lt;'Selección KeyCDN'!$B$11,(H$34*30-'Selección KeyCDN'!$B$10)*'Selección KeyCDN'!$C$11,('Selección KeyCDN'!$B$11-'Selección KeyCDN'!$B$10)*'Selección KeyCDN'!$C$11),0)
+IF(H$34*30&gt;'Selección KeyCDN'!$B$11,IF(H$34*30&lt;'Selección KeyCDN'!$B$12,(H$34*30-'Selección KeyCDN'!$B$11)*'Selección KeyCDN'!$C$12,('Selección KeyCDN'!$B$12-'Selección KeyCDN'!$B$11)*'Selección KeyCDN'!$C$12),0)
+IF(H$34*30&gt;'Selección KeyCDN'!$B$12,IF(H$34*30&lt;'Selección KeyCDN'!$B$13,(H$34*30-'Selección KeyCDN'!$B$12)*'Selección KeyCDN'!$C$13,('Selección KeyCDN'!$B$13-'Selección KeyCDN'!$B$12)*'Selección KeyCDN'!$C$13),0)
+IF(H$34*30&gt;'Selección KeyCDN'!$B$13,(H$34*30-'Selección KeyCDN'!$B$13)*'Selección KeyCDN'!$C$14,0)</f>
        <v>13571.717812160918</v>
      </c>
      <c r="I114" s="60">
        <f ca="1">IF(I$34*30&gt;0,IF(I$34*30&lt;'Selección KeyCDN'!$B$8,(I$34*30-0)*'Selección KeyCDN'!$C$8,('Selección KeyCDN'!$B$8-0)*'Selección KeyCDN'!$C$8),0)
+IF(I$34*30&gt;'Selección KeyCDN'!$B$8,IF(I$34*30&lt;'Selección KeyCDN'!$B$9,(I$34*30-'Selección KeyCDN'!$B$8)*'Selección KeyCDN'!$C$9,('Selección KeyCDN'!$B$9-'Selección KeyCDN'!$B$8)*'Selección KeyCDN'!$C$9),0)
+IF(I$34*30&gt;'Selección KeyCDN'!$B$9,IF(I$34*30&lt;'Selección KeyCDN'!$B$10,(I$34*30-'Selección KeyCDN'!$B$9)*'Selección KeyCDN'!$C$10,('Selección KeyCDN'!$B$10-'Selección KeyCDN'!$B$9)*'Selección KeyCDN'!$C$10),0)
+IF(I$34*30&gt;'Selección KeyCDN'!$B$10,IF(I$34*30&lt;'Selección KeyCDN'!$B$11,(I$34*30-'Selección KeyCDN'!$B$10)*'Selección KeyCDN'!$C$11,('Selección KeyCDN'!$B$11-'Selección KeyCDN'!$B$10)*'Selección KeyCDN'!$C$11),0)
+IF(I$34*30&gt;'Selección KeyCDN'!$B$11,IF(I$34*30&lt;'Selección KeyCDN'!$B$12,(I$34*30-'Selección KeyCDN'!$B$11)*'Selección KeyCDN'!$C$12,('Selección KeyCDN'!$B$12-'Selección KeyCDN'!$B$11)*'Selección KeyCDN'!$C$12),0)
+IF(I$34*30&gt;'Selección KeyCDN'!$B$12,IF(I$34*30&lt;'Selección KeyCDN'!$B$13,(I$34*30-'Selección KeyCDN'!$B$12)*'Selección KeyCDN'!$C$13,('Selección KeyCDN'!$B$13-'Selección KeyCDN'!$B$12)*'Selección KeyCDN'!$C$13),0)
+IF(I$34*30&gt;'Selección KeyCDN'!$B$13,(I$34*30-'Selección KeyCDN'!$B$13)*'Selección KeyCDN'!$C$14,0)</f>
        <v>25572.941887478297</v>
      </c>
      <c r="K114" s="96">
        <v>55775.0194373915</v>
      </c>
      <c r="M114" s="95">
        <f t="shared" ca="1" si="52"/>
        <v>0.5414982882043744</v>
      </c>
    </row>
    <row r="115" spans="2:13" s="61" customFormat="1" x14ac:dyDescent="0.25">
      <c r="B115" s="128" t="s">
        <v>67</v>
      </c>
      <c r="C115" s="62">
        <f ca="1">IF(C$47&gt;0,IF(C$47&lt;'Selección S3'!$B$6,(C$47-0)*'Selección S3'!$C$6,('Selección S3'!$B$6-0)*'Selección S3'!$C$6),0)
+IF(C$47&gt;'Selección S3'!$B$6,IF(C$47&lt;'Selección S3'!$B$7,(C$47-'Selección S3'!$B$6)*'Selección S3'!$C$7,('Selección S3'!$B$7-'Selección S3'!$B$6)*'Selección S3'!$C$7),0)
+IF(C$47&gt;'Selección S3'!$B$7,IF(C$47&lt;'Selección S3'!$B$8,(C$47-'Selección S3'!$B$7)*'Selección S3'!$C$8,('Selección S3'!$B$8-'Selección S3'!$B$7)*'Selección S3'!$C$8),0)
+IF(C$47&gt;'Selección S3'!$B$8,IF(C$47&lt;'Selección S3'!$B$9,(C$47-'Selección S3'!$B$8)*'Selección S3'!$C$9,('Selección S3'!$B$9-'Selección S3'!$B$8)*'Selección S3'!$C$9),0)
+IF(C$47&gt;'Selección S3'!$B$9,IF(C$47&lt;'Selección S3'!$B$10,(C$47-'Selección S3'!$B$9)*'Selección S3'!$C$10,('Selección S3'!$B$10-'Selección S3'!$B$9)*'Selección S3'!$C$10),0)
+IF(C$47&gt;'Selección S3'!$B$10,(C$47-'Selección S3'!$B$10)*'Selección S3'!$C$11,0)</f>
        <v>4.8420906066894531</v>
      </c>
      <c r="D115" s="62">
        <f ca="1">IF(D$47&gt;0,IF(D$47&lt;'Selección S3'!$B$6,(D$47-0)*'Selección S3'!$C$6,('Selección S3'!$B$6-0)*'Selección S3'!$C$6),0)
+IF(D$47&gt;'Selección S3'!$B$6,IF(D$47&lt;'Selección S3'!$B$7,(D$47-'Selección S3'!$B$6)*'Selección S3'!$C$7,('Selección S3'!$B$7-'Selección S3'!$B$6)*'Selección S3'!$C$7),0)
+IF(D$47&gt;'Selección S3'!$B$7,IF(D$47&lt;'Selección S3'!$B$8,(D$47-'Selección S3'!$B$7)*'Selección S3'!$C$8,('Selección S3'!$B$8-'Selección S3'!$B$7)*'Selección S3'!$C$8),0)
+IF(D$47&gt;'Selección S3'!$B$8,IF(D$47&lt;'Selección S3'!$B$9,(D$47-'Selección S3'!$B$8)*'Selección S3'!$C$9,('Selección S3'!$B$9-'Selección S3'!$B$8)*'Selección S3'!$C$9),0)
+IF(D$47&gt;'Selección S3'!$B$9,IF(D$47&lt;'Selección S3'!$B$10,(D$47-'Selección S3'!$B$9)*'Selección S3'!$C$10,('Selección S3'!$B$10-'Selección S3'!$B$9)*'Selección S3'!$C$10),0)
+IF(D$47&gt;'Selección S3'!$B$10,(D$47-'Selección S3'!$B$10)*'Selección S3'!$C$11,0)</f>
        <v>48.125890965779632</v>
      </c>
      <c r="E115" s="62">
        <f ca="1">IF(E$47&gt;0,IF(E$47&lt;'Selección S3'!$B$6,(E$47-0)*'Selección S3'!$C$6,('Selección S3'!$B$6-0)*'Selección S3'!$C$6),0)
+IF(E$47&gt;'Selección S3'!$B$6,IF(E$47&lt;'Selección S3'!$B$7,(E$47-'Selección S3'!$B$6)*'Selección S3'!$C$7,('Selección S3'!$B$7-'Selección S3'!$B$6)*'Selección S3'!$C$7),0)
+IF(E$47&gt;'Selección S3'!$B$7,IF(E$47&lt;'Selección S3'!$B$8,(E$47-'Selección S3'!$B$7)*'Selección S3'!$C$8,('Selección S3'!$B$8-'Selección S3'!$B$7)*'Selección S3'!$C$8),0)
+IF(E$47&gt;'Selección S3'!$B$8,IF(E$47&lt;'Selección S3'!$B$9,(E$47-'Selección S3'!$B$8)*'Selección S3'!$C$9,('Selección S3'!$B$9-'Selección S3'!$B$8)*'Selección S3'!$C$9),0)
+IF(E$47&gt;'Selección S3'!$B$9,IF(E$47&lt;'Selección S3'!$B$10,(E$47-'Selección S3'!$B$9)*'Selección S3'!$C$10,('Selección S3'!$B$10-'Selección S3'!$B$9)*'Selección S3'!$C$10),0)
+IF(E$47&gt;'Selección S3'!$B$10,(E$47-'Selección S3'!$B$10)*'Selección S3'!$C$11,0)</f>
        <v>95.739781931559264</v>
      </c>
      <c r="F115" s="62">
        <f ca="1">IF(F$47&gt;0,IF(F$47&lt;'Selección S3'!$B$6,(F$47-0)*'Selección S3'!$C$6,('Selección S3'!$B$6-0)*'Selección S3'!$C$6),0)
+IF(F$47&gt;'Selección S3'!$B$6,IF(F$47&lt;'Selección S3'!$B$7,(F$47-'Selección S3'!$B$6)*'Selección S3'!$C$7,('Selección S3'!$B$7-'Selección S3'!$B$6)*'Selección S3'!$C$7),0)
+IF(F$47&gt;'Selección S3'!$B$7,IF(F$47&lt;'Selección S3'!$B$8,(F$47-'Selección S3'!$B$7)*'Selección S3'!$C$8,('Selección S3'!$B$8-'Selección S3'!$B$7)*'Selección S3'!$C$8),0)
+IF(F$47&gt;'Selección S3'!$B$8,IF(F$47&lt;'Selección S3'!$B$9,(F$47-'Selección S3'!$B$8)*'Selección S3'!$C$9,('Selección S3'!$B$9-'Selección S3'!$B$8)*'Selección S3'!$C$9),0)
+IF(F$47&gt;'Selección S3'!$B$9,IF(F$47&lt;'Selección S3'!$B$10,(F$47-'Selección S3'!$B$9)*'Selección S3'!$C$10,('Selección S3'!$B$10-'Selección S3'!$B$9)*'Selección S3'!$C$10),0)
+IF(F$47&gt;'Selección S3'!$B$10,(F$47-'Selección S3'!$B$10)*'Selección S3'!$C$11,0)</f>
        <v>476.65090965779621</v>
      </c>
      <c r="G115" s="62">
        <f ca="1">IF(G$47&gt;0,IF(G$47&lt;'Selección S3'!$B$6,(G$47-0)*'Selección S3'!$C$6,('Selección S3'!$B$6-0)*'Selección S3'!$C$6),0)
+IF(G$47&gt;'Selección S3'!$B$6,IF(G$47&lt;'Selección S3'!$B$7,(G$47-'Selección S3'!$B$6)*'Selección S3'!$C$7,('Selección S3'!$B$7-'Selección S3'!$B$6)*'Selección S3'!$C$7),0)
+IF(G$47&gt;'Selección S3'!$B$7,IF(G$47&lt;'Selección S3'!$B$8,(G$47-'Selección S3'!$B$7)*'Selección S3'!$C$8,('Selección S3'!$B$8-'Selección S3'!$B$7)*'Selección S3'!$C$8),0)
+IF(G$47&gt;'Selección S3'!$B$8,IF(G$47&lt;'Selección S3'!$B$9,(G$47-'Selección S3'!$B$8)*'Selección S3'!$C$9,('Selección S3'!$B$9-'Selección S3'!$B$8)*'Selección S3'!$C$9),0)
+IF(G$47&gt;'Selección S3'!$B$9,IF(G$47&lt;'Selección S3'!$B$10,(G$47-'Selección S3'!$B$9)*'Selección S3'!$C$10,('Selección S3'!$B$10-'Selección S3'!$B$9)*'Selección S3'!$C$10),0)
+IF(G$47&gt;'Selección S3'!$B$10,(G$47-'Selección S3'!$B$10)*'Selección S3'!$C$11,0)</f>
        <v>952.78981931559235</v>
      </c>
      <c r="H115" s="62">
        <f ca="1">IF(H$47&gt;0,IF(H$47&lt;'Selección S3'!$B$6,(H$47-0)*'Selección S3'!$C$6,('Selección S3'!$B$6-0)*'Selección S3'!$C$6),0)
+IF(H$47&gt;'Selección S3'!$B$6,IF(H$47&lt;'Selección S3'!$B$7,(H$47-'Selección S3'!$B$6)*'Selección S3'!$C$7,('Selección S3'!$B$7-'Selección S3'!$B$6)*'Selección S3'!$C$7),0)
+IF(H$47&gt;'Selección S3'!$B$7,IF(H$47&lt;'Selección S3'!$B$8,(H$47-'Selección S3'!$B$7)*'Selección S3'!$C$8,('Selección S3'!$B$8-'Selección S3'!$B$7)*'Selección S3'!$C$8),0)
+IF(H$47&gt;'Selección S3'!$B$8,IF(H$47&lt;'Selección S3'!$B$9,(H$47-'Selección S3'!$B$8)*'Selección S3'!$C$9,('Selección S3'!$B$9-'Selección S3'!$B$8)*'Selección S3'!$C$9),0)
+IF(H$47&gt;'Selección S3'!$B$9,IF(H$47&lt;'Selección S3'!$B$10,(H$47-'Selección S3'!$B$9)*'Selección S3'!$C$10,('Selección S3'!$B$10-'Selección S3'!$B$9)*'Selección S3'!$C$10),0)
+IF(H$47&gt;'Selección S3'!$B$10,(H$47-'Selección S3'!$B$10)*'Selección S3'!$C$11,0)</f>
        <v>4706.7995864664726</v>
      </c>
      <c r="I115" s="60">
        <f ca="1">IF(I$47&gt;0,IF(I$47&lt;'Selección S3'!$B$6,(I$47-0)*'Selección S3'!$C$6,('Selección S3'!$B$6-0)*'Selección S3'!$C$6),0)
+IF(I$47&gt;'Selección S3'!$B$6,IF(I$47&lt;'Selección S3'!$B$7,(I$47-'Selección S3'!$B$6)*'Selección S3'!$C$7,('Selección S3'!$B$7-'Selección S3'!$B$6)*'Selección S3'!$C$7),0)
+IF(I$47&gt;'Selección S3'!$B$7,IF(I$47&lt;'Selección S3'!$B$8,(I$47-'Selección S3'!$B$7)*'Selección S3'!$C$8,('Selección S3'!$B$8-'Selección S3'!$B$7)*'Selección S3'!$C$8),0)
+IF(I$47&gt;'Selección S3'!$B$8,IF(I$47&lt;'Selección S3'!$B$9,(I$47-'Selección S3'!$B$8)*'Selección S3'!$C$9,('Selección S3'!$B$9-'Selección S3'!$B$8)*'Selección S3'!$C$9),0)
+IF(I$47&gt;'Selección S3'!$B$9,IF(I$47&lt;'Selección S3'!$B$10,(I$47-'Selección S3'!$B$9)*'Selección S3'!$C$10,('Selección S3'!$B$10-'Selección S3'!$B$9)*'Selección S3'!$C$10),0)
+IF(I$47&gt;'Selección S3'!$B$10,(I$47-'Selección S3'!$B$10)*'Selección S3'!$C$11,0)</f>
        <v>9387.4871729329443</v>
      </c>
      <c r="K115" s="96">
        <v>28188.694196553559</v>
      </c>
      <c r="M115" s="95">
        <f t="shared" ca="1" si="52"/>
        <v>0.66697686996509797</v>
      </c>
    </row>
    <row r="116" spans="2:13" s="61" customFormat="1" x14ac:dyDescent="0.25">
      <c r="B116" s="128" t="s">
        <v>236</v>
      </c>
      <c r="C116" s="62">
        <v>0</v>
      </c>
      <c r="D116" s="62">
        <v>0</v>
      </c>
      <c r="E116" s="62">
        <v>0</v>
      </c>
      <c r="F116" s="62">
        <v>0</v>
      </c>
      <c r="G116" s="62">
        <v>0</v>
      </c>
      <c r="H116" s="62">
        <v>0</v>
      </c>
      <c r="I116" s="60">
        <v>0</v>
      </c>
      <c r="K116" s="96">
        <v>0</v>
      </c>
      <c r="M116" s="95">
        <f t="shared" ref="M116" si="53">IF(K116=0,IF(I116=0,0,"Infinito"),1-(I116/K116))</f>
        <v>0</v>
      </c>
    </row>
    <row r="117" spans="2:13" s="61" customFormat="1" ht="15.75" thickBot="1" x14ac:dyDescent="0.3">
      <c r="B117" s="91" t="s">
        <v>68</v>
      </c>
      <c r="C117" s="92">
        <f ca="1">SUM(C110:C116)</f>
        <v>43.049339786105691</v>
      </c>
      <c r="D117" s="92">
        <f t="shared" ref="D117:I117" ca="1" si="54">SUM(D110:D116)</f>
        <v>431.00838275994204</v>
      </c>
      <c r="E117" s="92">
        <f t="shared" ca="1" si="54"/>
        <v>913.47867495727542</v>
      </c>
      <c r="F117" s="92">
        <f t="shared" ca="1" si="54"/>
        <v>4421.5121363627113</v>
      </c>
      <c r="G117" s="92">
        <f t="shared" ca="1" si="54"/>
        <v>9059.0100916002048</v>
      </c>
      <c r="H117" s="92">
        <f t="shared" ca="1" si="54"/>
        <v>41039.778409776482</v>
      </c>
      <c r="I117" s="93">
        <f t="shared" ca="1" si="54"/>
        <v>76591.841082709419</v>
      </c>
      <c r="K117" s="151">
        <v>109723.71363394507</v>
      </c>
      <c r="M117" s="95">
        <f t="shared" ca="1" si="52"/>
        <v>0.30195726569890435</v>
      </c>
    </row>
    <row r="118" spans="2:13" ht="15.75" thickTop="1" x14ac:dyDescent="0.25"/>
    <row r="119" spans="2:13" ht="15.75" thickBot="1" x14ac:dyDescent="0.3"/>
    <row r="120" spans="2:13" s="61" customFormat="1" ht="20.25" thickTop="1" thickBot="1" x14ac:dyDescent="0.3">
      <c r="B120" s="124"/>
      <c r="C120" s="273" t="s">
        <v>237</v>
      </c>
      <c r="D120" s="274"/>
      <c r="E120" s="274"/>
      <c r="F120" s="274"/>
      <c r="G120" s="274"/>
      <c r="H120" s="274"/>
      <c r="I120" s="275"/>
    </row>
    <row r="121" spans="2:13" s="61" customFormat="1" ht="19.5" thickBot="1" x14ac:dyDescent="0.3">
      <c r="B121" s="100"/>
      <c r="C121" s="126" t="s">
        <v>61</v>
      </c>
      <c r="D121" s="268" t="str">
        <f>'Selección S3'!$C$2</f>
        <v>EE.UU. Estándar</v>
      </c>
      <c r="E121" s="269"/>
      <c r="F121" s="270" t="s">
        <v>114</v>
      </c>
      <c r="G121" s="271"/>
      <c r="H121" s="268" t="str">
        <f>'Selección S3'!$C$3</f>
        <v>Estándar</v>
      </c>
      <c r="I121" s="272"/>
      <c r="J121" s="125"/>
      <c r="K121" s="125">
        <f ca="1">OFFSET('Datos CloudImage.io'!$C$7,COUNTIF('Datos CloudImage.io'!$B$7:$B$10,CONCATENATE("&lt;",TEXT((Hoja1!C$34*30),0))),0)</f>
        <v>153</v>
      </c>
      <c r="L121" s="125"/>
      <c r="M121" s="125">
        <f>COUNTIF('Datos CloudImage.io'!$B$7:$B$10,CONCATENATE("&lt;",TEXT((Hoja1!C$34*30),0)))</f>
        <v>3</v>
      </c>
    </row>
    <row r="122" spans="2:13" s="61" customFormat="1" ht="17.25" thickTop="1" thickBot="1" x14ac:dyDescent="0.3">
      <c r="B122" s="124"/>
      <c r="C122" s="276" t="s">
        <v>229</v>
      </c>
      <c r="D122" s="277"/>
      <c r="E122" s="277"/>
      <c r="F122" s="277"/>
      <c r="G122" s="277"/>
      <c r="H122" s="277"/>
      <c r="I122" s="278"/>
    </row>
    <row r="123" spans="2:13" s="61" customFormat="1" ht="19.5" thickBot="1" x14ac:dyDescent="0.3">
      <c r="B123" s="100"/>
      <c r="C123" s="126" t="s">
        <v>238</v>
      </c>
      <c r="D123" s="294">
        <v>0.25</v>
      </c>
      <c r="E123" s="295"/>
      <c r="F123" s="270" t="s">
        <v>222</v>
      </c>
      <c r="G123" s="271"/>
      <c r="H123" s="268">
        <v>1</v>
      </c>
      <c r="I123" s="272"/>
      <c r="J123" s="125"/>
      <c r="K123" s="125"/>
      <c r="L123" s="125"/>
      <c r="M123" s="125"/>
    </row>
    <row r="124" spans="2:13" s="61" customFormat="1" ht="15.75" thickTop="1" x14ac:dyDescent="0.25">
      <c r="B124" s="127" t="s">
        <v>60</v>
      </c>
      <c r="C124" s="63">
        <f ca="1">ROUNDUP((C$38*C$16*$H$123*30)/'Selección S3'!$B$28,0)*'Selección S3'!$C$28</f>
        <v>0.16</v>
      </c>
      <c r="D124" s="63">
        <f ca="1">ROUNDUP((D$38*D$16*$H$123*30)/'Selección S3'!$B$28,0)*'Selección S3'!$C$28</f>
        <v>1.6</v>
      </c>
      <c r="E124" s="63">
        <f ca="1">ROUNDUP((E$38*E$16*$H$123*30)/'Selección S3'!$B$28,0)*'Selección S3'!$C$28</f>
        <v>3.2</v>
      </c>
      <c r="F124" s="63">
        <f ca="1">ROUNDUP((F$38*F$16*$H$123*30)/'Selección S3'!$B$28,0)*'Selección S3'!$C$28</f>
        <v>16</v>
      </c>
      <c r="G124" s="63">
        <f ca="1">ROUNDUP((G$38*G$16*$H$123*30)/'Selección S3'!$B$28,0)*'Selección S3'!$C$28</f>
        <v>32</v>
      </c>
      <c r="H124" s="63">
        <f ca="1">ROUNDUP((H$38*H$16*$H$123*30)/'Selección S3'!$B$28,0)*'Selección S3'!$C$28</f>
        <v>160</v>
      </c>
      <c r="I124" s="90">
        <f ca="1">ROUNDUP((I$38*I$16*$H$123*30)/'Selección S3'!$B$28,0)*'Selección S3'!$C$28</f>
        <v>320</v>
      </c>
      <c r="K124" s="96">
        <v>5760</v>
      </c>
      <c r="M124" s="95">
        <f t="shared" ref="M124:M125" ca="1" si="55">IF(K124=0,IF(I124=0,0,"Infinito"),1-(I124/K124))</f>
        <v>0.94444444444444442</v>
      </c>
    </row>
    <row r="125" spans="2:13" s="61" customFormat="1" x14ac:dyDescent="0.25">
      <c r="B125" s="128" t="s">
        <v>55</v>
      </c>
      <c r="C125" s="62">
        <f ca="1">ROUNDUP((C$38*C$16*30)/'Selección S3'!$B$23,0)*'Selección S3'!$C$23</f>
        <v>2</v>
      </c>
      <c r="D125" s="62">
        <f ca="1">ROUNDUP((D$38*D$16*30)/'Selección S3'!$B$23,0)*'Selección S3'!$C$23</f>
        <v>20</v>
      </c>
      <c r="E125" s="62">
        <f ca="1">ROUNDUP((E$38*E$16*30)/'Selección S3'!$B$23,0)*'Selección S3'!$C$23</f>
        <v>40</v>
      </c>
      <c r="F125" s="62">
        <f ca="1">ROUNDUP((F$38*F$16*30)/'Selección S3'!$B$23,0)*'Selección S3'!$C$23</f>
        <v>200</v>
      </c>
      <c r="G125" s="62">
        <f ca="1">ROUNDUP((G$38*G$16*30)/'Selección S3'!$B$23,0)*'Selección S3'!$C$23</f>
        <v>400</v>
      </c>
      <c r="H125" s="62">
        <f ca="1">ROUNDUP((H$38*H$16*30)/'Selección S3'!$B$23,0)*'Selección S3'!$C$23</f>
        <v>2000</v>
      </c>
      <c r="I125" s="60">
        <f ca="1">ROUNDUP((I$38*I$16*30)/'Selección S3'!$B$23,0)*'Selección S3'!$C$23</f>
        <v>4000</v>
      </c>
      <c r="K125" s="96">
        <v>20000.000000000004</v>
      </c>
      <c r="M125" s="95">
        <f t="shared" ca="1" si="55"/>
        <v>0.8</v>
      </c>
    </row>
    <row r="126" spans="2:13" s="61" customFormat="1" x14ac:dyDescent="0.25">
      <c r="B126" s="128" t="s">
        <v>117</v>
      </c>
      <c r="C126" s="62">
        <f ca="1">C$32*30*'Selección S3'!$C$31</f>
        <v>0</v>
      </c>
      <c r="D126" s="62">
        <f ca="1">D$32*30*'Selección S3'!$C$31</f>
        <v>0</v>
      </c>
      <c r="E126" s="62">
        <f ca="1">E$32*30*'Selección S3'!$C$31</f>
        <v>0</v>
      </c>
      <c r="F126" s="62">
        <f ca="1">F$32*30*'Selección S3'!$C$31</f>
        <v>0</v>
      </c>
      <c r="G126" s="62">
        <f ca="1">G$32*30*'Selección S3'!$C$31</f>
        <v>0</v>
      </c>
      <c r="H126" s="62">
        <f ca="1">H$32*30*'Selección S3'!$C$31</f>
        <v>0</v>
      </c>
      <c r="I126" s="60">
        <f ca="1">I$32*30*'Selección S3'!$C$31</f>
        <v>0</v>
      </c>
      <c r="K126" s="96">
        <v>0</v>
      </c>
      <c r="M126" s="95">
        <f ca="1">IF(K126=0,IF(I126=0,0,"Infinito"),1-(I126/K126))</f>
        <v>0</v>
      </c>
    </row>
    <row r="127" spans="2:13" s="61" customFormat="1" x14ac:dyDescent="0.25">
      <c r="B127" s="128" t="s">
        <v>223</v>
      </c>
      <c r="C127" s="62">
        <f ca="1">IF(C$29*$H$123*30&gt;0,IF(C$29*$H$123*30&lt;'Selección S3'!$B$37,(C$29*$H$123*30-0)*'Selección S3'!$C$37,('Selección S3'!$B$37-0)*'Selección S3'!$C$37),0)
+IF(C$29*$H$123*30&gt;'Selección S3'!$B$37,IF(C$29*$H$123*30&lt;'Selección S3'!$B$38,(C$29*$H$123*30-'Selección S3'!$B$37)*'Selección S3'!$C$38,('Selección S3'!$B$38-'Selección S3'!$B$37)*'Selección S3'!$C$38),0)
+IF(C$29*$H$123*30&gt;'Selección S3'!$B$38,IF(C$29*$H$123*30&lt;'Selección S3'!$B$39,(C$29*$H$123*30-'Selección S3'!$B$38)*'Selección S3'!$C$39,('Selección S3'!$B$39-'Selección S3'!$B$38)*'Selección S3'!$C$39),0)
+IF(C$29*$H$123*30&gt;'Selección S3'!$B$39,IF(C$29*$H$123*30&lt;'Selección S3'!$B$40,(C$29*$H$123*30-'Selección S3'!$B$39)*'Selección S3'!$C$40,('Selección S3'!$B$40-'Selección S3'!$B$39)*'Selección S3'!$C$40),0)
+IF(C$29*$H$123*30&gt;'Selección S3'!$B$40,IF(C$29*$H$123*30&lt;'Selección S3'!$B$41,(C$29*$H$123*30-'Selección S3'!$B$40)*'Selección S3'!$C$41,('Selección S3'!$B$41-'Selección S3'!$B$40)*'Selección S3'!$C$41),0)
+IF(C$29*$H$123*30&gt;'Selección S3'!$B$41,IF(C$29*$H$123*30&lt;'Selección S3'!$B$42,(C$29*$H$123*30-'Selección S3'!$B$41)*'Selección S3'!$C$42,('Selección S3'!$B$42-'Selección S3'!$B$41)*'Selección S3'!$C$42),0)
+IF(C$29*$H$123*30&gt;'Selección S3'!$B$42,IF(C$29*$H$123*30&lt;'Selección S3'!$B$43,(C$29*$H$123*30-'Selección S3'!$B$42)*'Selección S3'!$C$43,('Selección S3'!$B$43-'Selección S3'!$B$42)*'Selección S3'!$C$43),0)
+IF(C$29*$H$123*30&gt;'Selección S3'!$B$43,(C$29*$H$123*30-'Selección S3'!$B$43)*'Selección S3'!$C$44,0)</f>
        <v>7.8201562500000001</v>
      </c>
      <c r="D127" s="62">
        <f ca="1">IF(D$29*$H$123*30&gt;0,IF(D$29*$H$123*30&lt;'Selección S3'!$B$37,(D$29*$H$123*30-0)*'Selección S3'!$C$37,('Selección S3'!$B$37-0)*'Selección S3'!$C$37),0)
+IF(D$29*$H$123*30&gt;'Selección S3'!$B$37,IF(D$29*$H$123*30&lt;'Selección S3'!$B$38,(D$29*$H$123*30-'Selección S3'!$B$37)*'Selección S3'!$C$38,('Selección S3'!$B$38-'Selección S3'!$B$37)*'Selección S3'!$C$38),0)
+IF(D$29*$H$123*30&gt;'Selección S3'!$B$38,IF(D$29*$H$123*30&lt;'Selección S3'!$B$39,(D$29*$H$123*30-'Selección S3'!$B$38)*'Selección S3'!$C$39,('Selección S3'!$B$39-'Selección S3'!$B$38)*'Selección S3'!$C$39),0)
+IF(D$29*$H$123*30&gt;'Selección S3'!$B$39,IF(D$29*$H$123*30&lt;'Selección S3'!$B$40,(D$29*$H$123*30-'Selección S3'!$B$39)*'Selección S3'!$C$40,('Selección S3'!$B$40-'Selección S3'!$B$39)*'Selección S3'!$C$40),0)
+IF(D$29*$H$123*30&gt;'Selección S3'!$B$40,IF(D$29*$H$123*30&lt;'Selección S3'!$B$41,(D$29*$H$123*30-'Selección S3'!$B$40)*'Selección S3'!$C$41,('Selección S3'!$B$41-'Selección S3'!$B$40)*'Selección S3'!$C$41),0)
+IF(D$29*$H$123*30&gt;'Selección S3'!$B$41,IF(D$29*$H$123*30&lt;'Selección S3'!$B$42,(D$29*$H$123*30-'Selección S3'!$B$41)*'Selección S3'!$C$42,('Selección S3'!$B$42-'Selección S3'!$B$41)*'Selección S3'!$C$42),0)
+IF(D$29*$H$123*30&gt;'Selección S3'!$B$42,IF(D$29*$H$123*30&lt;'Selección S3'!$B$43,(D$29*$H$123*30-'Selección S3'!$B$42)*'Selección S3'!$C$43,('Selección S3'!$B$43-'Selección S3'!$B$42)*'Selección S3'!$C$43),0)
+IF(D$29*$H$123*30&gt;'Selección S3'!$B$43,(D$29*$H$123*30-'Selección S3'!$B$43)*'Selección S3'!$C$44,0)</f>
        <v>79.011562500000011</v>
      </c>
      <c r="E127" s="62">
        <f ca="1">IF(E$29*$H$123*30&gt;0,IF(E$29*$H$123*30&lt;'Selección S3'!$B$37,(E$29*$H$123*30-0)*'Selección S3'!$C$37,('Selección S3'!$B$37-0)*'Selección S3'!$C$37),0)
+IF(E$29*$H$123*30&gt;'Selección S3'!$B$37,IF(E$29*$H$123*30&lt;'Selección S3'!$B$38,(E$29*$H$123*30-'Selección S3'!$B$37)*'Selección S3'!$C$38,('Selección S3'!$B$38-'Selección S3'!$B$37)*'Selección S3'!$C$38),0)
+IF(E$29*$H$123*30&gt;'Selección S3'!$B$38,IF(E$29*$H$123*30&lt;'Selección S3'!$B$39,(E$29*$H$123*30-'Selección S3'!$B$38)*'Selección S3'!$C$39,('Selección S3'!$B$39-'Selección S3'!$B$38)*'Selección S3'!$C$39),0)
+IF(E$29*$H$123*30&gt;'Selección S3'!$B$39,IF(E$29*$H$123*30&lt;'Selección S3'!$B$40,(E$29*$H$123*30-'Selección S3'!$B$39)*'Selección S3'!$C$40,('Selección S3'!$B$40-'Selección S3'!$B$39)*'Selección S3'!$C$40),0)
+IF(E$29*$H$123*30&gt;'Selección S3'!$B$40,IF(E$29*$H$123*30&lt;'Selección S3'!$B$41,(E$29*$H$123*30-'Selección S3'!$B$40)*'Selección S3'!$C$41,('Selección S3'!$B$41-'Selección S3'!$B$40)*'Selección S3'!$C$41),0)
+IF(E$29*$H$123*30&gt;'Selección S3'!$B$41,IF(E$29*$H$123*30&lt;'Selección S3'!$B$42,(E$29*$H$123*30-'Selección S3'!$B$41)*'Selección S3'!$C$42,('Selección S3'!$B$42-'Selección S3'!$B$41)*'Selección S3'!$C$42),0)
+IF(E$29*$H$123*30&gt;'Selección S3'!$B$42,IF(E$29*$H$123*30&lt;'Selección S3'!$B$43,(E$29*$H$123*30-'Selección S3'!$B$42)*'Selección S3'!$C$43,('Selección S3'!$B$43-'Selección S3'!$B$42)*'Selección S3'!$C$43),0)
+IF(E$29*$H$123*30&gt;'Selección S3'!$B$43,(E$29*$H$123*30-'Selección S3'!$B$43)*'Selección S3'!$C$44,0)</f>
        <v>158.11312500000003</v>
      </c>
      <c r="F127" s="62">
        <f ca="1">IF(F$29*$H$123*30&gt;0,IF(F$29*$H$123*30&lt;'Selección S3'!$B$37,(F$29*$H$123*30-0)*'Selección S3'!$C$37,('Selección S3'!$B$37-0)*'Selección S3'!$C$37),0)
+IF(F$29*$H$123*30&gt;'Selección S3'!$B$37,IF(F$29*$H$123*30&lt;'Selección S3'!$B$38,(F$29*$H$123*30-'Selección S3'!$B$37)*'Selección S3'!$C$38,('Selección S3'!$B$38-'Selección S3'!$B$37)*'Selección S3'!$C$38),0)
+IF(F$29*$H$123*30&gt;'Selección S3'!$B$38,IF(F$29*$H$123*30&lt;'Selección S3'!$B$39,(F$29*$H$123*30-'Selección S3'!$B$38)*'Selección S3'!$C$39,('Selección S3'!$B$39-'Selección S3'!$B$38)*'Selección S3'!$C$39),0)
+IF(F$29*$H$123*30&gt;'Selección S3'!$B$39,IF(F$29*$H$123*30&lt;'Selección S3'!$B$40,(F$29*$H$123*30-'Selección S3'!$B$39)*'Selección S3'!$C$40,('Selección S3'!$B$40-'Selección S3'!$B$39)*'Selección S3'!$C$40),0)
+IF(F$29*$H$123*30&gt;'Selección S3'!$B$40,IF(F$29*$H$123*30&lt;'Selección S3'!$B$41,(F$29*$H$123*30-'Selección S3'!$B$40)*'Selección S3'!$C$41,('Selección S3'!$B$41-'Selección S3'!$B$40)*'Selección S3'!$C$41),0)
+IF(F$29*$H$123*30&gt;'Selección S3'!$B$41,IF(F$29*$H$123*30&lt;'Selección S3'!$B$42,(F$29*$H$123*30-'Selección S3'!$B$41)*'Selección S3'!$C$42,('Selección S3'!$B$42-'Selección S3'!$B$41)*'Selección S3'!$C$42),0)
+IF(F$29*$H$123*30&gt;'Selección S3'!$B$42,IF(F$29*$H$123*30&lt;'Selección S3'!$B$43,(F$29*$H$123*30-'Selección S3'!$B$42)*'Selección S3'!$C$43,('Selección S3'!$B$43-'Selección S3'!$B$42)*'Selección S3'!$C$43),0)
+IF(F$29*$H$123*30&gt;'Selección S3'!$B$43,(F$29*$H$123*30-'Selección S3'!$B$43)*'Selección S3'!$C$44,0)</f>
        <v>790.92562499999997</v>
      </c>
      <c r="G127" s="62">
        <f ca="1">IF(G$29*$H$123*30&gt;0,IF(G$29*$H$123*30&lt;'Selección S3'!$B$37,(G$29*$H$123*30-0)*'Selección S3'!$C$37,('Selección S3'!$B$37-0)*'Selección S3'!$C$37),0)
+IF(G$29*$H$123*30&gt;'Selección S3'!$B$37,IF(G$29*$H$123*30&lt;'Selección S3'!$B$38,(G$29*$H$123*30-'Selección S3'!$B$37)*'Selección S3'!$C$38,('Selección S3'!$B$38-'Selección S3'!$B$37)*'Selección S3'!$C$38),0)
+IF(G$29*$H$123*30&gt;'Selección S3'!$B$38,IF(G$29*$H$123*30&lt;'Selección S3'!$B$39,(G$29*$H$123*30-'Selección S3'!$B$38)*'Selección S3'!$C$39,('Selección S3'!$B$39-'Selección S3'!$B$38)*'Selección S3'!$C$39),0)
+IF(G$29*$H$123*30&gt;'Selección S3'!$B$39,IF(G$29*$H$123*30&lt;'Selección S3'!$B$40,(G$29*$H$123*30-'Selección S3'!$B$39)*'Selección S3'!$C$40,('Selección S3'!$B$40-'Selección S3'!$B$39)*'Selección S3'!$C$40),0)
+IF(G$29*$H$123*30&gt;'Selección S3'!$B$40,IF(G$29*$H$123*30&lt;'Selección S3'!$B$41,(G$29*$H$123*30-'Selección S3'!$B$40)*'Selección S3'!$C$41,('Selección S3'!$B$41-'Selección S3'!$B$40)*'Selección S3'!$C$41),0)
+IF(G$29*$H$123*30&gt;'Selección S3'!$B$41,IF(G$29*$H$123*30&lt;'Selección S3'!$B$42,(G$29*$H$123*30-'Selección S3'!$B$41)*'Selección S3'!$C$42,('Selección S3'!$B$42-'Selección S3'!$B$41)*'Selección S3'!$C$42),0)
+IF(G$29*$H$123*30&gt;'Selección S3'!$B$42,IF(G$29*$H$123*30&lt;'Selección S3'!$B$43,(G$29*$H$123*30-'Selección S3'!$B$42)*'Selección S3'!$C$43,('Selección S3'!$B$43-'Selección S3'!$B$42)*'Selección S3'!$C$43),0)
+IF(G$29*$H$123*30&gt;'Selección S3'!$B$43,(G$29*$H$123*30-'Selección S3'!$B$43)*'Selección S3'!$C$44,0)</f>
        <v>1545.2506250000001</v>
      </c>
      <c r="H127" s="62">
        <f ca="1">IF(H$29*$H$123*30&gt;0,IF(H$29*$H$123*30&lt;'Selección S3'!$B$37,(H$29*$H$123*30-0)*'Selección S3'!$C$37,('Selección S3'!$B$37-0)*'Selección S3'!$C$37),0)
+IF(H$29*$H$123*30&gt;'Selección S3'!$B$37,IF(H$29*$H$123*30&lt;'Selección S3'!$B$38,(H$29*$H$123*30-'Selección S3'!$B$37)*'Selección S3'!$C$38,('Selección S3'!$B$38-'Selección S3'!$B$37)*'Selección S3'!$C$38),0)
+IF(H$29*$H$123*30&gt;'Selección S3'!$B$38,IF(H$29*$H$123*30&lt;'Selección S3'!$B$39,(H$29*$H$123*30-'Selección S3'!$B$38)*'Selección S3'!$C$39,('Selección S3'!$B$39-'Selección S3'!$B$38)*'Selección S3'!$C$39),0)
+IF(H$29*$H$123*30&gt;'Selección S3'!$B$39,IF(H$29*$H$123*30&lt;'Selección S3'!$B$40,(H$29*$H$123*30-'Selección S3'!$B$39)*'Selección S3'!$C$40,('Selección S3'!$B$40-'Selección S3'!$B$39)*'Selección S3'!$C$40),0)
+IF(H$29*$H$123*30&gt;'Selección S3'!$B$40,IF(H$29*$H$123*30&lt;'Selección S3'!$B$41,(H$29*$H$123*30-'Selección S3'!$B$40)*'Selección S3'!$C$41,('Selección S3'!$B$41-'Selección S3'!$B$40)*'Selección S3'!$C$41),0)
+IF(H$29*$H$123*30&gt;'Selección S3'!$B$41,IF(H$29*$H$123*30&lt;'Selección S3'!$B$42,(H$29*$H$123*30-'Selección S3'!$B$41)*'Selección S3'!$C$42,('Selección S3'!$B$42-'Selección S3'!$B$41)*'Selección S3'!$C$42),0)
+IF(H$29*$H$123*30&gt;'Selección S3'!$B$42,IF(H$29*$H$123*30&lt;'Selección S3'!$B$43,(H$29*$H$123*30-'Selección S3'!$B$42)*'Selección S3'!$C$43,('Selección S3'!$B$43-'Selección S3'!$B$42)*'Selección S3'!$C$43),0)
+IF(H$29*$H$123*30&gt;'Selección S3'!$B$43,(H$29*$H$123*30-'Selección S3'!$B$43)*'Selección S3'!$C$44,0)</f>
        <v>6971.4537500000006</v>
      </c>
      <c r="I127" s="60">
        <f ca="1">IF(I$29*$H$123*30&gt;0,IF(I$29*$H$123*30&lt;'Selección S3'!$B$37,(I$29*$H$123*30-0)*'Selección S3'!$C$37,('Selección S3'!$B$37-0)*'Selección S3'!$C$37),0)
+IF(I$29*$H$123*30&gt;'Selección S3'!$B$37,IF(I$29*$H$123*30&lt;'Selección S3'!$B$38,(I$29*$H$123*30-'Selección S3'!$B$37)*'Selección S3'!$C$38,('Selección S3'!$B$38-'Selección S3'!$B$37)*'Selección S3'!$C$38),0)
+IF(I$29*$H$123*30&gt;'Selección S3'!$B$38,IF(I$29*$H$123*30&lt;'Selección S3'!$B$39,(I$29*$H$123*30-'Selección S3'!$B$38)*'Selección S3'!$C$39,('Selección S3'!$B$39-'Selección S3'!$B$38)*'Selección S3'!$C$39),0)
+IF(I$29*$H$123*30&gt;'Selección S3'!$B$39,IF(I$29*$H$123*30&lt;'Selección S3'!$B$40,(I$29*$H$123*30-'Selección S3'!$B$39)*'Selección S3'!$C$40,('Selección S3'!$B$40-'Selección S3'!$B$39)*'Selección S3'!$C$40),0)
+IF(I$29*$H$123*30&gt;'Selección S3'!$B$40,IF(I$29*$H$123*30&lt;'Selección S3'!$B$41,(I$29*$H$123*30-'Selección S3'!$B$40)*'Selección S3'!$C$41,('Selección S3'!$B$41-'Selección S3'!$B$40)*'Selección S3'!$C$41),0)
+IF(I$29*$H$123*30&gt;'Selección S3'!$B$41,IF(I$29*$H$123*30&lt;'Selección S3'!$B$42,(I$29*$H$123*30-'Selección S3'!$B$41)*'Selección S3'!$C$42,('Selección S3'!$B$42-'Selección S3'!$B$41)*'Selección S3'!$C$42),0)
+IF(I$29*$H$123*30&gt;'Selección S3'!$B$42,IF(I$29*$H$123*30&lt;'Selección S3'!$B$43,(I$29*$H$123*30-'Selección S3'!$B$42)*'Selección S3'!$C$43,('Selección S3'!$B$43-'Selección S3'!$B$42)*'Selección S3'!$C$43),0)
+IF(I$29*$H$123*30&gt;'Selección S3'!$B$43,(I$29*$H$123*30-'Selección S3'!$B$43)*'Selección S3'!$C$44,0)</f>
        <v>12680.172500000001</v>
      </c>
      <c r="K127" s="96">
        <v>0</v>
      </c>
      <c r="M127" s="95" t="str">
        <f t="shared" ref="M127:M131" ca="1" si="56">IF(K127=0,IF(I127=0,0,"Infinito"),1-(I127/K127))</f>
        <v>Infinito</v>
      </c>
    </row>
    <row r="128" spans="2:13" s="61" customFormat="1" x14ac:dyDescent="0.25">
      <c r="B128" s="128" t="s">
        <v>66</v>
      </c>
      <c r="C128" s="62">
        <f ca="1">IF(C$34*30&gt;0, IF(C$34*30&lt;'Datos CloudImage.io'!$B$10,OFFSET('Datos CloudImage.io'!$C$7,COUNTIF('Datos CloudImage.io'!$B$7:$B$10,CONCATENATE("&lt;",TEXT((Hoja1!C$34*30),0))),0),C$34*30*'Datos CloudImage.io'!$C$11),0)</f>
        <v>153</v>
      </c>
      <c r="D128" s="62">
        <f ca="1">IF(D$34*30&gt;0, IF(D$34*30&lt;'Datos CloudImage.io'!$B$10,OFFSET('Datos CloudImage.io'!$C$7,COUNTIF('Datos CloudImage.io'!$B$7:$B$10,CONCATENATE("&lt;",TEXT((Hoja1!D$34*30),0))),0),D$34*30*'Datos CloudImage.io'!$C$11),0)</f>
        <v>36.417538972778459</v>
      </c>
      <c r="E128" s="62">
        <f ca="1">IF(E$34*30&gt;0, IF(E$34*30&lt;'Datos CloudImage.io'!$B$10,OFFSET('Datos CloudImage.io'!$C$7,COUNTIF('Datos CloudImage.io'!$B$7:$B$10,CONCATENATE("&lt;",TEXT((Hoja1!E$34*30),0))),0),E$34*30*'Datos CloudImage.io'!$C$11),0)</f>
        <v>87.402093534668282</v>
      </c>
      <c r="F128" s="62">
        <f ca="1">IF(F$34*30&gt;0, IF(F$34*30&lt;'Datos CloudImage.io'!$B$10,OFFSET('Datos CloudImage.io'!$C$7,COUNTIF('Datos CloudImage.io'!$B$7:$B$10,CONCATENATE("&lt;",TEXT((Hoja1!F$34*30),0))),0),F$34*30*'Datos CloudImage.io'!$C$11),0)</f>
        <v>437.01046767334151</v>
      </c>
      <c r="G128" s="62">
        <f ca="1">IF(G$34*30&gt;0, IF(G$34*30&lt;'Datos CloudImage.io'!$B$10,OFFSET('Datos CloudImage.io'!$C$7,COUNTIF('Datos CloudImage.io'!$B$7:$B$10,CONCATENATE("&lt;",TEXT((Hoja1!G$34*30),0))),0),G$34*30*'Datos CloudImage.io'!$C$11),0)</f>
        <v>1019.6910912377966</v>
      </c>
      <c r="H128" s="62">
        <f ca="1">IF(H$34*30&gt;0, IF(H$34*30&lt;'Datos CloudImage.io'!$B$10,OFFSET('Datos CloudImage.io'!$C$7,COUNTIF('Datos CloudImage.io'!$B$7:$B$10,CONCATENATE("&lt;",TEXT((Hoja1!H$34*30),0))),0),H$34*30*'Datos CloudImage.io'!$C$11),0)</f>
        <v>5098.4554561889836</v>
      </c>
      <c r="I128" s="60">
        <f ca="1">IF(I$34*30&gt;0, IF(I$34*30&lt;'Datos CloudImage.io'!$B$10,OFFSET('Datos CloudImage.io'!$C$7,COUNTIF('Datos CloudImage.io'!$B$7:$B$10,CONCATENATE("&lt;",TEXT((Hoja1!I$34*30),0))),0),I$34*30*'Datos CloudImage.io'!$C$11),0)</f>
        <v>11653.612471289105</v>
      </c>
      <c r="K128" s="96">
        <v>55775.0194373915</v>
      </c>
      <c r="M128" s="95">
        <f t="shared" ca="1" si="56"/>
        <v>0.79106036019636883</v>
      </c>
    </row>
    <row r="129" spans="2:13" s="61" customFormat="1" x14ac:dyDescent="0.25">
      <c r="B129" s="128" t="s">
        <v>67</v>
      </c>
      <c r="C129" s="62">
        <f ca="1">IF(C$46&gt;0,IF(C$46&lt;'Selección S3'!$B$6,(C$46-0)*'Selección S3'!$C$6,('Selección S3'!$B$6-0)*'Selección S3'!$C$6),0)
+IF(C$46&gt;'Selección S3'!$B$6,IF(C$46&lt;'Selección S3'!$B$7,(C$46-'Selección S3'!$B$6)*'Selección S3'!$C$7,('Selección S3'!$B$7-'Selección S3'!$B$6)*'Selección S3'!$C$7),0)
+IF(C$46&gt;'Selección S3'!$B$7,IF(C$46&lt;'Selección S3'!$B$8,(C$46-'Selección S3'!$B$7)*'Selección S3'!$C$8,('Selección S3'!$B$8-'Selección S3'!$B$7)*'Selección S3'!$C$8),0)
+IF(C$46&gt;'Selección S3'!$B$8,IF(C$46&lt;'Selección S3'!$B$9,(C$46-'Selección S3'!$B$8)*'Selección S3'!$C$9,('Selección S3'!$B$9-'Selección S3'!$B$8)*'Selección S3'!$C$9),0)
+IF(C$46&gt;'Selección S3'!$B$9,IF(C$46&lt;'Selección S3'!$B$10,(C$46-'Selección S3'!$B$9)*'Selección S3'!$C$10,('Selección S3'!$B$10-'Selección S3'!$B$9)*'Selección S3'!$C$10),0)
+IF(C$46&gt;'Selección S3'!$B$10,(C$46-'Selección S3'!$B$10)*'Selección S3'!$C$11,0)</f>
        <v>2.63671875</v>
      </c>
      <c r="D129" s="62">
        <f ca="1">IF(D$46&gt;0,IF(D$46&lt;'Selección S3'!$B$6,(D$46-0)*'Selección S3'!$C$6,('Selección S3'!$B$6-0)*'Selección S3'!$C$6),0)
+IF(D$46&gt;'Selección S3'!$B$6,IF(D$46&lt;'Selección S3'!$B$7,(D$46-'Selección S3'!$B$6)*'Selección S3'!$C$7,('Selección S3'!$B$7-'Selección S3'!$B$6)*'Selección S3'!$C$7),0)
+IF(D$46&gt;'Selección S3'!$B$7,IF(D$46&lt;'Selección S3'!$B$8,(D$46-'Selección S3'!$B$7)*'Selección S3'!$C$8,('Selección S3'!$B$8-'Selección S3'!$B$7)*'Selección S3'!$C$8),0)
+IF(D$46&gt;'Selección S3'!$B$8,IF(D$46&lt;'Selección S3'!$B$9,(D$46-'Selección S3'!$B$8)*'Selección S3'!$C$9,('Selección S3'!$B$9-'Selección S3'!$B$8)*'Selección S3'!$C$9),0)
+IF(D$46&gt;'Selección S3'!$B$9,IF(D$46&lt;'Selección S3'!$B$10,(D$46-'Selección S3'!$B$9)*'Selección S3'!$C$10,('Selección S3'!$B$10-'Selección S3'!$B$9)*'Selección S3'!$C$10),0)
+IF(D$46&gt;'Selección S3'!$B$10,(D$46-'Selección S3'!$B$10)*'Selección S3'!$C$11,0)</f>
        <v>26.367187500000004</v>
      </c>
      <c r="E129" s="62">
        <f ca="1">IF(E$46&gt;0,IF(E$46&lt;'Selección S3'!$B$6,(E$46-0)*'Selección S3'!$C$6,('Selección S3'!$B$6-0)*'Selección S3'!$C$6),0)
+IF(E$46&gt;'Selección S3'!$B$6,IF(E$46&lt;'Selección S3'!$B$7,(E$46-'Selección S3'!$B$6)*'Selección S3'!$C$7,('Selección S3'!$B$7-'Selección S3'!$B$6)*'Selección S3'!$C$7),0)
+IF(E$46&gt;'Selección S3'!$B$7,IF(E$46&lt;'Selección S3'!$B$8,(E$46-'Selección S3'!$B$7)*'Selección S3'!$C$8,('Selección S3'!$B$8-'Selección S3'!$B$7)*'Selección S3'!$C$8),0)
+IF(E$46&gt;'Selección S3'!$B$8,IF(E$46&lt;'Selección S3'!$B$9,(E$46-'Selección S3'!$B$8)*'Selección S3'!$C$9,('Selección S3'!$B$9-'Selección S3'!$B$8)*'Selección S3'!$C$9),0)
+IF(E$46&gt;'Selección S3'!$B$9,IF(E$46&lt;'Selección S3'!$B$10,(E$46-'Selección S3'!$B$9)*'Selección S3'!$C$10,('Selección S3'!$B$10-'Selección S3'!$B$9)*'Selección S3'!$C$10),0)
+IF(E$46&gt;'Selección S3'!$B$10,(E$46-'Selección S3'!$B$10)*'Selección S3'!$C$11,0)</f>
        <v>52.36746875</v>
      </c>
      <c r="F129" s="62">
        <f ca="1">IF(F$46&gt;0,IF(F$46&lt;'Selección S3'!$B$6,(F$46-0)*'Selección S3'!$C$6,('Selección S3'!$B$6-0)*'Selección S3'!$C$6),0)
+IF(F$46&gt;'Selección S3'!$B$6,IF(F$46&lt;'Selección S3'!$B$7,(F$46-'Selección S3'!$B$6)*'Selección S3'!$C$7,('Selección S3'!$B$7-'Selección S3'!$B$6)*'Selección S3'!$C$7),0)
+IF(F$46&gt;'Selección S3'!$B$7,IF(F$46&lt;'Selección S3'!$B$8,(F$46-'Selección S3'!$B$7)*'Selección S3'!$C$8,('Selección S3'!$B$8-'Selección S3'!$B$7)*'Selección S3'!$C$8),0)
+IF(F$46&gt;'Selección S3'!$B$8,IF(F$46&lt;'Selección S3'!$B$9,(F$46-'Selección S3'!$B$8)*'Selección S3'!$C$9,('Selección S3'!$B$9-'Selección S3'!$B$8)*'Selección S3'!$C$9),0)
+IF(F$46&gt;'Selección S3'!$B$9,IF(F$46&lt;'Selección S3'!$B$10,(F$46-'Selección S3'!$B$9)*'Selección S3'!$C$10,('Selección S3'!$B$10-'Selección S3'!$B$9)*'Selección S3'!$C$10),0)
+IF(F$46&gt;'Selección S3'!$B$10,(F$46-'Selección S3'!$B$10)*'Selección S3'!$C$11,0)</f>
        <v>259.78934375</v>
      </c>
      <c r="G129" s="62">
        <f ca="1">IF(G$46&gt;0,IF(G$46&lt;'Selección S3'!$B$6,(G$46-0)*'Selección S3'!$C$6,('Selección S3'!$B$6-0)*'Selección S3'!$C$6),0)
+IF(G$46&gt;'Selección S3'!$B$6,IF(G$46&lt;'Selección S3'!$B$7,(G$46-'Selección S3'!$B$6)*'Selección S3'!$C$7,('Selección S3'!$B$7-'Selección S3'!$B$6)*'Selección S3'!$C$7),0)
+IF(G$46&gt;'Selección S3'!$B$7,IF(G$46&lt;'Selección S3'!$B$8,(G$46-'Selección S3'!$B$7)*'Selección S3'!$C$8,('Selección S3'!$B$8-'Selección S3'!$B$7)*'Selección S3'!$C$8),0)
+IF(G$46&gt;'Selección S3'!$B$8,IF(G$46&lt;'Selección S3'!$B$9,(G$46-'Selección S3'!$B$8)*'Selección S3'!$C$9,('Selección S3'!$B$9-'Selección S3'!$B$8)*'Selección S3'!$C$9),0)
+IF(G$46&gt;'Selección S3'!$B$9,IF(G$46&lt;'Selección S3'!$B$10,(G$46-'Selección S3'!$B$9)*'Selección S3'!$C$10,('Selección S3'!$B$10-'Selección S3'!$B$9)*'Selección S3'!$C$10),0)
+IF(G$46&gt;'Selección S3'!$B$10,(G$46-'Selección S3'!$B$10)*'Selección S3'!$C$11,0)</f>
        <v>519.06668749999994</v>
      </c>
      <c r="H129" s="62">
        <f ca="1">IF(H$46&gt;0,IF(H$46&lt;'Selección S3'!$B$6,(H$46-0)*'Selección S3'!$C$6,('Selección S3'!$B$6-0)*'Selección S3'!$C$6),0)
+IF(H$46&gt;'Selección S3'!$B$6,IF(H$46&lt;'Selección S3'!$B$7,(H$46-'Selección S3'!$B$6)*'Selección S3'!$C$7,('Selección S3'!$B$7-'Selección S3'!$B$6)*'Selección S3'!$C$7),0)
+IF(H$46&gt;'Selección S3'!$B$7,IF(H$46&lt;'Selección S3'!$B$8,(H$46-'Selección S3'!$B$7)*'Selección S3'!$C$8,('Selección S3'!$B$8-'Selección S3'!$B$7)*'Selección S3'!$C$8),0)
+IF(H$46&gt;'Selección S3'!$B$8,IF(H$46&lt;'Selección S3'!$B$9,(H$46-'Selección S3'!$B$8)*'Selección S3'!$C$9,('Selección S3'!$B$9-'Selección S3'!$B$8)*'Selección S3'!$C$9),0)
+IF(H$46&gt;'Selección S3'!$B$9,IF(H$46&lt;'Selección S3'!$B$10,(H$46-'Selección S3'!$B$9)*'Selección S3'!$C$10,('Selección S3'!$B$10-'Selección S3'!$B$9)*'Selección S3'!$C$10),0)
+IF(H$46&gt;'Selección S3'!$B$10,(H$46-'Selección S3'!$B$10)*'Selección S3'!$C$11,0)</f>
        <v>2574.9401250000001</v>
      </c>
      <c r="I129" s="60">
        <f ca="1">IF(I$46&gt;0,IF(I$46&lt;'Selección S3'!$B$6,(I$46-0)*'Selección S3'!$C$6,('Selección S3'!$B$6-0)*'Selección S3'!$C$6),0)
+IF(I$46&gt;'Selección S3'!$B$6,IF(I$46&lt;'Selección S3'!$B$7,(I$46-'Selección S3'!$B$6)*'Selección S3'!$C$7,('Selección S3'!$B$7-'Selección S3'!$B$6)*'Selección S3'!$C$7),0)
+IF(I$46&gt;'Selección S3'!$B$7,IF(I$46&lt;'Selección S3'!$B$8,(I$46-'Selección S3'!$B$7)*'Selección S3'!$C$8,('Selección S3'!$B$8-'Selección S3'!$B$7)*'Selección S3'!$C$8),0)
+IF(I$46&gt;'Selección S3'!$B$8,IF(I$46&lt;'Selección S3'!$B$9,(I$46-'Selección S3'!$B$8)*'Selección S3'!$C$9,('Selección S3'!$B$9-'Selección S3'!$B$8)*'Selección S3'!$C$9),0)
+IF(I$46&gt;'Selección S3'!$B$9,IF(I$46&lt;'Selección S3'!$B$10,(I$46-'Selección S3'!$B$9)*'Selección S3'!$C$10,('Selección S3'!$B$10-'Selección S3'!$B$9)*'Selección S3'!$C$10),0)
+IF(I$46&gt;'Selección S3'!$B$10,(I$46-'Selección S3'!$B$10)*'Selección S3'!$C$11,0)</f>
        <v>5123.7682500000001</v>
      </c>
      <c r="K129" s="96">
        <v>28188.694196553559</v>
      </c>
      <c r="M129" s="95">
        <f t="shared" ca="1" si="56"/>
        <v>0.81823321739300547</v>
      </c>
    </row>
    <row r="130" spans="2:13" s="61" customFormat="1" x14ac:dyDescent="0.25">
      <c r="B130" s="128" t="s">
        <v>236</v>
      </c>
      <c r="C130" s="62">
        <f>((C$33*30*$D$123)/'Datos CloudImage.io'!$B$4)*'Datos CloudImage.io'!$C$4</f>
        <v>1.9702517117063205</v>
      </c>
      <c r="D130" s="62">
        <f>((D$33*30*$D$123)/'Datos CloudImage.io'!$B$4)*'Datos CloudImage.io'!$C$4</f>
        <v>19.702517117063209</v>
      </c>
      <c r="E130" s="62">
        <f>((E$33*30*$D$123)/'Datos CloudImage.io'!$B$4)*'Datos CloudImage.io'!$C$4</f>
        <v>39.405034234126418</v>
      </c>
      <c r="F130" s="62">
        <f>((F$33*30*$D$123)/'Datos CloudImage.io'!$B$4)*'Datos CloudImage.io'!$C$4</f>
        <v>197.02517117063204</v>
      </c>
      <c r="G130" s="62">
        <f>((G$33*30*$D$123)/'Datos CloudImage.io'!$B$4)*'Datos CloudImage.io'!$C$4</f>
        <v>394.05034234126407</v>
      </c>
      <c r="H130" s="62">
        <f>((H$33*30*$D$123)/'Datos CloudImage.io'!$B$4)*'Datos CloudImage.io'!$C$4</f>
        <v>1970.251711706321</v>
      </c>
      <c r="I130" s="60">
        <f>((I$33*30*$D$123)/'Datos CloudImage.io'!$B$4)*'Datos CloudImage.io'!$C$4</f>
        <v>3940.503423412642</v>
      </c>
      <c r="K130" s="96">
        <v>0</v>
      </c>
      <c r="M130" s="95" t="str">
        <f t="shared" si="56"/>
        <v>Infinito</v>
      </c>
    </row>
    <row r="131" spans="2:13" s="61" customFormat="1" ht="15.75" thickBot="1" x14ac:dyDescent="0.3">
      <c r="B131" s="91" t="s">
        <v>68</v>
      </c>
      <c r="C131" s="92">
        <f ca="1">SUM(C124:C130)</f>
        <v>167.5871267117063</v>
      </c>
      <c r="D131" s="92">
        <f t="shared" ref="D131" ca="1" si="57">SUM(D124:D130)</f>
        <v>183.09880608984167</v>
      </c>
      <c r="E131" s="92">
        <f t="shared" ref="E131" ca="1" si="58">SUM(E124:E130)</f>
        <v>380.48772151879473</v>
      </c>
      <c r="F131" s="92">
        <f t="shared" ref="F131" ca="1" si="59">SUM(F124:F130)</f>
        <v>1900.7506075939737</v>
      </c>
      <c r="G131" s="92">
        <f t="shared" ref="G131" ca="1" si="60">SUM(G124:G130)</f>
        <v>3910.0587460790607</v>
      </c>
      <c r="H131" s="92">
        <f t="shared" ref="H131" ca="1" si="61">SUM(H124:H130)</f>
        <v>18775.101042895305</v>
      </c>
      <c r="I131" s="93">
        <f t="shared" ref="I131" ca="1" si="62">SUM(I124:I130)</f>
        <v>37718.056644701748</v>
      </c>
      <c r="K131" s="151">
        <v>109723.71363394507</v>
      </c>
      <c r="M131" s="95">
        <f t="shared" ca="1" si="56"/>
        <v>0.6562451689291624</v>
      </c>
    </row>
    <row r="132" spans="2:13" ht="15.75" thickTop="1" x14ac:dyDescent="0.25"/>
  </sheetData>
  <dataConsolidate/>
  <mergeCells count="43">
    <mergeCell ref="D123:E123"/>
    <mergeCell ref="F123:G123"/>
    <mergeCell ref="H123:I123"/>
    <mergeCell ref="C120:I120"/>
    <mergeCell ref="D121:E121"/>
    <mergeCell ref="F121:G121"/>
    <mergeCell ref="H121:I121"/>
    <mergeCell ref="C122:I122"/>
    <mergeCell ref="D109:E109"/>
    <mergeCell ref="F109:G109"/>
    <mergeCell ref="H109:I109"/>
    <mergeCell ref="C106:I106"/>
    <mergeCell ref="D107:E107"/>
    <mergeCell ref="F107:G107"/>
    <mergeCell ref="H107:I107"/>
    <mergeCell ref="C108:I108"/>
    <mergeCell ref="A1:B2"/>
    <mergeCell ref="C78:I78"/>
    <mergeCell ref="D79:E79"/>
    <mergeCell ref="F79:G79"/>
    <mergeCell ref="H79:I79"/>
    <mergeCell ref="A14:I14"/>
    <mergeCell ref="A21:I21"/>
    <mergeCell ref="C49:I49"/>
    <mergeCell ref="A42:I42"/>
    <mergeCell ref="D67:E67"/>
    <mergeCell ref="F67:G67"/>
    <mergeCell ref="H67:I67"/>
    <mergeCell ref="C66:I66"/>
    <mergeCell ref="C1:I1"/>
    <mergeCell ref="C80:I80"/>
    <mergeCell ref="D81:E81"/>
    <mergeCell ref="F81:G81"/>
    <mergeCell ref="H81:I81"/>
    <mergeCell ref="K65:K66"/>
    <mergeCell ref="D95:E95"/>
    <mergeCell ref="F95:G95"/>
    <mergeCell ref="H95:I95"/>
    <mergeCell ref="C92:I92"/>
    <mergeCell ref="D93:E93"/>
    <mergeCell ref="F93:G93"/>
    <mergeCell ref="H93:I93"/>
    <mergeCell ref="C94:I94"/>
  </mergeCells>
  <dataValidations count="3">
    <dataValidation type="list" showInputMessage="1" showErrorMessage="1" sqref="C43">
      <formula1>"30,60,91,121,151,182,212,242,273,303,333,365"</formula1>
    </dataValidation>
    <dataValidation type="list" showInputMessage="1" showErrorMessage="1" sqref="J61">
      <formula1>"1,2,3,4,5,6,7"</formula1>
    </dataValidation>
    <dataValidation showInputMessage="1" showErrorMessage="1" sqref="H67:I67 D67:E67"/>
  </dataValidations>
  <pageMargins left="0.7" right="0.7" top="0.75" bottom="0.75" header="0.3" footer="0.3"/>
  <pageSetup paperSize="9"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Option Button 11">
              <controlPr defaultSize="0" autoFill="0" autoLine="0" autoPict="0">
                <anchor moveWithCells="1">
                  <from>
                    <xdr:col>0</xdr:col>
                    <xdr:colOff>2152650</xdr:colOff>
                    <xdr:row>54</xdr:row>
                    <xdr:rowOff>9525</xdr:rowOff>
                  </from>
                  <to>
                    <xdr:col>0</xdr:col>
                    <xdr:colOff>2352675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5" name="Option Button 12">
              <controlPr defaultSize="0" autoFill="0" autoLine="0" autoPict="0">
                <anchor moveWithCells="1">
                  <from>
                    <xdr:col>0</xdr:col>
                    <xdr:colOff>2152650</xdr:colOff>
                    <xdr:row>55</xdr:row>
                    <xdr:rowOff>0</xdr:rowOff>
                  </from>
                  <to>
                    <xdr:col>0</xdr:col>
                    <xdr:colOff>2352675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6" name="Option Button 18">
              <controlPr defaultSize="0" autoFill="0" autoLine="0" autoPict="0">
                <anchor moveWithCells="1">
                  <from>
                    <xdr:col>0</xdr:col>
                    <xdr:colOff>2152650</xdr:colOff>
                    <xdr:row>56</xdr:row>
                    <xdr:rowOff>9525</xdr:rowOff>
                  </from>
                  <to>
                    <xdr:col>0</xdr:col>
                    <xdr:colOff>2352675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" name="Option Button 21">
              <controlPr defaultSize="0" autoFill="0" autoLine="0" autoPict="0">
                <anchor moveWithCells="1">
                  <from>
                    <xdr:col>0</xdr:col>
                    <xdr:colOff>2152650</xdr:colOff>
                    <xdr:row>58</xdr:row>
                    <xdr:rowOff>0</xdr:rowOff>
                  </from>
                  <to>
                    <xdr:col>0</xdr:col>
                    <xdr:colOff>2352675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8" name="Option Button 25">
              <controlPr defaultSize="0" autoFill="0" autoLine="0" autoPict="0">
                <anchor moveWithCells="1">
                  <from>
                    <xdr:col>0</xdr:col>
                    <xdr:colOff>2152650</xdr:colOff>
                    <xdr:row>57</xdr:row>
                    <xdr:rowOff>0</xdr:rowOff>
                  </from>
                  <to>
                    <xdr:col>0</xdr:col>
                    <xdr:colOff>2352675</xdr:colOff>
                    <xdr:row>58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21"/>
  <sheetViews>
    <sheetView workbookViewId="0">
      <selection activeCell="D5" sqref="D5"/>
    </sheetView>
  </sheetViews>
  <sheetFormatPr baseColWidth="10" defaultColWidth="11.42578125" defaultRowHeight="15" x14ac:dyDescent="0.25"/>
  <cols>
    <col min="3" max="3" width="10.28515625" customWidth="1"/>
    <col min="4" max="4" width="15.140625" bestFit="1" customWidth="1"/>
    <col min="5" max="5" width="15.140625" style="61" bestFit="1" customWidth="1"/>
    <col min="6" max="7" width="16.42578125" style="61" bestFit="1" customWidth="1"/>
    <col min="8" max="8" width="14.42578125" style="61" bestFit="1" customWidth="1"/>
    <col min="9" max="9" width="14.42578125" bestFit="1" customWidth="1"/>
    <col min="10" max="12" width="14.42578125" style="61" bestFit="1" customWidth="1"/>
  </cols>
  <sheetData>
    <row r="1" spans="1:12" ht="46.5" thickTop="1" thickBot="1" x14ac:dyDescent="0.65">
      <c r="A1" s="328" t="s">
        <v>43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50"/>
    </row>
    <row r="2" spans="1:12" ht="15.75" thickBot="1" x14ac:dyDescent="0.3">
      <c r="A2" s="323" t="s">
        <v>140</v>
      </c>
      <c r="B2" s="324"/>
      <c r="C2" s="211" t="s">
        <v>141</v>
      </c>
      <c r="D2" s="212" t="s">
        <v>142</v>
      </c>
      <c r="E2" s="212" t="s">
        <v>143</v>
      </c>
      <c r="F2" s="212" t="s">
        <v>144</v>
      </c>
      <c r="G2" s="212" t="s">
        <v>145</v>
      </c>
      <c r="H2" s="212" t="s">
        <v>177</v>
      </c>
      <c r="I2" s="212" t="s">
        <v>178</v>
      </c>
      <c r="J2" s="101" t="s">
        <v>179</v>
      </c>
      <c r="K2" s="212" t="s">
        <v>180</v>
      </c>
      <c r="L2" s="110" t="s">
        <v>181</v>
      </c>
    </row>
    <row r="3" spans="1:12" ht="15.75" customHeight="1" thickBot="1" x14ac:dyDescent="0.3">
      <c r="A3" s="355" t="s">
        <v>151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7"/>
    </row>
    <row r="4" spans="1:12" ht="15" customHeight="1" x14ac:dyDescent="0.25">
      <c r="A4" s="317"/>
      <c r="B4" s="318"/>
      <c r="C4" s="341" t="s">
        <v>152</v>
      </c>
      <c r="D4" s="342"/>
      <c r="E4" s="342"/>
      <c r="F4" s="342"/>
      <c r="G4" s="342"/>
      <c r="H4" s="342"/>
      <c r="I4" s="342"/>
      <c r="J4" s="342"/>
      <c r="K4" s="342"/>
      <c r="L4" s="343"/>
    </row>
    <row r="5" spans="1:12" ht="15.75" thickBot="1" x14ac:dyDescent="0.3">
      <c r="A5" s="337"/>
      <c r="B5" s="338"/>
      <c r="C5" s="171">
        <v>20</v>
      </c>
      <c r="D5" s="172">
        <v>100</v>
      </c>
      <c r="E5" s="172">
        <v>500</v>
      </c>
      <c r="F5" s="172">
        <v>5000</v>
      </c>
      <c r="G5" s="172">
        <v>10000</v>
      </c>
      <c r="H5" s="171">
        <v>5000</v>
      </c>
      <c r="I5" s="171">
        <v>25000</v>
      </c>
      <c r="J5" s="171">
        <v>50000</v>
      </c>
      <c r="K5" s="171">
        <v>250000</v>
      </c>
      <c r="L5" s="173">
        <v>500000</v>
      </c>
    </row>
    <row r="6" spans="1:12" ht="15.75" customHeight="1" thickBot="1" x14ac:dyDescent="0.3">
      <c r="A6" s="355" t="s">
        <v>153</v>
      </c>
      <c r="B6" s="356"/>
      <c r="C6" s="356"/>
      <c r="D6" s="356"/>
      <c r="E6" s="356"/>
      <c r="F6" s="356"/>
      <c r="G6" s="356"/>
      <c r="H6" s="356"/>
      <c r="I6" s="356"/>
      <c r="J6" s="356"/>
      <c r="K6" s="356"/>
      <c r="L6" s="357"/>
    </row>
    <row r="7" spans="1:12" ht="15" customHeight="1" x14ac:dyDescent="0.25">
      <c r="A7" s="317"/>
      <c r="B7" s="318"/>
      <c r="C7" s="341" t="s">
        <v>154</v>
      </c>
      <c r="D7" s="342"/>
      <c r="E7" s="342"/>
      <c r="F7" s="342"/>
      <c r="G7" s="342"/>
      <c r="H7" s="342"/>
      <c r="I7" s="342"/>
      <c r="J7" s="342"/>
      <c r="K7" s="342"/>
      <c r="L7" s="343"/>
    </row>
    <row r="8" spans="1:12" ht="15" customHeight="1" x14ac:dyDescent="0.25">
      <c r="A8" s="213"/>
      <c r="B8" s="152"/>
      <c r="C8" s="174" t="s">
        <v>171</v>
      </c>
      <c r="D8" s="174" t="s">
        <v>171</v>
      </c>
      <c r="E8" s="174" t="s">
        <v>171</v>
      </c>
      <c r="F8" s="174" t="s">
        <v>171</v>
      </c>
      <c r="G8" s="174" t="s">
        <v>171</v>
      </c>
      <c r="H8" s="174" t="s">
        <v>171</v>
      </c>
      <c r="I8" s="174" t="s">
        <v>171</v>
      </c>
      <c r="J8" s="174" t="s">
        <v>171</v>
      </c>
      <c r="K8" s="174" t="s">
        <v>171</v>
      </c>
      <c r="L8" s="214" t="s">
        <v>171</v>
      </c>
    </row>
    <row r="9" spans="1:12" ht="15.75" customHeight="1" thickBot="1" x14ac:dyDescent="0.3">
      <c r="A9" s="358" t="s">
        <v>155</v>
      </c>
      <c r="B9" s="359"/>
      <c r="C9" s="359"/>
      <c r="D9" s="359"/>
      <c r="E9" s="359"/>
      <c r="F9" s="359"/>
      <c r="G9" s="359"/>
      <c r="H9" s="359"/>
      <c r="I9" s="359"/>
      <c r="J9" s="359"/>
      <c r="K9" s="359"/>
      <c r="L9" s="360"/>
    </row>
    <row r="10" spans="1:12" ht="15" customHeight="1" x14ac:dyDescent="0.25">
      <c r="A10" s="317"/>
      <c r="B10" s="318"/>
      <c r="C10" s="341" t="s">
        <v>156</v>
      </c>
      <c r="D10" s="342"/>
      <c r="E10" s="342"/>
      <c r="F10" s="342"/>
      <c r="G10" s="342"/>
      <c r="H10" s="342"/>
      <c r="I10" s="342"/>
      <c r="J10" s="342"/>
      <c r="K10" s="342"/>
      <c r="L10" s="343"/>
    </row>
    <row r="11" spans="1:12" ht="15.75" thickBot="1" x14ac:dyDescent="0.3">
      <c r="A11" s="155"/>
      <c r="B11" s="156"/>
      <c r="C11" s="175">
        <v>100000</v>
      </c>
      <c r="D11" s="175">
        <v>200000</v>
      </c>
      <c r="E11" s="175">
        <v>1000000</v>
      </c>
      <c r="F11" s="175">
        <v>10000000</v>
      </c>
      <c r="G11" s="175">
        <v>20000000</v>
      </c>
      <c r="H11" s="175">
        <v>24000000</v>
      </c>
      <c r="I11" s="175">
        <v>120000000</v>
      </c>
      <c r="J11" s="175">
        <v>280000000</v>
      </c>
      <c r="K11" s="175">
        <v>1400000000</v>
      </c>
      <c r="L11" s="176">
        <v>3200000000</v>
      </c>
    </row>
    <row r="12" spans="1:12" s="61" customFormat="1" ht="16.5" customHeight="1" thickTop="1" thickBot="1" x14ac:dyDescent="0.3">
      <c r="A12" s="361" t="s">
        <v>146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</row>
    <row r="13" spans="1:12" s="61" customFormat="1" ht="15" customHeight="1" x14ac:dyDescent="0.25">
      <c r="A13" s="317"/>
      <c r="B13" s="318"/>
      <c r="C13" s="341" t="s">
        <v>147</v>
      </c>
      <c r="D13" s="342"/>
      <c r="E13" s="342"/>
      <c r="F13" s="342"/>
      <c r="G13" s="342"/>
      <c r="H13" s="342"/>
      <c r="I13" s="342"/>
      <c r="J13" s="342"/>
      <c r="K13" s="342"/>
      <c r="L13" s="343"/>
    </row>
    <row r="14" spans="1:12" s="61" customFormat="1" ht="15.75" thickBot="1" x14ac:dyDescent="0.3">
      <c r="A14" s="337"/>
      <c r="B14" s="338"/>
      <c r="C14" s="169"/>
      <c r="D14" s="153" t="s">
        <v>148</v>
      </c>
      <c r="E14" s="153" t="s">
        <v>148</v>
      </c>
      <c r="F14" s="153" t="s">
        <v>149</v>
      </c>
      <c r="G14" s="153" t="s">
        <v>149</v>
      </c>
      <c r="H14" s="169"/>
      <c r="I14" s="169"/>
      <c r="J14" s="169"/>
      <c r="K14" s="169"/>
      <c r="L14" s="170"/>
    </row>
    <row r="15" spans="1:12" s="61" customFormat="1" ht="15.75" thickBot="1" x14ac:dyDescent="0.3">
      <c r="A15" s="355" t="s">
        <v>47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</row>
    <row r="16" spans="1:12" s="61" customFormat="1" ht="15" customHeight="1" x14ac:dyDescent="0.25">
      <c r="A16" s="317"/>
      <c r="B16" s="318"/>
      <c r="C16" s="341" t="s">
        <v>157</v>
      </c>
      <c r="D16" s="342"/>
      <c r="E16" s="342"/>
      <c r="F16" s="342"/>
      <c r="G16" s="342"/>
      <c r="H16" s="342"/>
      <c r="I16" s="342"/>
      <c r="J16" s="342"/>
      <c r="K16" s="342"/>
      <c r="L16" s="343"/>
    </row>
    <row r="17" spans="1:12" s="61" customFormat="1" ht="15.75" thickBot="1" x14ac:dyDescent="0.3">
      <c r="A17" s="337"/>
      <c r="B17" s="338"/>
      <c r="C17" s="169" t="s">
        <v>120</v>
      </c>
      <c r="D17" s="153" t="s">
        <v>120</v>
      </c>
      <c r="E17" s="153" t="s">
        <v>120</v>
      </c>
      <c r="F17" s="153" t="s">
        <v>120</v>
      </c>
      <c r="G17" s="153" t="s">
        <v>120</v>
      </c>
      <c r="H17" s="169" t="s">
        <v>120</v>
      </c>
      <c r="I17" s="169" t="s">
        <v>120</v>
      </c>
      <c r="J17" s="169" t="s">
        <v>120</v>
      </c>
      <c r="K17" s="169" t="s">
        <v>120</v>
      </c>
      <c r="L17" s="170" t="s">
        <v>120</v>
      </c>
    </row>
    <row r="18" spans="1:12" ht="15.75" thickBot="1" x14ac:dyDescent="0.3">
      <c r="A18" s="355" t="s">
        <v>150</v>
      </c>
      <c r="B18" s="356"/>
      <c r="C18" s="356"/>
      <c r="D18" s="356"/>
      <c r="E18" s="356"/>
      <c r="F18" s="356"/>
      <c r="G18" s="356"/>
      <c r="H18" s="356"/>
      <c r="I18" s="356"/>
      <c r="J18" s="356"/>
      <c r="K18" s="356"/>
      <c r="L18" s="357"/>
    </row>
    <row r="19" spans="1:12" x14ac:dyDescent="0.25">
      <c r="A19" s="317"/>
      <c r="B19" s="318"/>
      <c r="C19" s="341"/>
      <c r="D19" s="342"/>
      <c r="E19" s="342"/>
      <c r="F19" s="342"/>
      <c r="G19" s="342"/>
      <c r="H19" s="342"/>
      <c r="I19" s="342"/>
      <c r="J19" s="342"/>
      <c r="K19" s="342"/>
      <c r="L19" s="343"/>
    </row>
    <row r="20" spans="1:12" ht="15.75" thickBot="1" x14ac:dyDescent="0.3">
      <c r="A20" s="155"/>
      <c r="B20" s="156"/>
      <c r="C20" s="157" t="e">
        <f>C8*$B20/(1*3600)</f>
        <v>#VALUE!</v>
      </c>
      <c r="D20" s="157">
        <v>19</v>
      </c>
      <c r="E20" s="157">
        <v>49</v>
      </c>
      <c r="F20" s="157">
        <v>199</v>
      </c>
      <c r="G20" s="157">
        <v>399</v>
      </c>
      <c r="H20" s="157">
        <v>348</v>
      </c>
      <c r="I20" s="157">
        <v>1799</v>
      </c>
      <c r="J20" s="157">
        <v>4768</v>
      </c>
      <c r="K20" s="157">
        <v>10500</v>
      </c>
      <c r="L20" s="158">
        <v>21000</v>
      </c>
    </row>
    <row r="21" spans="1:12" ht="15.75" thickTop="1" x14ac:dyDescent="0.25"/>
  </sheetData>
  <mergeCells count="23">
    <mergeCell ref="A14:B14"/>
    <mergeCell ref="A16:B16"/>
    <mergeCell ref="A12:L12"/>
    <mergeCell ref="A15:L15"/>
    <mergeCell ref="A18:L18"/>
    <mergeCell ref="C13:L13"/>
    <mergeCell ref="C16:L16"/>
    <mergeCell ref="C19:L19"/>
    <mergeCell ref="A5:B5"/>
    <mergeCell ref="A2:B2"/>
    <mergeCell ref="A4:B4"/>
    <mergeCell ref="A1:L1"/>
    <mergeCell ref="A3:L3"/>
    <mergeCell ref="C4:L4"/>
    <mergeCell ref="A7:B7"/>
    <mergeCell ref="A10:B10"/>
    <mergeCell ref="A6:L6"/>
    <mergeCell ref="A9:L9"/>
    <mergeCell ref="C7:L7"/>
    <mergeCell ref="C10:L10"/>
    <mergeCell ref="A17:B17"/>
    <mergeCell ref="A19:B19"/>
    <mergeCell ref="A13:B13"/>
  </mergeCells>
  <pageMargins left="0.7" right="0.7" top="0.75" bottom="0.75" header="0.3" footer="0.3"/>
  <pageSetup paperSize="9" orientation="portrait" horizontalDpi="1440" verticalDpi="144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52"/>
  <sheetViews>
    <sheetView topLeftCell="A5" zoomScale="70" zoomScaleNormal="70" workbookViewId="0">
      <selection activeCell="E37" sqref="E37"/>
    </sheetView>
  </sheetViews>
  <sheetFormatPr baseColWidth="10" defaultColWidth="11.42578125" defaultRowHeight="15" x14ac:dyDescent="0.25"/>
  <cols>
    <col min="1" max="1" width="20.7109375" style="94" customWidth="1"/>
    <col min="2" max="2" width="20.7109375" style="99" customWidth="1"/>
    <col min="3" max="11" width="25" style="99" customWidth="1"/>
    <col min="12" max="16384" width="11.42578125" style="94"/>
  </cols>
  <sheetData>
    <row r="1" spans="1:11" s="98" customFormat="1" ht="46.5" thickTop="1" thickBot="1" x14ac:dyDescent="0.65">
      <c r="A1" s="328" t="s">
        <v>48</v>
      </c>
      <c r="B1" s="329"/>
      <c r="C1" s="329"/>
      <c r="D1" s="329"/>
      <c r="E1" s="329"/>
      <c r="F1" s="329"/>
      <c r="G1" s="329"/>
      <c r="H1" s="329"/>
      <c r="I1" s="329"/>
      <c r="J1" s="329"/>
      <c r="K1" s="330"/>
    </row>
    <row r="2" spans="1:11" ht="30.75" thickBot="1" x14ac:dyDescent="0.3">
      <c r="A2" s="323" t="s">
        <v>70</v>
      </c>
      <c r="B2" s="324"/>
      <c r="C2" s="101" t="s">
        <v>62</v>
      </c>
      <c r="D2" s="101" t="s">
        <v>105</v>
      </c>
      <c r="E2" s="101" t="s">
        <v>106</v>
      </c>
      <c r="F2" s="101" t="s">
        <v>107</v>
      </c>
      <c r="G2" s="101" t="s">
        <v>108</v>
      </c>
      <c r="H2" s="101" t="s">
        <v>109</v>
      </c>
      <c r="I2" s="101" t="s">
        <v>110</v>
      </c>
      <c r="J2" s="101" t="s">
        <v>111</v>
      </c>
      <c r="K2" s="110" t="s">
        <v>112</v>
      </c>
    </row>
    <row r="3" spans="1:11" ht="15.75" customHeight="1" thickBot="1" x14ac:dyDescent="0.3">
      <c r="A3" s="323" t="s">
        <v>71</v>
      </c>
      <c r="B3" s="324"/>
      <c r="C3" s="324"/>
      <c r="D3" s="324"/>
      <c r="E3" s="324"/>
      <c r="F3" s="324"/>
      <c r="G3" s="324"/>
      <c r="H3" s="324"/>
      <c r="I3" s="324"/>
      <c r="J3" s="324"/>
      <c r="K3" s="325"/>
    </row>
    <row r="4" spans="1:11" ht="15" customHeight="1" x14ac:dyDescent="0.25">
      <c r="A4" s="317" t="s">
        <v>95</v>
      </c>
      <c r="B4" s="318"/>
      <c r="C4" s="339" t="s">
        <v>72</v>
      </c>
      <c r="D4" s="339"/>
      <c r="E4" s="339"/>
      <c r="F4" s="339"/>
      <c r="G4" s="339"/>
      <c r="H4" s="339"/>
      <c r="I4" s="339"/>
      <c r="J4" s="339"/>
      <c r="K4" s="340"/>
    </row>
    <row r="5" spans="1:11" x14ac:dyDescent="0.25">
      <c r="A5" s="111" t="s">
        <v>79</v>
      </c>
      <c r="B5" s="105">
        <v>1024</v>
      </c>
      <c r="C5" s="103">
        <v>0.03</v>
      </c>
      <c r="D5" s="103">
        <v>0.03</v>
      </c>
      <c r="E5" s="103">
        <v>3.3000000000000002E-2</v>
      </c>
      <c r="F5" s="103">
        <v>0.03</v>
      </c>
      <c r="G5" s="103">
        <v>3.2399999999999998E-2</v>
      </c>
      <c r="H5" s="103">
        <v>0.03</v>
      </c>
      <c r="I5" s="103">
        <v>3.3000000000000002E-2</v>
      </c>
      <c r="J5" s="103">
        <v>3.3000000000000002E-2</v>
      </c>
      <c r="K5" s="112">
        <v>4.0800000000000003E-2</v>
      </c>
    </row>
    <row r="6" spans="1:11" x14ac:dyDescent="0.25">
      <c r="A6" s="111" t="s">
        <v>80</v>
      </c>
      <c r="B6" s="105">
        <f>50*1024</f>
        <v>51200</v>
      </c>
      <c r="C6" s="103">
        <v>2.9499999999999998E-2</v>
      </c>
      <c r="D6" s="103">
        <v>2.9499999999999998E-2</v>
      </c>
      <c r="E6" s="103">
        <v>3.2399999999999998E-2</v>
      </c>
      <c r="F6" s="103">
        <v>2.9499999999999998E-2</v>
      </c>
      <c r="G6" s="103">
        <v>3.1899999999999998E-2</v>
      </c>
      <c r="H6" s="103">
        <v>2.9499999999999998E-2</v>
      </c>
      <c r="I6" s="103">
        <v>3.2399999999999998E-2</v>
      </c>
      <c r="J6" s="103">
        <v>3.2399999999999998E-2</v>
      </c>
      <c r="K6" s="112">
        <v>4.0099999999999997E-2</v>
      </c>
    </row>
    <row r="7" spans="1:11" x14ac:dyDescent="0.25">
      <c r="A7" s="111" t="s">
        <v>81</v>
      </c>
      <c r="B7" s="105">
        <f>500*1024</f>
        <v>512000</v>
      </c>
      <c r="C7" s="103">
        <v>2.9000000000000001E-2</v>
      </c>
      <c r="D7" s="103">
        <v>2.9000000000000001E-2</v>
      </c>
      <c r="E7" s="103">
        <v>3.1899999999999998E-2</v>
      </c>
      <c r="F7" s="103">
        <v>2.9000000000000001E-2</v>
      </c>
      <c r="G7" s="103">
        <v>3.1399999999999997E-2</v>
      </c>
      <c r="H7" s="103">
        <v>2.9000000000000001E-2</v>
      </c>
      <c r="I7" s="103">
        <v>3.1899999999999998E-2</v>
      </c>
      <c r="J7" s="103">
        <v>3.1899999999999998E-2</v>
      </c>
      <c r="K7" s="112">
        <v>3.9399999999999998E-2</v>
      </c>
    </row>
    <row r="8" spans="1:11" x14ac:dyDescent="0.25">
      <c r="A8" s="111" t="s">
        <v>82</v>
      </c>
      <c r="B8" s="105">
        <f>1000*1024</f>
        <v>1024000</v>
      </c>
      <c r="C8" s="103">
        <v>2.8500000000000001E-2</v>
      </c>
      <c r="D8" s="103">
        <v>2.8500000000000001E-2</v>
      </c>
      <c r="E8" s="103">
        <v>3.1300000000000001E-2</v>
      </c>
      <c r="F8" s="103">
        <v>2.8500000000000001E-2</v>
      </c>
      <c r="G8" s="103">
        <v>3.0800000000000001E-2</v>
      </c>
      <c r="H8" s="103">
        <v>2.8500000000000001E-2</v>
      </c>
      <c r="I8" s="103">
        <v>3.1300000000000001E-2</v>
      </c>
      <c r="J8" s="103">
        <v>3.1300000000000001E-2</v>
      </c>
      <c r="K8" s="112">
        <v>3.8699999999999998E-2</v>
      </c>
    </row>
    <row r="9" spans="1:11" x14ac:dyDescent="0.25">
      <c r="A9" s="111" t="s">
        <v>83</v>
      </c>
      <c r="B9" s="105">
        <f>5000*1024</f>
        <v>5120000</v>
      </c>
      <c r="C9" s="103">
        <v>2.8000000000000001E-2</v>
      </c>
      <c r="D9" s="103">
        <v>2.8000000000000001E-2</v>
      </c>
      <c r="E9" s="103">
        <v>3.0800000000000001E-2</v>
      </c>
      <c r="F9" s="103">
        <v>2.8000000000000001E-2</v>
      </c>
      <c r="G9" s="103">
        <v>3.0300000000000001E-2</v>
      </c>
      <c r="H9" s="103">
        <v>2.8000000000000001E-2</v>
      </c>
      <c r="I9" s="103">
        <v>3.0800000000000001E-2</v>
      </c>
      <c r="J9" s="103">
        <v>3.0800000000000001E-2</v>
      </c>
      <c r="K9" s="112">
        <v>3.7999999999999999E-2</v>
      </c>
    </row>
    <row r="10" spans="1:11" ht="15.75" thickBot="1" x14ac:dyDescent="0.3">
      <c r="A10" s="113" t="s">
        <v>84</v>
      </c>
      <c r="B10" s="106" t="s">
        <v>73</v>
      </c>
      <c r="C10" s="104">
        <v>2.75E-2</v>
      </c>
      <c r="D10" s="104">
        <v>2.75E-2</v>
      </c>
      <c r="E10" s="104">
        <v>3.0200000000000001E-2</v>
      </c>
      <c r="F10" s="104">
        <v>2.75E-2</v>
      </c>
      <c r="G10" s="104">
        <v>2.9700000000000001E-2</v>
      </c>
      <c r="H10" s="104">
        <v>2.75E-2</v>
      </c>
      <c r="I10" s="104">
        <v>3.0200000000000001E-2</v>
      </c>
      <c r="J10" s="104">
        <v>3.0200000000000001E-2</v>
      </c>
      <c r="K10" s="114">
        <v>3.7400000000000003E-2</v>
      </c>
    </row>
    <row r="11" spans="1:11" ht="15" customHeight="1" x14ac:dyDescent="0.25">
      <c r="A11" s="317" t="s">
        <v>95</v>
      </c>
      <c r="B11" s="318"/>
      <c r="C11" s="339" t="s">
        <v>63</v>
      </c>
      <c r="D11" s="339"/>
      <c r="E11" s="339"/>
      <c r="F11" s="339"/>
      <c r="G11" s="339"/>
      <c r="H11" s="339"/>
      <c r="I11" s="339"/>
      <c r="J11" s="339"/>
      <c r="K11" s="340"/>
    </row>
    <row r="12" spans="1:11" x14ac:dyDescent="0.25">
      <c r="A12" s="111" t="s">
        <v>79</v>
      </c>
      <c r="B12" s="105">
        <v>1024</v>
      </c>
      <c r="C12" s="103">
        <v>2.4E-2</v>
      </c>
      <c r="D12" s="103">
        <v>2.4E-2</v>
      </c>
      <c r="E12" s="103">
        <v>2.64E-2</v>
      </c>
      <c r="F12" s="103">
        <v>2.4E-2</v>
      </c>
      <c r="G12" s="103">
        <v>2.5999999999999999E-2</v>
      </c>
      <c r="H12" s="103">
        <v>2.4E-2</v>
      </c>
      <c r="I12" s="103">
        <v>2.64E-2</v>
      </c>
      <c r="J12" s="103">
        <v>2.64E-2</v>
      </c>
      <c r="K12" s="112">
        <v>3.2599999999999997E-2</v>
      </c>
    </row>
    <row r="13" spans="1:11" x14ac:dyDescent="0.25">
      <c r="A13" s="111" t="s">
        <v>80</v>
      </c>
      <c r="B13" s="105">
        <f>50*1024</f>
        <v>51200</v>
      </c>
      <c r="C13" s="103">
        <v>2.3599999999999999E-2</v>
      </c>
      <c r="D13" s="103">
        <v>2.3599999999999999E-2</v>
      </c>
      <c r="E13" s="103">
        <v>2.5899999999999999E-2</v>
      </c>
      <c r="F13" s="103">
        <v>2.3599999999999999E-2</v>
      </c>
      <c r="G13" s="103">
        <v>2.5499999999999998E-2</v>
      </c>
      <c r="H13" s="103">
        <v>2.3599999999999999E-2</v>
      </c>
      <c r="I13" s="103">
        <v>2.5899999999999999E-2</v>
      </c>
      <c r="J13" s="103">
        <v>2.5899999999999999E-2</v>
      </c>
      <c r="K13" s="112">
        <v>3.2000000000000001E-2</v>
      </c>
    </row>
    <row r="14" spans="1:11" x14ac:dyDescent="0.25">
      <c r="A14" s="111" t="s">
        <v>81</v>
      </c>
      <c r="B14" s="105">
        <f>500*1024</f>
        <v>512000</v>
      </c>
      <c r="C14" s="103">
        <v>2.3199999999999998E-2</v>
      </c>
      <c r="D14" s="103">
        <v>2.3199999999999998E-2</v>
      </c>
      <c r="E14" s="103">
        <v>2.5499999999999998E-2</v>
      </c>
      <c r="F14" s="103">
        <v>2.3199999999999998E-2</v>
      </c>
      <c r="G14" s="103">
        <v>2.5100000000000001E-2</v>
      </c>
      <c r="H14" s="103">
        <v>2.3199999999999998E-2</v>
      </c>
      <c r="I14" s="103">
        <v>2.5499999999999998E-2</v>
      </c>
      <c r="J14" s="103">
        <v>2.5499999999999998E-2</v>
      </c>
      <c r="K14" s="112">
        <v>3.15E-2</v>
      </c>
    </row>
    <row r="15" spans="1:11" x14ac:dyDescent="0.25">
      <c r="A15" s="111" t="s">
        <v>82</v>
      </c>
      <c r="B15" s="105">
        <f>1000*1024</f>
        <v>1024000</v>
      </c>
      <c r="C15" s="103">
        <v>2.2800000000000001E-2</v>
      </c>
      <c r="D15" s="103">
        <v>2.2800000000000001E-2</v>
      </c>
      <c r="E15" s="103">
        <v>2.5000000000000001E-2</v>
      </c>
      <c r="F15" s="103">
        <v>2.2800000000000001E-2</v>
      </c>
      <c r="G15" s="103">
        <v>2.47E-2</v>
      </c>
      <c r="H15" s="103">
        <v>2.2800000000000001E-2</v>
      </c>
      <c r="I15" s="103">
        <v>2.5000000000000001E-2</v>
      </c>
      <c r="J15" s="103">
        <v>2.5000000000000001E-2</v>
      </c>
      <c r="K15" s="112">
        <v>3.09E-2</v>
      </c>
    </row>
    <row r="16" spans="1:11" x14ac:dyDescent="0.25">
      <c r="A16" s="111" t="s">
        <v>83</v>
      </c>
      <c r="B16" s="105">
        <f>5000*1024</f>
        <v>5120000</v>
      </c>
      <c r="C16" s="103">
        <v>2.24E-2</v>
      </c>
      <c r="D16" s="103">
        <v>2.24E-2</v>
      </c>
      <c r="E16" s="103">
        <v>2.46E-2</v>
      </c>
      <c r="F16" s="103">
        <v>2.24E-2</v>
      </c>
      <c r="G16" s="103">
        <v>2.4199999999999999E-2</v>
      </c>
      <c r="H16" s="103">
        <v>2.24E-2</v>
      </c>
      <c r="I16" s="103">
        <v>2.46E-2</v>
      </c>
      <c r="J16" s="103">
        <v>2.46E-2</v>
      </c>
      <c r="K16" s="112">
        <v>3.04E-2</v>
      </c>
    </row>
    <row r="17" spans="1:11" ht="15.75" thickBot="1" x14ac:dyDescent="0.3">
      <c r="A17" s="113" t="s">
        <v>84</v>
      </c>
      <c r="B17" s="106" t="s">
        <v>73</v>
      </c>
      <c r="C17" s="104">
        <v>2.1999999999999999E-2</v>
      </c>
      <c r="D17" s="104">
        <v>2.1999999999999999E-2</v>
      </c>
      <c r="E17" s="104">
        <v>2.4199999999999999E-2</v>
      </c>
      <c r="F17" s="104">
        <v>2.1999999999999999E-2</v>
      </c>
      <c r="G17" s="104">
        <v>2.3800000000000002E-2</v>
      </c>
      <c r="H17" s="104">
        <v>2.1999999999999999E-2</v>
      </c>
      <c r="I17" s="104">
        <v>2.4199999999999999E-2</v>
      </c>
      <c r="J17" s="104">
        <v>2.4199999999999999E-2</v>
      </c>
      <c r="K17" s="114">
        <v>2.9899999999999999E-2</v>
      </c>
    </row>
    <row r="18" spans="1:11" ht="15" customHeight="1" x14ac:dyDescent="0.25">
      <c r="A18" s="317" t="s">
        <v>95</v>
      </c>
      <c r="B18" s="318"/>
      <c r="C18" s="339" t="s">
        <v>64</v>
      </c>
      <c r="D18" s="339"/>
      <c r="E18" s="339"/>
      <c r="F18" s="339"/>
      <c r="G18" s="339"/>
      <c r="H18" s="339"/>
      <c r="I18" s="339"/>
      <c r="J18" s="339"/>
      <c r="K18" s="340"/>
    </row>
    <row r="19" spans="1:11" x14ac:dyDescent="0.25">
      <c r="A19" s="111" t="s">
        <v>79</v>
      </c>
      <c r="B19" s="105">
        <v>1024</v>
      </c>
      <c r="C19" s="103">
        <v>0.01</v>
      </c>
      <c r="D19" s="103">
        <v>0.01</v>
      </c>
      <c r="E19" s="103">
        <v>1.0999999999999999E-2</v>
      </c>
      <c r="F19" s="103">
        <v>1.0999999999999999E-2</v>
      </c>
      <c r="G19" s="103">
        <v>1.2E-2</v>
      </c>
      <c r="H19" s="103" t="s">
        <v>116</v>
      </c>
      <c r="I19" s="103">
        <v>1.14E-2</v>
      </c>
      <c r="J19" s="103">
        <v>1.2E-2</v>
      </c>
      <c r="K19" s="112" t="s">
        <v>116</v>
      </c>
    </row>
    <row r="20" spans="1:11" x14ac:dyDescent="0.25">
      <c r="A20" s="111" t="s">
        <v>80</v>
      </c>
      <c r="B20" s="105">
        <f>50*1024</f>
        <v>51200</v>
      </c>
      <c r="C20" s="103">
        <v>0.01</v>
      </c>
      <c r="D20" s="103">
        <v>0.01</v>
      </c>
      <c r="E20" s="103">
        <v>1.0999999999999999E-2</v>
      </c>
      <c r="F20" s="103">
        <v>1.0999999999999999E-2</v>
      </c>
      <c r="G20" s="103">
        <v>1.2E-2</v>
      </c>
      <c r="H20" s="103" t="s">
        <v>116</v>
      </c>
      <c r="I20" s="103">
        <v>1.14E-2</v>
      </c>
      <c r="J20" s="103">
        <v>1.2E-2</v>
      </c>
      <c r="K20" s="112" t="s">
        <v>116</v>
      </c>
    </row>
    <row r="21" spans="1:11" x14ac:dyDescent="0.25">
      <c r="A21" s="111" t="s">
        <v>81</v>
      </c>
      <c r="B21" s="105">
        <f>500*1024</f>
        <v>512000</v>
      </c>
      <c r="C21" s="103">
        <v>0.01</v>
      </c>
      <c r="D21" s="103">
        <v>0.01</v>
      </c>
      <c r="E21" s="103">
        <v>1.0999999999999999E-2</v>
      </c>
      <c r="F21" s="103">
        <v>1.0999999999999999E-2</v>
      </c>
      <c r="G21" s="103">
        <v>1.2E-2</v>
      </c>
      <c r="H21" s="103" t="s">
        <v>116</v>
      </c>
      <c r="I21" s="103">
        <v>1.14E-2</v>
      </c>
      <c r="J21" s="103">
        <v>1.2E-2</v>
      </c>
      <c r="K21" s="112" t="s">
        <v>116</v>
      </c>
    </row>
    <row r="22" spans="1:11" x14ac:dyDescent="0.25">
      <c r="A22" s="111" t="s">
        <v>82</v>
      </c>
      <c r="B22" s="105">
        <f>1000*1024</f>
        <v>1024000</v>
      </c>
      <c r="C22" s="103">
        <v>0.01</v>
      </c>
      <c r="D22" s="103">
        <v>0.01</v>
      </c>
      <c r="E22" s="103">
        <v>1.0999999999999999E-2</v>
      </c>
      <c r="F22" s="103">
        <v>1.0999999999999999E-2</v>
      </c>
      <c r="G22" s="103">
        <v>1.2E-2</v>
      </c>
      <c r="H22" s="103" t="s">
        <v>116</v>
      </c>
      <c r="I22" s="103">
        <v>1.14E-2</v>
      </c>
      <c r="J22" s="103">
        <v>1.2E-2</v>
      </c>
      <c r="K22" s="112" t="s">
        <v>116</v>
      </c>
    </row>
    <row r="23" spans="1:11" x14ac:dyDescent="0.25">
      <c r="A23" s="111" t="s">
        <v>83</v>
      </c>
      <c r="B23" s="105">
        <f>5000*1024</f>
        <v>5120000</v>
      </c>
      <c r="C23" s="103">
        <v>0.01</v>
      </c>
      <c r="D23" s="103">
        <v>0.01</v>
      </c>
      <c r="E23" s="103">
        <v>1.0999999999999999E-2</v>
      </c>
      <c r="F23" s="103">
        <v>1.0999999999999999E-2</v>
      </c>
      <c r="G23" s="103">
        <v>1.2E-2</v>
      </c>
      <c r="H23" s="103" t="s">
        <v>116</v>
      </c>
      <c r="I23" s="103">
        <v>1.14E-2</v>
      </c>
      <c r="J23" s="103">
        <v>1.2E-2</v>
      </c>
      <c r="K23" s="112" t="s">
        <v>116</v>
      </c>
    </row>
    <row r="24" spans="1:11" ht="15.75" thickBot="1" x14ac:dyDescent="0.3">
      <c r="A24" s="113" t="s">
        <v>84</v>
      </c>
      <c r="B24" s="106" t="s">
        <v>73</v>
      </c>
      <c r="C24" s="104">
        <v>0.01</v>
      </c>
      <c r="D24" s="104">
        <v>0.01</v>
      </c>
      <c r="E24" s="104">
        <v>1.0999999999999999E-2</v>
      </c>
      <c r="F24" s="104">
        <v>1.0999999999999999E-2</v>
      </c>
      <c r="G24" s="104">
        <v>1.2E-2</v>
      </c>
      <c r="H24" s="104" t="s">
        <v>116</v>
      </c>
      <c r="I24" s="104">
        <v>1.14E-2</v>
      </c>
      <c r="J24" s="104">
        <v>1.2E-2</v>
      </c>
      <c r="K24" s="114" t="s">
        <v>116</v>
      </c>
    </row>
    <row r="25" spans="1:11" ht="15.75" customHeight="1" thickBot="1" x14ac:dyDescent="0.3">
      <c r="A25" s="323" t="s">
        <v>74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5"/>
    </row>
    <row r="26" spans="1:11" ht="15.75" customHeight="1" x14ac:dyDescent="0.25">
      <c r="A26" s="326" t="s">
        <v>85</v>
      </c>
      <c r="B26" s="327"/>
      <c r="C26" s="342"/>
      <c r="D26" s="342"/>
      <c r="E26" s="342"/>
      <c r="F26" s="342"/>
      <c r="G26" s="342"/>
      <c r="H26" s="342"/>
      <c r="I26" s="342"/>
      <c r="J26" s="342"/>
      <c r="K26" s="343"/>
    </row>
    <row r="27" spans="1:11" ht="30" x14ac:dyDescent="0.25">
      <c r="A27" s="111" t="s">
        <v>86</v>
      </c>
      <c r="B27" s="107">
        <v>1000</v>
      </c>
      <c r="C27" s="103">
        <v>0.05</v>
      </c>
      <c r="D27" s="103">
        <v>0.05</v>
      </c>
      <c r="E27" s="103">
        <v>5.5E-2</v>
      </c>
      <c r="F27" s="103">
        <v>0.05</v>
      </c>
      <c r="G27" s="103">
        <v>0.06</v>
      </c>
      <c r="H27" s="103" t="s">
        <v>116</v>
      </c>
      <c r="I27" s="103">
        <v>5.7099999999999998E-2</v>
      </c>
      <c r="J27" s="103">
        <v>0.06</v>
      </c>
      <c r="K27" s="112" t="s">
        <v>116</v>
      </c>
    </row>
    <row r="28" spans="1:11" ht="30" x14ac:dyDescent="0.25">
      <c r="A28" s="111" t="s">
        <v>87</v>
      </c>
      <c r="B28" s="107">
        <v>1</v>
      </c>
      <c r="C28" s="103">
        <v>0</v>
      </c>
      <c r="D28" s="103">
        <v>0</v>
      </c>
      <c r="E28" s="103">
        <v>0</v>
      </c>
      <c r="F28" s="103">
        <v>0</v>
      </c>
      <c r="G28" s="103">
        <v>0</v>
      </c>
      <c r="H28" s="103" t="s">
        <v>116</v>
      </c>
      <c r="I28" s="103">
        <v>0</v>
      </c>
      <c r="J28" s="103">
        <v>0</v>
      </c>
      <c r="K28" s="112" t="s">
        <v>116</v>
      </c>
    </row>
    <row r="29" spans="1:11" x14ac:dyDescent="0.25">
      <c r="A29" s="111" t="s">
        <v>55</v>
      </c>
      <c r="B29" s="107">
        <v>1000</v>
      </c>
      <c r="C29" s="103">
        <v>5.0000000000000001E-3</v>
      </c>
      <c r="D29" s="103">
        <v>5.0000000000000001E-3</v>
      </c>
      <c r="E29" s="103">
        <v>5.4999999999999997E-3</v>
      </c>
      <c r="F29" s="103">
        <v>5.0000000000000001E-3</v>
      </c>
      <c r="G29" s="103">
        <v>5.4000000000000003E-3</v>
      </c>
      <c r="H29" s="103">
        <v>5.0000000000000001E-3</v>
      </c>
      <c r="I29" s="103">
        <v>4.7000000000000002E-3</v>
      </c>
      <c r="J29" s="103">
        <v>5.4999999999999997E-3</v>
      </c>
      <c r="K29" s="112">
        <v>7.0000000000000001E-3</v>
      </c>
    </row>
    <row r="30" spans="1:11" x14ac:dyDescent="0.25">
      <c r="A30" s="111" t="s">
        <v>75</v>
      </c>
      <c r="B30" s="107">
        <v>1000</v>
      </c>
      <c r="C30" s="103">
        <v>5.0000000000000001E-3</v>
      </c>
      <c r="D30" s="103">
        <v>5.0000000000000001E-3</v>
      </c>
      <c r="E30" s="103">
        <v>5.4999999999999997E-3</v>
      </c>
      <c r="F30" s="103">
        <v>5.0000000000000001E-3</v>
      </c>
      <c r="G30" s="103">
        <v>5.4000000000000003E-3</v>
      </c>
      <c r="H30" s="103">
        <v>5.0000000000000001E-3</v>
      </c>
      <c r="I30" s="103">
        <v>4.7000000000000002E-3</v>
      </c>
      <c r="J30" s="103">
        <v>5.4999999999999997E-3</v>
      </c>
      <c r="K30" s="112">
        <v>7.0000000000000001E-3</v>
      </c>
    </row>
    <row r="31" spans="1:11" x14ac:dyDescent="0.25">
      <c r="A31" s="111" t="s">
        <v>76</v>
      </c>
      <c r="B31" s="107">
        <v>1000</v>
      </c>
      <c r="C31" s="103">
        <v>5.0000000000000001E-3</v>
      </c>
      <c r="D31" s="103">
        <v>5.0000000000000001E-3</v>
      </c>
      <c r="E31" s="103">
        <v>5.4999999999999997E-3</v>
      </c>
      <c r="F31" s="103">
        <v>5.0000000000000001E-3</v>
      </c>
      <c r="G31" s="103">
        <v>5.4000000000000003E-3</v>
      </c>
      <c r="H31" s="103">
        <v>5.0000000000000001E-3</v>
      </c>
      <c r="I31" s="103">
        <v>4.7000000000000002E-3</v>
      </c>
      <c r="J31" s="103">
        <v>5.4999999999999997E-3</v>
      </c>
      <c r="K31" s="112">
        <v>7.0000000000000001E-3</v>
      </c>
    </row>
    <row r="32" spans="1:11" x14ac:dyDescent="0.25">
      <c r="A32" s="111" t="s">
        <v>77</v>
      </c>
      <c r="B32" s="107">
        <v>1000</v>
      </c>
      <c r="C32" s="103">
        <v>5.0000000000000001E-3</v>
      </c>
      <c r="D32" s="103">
        <v>5.0000000000000001E-3</v>
      </c>
      <c r="E32" s="103">
        <v>5.4999999999999997E-3</v>
      </c>
      <c r="F32" s="103">
        <v>5.0000000000000001E-3</v>
      </c>
      <c r="G32" s="103">
        <v>5.4000000000000003E-3</v>
      </c>
      <c r="H32" s="103">
        <v>5.0000000000000001E-3</v>
      </c>
      <c r="I32" s="103">
        <v>4.7000000000000002E-3</v>
      </c>
      <c r="J32" s="103">
        <v>5.4999999999999997E-3</v>
      </c>
      <c r="K32" s="112">
        <v>7.0000000000000001E-3</v>
      </c>
    </row>
    <row r="33" spans="1:11" x14ac:dyDescent="0.25">
      <c r="A33" s="111" t="s">
        <v>78</v>
      </c>
      <c r="B33" s="107">
        <v>1</v>
      </c>
      <c r="C33" s="103">
        <v>0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  <c r="I33" s="103">
        <v>0</v>
      </c>
      <c r="J33" s="103">
        <v>0</v>
      </c>
      <c r="K33" s="112">
        <v>0</v>
      </c>
    </row>
    <row r="34" spans="1:11" ht="15.75" thickBot="1" x14ac:dyDescent="0.3">
      <c r="A34" s="113" t="s">
        <v>113</v>
      </c>
      <c r="B34" s="108">
        <v>10000</v>
      </c>
      <c r="C34" s="104">
        <v>4.0000000000000001E-3</v>
      </c>
      <c r="D34" s="104">
        <v>4.0000000000000001E-3</v>
      </c>
      <c r="E34" s="104">
        <v>4.4000000000000003E-3</v>
      </c>
      <c r="F34" s="104">
        <v>4.0000000000000001E-3</v>
      </c>
      <c r="G34" s="104">
        <v>4.3E-3</v>
      </c>
      <c r="H34" s="104">
        <v>4.0000000000000001E-3</v>
      </c>
      <c r="I34" s="104">
        <v>3.7000000000000002E-3</v>
      </c>
      <c r="J34" s="104">
        <v>4.4000000000000003E-3</v>
      </c>
      <c r="K34" s="114">
        <v>5.5999999999999999E-3</v>
      </c>
    </row>
    <row r="35" spans="1:11" ht="15.75" thickBot="1" x14ac:dyDescent="0.3">
      <c r="A35" s="323" t="s">
        <v>88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5"/>
    </row>
    <row r="36" spans="1:11" x14ac:dyDescent="0.25">
      <c r="A36" s="317"/>
      <c r="B36" s="318"/>
      <c r="C36" s="339" t="s">
        <v>89</v>
      </c>
      <c r="D36" s="339"/>
      <c r="E36" s="339"/>
      <c r="F36" s="339"/>
      <c r="G36" s="339"/>
      <c r="H36" s="339"/>
      <c r="I36" s="339"/>
      <c r="J36" s="339"/>
      <c r="K36" s="340"/>
    </row>
    <row r="37" spans="1:11" ht="15.75" thickBot="1" x14ac:dyDescent="0.3">
      <c r="A37" s="282" t="s">
        <v>104</v>
      </c>
      <c r="B37" s="283"/>
      <c r="C37" s="104">
        <v>0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0</v>
      </c>
      <c r="J37" s="104">
        <v>0</v>
      </c>
      <c r="K37" s="114">
        <v>0</v>
      </c>
    </row>
    <row r="38" spans="1:11" x14ac:dyDescent="0.25">
      <c r="A38" s="317" t="s">
        <v>91</v>
      </c>
      <c r="B38" s="318"/>
      <c r="C38" s="339" t="s">
        <v>90</v>
      </c>
      <c r="D38" s="339"/>
      <c r="E38" s="339"/>
      <c r="F38" s="339"/>
      <c r="G38" s="339"/>
      <c r="H38" s="339"/>
      <c r="I38" s="339"/>
      <c r="J38" s="339"/>
      <c r="K38" s="340"/>
    </row>
    <row r="39" spans="1:11" ht="30" customHeight="1" x14ac:dyDescent="0.25">
      <c r="A39" s="321" t="s">
        <v>92</v>
      </c>
      <c r="B39" s="322"/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12">
        <v>0</v>
      </c>
    </row>
    <row r="40" spans="1:11" x14ac:dyDescent="0.25">
      <c r="A40" s="333" t="s">
        <v>93</v>
      </c>
      <c r="B40" s="334"/>
      <c r="C40" s="103">
        <v>0.02</v>
      </c>
      <c r="D40" s="103">
        <v>0.02</v>
      </c>
      <c r="E40" s="103">
        <v>0.02</v>
      </c>
      <c r="F40" s="103">
        <v>0.02</v>
      </c>
      <c r="G40" s="103">
        <v>0.02</v>
      </c>
      <c r="H40" s="103">
        <v>0.09</v>
      </c>
      <c r="I40" s="103">
        <v>0.09</v>
      </c>
      <c r="J40" s="103">
        <v>0.14000000000000001</v>
      </c>
      <c r="K40" s="112">
        <v>0.16</v>
      </c>
    </row>
    <row r="41" spans="1:11" ht="15.75" thickBot="1" x14ac:dyDescent="0.3">
      <c r="A41" s="315" t="s">
        <v>65</v>
      </c>
      <c r="B41" s="316"/>
      <c r="C41" s="104">
        <v>0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  <c r="I41" s="104">
        <v>0</v>
      </c>
      <c r="J41" s="104">
        <v>0</v>
      </c>
      <c r="K41" s="114">
        <v>0</v>
      </c>
    </row>
    <row r="42" spans="1:11" x14ac:dyDescent="0.25">
      <c r="A42" s="317" t="s">
        <v>95</v>
      </c>
      <c r="B42" s="318"/>
      <c r="C42" s="339" t="s">
        <v>94</v>
      </c>
      <c r="D42" s="339"/>
      <c r="E42" s="339"/>
      <c r="F42" s="339"/>
      <c r="G42" s="339"/>
      <c r="H42" s="339"/>
      <c r="I42" s="339"/>
      <c r="J42" s="339"/>
      <c r="K42" s="340"/>
    </row>
    <row r="43" spans="1:11" x14ac:dyDescent="0.25">
      <c r="A43" s="116" t="s">
        <v>96</v>
      </c>
      <c r="B43" s="105">
        <v>1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103">
        <v>0</v>
      </c>
      <c r="I43" s="103">
        <v>0</v>
      </c>
      <c r="J43" s="103">
        <v>0</v>
      </c>
      <c r="K43" s="112">
        <v>0</v>
      </c>
    </row>
    <row r="44" spans="1:11" x14ac:dyDescent="0.25">
      <c r="A44" s="116" t="s">
        <v>97</v>
      </c>
      <c r="B44" s="105">
        <f>10*1024</f>
        <v>10240</v>
      </c>
      <c r="C44" s="103">
        <v>0.09</v>
      </c>
      <c r="D44" s="103">
        <v>0.09</v>
      </c>
      <c r="E44" s="103">
        <v>0.09</v>
      </c>
      <c r="F44" s="103">
        <v>0.09</v>
      </c>
      <c r="G44" s="103">
        <v>0.09</v>
      </c>
      <c r="H44" s="103">
        <v>0.12</v>
      </c>
      <c r="I44" s="103">
        <v>0.14000000000000001</v>
      </c>
      <c r="J44" s="103">
        <v>0.14000000000000001</v>
      </c>
      <c r="K44" s="112">
        <v>0.25</v>
      </c>
    </row>
    <row r="45" spans="1:11" x14ac:dyDescent="0.25">
      <c r="A45" s="116" t="s">
        <v>98</v>
      </c>
      <c r="B45" s="105">
        <f>50*1024</f>
        <v>51200</v>
      </c>
      <c r="C45" s="103">
        <v>8.5000000000000006E-2</v>
      </c>
      <c r="D45" s="103">
        <v>8.5000000000000006E-2</v>
      </c>
      <c r="E45" s="103">
        <v>8.5000000000000006E-2</v>
      </c>
      <c r="F45" s="103">
        <v>8.5000000000000006E-2</v>
      </c>
      <c r="G45" s="103">
        <v>8.5000000000000006E-2</v>
      </c>
      <c r="H45" s="103">
        <v>8.5000000000000006E-2</v>
      </c>
      <c r="I45" s="103">
        <v>0.13500000000000001</v>
      </c>
      <c r="J45" s="103">
        <v>0.13500000000000001</v>
      </c>
      <c r="K45" s="112">
        <v>0.23</v>
      </c>
    </row>
    <row r="46" spans="1:11" x14ac:dyDescent="0.25">
      <c r="A46" s="116" t="s">
        <v>99</v>
      </c>
      <c r="B46" s="105">
        <f>150*1024</f>
        <v>153600</v>
      </c>
      <c r="C46" s="103">
        <v>7.0000000000000007E-2</v>
      </c>
      <c r="D46" s="103">
        <v>7.0000000000000007E-2</v>
      </c>
      <c r="E46" s="103">
        <v>7.0000000000000007E-2</v>
      </c>
      <c r="F46" s="103">
        <v>7.0000000000000007E-2</v>
      </c>
      <c r="G46" s="103">
        <v>7.0000000000000007E-2</v>
      </c>
      <c r="H46" s="103">
        <v>8.2000000000000003E-2</v>
      </c>
      <c r="I46" s="103">
        <v>0.13</v>
      </c>
      <c r="J46" s="103">
        <v>0.13</v>
      </c>
      <c r="K46" s="112">
        <v>0.21</v>
      </c>
    </row>
    <row r="47" spans="1:11" x14ac:dyDescent="0.25">
      <c r="A47" s="116" t="s">
        <v>100</v>
      </c>
      <c r="B47" s="105">
        <f>500*1024</f>
        <v>512000</v>
      </c>
      <c r="C47" s="103">
        <v>0.05</v>
      </c>
      <c r="D47" s="103">
        <v>0.05</v>
      </c>
      <c r="E47" s="103">
        <v>0.05</v>
      </c>
      <c r="F47" s="103">
        <v>0.05</v>
      </c>
      <c r="G47" s="103">
        <v>0.05</v>
      </c>
      <c r="H47" s="103">
        <v>0.08</v>
      </c>
      <c r="I47" s="103">
        <v>0.12</v>
      </c>
      <c r="J47" s="103">
        <v>0.12</v>
      </c>
      <c r="K47" s="112">
        <v>0.19</v>
      </c>
    </row>
    <row r="48" spans="1:11" x14ac:dyDescent="0.25">
      <c r="A48" s="116" t="s">
        <v>101</v>
      </c>
      <c r="B48" s="105">
        <f>1024*1024</f>
        <v>1048576</v>
      </c>
      <c r="C48" s="109">
        <v>0.05</v>
      </c>
      <c r="D48" s="109">
        <v>0.05</v>
      </c>
      <c r="E48" s="109">
        <v>0.05</v>
      </c>
      <c r="F48" s="109">
        <v>0.05</v>
      </c>
      <c r="G48" s="109">
        <v>0.05</v>
      </c>
      <c r="H48" s="109">
        <v>0.08</v>
      </c>
      <c r="I48" s="109">
        <v>0.12</v>
      </c>
      <c r="J48" s="109">
        <v>0.12</v>
      </c>
      <c r="K48" s="117">
        <v>0.19</v>
      </c>
    </row>
    <row r="49" spans="1:11" x14ac:dyDescent="0.25">
      <c r="A49" s="116" t="s">
        <v>102</v>
      </c>
      <c r="B49" s="105">
        <f>5*1024*1024</f>
        <v>5242880</v>
      </c>
      <c r="C49" s="109">
        <v>0.05</v>
      </c>
      <c r="D49" s="109">
        <v>0.05</v>
      </c>
      <c r="E49" s="109">
        <v>0.05</v>
      </c>
      <c r="F49" s="109">
        <v>0.05</v>
      </c>
      <c r="G49" s="109">
        <v>0.05</v>
      </c>
      <c r="H49" s="109">
        <v>0.08</v>
      </c>
      <c r="I49" s="109">
        <v>0.12</v>
      </c>
      <c r="J49" s="109">
        <v>0.12</v>
      </c>
      <c r="K49" s="117">
        <v>0.19</v>
      </c>
    </row>
    <row r="50" spans="1:11" ht="15.75" thickBot="1" x14ac:dyDescent="0.3">
      <c r="A50" s="118" t="s">
        <v>103</v>
      </c>
      <c r="B50" s="119" t="s">
        <v>73</v>
      </c>
      <c r="C50" s="120">
        <v>0.05</v>
      </c>
      <c r="D50" s="120">
        <v>0.05</v>
      </c>
      <c r="E50" s="120">
        <v>0.05</v>
      </c>
      <c r="F50" s="120">
        <v>0.05</v>
      </c>
      <c r="G50" s="120">
        <v>0.05</v>
      </c>
      <c r="H50" s="120">
        <v>0.08</v>
      </c>
      <c r="I50" s="120">
        <v>0.12</v>
      </c>
      <c r="J50" s="120">
        <v>0.12</v>
      </c>
      <c r="K50" s="121">
        <v>0.19</v>
      </c>
    </row>
    <row r="51" spans="1:11" ht="15.75" thickTop="1" x14ac:dyDescent="0.25">
      <c r="A51" s="98"/>
    </row>
    <row r="52" spans="1:11" x14ac:dyDescent="0.25">
      <c r="A52" s="98"/>
    </row>
  </sheetData>
  <mergeCells count="23">
    <mergeCell ref="A2:B2"/>
    <mergeCell ref="A1:K1"/>
    <mergeCell ref="A25:K25"/>
    <mergeCell ref="A26:B26"/>
    <mergeCell ref="C26:K26"/>
    <mergeCell ref="C11:K11"/>
    <mergeCell ref="C18:K18"/>
    <mergeCell ref="A4:B4"/>
    <mergeCell ref="A11:B11"/>
    <mergeCell ref="A18:B18"/>
    <mergeCell ref="A3:K3"/>
    <mergeCell ref="C4:K4"/>
    <mergeCell ref="A35:K35"/>
    <mergeCell ref="C36:K36"/>
    <mergeCell ref="A36:B36"/>
    <mergeCell ref="A38:B38"/>
    <mergeCell ref="C38:K38"/>
    <mergeCell ref="A37:B37"/>
    <mergeCell ref="A39:B39"/>
    <mergeCell ref="A40:B40"/>
    <mergeCell ref="A41:B41"/>
    <mergeCell ref="A42:B42"/>
    <mergeCell ref="C42:K42"/>
  </mergeCells>
  <pageMargins left="0.7" right="0.7" top="0.75" bottom="0.75" header="0.3" footer="0.3"/>
  <pageSetup paperSize="9" orientation="portrait" horizontalDpi="1440" verticalDpi="144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K18"/>
  <sheetViews>
    <sheetView topLeftCell="B1" zoomScale="70" zoomScaleNormal="70" workbookViewId="0">
      <selection activeCell="E23" sqref="E23"/>
    </sheetView>
  </sheetViews>
  <sheetFormatPr baseColWidth="10" defaultColWidth="11.42578125" defaultRowHeight="15" x14ac:dyDescent="0.25"/>
  <cols>
    <col min="1" max="2" width="20.85546875" customWidth="1"/>
    <col min="3" max="4" width="20.85546875" style="61" customWidth="1"/>
    <col min="5" max="11" width="25.140625" customWidth="1"/>
  </cols>
  <sheetData>
    <row r="1" spans="1:11" ht="46.5" thickTop="1" thickBot="1" x14ac:dyDescent="0.65">
      <c r="A1" s="328" t="s">
        <v>202</v>
      </c>
      <c r="B1" s="329"/>
      <c r="C1" s="329"/>
      <c r="D1" s="329"/>
      <c r="E1" s="329"/>
      <c r="F1" s="329"/>
      <c r="G1" s="329"/>
      <c r="H1" s="329"/>
      <c r="I1" s="329"/>
      <c r="J1" s="329"/>
      <c r="K1" s="330"/>
    </row>
    <row r="2" spans="1:11" ht="64.5" customHeight="1" thickBot="1" x14ac:dyDescent="0.3">
      <c r="A2" s="323" t="s">
        <v>70</v>
      </c>
      <c r="B2" s="324"/>
      <c r="C2" s="101" t="s">
        <v>241</v>
      </c>
      <c r="D2" s="101" t="s">
        <v>240</v>
      </c>
      <c r="E2" s="101" t="s">
        <v>203</v>
      </c>
      <c r="F2" s="101" t="s">
        <v>204</v>
      </c>
      <c r="G2" s="101" t="s">
        <v>205</v>
      </c>
      <c r="H2" s="101" t="s">
        <v>206</v>
      </c>
      <c r="I2" s="101" t="s">
        <v>207</v>
      </c>
      <c r="J2" s="101" t="s">
        <v>208</v>
      </c>
      <c r="K2" s="110" t="s">
        <v>209</v>
      </c>
    </row>
    <row r="3" spans="1:11" ht="15.75" customHeight="1" thickBot="1" x14ac:dyDescent="0.3">
      <c r="A3" s="323" t="s">
        <v>74</v>
      </c>
      <c r="B3" s="324"/>
      <c r="C3" s="324"/>
      <c r="D3" s="324"/>
      <c r="E3" s="324"/>
      <c r="F3" s="324"/>
      <c r="G3" s="324"/>
      <c r="H3" s="324"/>
      <c r="I3" s="324"/>
      <c r="J3" s="324"/>
      <c r="K3" s="325"/>
    </row>
    <row r="4" spans="1:11" ht="15" customHeight="1" x14ac:dyDescent="0.25">
      <c r="A4" s="326" t="s">
        <v>85</v>
      </c>
      <c r="B4" s="327"/>
      <c r="C4" s="344"/>
      <c r="D4" s="339"/>
      <c r="E4" s="339"/>
      <c r="F4" s="339"/>
      <c r="G4" s="339"/>
      <c r="H4" s="339"/>
      <c r="I4" s="339"/>
      <c r="J4" s="339"/>
      <c r="K4" s="340"/>
    </row>
    <row r="5" spans="1:11" x14ac:dyDescent="0.25">
      <c r="A5" s="231" t="s">
        <v>200</v>
      </c>
      <c r="B5" s="107">
        <v>10000</v>
      </c>
      <c r="C5" s="103">
        <v>4.0000000000000001E-3</v>
      </c>
      <c r="D5" s="103">
        <v>2E-3</v>
      </c>
      <c r="E5" s="103">
        <v>7.4999999999999997E-3</v>
      </c>
      <c r="F5" s="103">
        <v>8.9999999999999993E-3</v>
      </c>
      <c r="G5" s="103">
        <v>8.9999999999999993E-3</v>
      </c>
      <c r="H5" s="103">
        <v>8.9999999999999993E-3</v>
      </c>
      <c r="I5" s="103">
        <v>1.6E-2</v>
      </c>
      <c r="J5" s="103">
        <v>8.9999999999999993E-3</v>
      </c>
      <c r="K5" s="112">
        <v>8.9999999999999993E-3</v>
      </c>
    </row>
    <row r="6" spans="1:11" ht="15.75" thickBot="1" x14ac:dyDescent="0.3">
      <c r="A6" s="231" t="s">
        <v>201</v>
      </c>
      <c r="B6" s="107">
        <v>10000</v>
      </c>
      <c r="C6" s="103">
        <v>5.0000000000000001E-3</v>
      </c>
      <c r="D6" s="103">
        <v>3.0000000000000001E-3</v>
      </c>
      <c r="E6" s="103">
        <v>0.01</v>
      </c>
      <c r="F6" s="103">
        <v>1.2E-2</v>
      </c>
      <c r="G6" s="103">
        <v>1.2E-2</v>
      </c>
      <c r="H6" s="103">
        <v>1.2E-2</v>
      </c>
      <c r="I6" s="103">
        <v>2.1999999999999999E-2</v>
      </c>
      <c r="J6" s="103">
        <v>1.2500000000000001E-2</v>
      </c>
      <c r="K6" s="112">
        <v>1.2E-2</v>
      </c>
    </row>
    <row r="7" spans="1:11" ht="15.75" customHeight="1" thickBot="1" x14ac:dyDescent="0.3">
      <c r="A7" s="323" t="s">
        <v>88</v>
      </c>
      <c r="B7" s="324"/>
      <c r="C7" s="324"/>
      <c r="D7" s="324"/>
      <c r="E7" s="324"/>
      <c r="F7" s="324"/>
      <c r="G7" s="324"/>
      <c r="H7" s="324"/>
      <c r="I7" s="324"/>
      <c r="J7" s="324"/>
      <c r="K7" s="325"/>
    </row>
    <row r="8" spans="1:11" ht="15" customHeight="1" x14ac:dyDescent="0.25">
      <c r="A8" s="317"/>
      <c r="B8" s="318"/>
      <c r="C8" s="344" t="s">
        <v>89</v>
      </c>
      <c r="D8" s="339"/>
      <c r="E8" s="339"/>
      <c r="F8" s="339"/>
      <c r="G8" s="339"/>
      <c r="H8" s="339"/>
      <c r="I8" s="339"/>
      <c r="J8" s="339"/>
      <c r="K8" s="340"/>
    </row>
    <row r="9" spans="1:11" ht="15.75" thickBot="1" x14ac:dyDescent="0.3">
      <c r="A9" s="282" t="s">
        <v>104</v>
      </c>
      <c r="B9" s="283"/>
      <c r="C9" s="104">
        <v>0.02</v>
      </c>
      <c r="D9" s="104">
        <v>0.02</v>
      </c>
      <c r="E9" s="104">
        <v>0.02</v>
      </c>
      <c r="F9" s="104">
        <v>0.02</v>
      </c>
      <c r="G9" s="104">
        <v>0.06</v>
      </c>
      <c r="H9" s="104">
        <v>0.06</v>
      </c>
      <c r="I9" s="104">
        <v>0.125</v>
      </c>
      <c r="J9" s="104">
        <v>0.1</v>
      </c>
      <c r="K9" s="114">
        <v>0.16</v>
      </c>
    </row>
    <row r="10" spans="1:11" ht="15" customHeight="1" x14ac:dyDescent="0.25">
      <c r="A10" s="317" t="s">
        <v>95</v>
      </c>
      <c r="B10" s="318"/>
      <c r="C10" s="344" t="s">
        <v>94</v>
      </c>
      <c r="D10" s="339"/>
      <c r="E10" s="339"/>
      <c r="F10" s="339"/>
      <c r="G10" s="339"/>
      <c r="H10" s="339"/>
      <c r="I10" s="339"/>
      <c r="J10" s="339"/>
      <c r="K10" s="340"/>
    </row>
    <row r="11" spans="1:11" x14ac:dyDescent="0.25">
      <c r="A11" s="232" t="s">
        <v>97</v>
      </c>
      <c r="B11" s="105">
        <f>10*1024</f>
        <v>10240</v>
      </c>
      <c r="C11" s="103">
        <v>0.06</v>
      </c>
      <c r="D11" s="103">
        <v>0.02</v>
      </c>
      <c r="E11" s="103">
        <v>8.5000000000000006E-2</v>
      </c>
      <c r="F11" s="103">
        <v>8.5000000000000006E-2</v>
      </c>
      <c r="G11" s="103">
        <v>0.14000000000000001</v>
      </c>
      <c r="H11" s="103">
        <v>0.14000000000000001</v>
      </c>
      <c r="I11" s="103">
        <v>0.25</v>
      </c>
      <c r="J11" s="103">
        <v>0.14000000000000001</v>
      </c>
      <c r="K11" s="112">
        <v>0.17</v>
      </c>
    </row>
    <row r="12" spans="1:11" x14ac:dyDescent="0.25">
      <c r="A12" s="232" t="s">
        <v>98</v>
      </c>
      <c r="B12" s="105">
        <f>50*1024</f>
        <v>51200</v>
      </c>
      <c r="C12" s="103">
        <v>0.06</v>
      </c>
      <c r="D12" s="103">
        <v>0.02</v>
      </c>
      <c r="E12" s="103">
        <v>0.08</v>
      </c>
      <c r="F12" s="103">
        <v>0.08</v>
      </c>
      <c r="G12" s="103">
        <v>0.13500000000000001</v>
      </c>
      <c r="H12" s="103">
        <v>0.13500000000000001</v>
      </c>
      <c r="I12" s="103">
        <v>0.2</v>
      </c>
      <c r="J12" s="103">
        <v>0.13500000000000001</v>
      </c>
      <c r="K12" s="112">
        <v>0.13</v>
      </c>
    </row>
    <row r="13" spans="1:11" x14ac:dyDescent="0.25">
      <c r="A13" s="232" t="s">
        <v>99</v>
      </c>
      <c r="B13" s="105">
        <f>150*1024</f>
        <v>153600</v>
      </c>
      <c r="C13" s="103">
        <v>0.06</v>
      </c>
      <c r="D13" s="103">
        <v>0.02</v>
      </c>
      <c r="E13" s="103">
        <v>0.06</v>
      </c>
      <c r="F13" s="103">
        <v>0.06</v>
      </c>
      <c r="G13" s="103">
        <v>0.12</v>
      </c>
      <c r="H13" s="103">
        <v>0.12</v>
      </c>
      <c r="I13" s="103">
        <v>0.18</v>
      </c>
      <c r="J13" s="103">
        <v>0.12</v>
      </c>
      <c r="K13" s="112">
        <v>0.11</v>
      </c>
    </row>
    <row r="14" spans="1:11" x14ac:dyDescent="0.25">
      <c r="A14" s="232" t="s">
        <v>100</v>
      </c>
      <c r="B14" s="105">
        <f>500*1024</f>
        <v>512000</v>
      </c>
      <c r="C14" s="103">
        <v>0.06</v>
      </c>
      <c r="D14" s="103">
        <v>0.02</v>
      </c>
      <c r="E14" s="103">
        <v>0.04</v>
      </c>
      <c r="F14" s="103">
        <v>0.04</v>
      </c>
      <c r="G14" s="103">
        <v>0.1</v>
      </c>
      <c r="H14" s="103">
        <v>0.1</v>
      </c>
      <c r="I14" s="103">
        <v>0.16</v>
      </c>
      <c r="J14" s="103">
        <v>0.1</v>
      </c>
      <c r="K14" s="112">
        <v>0.1</v>
      </c>
    </row>
    <row r="15" spans="1:11" x14ac:dyDescent="0.25">
      <c r="A15" s="232" t="s">
        <v>101</v>
      </c>
      <c r="B15" s="105">
        <f>1024*1024</f>
        <v>1048576</v>
      </c>
      <c r="C15" s="103">
        <v>0.06</v>
      </c>
      <c r="D15" s="103">
        <v>0.02</v>
      </c>
      <c r="E15" s="252">
        <v>0.03</v>
      </c>
      <c r="F15" s="252">
        <v>0.03</v>
      </c>
      <c r="G15" s="252">
        <v>0.08</v>
      </c>
      <c r="H15" s="252">
        <v>0.08</v>
      </c>
      <c r="I15" s="252">
        <v>0.14000000000000001</v>
      </c>
      <c r="J15" s="252">
        <v>9.5000000000000001E-2</v>
      </c>
      <c r="K15" s="117">
        <v>0.1</v>
      </c>
    </row>
    <row r="16" spans="1:11" x14ac:dyDescent="0.25">
      <c r="A16" s="232" t="s">
        <v>102</v>
      </c>
      <c r="B16" s="105">
        <f>5*1024*1024</f>
        <v>5242880</v>
      </c>
      <c r="C16" s="103">
        <v>0.06</v>
      </c>
      <c r="D16" s="103">
        <v>0.02</v>
      </c>
      <c r="E16" s="252">
        <v>2.5000000000000001E-2</v>
      </c>
      <c r="F16" s="252">
        <v>2.5000000000000001E-2</v>
      </c>
      <c r="G16" s="252">
        <v>7.0000000000000007E-2</v>
      </c>
      <c r="H16" s="252">
        <v>7.0000000000000007E-2</v>
      </c>
      <c r="I16" s="252">
        <v>0.13</v>
      </c>
      <c r="J16" s="252">
        <v>0.09</v>
      </c>
      <c r="K16" s="117">
        <v>0.1</v>
      </c>
    </row>
    <row r="17" spans="1:11" ht="15.75" thickBot="1" x14ac:dyDescent="0.3">
      <c r="A17" s="118" t="s">
        <v>103</v>
      </c>
      <c r="B17" s="119" t="s">
        <v>73</v>
      </c>
      <c r="C17" s="253">
        <v>0.06</v>
      </c>
      <c r="D17" s="253">
        <v>0.02</v>
      </c>
      <c r="E17" s="253">
        <v>0.02</v>
      </c>
      <c r="F17" s="253">
        <v>0.02</v>
      </c>
      <c r="G17" s="253">
        <v>0.06</v>
      </c>
      <c r="H17" s="253">
        <v>0.06</v>
      </c>
      <c r="I17" s="253">
        <v>0.125</v>
      </c>
      <c r="J17" s="253">
        <v>8.5000000000000006E-2</v>
      </c>
      <c r="K17" s="121">
        <v>0.1</v>
      </c>
    </row>
    <row r="18" spans="1:11" ht="15.75" thickTop="1" x14ac:dyDescent="0.25"/>
  </sheetData>
  <mergeCells count="11">
    <mergeCell ref="A3:K3"/>
    <mergeCell ref="A4:B4"/>
    <mergeCell ref="A7:K7"/>
    <mergeCell ref="A1:K1"/>
    <mergeCell ref="A2:B2"/>
    <mergeCell ref="C4:K4"/>
    <mergeCell ref="A10:B10"/>
    <mergeCell ref="A8:B8"/>
    <mergeCell ref="A9:B9"/>
    <mergeCell ref="C10:K10"/>
    <mergeCell ref="C8:K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F17"/>
  <sheetViews>
    <sheetView zoomScale="70" zoomScaleNormal="70" workbookViewId="0">
      <selection activeCell="A5" sqref="A5"/>
    </sheetView>
  </sheetViews>
  <sheetFormatPr baseColWidth="10" defaultColWidth="11.42578125" defaultRowHeight="15" x14ac:dyDescent="0.25"/>
  <cols>
    <col min="1" max="2" width="20.85546875" style="61" customWidth="1"/>
    <col min="3" max="6" width="25.140625" style="61" customWidth="1"/>
    <col min="7" max="16384" width="11.42578125" style="61"/>
  </cols>
  <sheetData>
    <row r="1" spans="1:6" ht="46.5" thickTop="1" thickBot="1" x14ac:dyDescent="0.65">
      <c r="A1" s="328" t="s">
        <v>213</v>
      </c>
      <c r="B1" s="329"/>
      <c r="C1" s="329"/>
      <c r="D1" s="329"/>
      <c r="E1" s="329"/>
      <c r="F1" s="330"/>
    </row>
    <row r="2" spans="1:6" ht="64.5" customHeight="1" thickBot="1" x14ac:dyDescent="0.3">
      <c r="A2" s="323" t="s">
        <v>70</v>
      </c>
      <c r="B2" s="324"/>
      <c r="C2" s="101" t="s">
        <v>215</v>
      </c>
      <c r="D2" s="101" t="s">
        <v>204</v>
      </c>
      <c r="E2" s="101" t="s">
        <v>214</v>
      </c>
      <c r="F2" s="110" t="s">
        <v>208</v>
      </c>
    </row>
    <row r="3" spans="1:6" ht="15.75" customHeight="1" thickBot="1" x14ac:dyDescent="0.3">
      <c r="A3" s="323" t="s">
        <v>74</v>
      </c>
      <c r="B3" s="324"/>
      <c r="C3" s="324"/>
      <c r="D3" s="324"/>
      <c r="E3" s="324"/>
      <c r="F3" s="325"/>
    </row>
    <row r="4" spans="1:6" ht="15" customHeight="1" x14ac:dyDescent="0.25">
      <c r="A4" s="326" t="s">
        <v>85</v>
      </c>
      <c r="B4" s="327"/>
      <c r="C4" s="342"/>
      <c r="D4" s="342"/>
      <c r="E4" s="342"/>
      <c r="F4" s="343"/>
    </row>
    <row r="5" spans="1:6" ht="15.75" thickBot="1" x14ac:dyDescent="0.3">
      <c r="A5" s="231" t="s">
        <v>220</v>
      </c>
      <c r="B5" s="107">
        <v>1</v>
      </c>
      <c r="C5" s="103">
        <v>0</v>
      </c>
      <c r="D5" s="103">
        <v>0</v>
      </c>
      <c r="E5" s="103">
        <v>0</v>
      </c>
      <c r="F5" s="112">
        <v>0</v>
      </c>
    </row>
    <row r="6" spans="1:6" ht="15.75" customHeight="1" thickBot="1" x14ac:dyDescent="0.3">
      <c r="A6" s="323" t="s">
        <v>88</v>
      </c>
      <c r="B6" s="324"/>
      <c r="C6" s="324"/>
      <c r="D6" s="324"/>
      <c r="E6" s="324"/>
      <c r="F6" s="325"/>
    </row>
    <row r="7" spans="1:6" ht="15" customHeight="1" x14ac:dyDescent="0.25">
      <c r="A7" s="317" t="s">
        <v>95</v>
      </c>
      <c r="B7" s="318"/>
      <c r="C7" s="339" t="s">
        <v>94</v>
      </c>
      <c r="D7" s="339"/>
      <c r="E7" s="339"/>
      <c r="F7" s="340"/>
    </row>
    <row r="8" spans="1:6" x14ac:dyDescent="0.25">
      <c r="A8" s="232" t="s">
        <v>216</v>
      </c>
      <c r="B8" s="105">
        <f>50*1024</f>
        <v>51200</v>
      </c>
      <c r="C8" s="103">
        <v>0.06</v>
      </c>
      <c r="D8" s="103">
        <v>0.06</v>
      </c>
      <c r="E8" s="103">
        <v>9.5000000000000001E-2</v>
      </c>
      <c r="F8" s="112">
        <v>9.5000000000000001E-2</v>
      </c>
    </row>
    <row r="9" spans="1:6" x14ac:dyDescent="0.25">
      <c r="A9" s="232" t="s">
        <v>99</v>
      </c>
      <c r="B9" s="105">
        <f>150*1024</f>
        <v>153600</v>
      </c>
      <c r="C9" s="103">
        <v>0.04</v>
      </c>
      <c r="D9" s="103">
        <v>0.04</v>
      </c>
      <c r="E9" s="103">
        <v>7.0000000000000007E-2</v>
      </c>
      <c r="F9" s="112">
        <v>7.0000000000000007E-2</v>
      </c>
    </row>
    <row r="10" spans="1:6" x14ac:dyDescent="0.25">
      <c r="A10" s="232" t="s">
        <v>219</v>
      </c>
      <c r="B10" s="105">
        <f>350*1024</f>
        <v>358400</v>
      </c>
      <c r="C10" s="103">
        <v>3.5000000000000003E-2</v>
      </c>
      <c r="D10" s="103">
        <v>3.5000000000000003E-2</v>
      </c>
      <c r="E10" s="103">
        <v>0.06</v>
      </c>
      <c r="F10" s="112">
        <v>0.06</v>
      </c>
    </row>
    <row r="11" spans="1:6" x14ac:dyDescent="0.25">
      <c r="A11" s="232" t="s">
        <v>217</v>
      </c>
      <c r="B11" s="105">
        <f>1*1024*1024</f>
        <v>1048576</v>
      </c>
      <c r="C11" s="103">
        <v>0.03</v>
      </c>
      <c r="D11" s="103">
        <v>0.03</v>
      </c>
      <c r="E11" s="103">
        <v>0.05</v>
      </c>
      <c r="F11" s="112">
        <v>0.05</v>
      </c>
    </row>
    <row r="12" spans="1:6" x14ac:dyDescent="0.25">
      <c r="A12" s="232" t="s">
        <v>218</v>
      </c>
      <c r="B12" s="105">
        <f>2*1024*1024</f>
        <v>2097152</v>
      </c>
      <c r="C12" s="252">
        <v>0.02</v>
      </c>
      <c r="D12" s="252">
        <v>0.02</v>
      </c>
      <c r="E12" s="252">
        <v>0.05</v>
      </c>
      <c r="F12" s="250">
        <v>0.05</v>
      </c>
    </row>
    <row r="13" spans="1:6" x14ac:dyDescent="0.25">
      <c r="A13" s="232" t="s">
        <v>218</v>
      </c>
      <c r="B13" s="105">
        <f>3*1024*1024</f>
        <v>3145728</v>
      </c>
      <c r="C13" s="252">
        <v>1.6E-2</v>
      </c>
      <c r="D13" s="252">
        <v>1.6E-2</v>
      </c>
      <c r="E13" s="252">
        <v>0.05</v>
      </c>
      <c r="F13" s="250">
        <v>0.05</v>
      </c>
    </row>
    <row r="14" spans="1:6" x14ac:dyDescent="0.25">
      <c r="A14" s="232" t="s">
        <v>218</v>
      </c>
      <c r="B14" s="105">
        <f>4*1024*1024</f>
        <v>4194304</v>
      </c>
      <c r="C14" s="252">
        <v>1.2E-2</v>
      </c>
      <c r="D14" s="252">
        <v>1.2E-2</v>
      </c>
      <c r="E14" s="252">
        <v>0.05</v>
      </c>
      <c r="F14" s="250">
        <v>0.05</v>
      </c>
    </row>
    <row r="15" spans="1:6" x14ac:dyDescent="0.25">
      <c r="A15" s="232" t="s">
        <v>218</v>
      </c>
      <c r="B15" s="105">
        <f>5*1024*1024</f>
        <v>5242880</v>
      </c>
      <c r="C15" s="252">
        <v>8.0000000000000002E-3</v>
      </c>
      <c r="D15" s="252">
        <v>8.0000000000000002E-3</v>
      </c>
      <c r="E15" s="252">
        <v>0.05</v>
      </c>
      <c r="F15" s="250">
        <v>0.05</v>
      </c>
    </row>
    <row r="16" spans="1:6" ht="15.75" thickBot="1" x14ac:dyDescent="0.3">
      <c r="A16" s="118" t="s">
        <v>103</v>
      </c>
      <c r="B16" s="119" t="s">
        <v>73</v>
      </c>
      <c r="C16" s="120">
        <v>8.0000000000000002E-3</v>
      </c>
      <c r="D16" s="120">
        <v>8.0000000000000002E-3</v>
      </c>
      <c r="E16" s="120">
        <v>0.05</v>
      </c>
      <c r="F16" s="121">
        <v>0.05</v>
      </c>
    </row>
    <row r="17" ht="15.75" thickTop="1" x14ac:dyDescent="0.25"/>
  </sheetData>
  <mergeCells count="8">
    <mergeCell ref="A7:B7"/>
    <mergeCell ref="C7:F7"/>
    <mergeCell ref="A1:F1"/>
    <mergeCell ref="A2:B2"/>
    <mergeCell ref="A3:F3"/>
    <mergeCell ref="A4:B4"/>
    <mergeCell ref="C4:F4"/>
    <mergeCell ref="A6:F6"/>
  </mergeCells>
  <pageMargins left="0.7" right="0.7" top="0.75" bottom="0.75" header="0.3" footer="0.3"/>
  <pageSetup paperSize="9" orientation="portrait" horizontalDpi="1440" verticalDpi="144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70" zoomScaleNormal="70" workbookViewId="0">
      <selection activeCell="F14" sqref="F14"/>
    </sheetView>
  </sheetViews>
  <sheetFormatPr baseColWidth="10" defaultColWidth="11.42578125" defaultRowHeight="15" x14ac:dyDescent="0.25"/>
  <cols>
    <col min="1" max="2" width="20.85546875" style="61" customWidth="1"/>
    <col min="3" max="5" width="25.140625" style="61" customWidth="1"/>
    <col min="6" max="16384" width="11.42578125" style="61"/>
  </cols>
  <sheetData>
    <row r="1" spans="1:5" ht="46.5" thickTop="1" thickBot="1" x14ac:dyDescent="0.65">
      <c r="A1" s="328" t="s">
        <v>224</v>
      </c>
      <c r="B1" s="329"/>
      <c r="C1" s="329"/>
      <c r="D1" s="329"/>
      <c r="E1" s="330"/>
    </row>
    <row r="2" spans="1:5" ht="64.5" customHeight="1" thickBot="1" x14ac:dyDescent="0.3">
      <c r="A2" s="323" t="s">
        <v>70</v>
      </c>
      <c r="B2" s="324"/>
      <c r="C2" s="101" t="s">
        <v>215</v>
      </c>
      <c r="D2" s="101" t="s">
        <v>204</v>
      </c>
      <c r="E2" s="110" t="s">
        <v>225</v>
      </c>
    </row>
    <row r="3" spans="1:5" ht="15.75" customHeight="1" thickBot="1" x14ac:dyDescent="0.3">
      <c r="A3" s="323" t="s">
        <v>74</v>
      </c>
      <c r="B3" s="324"/>
      <c r="C3" s="324"/>
      <c r="D3" s="324"/>
      <c r="E3" s="325"/>
    </row>
    <row r="4" spans="1:5" ht="15" customHeight="1" x14ac:dyDescent="0.25">
      <c r="A4" s="326" t="s">
        <v>85</v>
      </c>
      <c r="B4" s="327"/>
      <c r="C4" s="342"/>
      <c r="D4" s="342"/>
      <c r="E4" s="343"/>
    </row>
    <row r="5" spans="1:5" ht="15.75" thickBot="1" x14ac:dyDescent="0.3">
      <c r="A5" s="235" t="s">
        <v>220</v>
      </c>
      <c r="B5" s="107">
        <v>1</v>
      </c>
      <c r="C5" s="103">
        <v>0</v>
      </c>
      <c r="D5" s="103">
        <v>0</v>
      </c>
      <c r="E5" s="112">
        <v>0</v>
      </c>
    </row>
    <row r="6" spans="1:5" ht="15.75" customHeight="1" thickBot="1" x14ac:dyDescent="0.3">
      <c r="A6" s="323" t="s">
        <v>88</v>
      </c>
      <c r="B6" s="324"/>
      <c r="C6" s="324"/>
      <c r="D6" s="324"/>
      <c r="E6" s="325"/>
    </row>
    <row r="7" spans="1:5" ht="15" customHeight="1" x14ac:dyDescent="0.25">
      <c r="A7" s="317" t="s">
        <v>95</v>
      </c>
      <c r="B7" s="318"/>
      <c r="C7" s="339" t="s">
        <v>94</v>
      </c>
      <c r="D7" s="339"/>
      <c r="E7" s="340"/>
    </row>
    <row r="8" spans="1:5" x14ac:dyDescent="0.25">
      <c r="A8" s="236" t="s">
        <v>97</v>
      </c>
      <c r="B8" s="105">
        <f>10*1024</f>
        <v>10240</v>
      </c>
      <c r="C8" s="103">
        <v>0.04</v>
      </c>
      <c r="D8" s="103">
        <v>0.04</v>
      </c>
      <c r="E8" s="112">
        <v>0.04</v>
      </c>
    </row>
    <row r="9" spans="1:5" x14ac:dyDescent="0.25">
      <c r="A9" s="236" t="s">
        <v>98</v>
      </c>
      <c r="B9" s="105">
        <f>50*1024</f>
        <v>51200</v>
      </c>
      <c r="C9" s="103">
        <v>3.5999999999999997E-2</v>
      </c>
      <c r="D9" s="103">
        <v>3.5999999999999997E-2</v>
      </c>
      <c r="E9" s="112">
        <v>0.04</v>
      </c>
    </row>
    <row r="10" spans="1:5" x14ac:dyDescent="0.25">
      <c r="A10" s="236" t="s">
        <v>99</v>
      </c>
      <c r="B10" s="105">
        <f>150*1024</f>
        <v>153600</v>
      </c>
      <c r="C10" s="103">
        <v>3.2000000000000001E-2</v>
      </c>
      <c r="D10" s="103">
        <v>3.2000000000000001E-2</v>
      </c>
      <c r="E10" s="112">
        <v>0.04</v>
      </c>
    </row>
    <row r="11" spans="1:5" x14ac:dyDescent="0.25">
      <c r="A11" s="236" t="s">
        <v>100</v>
      </c>
      <c r="B11" s="105">
        <f>500*1024</f>
        <v>512000</v>
      </c>
      <c r="C11" s="103">
        <v>2.8000000000000001E-2</v>
      </c>
      <c r="D11" s="103">
        <v>2.8000000000000001E-2</v>
      </c>
      <c r="E11" s="112">
        <v>0.04</v>
      </c>
    </row>
    <row r="12" spans="1:5" x14ac:dyDescent="0.25">
      <c r="A12" s="236" t="s">
        <v>82</v>
      </c>
      <c r="B12" s="105">
        <f>1000*1024</f>
        <v>1024000</v>
      </c>
      <c r="C12" s="252">
        <v>0.02</v>
      </c>
      <c r="D12" s="252">
        <v>0.02</v>
      </c>
      <c r="E12" s="250">
        <v>0.04</v>
      </c>
    </row>
    <row r="13" spans="1:5" x14ac:dyDescent="0.25">
      <c r="A13" s="236" t="s">
        <v>226</v>
      </c>
      <c r="B13" s="105">
        <f>3*1024*1024</f>
        <v>3145728</v>
      </c>
      <c r="C13" s="252">
        <v>0.01</v>
      </c>
      <c r="D13" s="252">
        <v>0.01</v>
      </c>
      <c r="E13" s="250">
        <v>0.04</v>
      </c>
    </row>
    <row r="14" spans="1:5" ht="15.75" thickBot="1" x14ac:dyDescent="0.3">
      <c r="A14" s="118" t="s">
        <v>227</v>
      </c>
      <c r="B14" s="119" t="s">
        <v>73</v>
      </c>
      <c r="C14" s="120">
        <v>0.01</v>
      </c>
      <c r="D14" s="120">
        <v>0.01</v>
      </c>
      <c r="E14" s="121">
        <v>0.04</v>
      </c>
    </row>
    <row r="15" spans="1:5" ht="15.75" thickTop="1" x14ac:dyDescent="0.25"/>
  </sheetData>
  <mergeCells count="8">
    <mergeCell ref="A7:B7"/>
    <mergeCell ref="C7:E7"/>
    <mergeCell ref="A1:E1"/>
    <mergeCell ref="A2:B2"/>
    <mergeCell ref="A3:E3"/>
    <mergeCell ref="A4:B4"/>
    <mergeCell ref="C4:E4"/>
    <mergeCell ref="A6:E6"/>
  </mergeCells>
  <pageMargins left="0.7" right="0.7" top="0.75" bottom="0.75" header="0.3" footer="0.3"/>
  <pageSetup paperSize="9" orientation="portrait" horizontalDpi="1440" verticalDpi="144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13"/>
  <sheetViews>
    <sheetView workbookViewId="0">
      <selection activeCell="H10" sqref="H10"/>
    </sheetView>
  </sheetViews>
  <sheetFormatPr baseColWidth="10" defaultColWidth="11.42578125" defaultRowHeight="15" x14ac:dyDescent="0.25"/>
  <cols>
    <col min="1" max="1" width="21.42578125" customWidth="1"/>
    <col min="2" max="9" width="12.85546875" customWidth="1"/>
  </cols>
  <sheetData>
    <row r="1" spans="1:14" s="61" customFormat="1" ht="20.25" thickTop="1" thickBot="1" x14ac:dyDescent="0.35">
      <c r="A1" s="311" t="s">
        <v>124</v>
      </c>
      <c r="B1" s="310"/>
      <c r="C1" s="145">
        <v>0.33333333333333331</v>
      </c>
      <c r="D1" s="310" t="s">
        <v>122</v>
      </c>
      <c r="E1" s="310"/>
      <c r="F1" s="146" t="s">
        <v>120</v>
      </c>
      <c r="G1" s="310" t="s">
        <v>121</v>
      </c>
      <c r="H1" s="310"/>
      <c r="I1" s="147" t="s">
        <v>120</v>
      </c>
      <c r="L1" s="302" t="s">
        <v>199</v>
      </c>
      <c r="M1" s="303"/>
      <c r="N1" s="304"/>
    </row>
    <row r="2" spans="1:14" s="61" customFormat="1" ht="16.5" thickBot="1" x14ac:dyDescent="0.3">
      <c r="A2" s="307" t="s">
        <v>125</v>
      </c>
      <c r="B2" s="308"/>
      <c r="C2" s="148" t="s">
        <v>123</v>
      </c>
      <c r="D2" s="308" t="s">
        <v>172</v>
      </c>
      <c r="E2" s="308"/>
      <c r="F2" s="149" t="s">
        <v>120</v>
      </c>
      <c r="G2" s="308" t="s">
        <v>194</v>
      </c>
      <c r="H2" s="308"/>
      <c r="I2" s="150" t="s">
        <v>123</v>
      </c>
      <c r="L2" s="300" t="s">
        <v>195</v>
      </c>
      <c r="M2" s="301"/>
      <c r="N2" s="246">
        <f>IF($I$2="No",(H6*I6)+(H8*I8),(H10*I10))</f>
        <v>49333.333333333343</v>
      </c>
    </row>
    <row r="3" spans="1:14" s="1" customFormat="1" x14ac:dyDescent="0.25">
      <c r="A3" s="312"/>
      <c r="B3" s="314"/>
      <c r="C3" s="309"/>
      <c r="D3" s="309"/>
      <c r="E3" s="309" t="s">
        <v>25</v>
      </c>
      <c r="F3" s="309"/>
      <c r="G3" s="309" t="s">
        <v>26</v>
      </c>
      <c r="H3" s="309"/>
      <c r="I3" s="305" t="s">
        <v>119</v>
      </c>
      <c r="L3" s="300" t="s">
        <v>196</v>
      </c>
      <c r="M3" s="301"/>
      <c r="N3" s="247">
        <f>IF($I$2="No",(H5*I5)+(H7*I7),(H11*I11))</f>
        <v>148000</v>
      </c>
    </row>
    <row r="4" spans="1:14" s="1" customFormat="1" ht="15.75" thickBot="1" x14ac:dyDescent="0.3">
      <c r="A4" s="313"/>
      <c r="B4" s="143" t="s">
        <v>20</v>
      </c>
      <c r="C4" s="144" t="s">
        <v>21</v>
      </c>
      <c r="D4" s="144" t="s">
        <v>22</v>
      </c>
      <c r="E4" s="144" t="s">
        <v>23</v>
      </c>
      <c r="F4" s="144" t="s">
        <v>24</v>
      </c>
      <c r="G4" s="144" t="s">
        <v>27</v>
      </c>
      <c r="H4" s="144" t="s">
        <v>28</v>
      </c>
      <c r="I4" s="306"/>
      <c r="L4" s="298" t="s">
        <v>197</v>
      </c>
      <c r="M4" s="299"/>
      <c r="N4" s="249">
        <f>SUM(N2:N3)</f>
        <v>197333.33333333334</v>
      </c>
    </row>
    <row r="5" spans="1:14" ht="15.75" thickBot="1" x14ac:dyDescent="0.3">
      <c r="A5" s="142" t="s">
        <v>17</v>
      </c>
      <c r="B5" s="130">
        <v>200</v>
      </c>
      <c r="C5" s="130">
        <v>200</v>
      </c>
      <c r="D5" s="131">
        <f>B5*C5</f>
        <v>40000</v>
      </c>
      <c r="E5" s="132">
        <v>3</v>
      </c>
      <c r="F5" s="133">
        <f>D5*E5</f>
        <v>120000</v>
      </c>
      <c r="G5" s="134">
        <v>0.4</v>
      </c>
      <c r="H5" s="133">
        <f>F5*G5*I5</f>
        <v>48000</v>
      </c>
      <c r="I5" s="135">
        <f>IF(AND($I$1="Sí",$F$2="Sí",$I$2="No"),1,0)</f>
        <v>1</v>
      </c>
      <c r="L5" s="296" t="s">
        <v>198</v>
      </c>
      <c r="M5" s="297"/>
      <c r="N5" s="248">
        <f>IF($I$2="No",(H9*I9),(H12*I12))</f>
        <v>235929.60000000001</v>
      </c>
    </row>
    <row r="6" spans="1:14" s="1" customFormat="1" ht="15.75" thickTop="1" x14ac:dyDescent="0.25">
      <c r="A6" s="142" t="s">
        <v>29</v>
      </c>
      <c r="B6" s="130">
        <f>B5/SQRT(3)</f>
        <v>115.47005383792516</v>
      </c>
      <c r="C6" s="130">
        <f>C5/SQRT(3)</f>
        <v>115.47005383792516</v>
      </c>
      <c r="D6" s="131">
        <f t="shared" ref="D6:D9" si="0">B6*C6</f>
        <v>13333.333333333336</v>
      </c>
      <c r="E6" s="132">
        <v>3</v>
      </c>
      <c r="F6" s="133">
        <f t="shared" ref="F6:F9" si="1">D6*E6</f>
        <v>40000.000000000007</v>
      </c>
      <c r="G6" s="134">
        <v>0.4</v>
      </c>
      <c r="H6" s="133">
        <f t="shared" ref="H6:H9" si="2">F6*G6*I6</f>
        <v>16000.000000000004</v>
      </c>
      <c r="I6" s="135">
        <f>IF(AND($F$1="Sí",$F$2="Sí",$I$2="No"),1,0)</f>
        <v>1</v>
      </c>
    </row>
    <row r="7" spans="1:14" x14ac:dyDescent="0.25">
      <c r="A7" s="142" t="s">
        <v>19</v>
      </c>
      <c r="B7" s="130">
        <v>500</v>
      </c>
      <c r="C7" s="130">
        <v>1000</v>
      </c>
      <c r="D7" s="131">
        <f t="shared" si="0"/>
        <v>500000</v>
      </c>
      <c r="E7" s="132">
        <v>3</v>
      </c>
      <c r="F7" s="133">
        <f t="shared" si="1"/>
        <v>1500000</v>
      </c>
      <c r="G7" s="134">
        <v>6.6666666666666666E-2</v>
      </c>
      <c r="H7" s="133">
        <f t="shared" si="2"/>
        <v>100000</v>
      </c>
      <c r="I7" s="135">
        <f>I5</f>
        <v>1</v>
      </c>
    </row>
    <row r="8" spans="1:14" s="1" customFormat="1" x14ac:dyDescent="0.25">
      <c r="A8" s="142" t="s">
        <v>30</v>
      </c>
      <c r="B8" s="130">
        <f>B7/SQRT(3)</f>
        <v>288.6751345948129</v>
      </c>
      <c r="C8" s="130">
        <f>C7/SQRT(3)</f>
        <v>577.35026918962581</v>
      </c>
      <c r="D8" s="131">
        <f t="shared" si="0"/>
        <v>166666.66666666669</v>
      </c>
      <c r="E8" s="132">
        <v>3</v>
      </c>
      <c r="F8" s="133">
        <f t="shared" si="1"/>
        <v>500000.00000000006</v>
      </c>
      <c r="G8" s="134">
        <v>6.6666666666666666E-2</v>
      </c>
      <c r="H8" s="133">
        <f t="shared" si="2"/>
        <v>33333.333333333336</v>
      </c>
      <c r="I8" s="135">
        <f>I6</f>
        <v>1</v>
      </c>
    </row>
    <row r="9" spans="1:14" ht="15.75" thickBot="1" x14ac:dyDescent="0.3">
      <c r="A9" s="245" t="s">
        <v>18</v>
      </c>
      <c r="B9" s="237">
        <v>1152</v>
      </c>
      <c r="C9" s="238">
        <f>(B9/9)*16</f>
        <v>2048</v>
      </c>
      <c r="D9" s="239">
        <f t="shared" si="0"/>
        <v>2359296</v>
      </c>
      <c r="E9" s="240">
        <v>3</v>
      </c>
      <c r="F9" s="241">
        <f t="shared" si="1"/>
        <v>7077888</v>
      </c>
      <c r="G9" s="242">
        <v>3.3333333333333333E-2</v>
      </c>
      <c r="H9" s="241">
        <f t="shared" si="2"/>
        <v>235929.60000000001</v>
      </c>
      <c r="I9" s="243">
        <f>IF($I$2="No",1,0)</f>
        <v>1</v>
      </c>
    </row>
    <row r="10" spans="1:14" s="61" customFormat="1" x14ac:dyDescent="0.25">
      <c r="A10" s="142" t="s">
        <v>192</v>
      </c>
      <c r="B10" s="130">
        <f>B11/SQRT(3)</f>
        <v>288.6751345948129</v>
      </c>
      <c r="C10" s="130">
        <f>C11/SQRT(3)</f>
        <v>577.35026918962581</v>
      </c>
      <c r="D10" s="131">
        <f t="shared" ref="D10" si="3">B10*C10</f>
        <v>166666.66666666669</v>
      </c>
      <c r="E10" s="132">
        <v>3</v>
      </c>
      <c r="F10" s="133">
        <f t="shared" ref="F10" si="4">D10*E10</f>
        <v>500000.00000000006</v>
      </c>
      <c r="G10" s="134">
        <f>1/10</f>
        <v>0.1</v>
      </c>
      <c r="H10" s="133">
        <f t="shared" ref="H10" si="5">F10*G10*I10</f>
        <v>0</v>
      </c>
      <c r="I10" s="135">
        <f>IF(AND($I$2="Sí",$F$1="Sí",$F$2="Sí"),1,0)</f>
        <v>0</v>
      </c>
    </row>
    <row r="11" spans="1:14" s="61" customFormat="1" x14ac:dyDescent="0.25">
      <c r="A11" s="142" t="s">
        <v>193</v>
      </c>
      <c r="B11" s="130">
        <v>500</v>
      </c>
      <c r="C11" s="130">
        <v>1000</v>
      </c>
      <c r="D11" s="131">
        <f t="shared" ref="D11" si="6">B11*C11</f>
        <v>500000</v>
      </c>
      <c r="E11" s="132">
        <v>3</v>
      </c>
      <c r="F11" s="133">
        <f t="shared" ref="F11" si="7">D11*E11</f>
        <v>1500000</v>
      </c>
      <c r="G11" s="134">
        <f>1/10</f>
        <v>0.1</v>
      </c>
      <c r="H11" s="133">
        <f t="shared" ref="H11" si="8">F11*G11*I11</f>
        <v>0</v>
      </c>
      <c r="I11" s="135">
        <f>IF(AND($I$2="Sí",$I$1="Sí",$F$2="Sí"),1,0)</f>
        <v>0</v>
      </c>
    </row>
    <row r="12" spans="1:14" ht="15.75" thickBot="1" x14ac:dyDescent="0.3">
      <c r="A12" s="244" t="s">
        <v>191</v>
      </c>
      <c r="B12" s="136">
        <v>1152</v>
      </c>
      <c r="C12" s="136">
        <f>(B12/9)*16</f>
        <v>2048</v>
      </c>
      <c r="D12" s="137">
        <f t="shared" ref="D12" si="9">B12*C12</f>
        <v>2359296</v>
      </c>
      <c r="E12" s="138">
        <v>3</v>
      </c>
      <c r="F12" s="139">
        <f t="shared" ref="F12" si="10">D12*E12</f>
        <v>7077888</v>
      </c>
      <c r="G12" s="140">
        <f>(1/30)</f>
        <v>3.3333333333333333E-2</v>
      </c>
      <c r="H12" s="139">
        <f>((F12*G12)+((1/10)*IF($F$2="No",IF($I$1="Sí",F11,IF($F$1="Sí",F10,0)),0)))*I12</f>
        <v>0</v>
      </c>
      <c r="I12" s="141">
        <f>IF(AND($I$2="Sí"),1,0)</f>
        <v>0</v>
      </c>
    </row>
    <row r="13" spans="1:14" ht="15.75" thickTop="1" x14ac:dyDescent="0.25"/>
  </sheetData>
  <mergeCells count="16">
    <mergeCell ref="I3:I4"/>
    <mergeCell ref="A2:B2"/>
    <mergeCell ref="E3:F3"/>
    <mergeCell ref="G3:H3"/>
    <mergeCell ref="D1:E1"/>
    <mergeCell ref="G1:H1"/>
    <mergeCell ref="A1:B1"/>
    <mergeCell ref="A3:A4"/>
    <mergeCell ref="B3:D3"/>
    <mergeCell ref="D2:E2"/>
    <mergeCell ref="G2:H2"/>
    <mergeCell ref="L5:M5"/>
    <mergeCell ref="L4:M4"/>
    <mergeCell ref="L3:M3"/>
    <mergeCell ref="L2:M2"/>
    <mergeCell ref="L1:N1"/>
  </mergeCells>
  <dataValidations count="1">
    <dataValidation type="list" showInputMessage="1" showErrorMessage="1" sqref="F1:F2 I1:I2 C2">
      <formula1>"Sí,No"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45"/>
  <sheetViews>
    <sheetView workbookViewId="0">
      <selection activeCell="A19" sqref="A19:C19"/>
    </sheetView>
  </sheetViews>
  <sheetFormatPr baseColWidth="10" defaultColWidth="11.42578125" defaultRowHeight="15" x14ac:dyDescent="0.25"/>
  <cols>
    <col min="1" max="1" width="32.85546875" customWidth="1"/>
    <col min="2" max="2" width="17.140625" customWidth="1"/>
    <col min="3" max="3" width="32.85546875" customWidth="1"/>
    <col min="7" max="7" width="20.140625" bestFit="1" customWidth="1"/>
  </cols>
  <sheetData>
    <row r="1" spans="1:7" ht="46.5" thickTop="1" thickBot="1" x14ac:dyDescent="0.65">
      <c r="A1" s="328" t="s">
        <v>48</v>
      </c>
      <c r="B1" s="329"/>
      <c r="C1" s="330"/>
    </row>
    <row r="2" spans="1:7" x14ac:dyDescent="0.25">
      <c r="A2" s="331" t="s">
        <v>61</v>
      </c>
      <c r="B2" s="332"/>
      <c r="C2" s="159" t="s">
        <v>62</v>
      </c>
      <c r="G2" s="102"/>
    </row>
    <row r="3" spans="1:7" s="61" customFormat="1" ht="15.75" thickBot="1" x14ac:dyDescent="0.3">
      <c r="A3" s="319" t="s">
        <v>114</v>
      </c>
      <c r="B3" s="320"/>
      <c r="C3" s="160" t="s">
        <v>69</v>
      </c>
      <c r="G3" s="102"/>
    </row>
    <row r="4" spans="1:7" ht="15.75" thickBot="1" x14ac:dyDescent="0.3">
      <c r="A4" s="323" t="s">
        <v>71</v>
      </c>
      <c r="B4" s="324"/>
      <c r="C4" s="325"/>
    </row>
    <row r="5" spans="1:7" x14ac:dyDescent="0.25">
      <c r="A5" s="317" t="s">
        <v>95</v>
      </c>
      <c r="B5" s="318"/>
      <c r="C5" s="122" t="s">
        <v>115</v>
      </c>
    </row>
    <row r="6" spans="1:7" x14ac:dyDescent="0.25">
      <c r="A6" s="111" t="str">
        <f ca="1">OFFSET('Datos Amazon S3'!$A5,IF($C$3="Estándar",5,IF($C$3="Redundancia reducida",12,5))-5,0)</f>
        <v>Primer TB</v>
      </c>
      <c r="B6" s="105">
        <f ca="1">OFFSET('Datos Amazon S3'!$B5,IF($C$3="Estándar",5,IF($C$3="Redundancia reducida",12,5))-5,0)</f>
        <v>1024</v>
      </c>
      <c r="C6" s="112">
        <f ca="1">OFFSET('Datos Amazon S3'!$C5,IF($C$3="Estándar",5,IF($C$3="Redundancia reducida",12,5))-5,MATCH($C$2,'Datos Amazon S3'!$C$2:$K$2,0)-1)</f>
        <v>0.03</v>
      </c>
    </row>
    <row r="7" spans="1:7" x14ac:dyDescent="0.25">
      <c r="A7" s="111" t="str">
        <f ca="1">OFFSET('Datos Amazon S3'!$A6,IF($C$3="Estándar",5,IF($C$3="Redundancia reducida",12,5))-5,0)</f>
        <v>Siguientes 49TB</v>
      </c>
      <c r="B7" s="105">
        <f ca="1">OFFSET('Datos Amazon S3'!$B6,IF($C$3="Estándar",5,IF($C$3="Redundancia reducida",12,5))-5,0)</f>
        <v>51200</v>
      </c>
      <c r="C7" s="112">
        <f ca="1">OFFSET('Datos Amazon S3'!$C6,IF($C$3="Estándar",5,IF($C$3="Redundancia reducida",12,5))-5,MATCH($C$2,'Datos Amazon S3'!$C$2:$K$2,0)-1)</f>
        <v>2.9499999999999998E-2</v>
      </c>
    </row>
    <row r="8" spans="1:7" x14ac:dyDescent="0.25">
      <c r="A8" s="111" t="str">
        <f ca="1">OFFSET('Datos Amazon S3'!$A7,IF($C$3="Estándar",5,IF($C$3="Redundancia reducida",12,5))-5,0)</f>
        <v>Siguientes 450TB</v>
      </c>
      <c r="B8" s="105">
        <f ca="1">OFFSET('Datos Amazon S3'!$B7,IF($C$3="Estándar",5,IF($C$3="Redundancia reducida",12,5))-5,0)</f>
        <v>512000</v>
      </c>
      <c r="C8" s="112">
        <f ca="1">OFFSET('Datos Amazon S3'!$C7,IF($C$3="Estándar",5,IF($C$3="Redundancia reducida",12,5))-5,MATCH($C$2,'Datos Amazon S3'!$C$2:$K$2,0)-1)</f>
        <v>2.9000000000000001E-2</v>
      </c>
    </row>
    <row r="9" spans="1:7" x14ac:dyDescent="0.25">
      <c r="A9" s="111" t="str">
        <f ca="1">OFFSET('Datos Amazon S3'!$A8,IF($C$3="Estándar",5,IF($C$3="Redundancia reducida",12,5))-5,0)</f>
        <v>Siguientes 500TB</v>
      </c>
      <c r="B9" s="105">
        <f ca="1">OFFSET('Datos Amazon S3'!$B8,IF($C$3="Estándar",5,IF($C$3="Redundancia reducida",12,5))-5,0)</f>
        <v>1024000</v>
      </c>
      <c r="C9" s="112">
        <f ca="1">OFFSET('Datos Amazon S3'!$C8,IF($C$3="Estándar",5,IF($C$3="Redundancia reducida",12,5))-5,MATCH($C$2,'Datos Amazon S3'!$C$2:$K$2,0)-1)</f>
        <v>2.8500000000000001E-2</v>
      </c>
    </row>
    <row r="10" spans="1:7" x14ac:dyDescent="0.25">
      <c r="A10" s="111" t="str">
        <f ca="1">OFFSET('Datos Amazon S3'!$A9,IF($C$3="Estándar",5,IF($C$3="Redundancia reducida",12,5))-5,0)</f>
        <v>Siguientes 4000TB</v>
      </c>
      <c r="B10" s="105">
        <f ca="1">OFFSET('Datos Amazon S3'!$B9,IF($C$3="Estándar",5,IF($C$3="Redundancia reducida",12,5))-5,0)</f>
        <v>5120000</v>
      </c>
      <c r="C10" s="112">
        <f ca="1">OFFSET('Datos Amazon S3'!$C9,IF($C$3="Estándar",5,IF($C$3="Redundancia reducida",12,5))-5,MATCH($C$2,'Datos Amazon S3'!$C$2:$K$2,0)-1)</f>
        <v>2.8000000000000001E-2</v>
      </c>
    </row>
    <row r="11" spans="1:7" ht="15.75" thickBot="1" x14ac:dyDescent="0.3">
      <c r="A11" s="113" t="str">
        <f ca="1">OFFSET('Datos Amazon S3'!$A10,IF($C$3="Estándar",5,IF($C$3="Redundancia reducida",12,5))-5,0)</f>
        <v>Más de 5000TB</v>
      </c>
      <c r="B11" s="106" t="str">
        <f ca="1">OFFSET('Datos Amazon S3'!$B10,IF($C$3="Estándar",5,IF($C$3="Redundancia reducida",12,5))-5,0)</f>
        <v>RESTO</v>
      </c>
      <c r="C11" s="114">
        <f ca="1">OFFSET('Datos Amazon S3'!$C10,IF($C$3="Estándar",5,IF($C$3="Redundancia reducida",12,5))-5,MATCH($C$2,'Datos Amazon S3'!$C$2:$K$2,0)-1)</f>
        <v>2.75E-2</v>
      </c>
    </row>
    <row r="12" spans="1:7" ht="15" customHeight="1" x14ac:dyDescent="0.25">
      <c r="A12" s="317" t="s">
        <v>95</v>
      </c>
      <c r="B12" s="318"/>
      <c r="C12" s="122" t="s">
        <v>64</v>
      </c>
    </row>
    <row r="13" spans="1:7" x14ac:dyDescent="0.25">
      <c r="A13" s="111" t="str">
        <f ca="1">OFFSET('Datos Amazon S3'!$A19,0,0)</f>
        <v>Primer TB</v>
      </c>
      <c r="B13" s="105">
        <f ca="1">OFFSET('Datos Amazon S3'!$B19,0,0)</f>
        <v>1024</v>
      </c>
      <c r="C13" s="112">
        <f ca="1">OFFSET('Datos Amazon S3'!$C19,0,MATCH($C$2,'Datos Amazon S3'!$C$2:$K$2,0)-1)</f>
        <v>0.01</v>
      </c>
    </row>
    <row r="14" spans="1:7" x14ac:dyDescent="0.25">
      <c r="A14" s="111" t="str">
        <f ca="1">OFFSET('Datos Amazon S3'!$A20,0,0)</f>
        <v>Siguientes 49TB</v>
      </c>
      <c r="B14" s="105">
        <f ca="1">OFFSET('Datos Amazon S3'!$B20,0,0)</f>
        <v>51200</v>
      </c>
      <c r="C14" s="112">
        <f ca="1">OFFSET('Datos Amazon S3'!$C20,0,MATCH($C$2,'Datos Amazon S3'!$C$2:$K$2,0)-1)</f>
        <v>0.01</v>
      </c>
    </row>
    <row r="15" spans="1:7" x14ac:dyDescent="0.25">
      <c r="A15" s="111" t="str">
        <f ca="1">OFFSET('Datos Amazon S3'!$A21,0,0)</f>
        <v>Siguientes 450TB</v>
      </c>
      <c r="B15" s="105">
        <f ca="1">OFFSET('Datos Amazon S3'!$B21,0,0)</f>
        <v>512000</v>
      </c>
      <c r="C15" s="112">
        <f ca="1">OFFSET('Datos Amazon S3'!$C21,0,MATCH($C$2,'Datos Amazon S3'!$C$2:$K$2,0)-1)</f>
        <v>0.01</v>
      </c>
    </row>
    <row r="16" spans="1:7" x14ac:dyDescent="0.25">
      <c r="A16" s="111" t="str">
        <f ca="1">OFFSET('Datos Amazon S3'!$A22,0,0)</f>
        <v>Siguientes 500TB</v>
      </c>
      <c r="B16" s="105">
        <f ca="1">OFFSET('Datos Amazon S3'!$B22,0,0)</f>
        <v>1024000</v>
      </c>
      <c r="C16" s="112">
        <f ca="1">OFFSET('Datos Amazon S3'!$C22,0,MATCH($C$2,'Datos Amazon S3'!$C$2:$K$2,0)-1)</f>
        <v>0.01</v>
      </c>
    </row>
    <row r="17" spans="1:3" x14ac:dyDescent="0.25">
      <c r="A17" s="111" t="str">
        <f ca="1">OFFSET('Datos Amazon S3'!$A23,0,0)</f>
        <v>Siguientes 4000TB</v>
      </c>
      <c r="B17" s="105">
        <f ca="1">OFFSET('Datos Amazon S3'!$B23,0,0)</f>
        <v>5120000</v>
      </c>
      <c r="C17" s="112">
        <f ca="1">OFFSET('Datos Amazon S3'!$C23,0,MATCH($C$2,'Datos Amazon S3'!$C$2:$K$2,0)-1)</f>
        <v>0.01</v>
      </c>
    </row>
    <row r="18" spans="1:3" ht="15.75" thickBot="1" x14ac:dyDescent="0.3">
      <c r="A18" s="113" t="str">
        <f ca="1">OFFSET('Datos Amazon S3'!$A24,0,0)</f>
        <v>Más de 5000TB</v>
      </c>
      <c r="B18" s="106" t="str">
        <f ca="1">OFFSET('Datos Amazon S3'!$B24,0,0)</f>
        <v>RESTO</v>
      </c>
      <c r="C18" s="114">
        <f ca="1">OFFSET('Datos Amazon S3'!$C24,0,MATCH($C$2,'Datos Amazon S3'!$C$2:$K$2,0)-1)</f>
        <v>0.01</v>
      </c>
    </row>
    <row r="19" spans="1:3" ht="15.75" thickBot="1" x14ac:dyDescent="0.3">
      <c r="A19" s="323" t="s">
        <v>74</v>
      </c>
      <c r="B19" s="324"/>
      <c r="C19" s="325"/>
    </row>
    <row r="20" spans="1:3" x14ac:dyDescent="0.25">
      <c r="A20" s="326" t="s">
        <v>85</v>
      </c>
      <c r="B20" s="327"/>
      <c r="C20" s="123"/>
    </row>
    <row r="21" spans="1:3" x14ac:dyDescent="0.25">
      <c r="A21" s="111" t="str">
        <f ca="1">OFFSET('Datos Amazon S3'!$A27,0,0)</f>
        <v>Restauración y archivado en Glacier</v>
      </c>
      <c r="B21" s="107">
        <f ca="1">OFFSET('Datos Amazon S3'!$B27,0,0)</f>
        <v>1000</v>
      </c>
      <c r="C21" s="112">
        <f ca="1">OFFSET('Datos Amazon S3'!$C27,0,MATCH($C$2,'Datos Amazon S3'!$C$2:$K$2,0)-1)</f>
        <v>0.05</v>
      </c>
    </row>
    <row r="22" spans="1:3" x14ac:dyDescent="0.25">
      <c r="A22" s="111" t="str">
        <f ca="1">OFFSET('Datos Amazon S3'!$A28,0,0)</f>
        <v>Restauraciones en Glacier</v>
      </c>
      <c r="B22" s="107">
        <f ca="1">OFFSET('Datos Amazon S3'!$B28,0,0)</f>
        <v>1</v>
      </c>
      <c r="C22" s="112">
        <f ca="1">OFFSET('Datos Amazon S3'!$C28,0,MATCH($C$2,'Datos Amazon S3'!$C$2:$K$2,0)-1)</f>
        <v>0</v>
      </c>
    </row>
    <row r="23" spans="1:3" x14ac:dyDescent="0.25">
      <c r="A23" s="111" t="str">
        <f ca="1">OFFSET('Datos Amazon S3'!$A29,0,0)</f>
        <v>PUT</v>
      </c>
      <c r="B23" s="107">
        <f ca="1">OFFSET('Datos Amazon S3'!$B29,0,0)</f>
        <v>1000</v>
      </c>
      <c r="C23" s="112">
        <f ca="1">OFFSET('Datos Amazon S3'!$C29,0,MATCH($C$2,'Datos Amazon S3'!$C$2:$K$2,0)-1)</f>
        <v>5.0000000000000001E-3</v>
      </c>
    </row>
    <row r="24" spans="1:3" x14ac:dyDescent="0.25">
      <c r="A24" s="111" t="str">
        <f ca="1">OFFSET('Datos Amazon S3'!$A30,0,0)</f>
        <v>COPY</v>
      </c>
      <c r="B24" s="107">
        <f ca="1">OFFSET('Datos Amazon S3'!$B30,0,0)</f>
        <v>1000</v>
      </c>
      <c r="C24" s="112">
        <f ca="1">OFFSET('Datos Amazon S3'!$C30,0,MATCH($C$2,'Datos Amazon S3'!$C$2:$K$2,0)-1)</f>
        <v>5.0000000000000001E-3</v>
      </c>
    </row>
    <row r="25" spans="1:3" x14ac:dyDescent="0.25">
      <c r="A25" s="111" t="str">
        <f ca="1">OFFSET('Datos Amazon S3'!$A31,0,0)</f>
        <v>POST</v>
      </c>
      <c r="B25" s="107">
        <f ca="1">OFFSET('Datos Amazon S3'!$B31,0,0)</f>
        <v>1000</v>
      </c>
      <c r="C25" s="112">
        <f ca="1">OFFSET('Datos Amazon S3'!$C31,0,MATCH($C$2,'Datos Amazon S3'!$C$2:$K$2,0)-1)</f>
        <v>5.0000000000000001E-3</v>
      </c>
    </row>
    <row r="26" spans="1:3" x14ac:dyDescent="0.25">
      <c r="A26" s="111" t="str">
        <f ca="1">OFFSET('Datos Amazon S3'!$A32,0,0)</f>
        <v>LIST</v>
      </c>
      <c r="B26" s="107">
        <f ca="1">OFFSET('Datos Amazon S3'!$B32,0,0)</f>
        <v>1000</v>
      </c>
      <c r="C26" s="112">
        <f ca="1">OFFSET('Datos Amazon S3'!$C32,0,MATCH($C$2,'Datos Amazon S3'!$C$2:$K$2,0)-1)</f>
        <v>5.0000000000000001E-3</v>
      </c>
    </row>
    <row r="27" spans="1:3" x14ac:dyDescent="0.25">
      <c r="A27" s="111" t="str">
        <f ca="1">OFFSET('Datos Amazon S3'!$A33,0,0)</f>
        <v>DELETE</v>
      </c>
      <c r="B27" s="107">
        <f ca="1">OFFSET('Datos Amazon S3'!$B33,0,0)</f>
        <v>1</v>
      </c>
      <c r="C27" s="112">
        <f ca="1">OFFSET('Datos Amazon S3'!$C33,0,MATCH($C$2,'Datos Amazon S3'!$C$2:$K$2,0)-1)</f>
        <v>0</v>
      </c>
    </row>
    <row r="28" spans="1:3" ht="15.75" thickBot="1" x14ac:dyDescent="0.3">
      <c r="A28" s="113" t="str">
        <f ca="1">OFFSET('Datos Amazon S3'!$A34,0,0)</f>
        <v>GET y otras</v>
      </c>
      <c r="B28" s="108">
        <f ca="1">OFFSET('Datos Amazon S3'!$B34,0,0)</f>
        <v>10000</v>
      </c>
      <c r="C28" s="114">
        <f ca="1">OFFSET('Datos Amazon S3'!$C34,0,MATCH($C$2,'Datos Amazon S3'!$C$2:$K$2,0)-1)</f>
        <v>4.0000000000000001E-3</v>
      </c>
    </row>
    <row r="29" spans="1:3" ht="15.75" thickBot="1" x14ac:dyDescent="0.3">
      <c r="A29" s="323" t="s">
        <v>88</v>
      </c>
      <c r="B29" s="324"/>
      <c r="C29" s="325"/>
    </row>
    <row r="30" spans="1:3" ht="15" customHeight="1" x14ac:dyDescent="0.25">
      <c r="A30" s="317"/>
      <c r="B30" s="318"/>
      <c r="C30" s="122" t="s">
        <v>89</v>
      </c>
    </row>
    <row r="31" spans="1:3" ht="15.75" thickBot="1" x14ac:dyDescent="0.3">
      <c r="A31" s="282" t="str">
        <f ca="1">OFFSET('Datos Amazon S3'!$A37,0,0)</f>
        <v>Precio por GB</v>
      </c>
      <c r="B31" s="283"/>
      <c r="C31" s="114">
        <f ca="1">OFFSET('Datos Amazon S3'!$C37,0,MATCH($C$2,'Datos Amazon S3'!$C$2:$K$2,0)-1)</f>
        <v>0</v>
      </c>
    </row>
    <row r="32" spans="1:3" ht="15" customHeight="1" x14ac:dyDescent="0.25">
      <c r="A32" s="317" t="s">
        <v>91</v>
      </c>
      <c r="B32" s="318"/>
      <c r="C32" s="122" t="s">
        <v>90</v>
      </c>
    </row>
    <row r="33" spans="1:3" x14ac:dyDescent="0.25">
      <c r="A33" s="321" t="str">
        <f ca="1">OFFSET('Datos Amazon S3'!$A39,0,0)</f>
        <v>EC2 (misma región) - (EEUU estándar: Norte Virginia)</v>
      </c>
      <c r="B33" s="322"/>
      <c r="C33" s="112">
        <f ca="1">OFFSET('Datos Amazon S3'!$C39,0,MATCH($C$2,'Datos Amazon S3'!$C$2:$K$2,0)-1)</f>
        <v>0</v>
      </c>
    </row>
    <row r="34" spans="1:3" x14ac:dyDescent="0.25">
      <c r="A34" s="333" t="str">
        <f ca="1">OFFSET('Datos Amazon S3'!$A40,0,0)</f>
        <v>Otras regiones AWS</v>
      </c>
      <c r="B34" s="334"/>
      <c r="C34" s="112">
        <f ca="1">OFFSET('Datos Amazon S3'!$C40,0,MATCH($C$2,'Datos Amazon S3'!$C$2:$K$2,0)-1)</f>
        <v>0.02</v>
      </c>
    </row>
    <row r="35" spans="1:3" ht="15.75" thickBot="1" x14ac:dyDescent="0.3">
      <c r="A35" s="315" t="str">
        <f ca="1">OFFSET('Datos Amazon S3'!$A41,0,0)</f>
        <v>Amazon CloudFront</v>
      </c>
      <c r="B35" s="316"/>
      <c r="C35" s="114">
        <f ca="1">OFFSET('Datos Amazon S3'!$C41,0,MATCH($C$2,'Datos Amazon S3'!$C$2:$K$2,0)-1)</f>
        <v>0</v>
      </c>
    </row>
    <row r="36" spans="1:3" ht="15" customHeight="1" x14ac:dyDescent="0.25">
      <c r="A36" s="317" t="s">
        <v>95</v>
      </c>
      <c r="B36" s="318"/>
      <c r="C36" s="122" t="s">
        <v>94</v>
      </c>
    </row>
    <row r="37" spans="1:3" x14ac:dyDescent="0.25">
      <c r="A37" s="116" t="str">
        <f ca="1">OFFSET('Datos Amazon S3'!$A43,0,0)</f>
        <v>Primer GB</v>
      </c>
      <c r="B37" s="105">
        <f ca="1">OFFSET('Datos Amazon S3'!$B43,0,0)</f>
        <v>1</v>
      </c>
      <c r="C37" s="112">
        <f ca="1">OFFSET('Datos Amazon S3'!$C43,0,MATCH($C$2,'Datos Amazon S3'!$C$2:$K$2,0)-1)</f>
        <v>0</v>
      </c>
    </row>
    <row r="38" spans="1:3" x14ac:dyDescent="0.25">
      <c r="A38" s="116" t="str">
        <f ca="1">OFFSET('Datos Amazon S3'!$A44,0,0)</f>
        <v>Hasta 10TB</v>
      </c>
      <c r="B38" s="105">
        <f ca="1">OFFSET('Datos Amazon S3'!$B44,0,0)</f>
        <v>10240</v>
      </c>
      <c r="C38" s="112">
        <f ca="1">OFFSET('Datos Amazon S3'!$C44,0,MATCH($C$2,'Datos Amazon S3'!$C$2:$K$2,0)-1)</f>
        <v>0.09</v>
      </c>
    </row>
    <row r="39" spans="1:3" x14ac:dyDescent="0.25">
      <c r="A39" s="116" t="str">
        <f ca="1">OFFSET('Datos Amazon S3'!$A45,0,0)</f>
        <v>Siguientes 40TB</v>
      </c>
      <c r="B39" s="105">
        <f ca="1">OFFSET('Datos Amazon S3'!$B45,0,0)</f>
        <v>51200</v>
      </c>
      <c r="C39" s="112">
        <f ca="1">OFFSET('Datos Amazon S3'!$C45,0,MATCH($C$2,'Datos Amazon S3'!$C$2:$K$2,0)-1)</f>
        <v>8.5000000000000006E-2</v>
      </c>
    </row>
    <row r="40" spans="1:3" x14ac:dyDescent="0.25">
      <c r="A40" s="116" t="str">
        <f ca="1">OFFSET('Datos Amazon S3'!$A46,0,0)</f>
        <v>Siguientes 100TB</v>
      </c>
      <c r="B40" s="105">
        <f ca="1">OFFSET('Datos Amazon S3'!$B46,0,0)</f>
        <v>153600</v>
      </c>
      <c r="C40" s="112">
        <f ca="1">OFFSET('Datos Amazon S3'!$C46,0,MATCH($C$2,'Datos Amazon S3'!$C$2:$K$2,0)-1)</f>
        <v>7.0000000000000007E-2</v>
      </c>
    </row>
    <row r="41" spans="1:3" x14ac:dyDescent="0.25">
      <c r="A41" s="116" t="str">
        <f ca="1">OFFSET('Datos Amazon S3'!$A47,0,0)</f>
        <v>Siguientes 350TB</v>
      </c>
      <c r="B41" s="105">
        <f ca="1">OFFSET('Datos Amazon S3'!$B47,0,0)</f>
        <v>512000</v>
      </c>
      <c r="C41" s="112">
        <f ca="1">OFFSET('Datos Amazon S3'!$C47,0,MATCH($C$2,'Datos Amazon S3'!$C$2:$K$2,0)-1)</f>
        <v>0.05</v>
      </c>
    </row>
    <row r="42" spans="1:3" x14ac:dyDescent="0.25">
      <c r="A42" s="116" t="str">
        <f ca="1">OFFSET('Datos Amazon S3'!$A48,0,0)</f>
        <v>Siguientes 524TB</v>
      </c>
      <c r="B42" s="105">
        <f ca="1">OFFSET('Datos Amazon S3'!$B48,0,0)</f>
        <v>1048576</v>
      </c>
      <c r="C42" s="117">
        <f ca="1">OFFSET('Datos Amazon S3'!$C48,0,MATCH($C$2,'Datos Amazon S3'!$C$2:$K$2,0)-1)</f>
        <v>0.05</v>
      </c>
    </row>
    <row r="43" spans="1:3" x14ac:dyDescent="0.25">
      <c r="A43" s="116" t="str">
        <f ca="1">OFFSET('Datos Amazon S3'!$A49,0,0)</f>
        <v>Siguientes 4PB</v>
      </c>
      <c r="B43" s="105">
        <f ca="1">OFFSET('Datos Amazon S3'!$B49,0,0)</f>
        <v>5242880</v>
      </c>
      <c r="C43" s="117">
        <f ca="1">OFFSET('Datos Amazon S3'!$C49,0,MATCH($C$2,'Datos Amazon S3'!$C$2:$K$2,0)-1)</f>
        <v>0.05</v>
      </c>
    </row>
    <row r="44" spans="1:3" ht="15.75" thickBot="1" x14ac:dyDescent="0.3">
      <c r="A44" s="118" t="str">
        <f ca="1">OFFSET('Datos Amazon S3'!$A50,0,0)</f>
        <v>Más de 5PB</v>
      </c>
      <c r="B44" s="119" t="str">
        <f ca="1">OFFSET('Datos Amazon S3'!$B50,0,0)</f>
        <v>RESTO</v>
      </c>
      <c r="C44" s="121">
        <f ca="1">OFFSET('Datos Amazon S3'!$C50,0,MATCH($C$2,'Datos Amazon S3'!$C$2:$K$2,0)-1)</f>
        <v>0.05</v>
      </c>
    </row>
    <row r="45" spans="1:3" ht="15.75" thickTop="1" x14ac:dyDescent="0.25"/>
  </sheetData>
  <mergeCells count="16">
    <mergeCell ref="A1:C1"/>
    <mergeCell ref="A2:B2"/>
    <mergeCell ref="A4:C4"/>
    <mergeCell ref="A5:B5"/>
    <mergeCell ref="A34:B34"/>
    <mergeCell ref="A35:B35"/>
    <mergeCell ref="A36:B36"/>
    <mergeCell ref="A3:B3"/>
    <mergeCell ref="A30:B30"/>
    <mergeCell ref="A31:B31"/>
    <mergeCell ref="A32:B32"/>
    <mergeCell ref="A33:B33"/>
    <mergeCell ref="A12:B12"/>
    <mergeCell ref="A19:C19"/>
    <mergeCell ref="A20:B20"/>
    <mergeCell ref="A29:C29"/>
  </mergeCells>
  <dataValidations count="1">
    <dataValidation type="list" showInputMessage="1" showErrorMessage="1" sqref="C3">
      <formula1>"Estándar,Redundancia reducida"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'Datos Amazon S3'!$C$2:$K$2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8"/>
  <sheetViews>
    <sheetView workbookViewId="0">
      <selection activeCell="E8" sqref="E8"/>
    </sheetView>
  </sheetViews>
  <sheetFormatPr baseColWidth="10" defaultColWidth="11.42578125" defaultRowHeight="15" x14ac:dyDescent="0.25"/>
  <cols>
    <col min="1" max="1" width="32.85546875" style="61" customWidth="1"/>
    <col min="2" max="2" width="17.140625" style="61" customWidth="1"/>
    <col min="3" max="3" width="32.85546875" style="61" customWidth="1"/>
    <col min="4" max="6" width="11.42578125" style="61"/>
    <col min="7" max="7" width="20.140625" style="61" bestFit="1" customWidth="1"/>
    <col min="8" max="16384" width="11.42578125" style="61"/>
  </cols>
  <sheetData>
    <row r="1" spans="1:7" ht="46.5" thickTop="1" thickBot="1" x14ac:dyDescent="0.65">
      <c r="A1" s="328" t="s">
        <v>65</v>
      </c>
      <c r="B1" s="329"/>
      <c r="C1" s="330"/>
    </row>
    <row r="2" spans="1:7" x14ac:dyDescent="0.25">
      <c r="A2" s="331" t="s">
        <v>61</v>
      </c>
      <c r="B2" s="332"/>
      <c r="C2" s="159" t="s">
        <v>240</v>
      </c>
      <c r="G2" s="102"/>
    </row>
    <row r="3" spans="1:7" ht="15.75" thickBot="1" x14ac:dyDescent="0.3">
      <c r="A3" s="319" t="s">
        <v>210</v>
      </c>
      <c r="B3" s="320"/>
      <c r="C3" s="254" t="s">
        <v>123</v>
      </c>
      <c r="G3" s="102"/>
    </row>
    <row r="4" spans="1:7" ht="15.75" thickBot="1" x14ac:dyDescent="0.3">
      <c r="A4" s="323" t="s">
        <v>74</v>
      </c>
      <c r="B4" s="324"/>
      <c r="C4" s="325"/>
    </row>
    <row r="5" spans="1:7" x14ac:dyDescent="0.25">
      <c r="A5" s="326" t="s">
        <v>85</v>
      </c>
      <c r="B5" s="327"/>
      <c r="C5" s="229"/>
    </row>
    <row r="6" spans="1:7" ht="15.75" thickBot="1" x14ac:dyDescent="0.3">
      <c r="A6" s="231" t="str">
        <f>IF($C$3="No","HTTP","HTTPS")</f>
        <v>HTTP</v>
      </c>
      <c r="B6" s="107">
        <v>10000</v>
      </c>
      <c r="C6" s="112">
        <f ca="1">OFFSET('Datos Amazon CloudFront'!$C5,IF($C$3="No",0,1),MATCH($C$2,'Datos Amazon CloudFront'!$C$2:$K$2,0)-1)</f>
        <v>2E-3</v>
      </c>
    </row>
    <row r="7" spans="1:7" ht="15.75" thickBot="1" x14ac:dyDescent="0.3">
      <c r="A7" s="323" t="s">
        <v>88</v>
      </c>
      <c r="B7" s="324"/>
      <c r="C7" s="325"/>
    </row>
    <row r="8" spans="1:7" ht="15" customHeight="1" x14ac:dyDescent="0.25">
      <c r="A8" s="317"/>
      <c r="B8" s="318"/>
      <c r="C8" s="230" t="s">
        <v>89</v>
      </c>
    </row>
    <row r="9" spans="1:7" ht="15.75" thickBot="1" x14ac:dyDescent="0.3">
      <c r="A9" s="282" t="str">
        <f ca="1">OFFSET('Datos Amazon S3'!$A37,0,0)</f>
        <v>Precio por GB</v>
      </c>
      <c r="B9" s="283"/>
      <c r="C9" s="114">
        <f ca="1">OFFSET('Datos Amazon CloudFront'!$C9,0,MATCH($C$2,'Datos Amazon CloudFront'!$C$2:$K$2,0)-1)</f>
        <v>0.02</v>
      </c>
    </row>
    <row r="10" spans="1:7" ht="15" customHeight="1" x14ac:dyDescent="0.25">
      <c r="A10" s="317" t="s">
        <v>95</v>
      </c>
      <c r="B10" s="318"/>
      <c r="C10" s="230" t="s">
        <v>94</v>
      </c>
    </row>
    <row r="11" spans="1:7" x14ac:dyDescent="0.25">
      <c r="A11" s="232" t="str">
        <f ca="1">OFFSET('Datos Amazon CloudFront'!$A11,0,0)</f>
        <v>Hasta 10TB</v>
      </c>
      <c r="B11" s="105">
        <f ca="1">OFFSET('Datos Amazon CloudFront'!$B11,0,0)</f>
        <v>10240</v>
      </c>
      <c r="C11" s="112">
        <f ca="1">OFFSET('Datos Amazon CloudFront'!$C11,0,MATCH($C$2,'Datos Amazon CloudFront'!$C$2:$K$2,0)-1)</f>
        <v>0.02</v>
      </c>
    </row>
    <row r="12" spans="1:7" x14ac:dyDescent="0.25">
      <c r="A12" s="232" t="str">
        <f ca="1">OFFSET('Datos Amazon CloudFront'!$A12,0,0)</f>
        <v>Siguientes 40TB</v>
      </c>
      <c r="B12" s="105">
        <f ca="1">OFFSET('Datos Amazon CloudFront'!$B12,0,0)</f>
        <v>51200</v>
      </c>
      <c r="C12" s="112">
        <f ca="1">OFFSET('Datos Amazon CloudFront'!$C12,0,MATCH($C$2,'Datos Amazon CloudFront'!$C$2:$K$2,0)-1)</f>
        <v>0.02</v>
      </c>
    </row>
    <row r="13" spans="1:7" x14ac:dyDescent="0.25">
      <c r="A13" s="232" t="str">
        <f ca="1">OFFSET('Datos Amazon CloudFront'!$A13,0,0)</f>
        <v>Siguientes 100TB</v>
      </c>
      <c r="B13" s="105">
        <f ca="1">OFFSET('Datos Amazon CloudFront'!$B13,0,0)</f>
        <v>153600</v>
      </c>
      <c r="C13" s="112">
        <f ca="1">OFFSET('Datos Amazon CloudFront'!$C13,0,MATCH($C$2,'Datos Amazon CloudFront'!$C$2:$K$2,0)-1)</f>
        <v>0.02</v>
      </c>
    </row>
    <row r="14" spans="1:7" x14ac:dyDescent="0.25">
      <c r="A14" s="232" t="str">
        <f ca="1">OFFSET('Datos Amazon CloudFront'!$A14,0,0)</f>
        <v>Siguientes 350TB</v>
      </c>
      <c r="B14" s="105">
        <f ca="1">OFFSET('Datos Amazon CloudFront'!$B14,0,0)</f>
        <v>512000</v>
      </c>
      <c r="C14" s="112">
        <f ca="1">OFFSET('Datos Amazon CloudFront'!$C14,0,MATCH($C$2,'Datos Amazon CloudFront'!$C$2:$K$2,0)-1)</f>
        <v>0.02</v>
      </c>
    </row>
    <row r="15" spans="1:7" x14ac:dyDescent="0.25">
      <c r="A15" s="232" t="str">
        <f ca="1">OFFSET('Datos Amazon CloudFront'!$A15,0,0)</f>
        <v>Siguientes 524TB</v>
      </c>
      <c r="B15" s="105">
        <f ca="1">OFFSET('Datos Amazon CloudFront'!$B15,0,0)</f>
        <v>1048576</v>
      </c>
      <c r="C15" s="250">
        <f ca="1">OFFSET('Datos Amazon CloudFront'!$C15,0,MATCH($C$2,'Datos Amazon CloudFront'!$C$2:$K$2,0)-1)</f>
        <v>0.02</v>
      </c>
    </row>
    <row r="16" spans="1:7" x14ac:dyDescent="0.25">
      <c r="A16" s="232" t="str">
        <f ca="1">OFFSET('Datos Amazon CloudFront'!$A16,0,0)</f>
        <v>Siguientes 4PB</v>
      </c>
      <c r="B16" s="105">
        <f ca="1">OFFSET('Datos Amazon CloudFront'!$B16,0,0)</f>
        <v>5242880</v>
      </c>
      <c r="C16" s="250">
        <f ca="1">OFFSET('Datos Amazon CloudFront'!$C16,0,MATCH($C$2,'Datos Amazon CloudFront'!$C$2:$K$2,0)-1)</f>
        <v>0.02</v>
      </c>
    </row>
    <row r="17" spans="1:3" ht="15.75" thickBot="1" x14ac:dyDescent="0.3">
      <c r="A17" s="118" t="str">
        <f ca="1">OFFSET('Datos Amazon CloudFront'!$A17,0,0)</f>
        <v>Más de 5PB</v>
      </c>
      <c r="B17" s="119" t="str">
        <f ca="1">OFFSET('Datos Amazon CloudFront'!$B17,0,0)</f>
        <v>RESTO</v>
      </c>
      <c r="C17" s="251">
        <f ca="1">OFFSET('Datos Amazon CloudFront'!$C17,0,MATCH($C$2,'Datos Amazon CloudFront'!$C$2:$K$2,0)-1)</f>
        <v>0.02</v>
      </c>
    </row>
    <row r="18" spans="1:3" ht="15.75" thickTop="1" x14ac:dyDescent="0.25"/>
  </sheetData>
  <mergeCells count="9">
    <mergeCell ref="A1:C1"/>
    <mergeCell ref="A2:B2"/>
    <mergeCell ref="A10:B10"/>
    <mergeCell ref="A3:B3"/>
    <mergeCell ref="A4:C4"/>
    <mergeCell ref="A5:B5"/>
    <mergeCell ref="A7:C7"/>
    <mergeCell ref="A8:B8"/>
    <mergeCell ref="A9:B9"/>
  </mergeCells>
  <dataValidations count="1">
    <dataValidation type="list" showInputMessage="1" showErrorMessage="1" sqref="C3">
      <formula1>"Sí,No"</formula1>
    </dataValidation>
  </dataValidations>
  <pageMargins left="0.7" right="0.7" top="0.75" bottom="0.75" header="0.3" footer="0.3"/>
  <pageSetup paperSize="9" orientation="portrait" horizontalDpi="1440" verticalDpi="144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BD5137F-D68E-4AC5-9AB9-C77B7F0CAEDC}">
            <xm:f>($C$2='Datos Amazon CloudFront'!$K$2)</xm:f>
            <x14:dxf>
              <fill>
                <patternFill>
                  <bgColor theme="0" tint="-0.24994659260841701"/>
                </patternFill>
              </fill>
            </x14:dxf>
          </x14:cfRule>
          <xm:sqref>C15:C17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'Datos Amazon CloudFront'!$C$2:$K$2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G17"/>
  <sheetViews>
    <sheetView workbookViewId="0">
      <selection activeCell="F13" sqref="F13"/>
    </sheetView>
  </sheetViews>
  <sheetFormatPr baseColWidth="10" defaultColWidth="11.42578125" defaultRowHeight="15" x14ac:dyDescent="0.25"/>
  <cols>
    <col min="1" max="1" width="32.85546875" style="61" customWidth="1"/>
    <col min="2" max="2" width="17.140625" style="61" customWidth="1"/>
    <col min="3" max="3" width="32.85546875" style="61" customWidth="1"/>
    <col min="4" max="6" width="11.42578125" style="61"/>
    <col min="7" max="7" width="20.140625" style="61" bestFit="1" customWidth="1"/>
    <col min="8" max="16384" width="11.42578125" style="61"/>
  </cols>
  <sheetData>
    <row r="1" spans="1:7" ht="46.5" thickTop="1" thickBot="1" x14ac:dyDescent="0.65">
      <c r="A1" s="328" t="s">
        <v>213</v>
      </c>
      <c r="B1" s="329"/>
      <c r="C1" s="330"/>
    </row>
    <row r="2" spans="1:7" ht="15.75" thickBot="1" x14ac:dyDescent="0.3">
      <c r="A2" s="331" t="s">
        <v>61</v>
      </c>
      <c r="B2" s="332"/>
      <c r="C2" s="159" t="s">
        <v>215</v>
      </c>
      <c r="G2" s="102"/>
    </row>
    <row r="3" spans="1:7" ht="15.75" thickBot="1" x14ac:dyDescent="0.3">
      <c r="A3" s="323" t="s">
        <v>74</v>
      </c>
      <c r="B3" s="324"/>
      <c r="C3" s="325"/>
    </row>
    <row r="4" spans="1:7" x14ac:dyDescent="0.25">
      <c r="A4" s="326" t="s">
        <v>85</v>
      </c>
      <c r="B4" s="327"/>
      <c r="C4" s="229"/>
    </row>
    <row r="5" spans="1:7" ht="15.75" thickBot="1" x14ac:dyDescent="0.3">
      <c r="A5" s="231" t="s">
        <v>220</v>
      </c>
      <c r="B5" s="107">
        <v>1</v>
      </c>
      <c r="C5" s="112">
        <f ca="1">OFFSET('Datos MaxCDN'!$C5,0,MATCH($C$2,'Datos MaxCDN'!$C$2:$K$2,0)-1)</f>
        <v>0</v>
      </c>
    </row>
    <row r="6" spans="1:7" ht="15.75" thickBot="1" x14ac:dyDescent="0.3">
      <c r="A6" s="323" t="s">
        <v>88</v>
      </c>
      <c r="B6" s="324"/>
      <c r="C6" s="325"/>
    </row>
    <row r="7" spans="1:7" ht="15" customHeight="1" x14ac:dyDescent="0.25">
      <c r="A7" s="317" t="s">
        <v>95</v>
      </c>
      <c r="B7" s="318"/>
      <c r="C7" s="230" t="s">
        <v>94</v>
      </c>
    </row>
    <row r="8" spans="1:7" x14ac:dyDescent="0.25">
      <c r="A8" s="232" t="str">
        <f ca="1">OFFSET('Datos MaxCDN'!$A8,0,0)</f>
        <v>Hasta 50TB</v>
      </c>
      <c r="B8" s="105">
        <f ca="1">OFFSET('Datos MaxCDN'!$B8,0,0)</f>
        <v>51200</v>
      </c>
      <c r="C8" s="112">
        <f ca="1">OFFSET('Datos MaxCDN'!$C8,0,MATCH($C$2,'Datos MaxCDN'!$C$2:$K$2,0)-1)</f>
        <v>0.06</v>
      </c>
    </row>
    <row r="9" spans="1:7" x14ac:dyDescent="0.25">
      <c r="A9" s="232" t="str">
        <f ca="1">OFFSET('Datos MaxCDN'!$A9,0,0)</f>
        <v>Siguientes 100TB</v>
      </c>
      <c r="B9" s="105">
        <f ca="1">OFFSET('Datos MaxCDN'!$B9,0,0)</f>
        <v>153600</v>
      </c>
      <c r="C9" s="112">
        <f ca="1">OFFSET('Datos MaxCDN'!$C9,0,MATCH($C$2,'Datos MaxCDN'!$C$2:$K$2,0)-1)</f>
        <v>0.04</v>
      </c>
    </row>
    <row r="10" spans="1:7" x14ac:dyDescent="0.25">
      <c r="A10" s="232" t="str">
        <f ca="1">OFFSET('Datos MaxCDN'!$A10,0,0)</f>
        <v>Siguientes 200TB</v>
      </c>
      <c r="B10" s="105">
        <f ca="1">OFFSET('Datos MaxCDN'!$B10,0,0)</f>
        <v>358400</v>
      </c>
      <c r="C10" s="112">
        <f ca="1">OFFSET('Datos MaxCDN'!$C10,0,MATCH($C$2,'Datos MaxCDN'!$C$2:$K$2,0)-1)</f>
        <v>3.5000000000000003E-2</v>
      </c>
    </row>
    <row r="11" spans="1:7" x14ac:dyDescent="0.25">
      <c r="A11" s="232" t="str">
        <f ca="1">OFFSET('Datos MaxCDN'!$A11,0,0)</f>
        <v>Siguientes 674TB</v>
      </c>
      <c r="B11" s="105">
        <f ca="1">OFFSET('Datos MaxCDN'!$B11,0,0)</f>
        <v>1048576</v>
      </c>
      <c r="C11" s="112">
        <f ca="1">OFFSET('Datos MaxCDN'!$C11,0,MATCH($C$2,'Datos MaxCDN'!$C$2:$K$2,0)-1)</f>
        <v>0.03</v>
      </c>
    </row>
    <row r="12" spans="1:7" x14ac:dyDescent="0.25">
      <c r="A12" s="232" t="str">
        <f ca="1">OFFSET('Datos MaxCDN'!$A12,0,0)</f>
        <v>Siguientes 1PB</v>
      </c>
      <c r="B12" s="105">
        <f ca="1">OFFSET('Datos MaxCDN'!$B12,0,0)</f>
        <v>2097152</v>
      </c>
      <c r="C12" s="112">
        <f ca="1">OFFSET('Datos MaxCDN'!$C12,0,MATCH($C$2,'Datos MaxCDN'!$C$2:$K$2,0)-1)</f>
        <v>0.02</v>
      </c>
    </row>
    <row r="13" spans="1:7" x14ac:dyDescent="0.25">
      <c r="A13" s="232" t="str">
        <f ca="1">OFFSET('Datos MaxCDN'!$A13,0,0)</f>
        <v>Siguientes 1PB</v>
      </c>
      <c r="B13" s="105">
        <f ca="1">OFFSET('Datos MaxCDN'!$B13,0,0)</f>
        <v>3145728</v>
      </c>
      <c r="C13" s="112">
        <f ca="1">OFFSET('Datos MaxCDN'!$C13,0,MATCH($C$2,'Datos MaxCDN'!$C$2:$K$2,0)-1)</f>
        <v>1.6E-2</v>
      </c>
    </row>
    <row r="14" spans="1:7" x14ac:dyDescent="0.25">
      <c r="A14" s="232" t="str">
        <f ca="1">OFFSET('Datos MaxCDN'!$A14,0,0)</f>
        <v>Siguientes 1PB</v>
      </c>
      <c r="B14" s="105">
        <f ca="1">OFFSET('Datos MaxCDN'!$B14,0,0)</f>
        <v>4194304</v>
      </c>
      <c r="C14" s="250">
        <f ca="1">OFFSET('Datos MaxCDN'!$C14,0,MATCH($C$2,'Datos MaxCDN'!$C$2:$K$2,0)-1)</f>
        <v>1.2E-2</v>
      </c>
    </row>
    <row r="15" spans="1:7" x14ac:dyDescent="0.25">
      <c r="A15" s="232" t="str">
        <f ca="1">OFFSET('Datos MaxCDN'!$A15,0,0)</f>
        <v>Siguientes 1PB</v>
      </c>
      <c r="B15" s="105">
        <f ca="1">OFFSET('Datos MaxCDN'!$B15,0,0)</f>
        <v>5242880</v>
      </c>
      <c r="C15" s="250">
        <f ca="1">OFFSET('Datos MaxCDN'!$C15,0,MATCH($C$2,'Datos MaxCDN'!$C$2:$K$2,0)-1)</f>
        <v>8.0000000000000002E-3</v>
      </c>
    </row>
    <row r="16" spans="1:7" ht="15.75" thickBot="1" x14ac:dyDescent="0.3">
      <c r="A16" s="118" t="str">
        <f ca="1">OFFSET('Datos MaxCDN'!$A16,0,0)</f>
        <v>Más de 5PB</v>
      </c>
      <c r="B16" s="119" t="str">
        <f ca="1">OFFSET('Datos MaxCDN'!$B16,0,0)</f>
        <v>RESTO</v>
      </c>
      <c r="C16" s="121">
        <f ca="1">OFFSET('Datos MaxCDN'!$C16,0,MATCH($C$2,'Datos MaxCDN'!$C$2:$K$2,0)-1)</f>
        <v>8.0000000000000002E-3</v>
      </c>
    </row>
    <row r="17" ht="15.75" thickTop="1" x14ac:dyDescent="0.25"/>
  </sheetData>
  <mergeCells count="6">
    <mergeCell ref="A7:B7"/>
    <mergeCell ref="A1:C1"/>
    <mergeCell ref="A2:B2"/>
    <mergeCell ref="A3:C3"/>
    <mergeCell ref="A4:B4"/>
    <mergeCell ref="A6:C6"/>
  </mergeCells>
  <pageMargins left="0.7" right="0.7" top="0.75" bottom="0.75" header="0.3" footer="0.3"/>
  <pageSetup paperSize="9" orientation="portrait" horizontalDpi="1440" verticalDpi="144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1BF5217-3FCA-4953-9753-2D61E13D63CF}">
            <xm:f>($C$2='Datos Amazon CloudFront'!$K$2)</xm:f>
            <x14:dxf>
              <fill>
                <patternFill>
                  <bgColor theme="0" tint="-0.24994659260841701"/>
                </patternFill>
              </fill>
            </x14:dxf>
          </x14:cfRule>
          <xm:sqref>C14:C16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'Datos MaxCDN'!$C$2:$F$2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B2"/>
    </sheetView>
  </sheetViews>
  <sheetFormatPr baseColWidth="10" defaultColWidth="11.42578125" defaultRowHeight="15" x14ac:dyDescent="0.25"/>
  <cols>
    <col min="1" max="1" width="32.85546875" style="61" customWidth="1"/>
    <col min="2" max="2" width="17.140625" style="61" customWidth="1"/>
    <col min="3" max="3" width="32.85546875" style="61" customWidth="1"/>
    <col min="4" max="6" width="11.42578125" style="61"/>
    <col min="7" max="7" width="20.140625" style="61" bestFit="1" customWidth="1"/>
    <col min="8" max="16384" width="11.42578125" style="61"/>
  </cols>
  <sheetData>
    <row r="1" spans="1:7" ht="46.5" thickTop="1" thickBot="1" x14ac:dyDescent="0.65">
      <c r="A1" s="328" t="s">
        <v>224</v>
      </c>
      <c r="B1" s="329"/>
      <c r="C1" s="330"/>
    </row>
    <row r="2" spans="1:7" ht="15.75" thickBot="1" x14ac:dyDescent="0.3">
      <c r="A2" s="331" t="s">
        <v>61</v>
      </c>
      <c r="B2" s="332"/>
      <c r="C2" s="159" t="s">
        <v>215</v>
      </c>
      <c r="G2" s="102"/>
    </row>
    <row r="3" spans="1:7" ht="15.75" thickBot="1" x14ac:dyDescent="0.3">
      <c r="A3" s="323" t="s">
        <v>74</v>
      </c>
      <c r="B3" s="324"/>
      <c r="C3" s="325"/>
    </row>
    <row r="4" spans="1:7" x14ac:dyDescent="0.25">
      <c r="A4" s="326" t="s">
        <v>85</v>
      </c>
      <c r="B4" s="327"/>
      <c r="C4" s="233"/>
    </row>
    <row r="5" spans="1:7" ht="15.75" thickBot="1" x14ac:dyDescent="0.3">
      <c r="A5" s="235" t="s">
        <v>220</v>
      </c>
      <c r="B5" s="107">
        <v>1</v>
      </c>
      <c r="C5" s="112">
        <f ca="1">OFFSET('Datos KeyCDN'!$C5,0,MATCH($C$2,'Datos KeyCDN'!$C$2:$E$2,0)-1)</f>
        <v>0</v>
      </c>
    </row>
    <row r="6" spans="1:7" ht="15.75" thickBot="1" x14ac:dyDescent="0.3">
      <c r="A6" s="323" t="s">
        <v>88</v>
      </c>
      <c r="B6" s="324"/>
      <c r="C6" s="325"/>
    </row>
    <row r="7" spans="1:7" ht="15" customHeight="1" x14ac:dyDescent="0.25">
      <c r="A7" s="317" t="s">
        <v>95</v>
      </c>
      <c r="B7" s="318"/>
      <c r="C7" s="234" t="s">
        <v>94</v>
      </c>
    </row>
    <row r="8" spans="1:7" x14ac:dyDescent="0.25">
      <c r="A8" s="236" t="str">
        <f ca="1">OFFSET('Datos KeyCDN'!$A8,0,0)</f>
        <v>Hasta 10TB</v>
      </c>
      <c r="B8" s="105">
        <f ca="1">OFFSET('Datos KeyCDN'!$B8,0,0)</f>
        <v>10240</v>
      </c>
      <c r="C8" s="112">
        <f ca="1">OFFSET('Datos KeyCDN'!$C8,0,MATCH($C$2,'Datos KeyCDN'!$C$2:$E$2,0)-1)</f>
        <v>0.04</v>
      </c>
    </row>
    <row r="9" spans="1:7" x14ac:dyDescent="0.25">
      <c r="A9" s="236" t="str">
        <f ca="1">OFFSET('Datos KeyCDN'!$A9,0,0)</f>
        <v>Siguientes 40TB</v>
      </c>
      <c r="B9" s="105">
        <f ca="1">OFFSET('Datos KeyCDN'!$B9,0,0)</f>
        <v>51200</v>
      </c>
      <c r="C9" s="112">
        <f ca="1">OFFSET('Datos KeyCDN'!$C9,0,MATCH($C$2,'Datos KeyCDN'!$C$2:$E$2,0)-1)</f>
        <v>3.5999999999999997E-2</v>
      </c>
    </row>
    <row r="10" spans="1:7" x14ac:dyDescent="0.25">
      <c r="A10" s="236" t="str">
        <f ca="1">OFFSET('Datos KeyCDN'!$A10,0,0)</f>
        <v>Siguientes 100TB</v>
      </c>
      <c r="B10" s="105">
        <f ca="1">OFFSET('Datos KeyCDN'!$B10,0,0)</f>
        <v>153600</v>
      </c>
      <c r="C10" s="112">
        <f ca="1">OFFSET('Datos KeyCDN'!$C10,0,MATCH($C$2,'Datos KeyCDN'!$C$2:$E$2,0)-1)</f>
        <v>3.2000000000000001E-2</v>
      </c>
    </row>
    <row r="11" spans="1:7" x14ac:dyDescent="0.25">
      <c r="A11" s="236" t="str">
        <f ca="1">OFFSET('Datos KeyCDN'!$A11,0,0)</f>
        <v>Siguientes 350TB</v>
      </c>
      <c r="B11" s="105">
        <f ca="1">OFFSET('Datos KeyCDN'!$B11,0,0)</f>
        <v>512000</v>
      </c>
      <c r="C11" s="112">
        <f ca="1">OFFSET('Datos KeyCDN'!$C11,0,MATCH($C$2,'Datos KeyCDN'!$C$2:$E$2,0)-1)</f>
        <v>2.8000000000000001E-2</v>
      </c>
    </row>
    <row r="12" spans="1:7" x14ac:dyDescent="0.25">
      <c r="A12" s="236" t="str">
        <f ca="1">OFFSET('Datos KeyCDN'!$A12,0,0)</f>
        <v>Siguientes 500TB</v>
      </c>
      <c r="B12" s="105">
        <f ca="1">OFFSET('Datos KeyCDN'!$B12,0,0)</f>
        <v>1024000</v>
      </c>
      <c r="C12" s="112">
        <f ca="1">OFFSET('Datos KeyCDN'!$C12,0,MATCH($C$2,'Datos KeyCDN'!$C$2:$E$2,0)-1)</f>
        <v>0.02</v>
      </c>
    </row>
    <row r="13" spans="1:7" x14ac:dyDescent="0.25">
      <c r="A13" s="236" t="str">
        <f ca="1">OFFSET('Datos KeyCDN'!$A13,0,0)</f>
        <v>Siguientes 2PB</v>
      </c>
      <c r="B13" s="105">
        <f ca="1">OFFSET('Datos KeyCDN'!$B13,0,0)</f>
        <v>3145728</v>
      </c>
      <c r="C13" s="112">
        <f ca="1">OFFSET('Datos KeyCDN'!$C13,0,MATCH($C$2,'Datos KeyCDN'!$C$2:$E$2,0)-1)</f>
        <v>0.01</v>
      </c>
    </row>
    <row r="14" spans="1:7" ht="15.75" thickBot="1" x14ac:dyDescent="0.3">
      <c r="A14" s="118" t="str">
        <f ca="1">OFFSET('Datos KeyCDN'!$A14,0,0)</f>
        <v>Más de 3PB</v>
      </c>
      <c r="B14" s="182" t="str">
        <f ca="1">OFFSET('Datos KeyCDN'!$B14,0,0)</f>
        <v>RESTO</v>
      </c>
      <c r="C14" s="121">
        <f ca="1">OFFSET('Datos KeyCDN'!$C14,0,MATCH($C$2,'Datos KeyCDN'!$C$2:$E$2,0)-1)</f>
        <v>0.01</v>
      </c>
    </row>
    <row r="15" spans="1:7" ht="15.75" thickTop="1" x14ac:dyDescent="0.25"/>
  </sheetData>
  <mergeCells count="6">
    <mergeCell ref="A7:B7"/>
    <mergeCell ref="A1:C1"/>
    <mergeCell ref="A2:B2"/>
    <mergeCell ref="A3:C3"/>
    <mergeCell ref="A4:B4"/>
    <mergeCell ref="A6:C6"/>
  </mergeCells>
  <pageMargins left="0.7" right="0.7" top="0.75" bottom="0.75" header="0.3" footer="0.3"/>
  <pageSetup paperSize="9" orientation="portrait" horizontalDpi="1440" verticalDpi="144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AF07B17-7938-45F1-B9A9-5649C2483003}">
            <xm:f>($C$2='Datos Amazon CloudFront'!$K$2)</xm:f>
            <x14:dxf>
              <fill>
                <patternFill>
                  <bgColor theme="0" tint="-0.24994659260841701"/>
                </patternFill>
              </fill>
            </x14:dxf>
          </x14:cfRule>
          <xm:sqref>C14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'Datos KeyCDN'!$C$2:$E$2</xm:f>
          </x14:formula1>
          <xm:sqref>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8" sqref="B8"/>
    </sheetView>
  </sheetViews>
  <sheetFormatPr baseColWidth="10" defaultColWidth="11.42578125" defaultRowHeight="15" x14ac:dyDescent="0.25"/>
  <cols>
    <col min="1" max="1" width="32.85546875" style="61" customWidth="1"/>
    <col min="2" max="2" width="17.140625" style="61" customWidth="1"/>
    <col min="3" max="3" width="32.85546875" style="61" customWidth="1"/>
    <col min="4" max="6" width="11.42578125" style="61"/>
    <col min="7" max="7" width="20.140625" style="61" bestFit="1" customWidth="1"/>
    <col min="8" max="16384" width="11.42578125" style="61"/>
  </cols>
  <sheetData>
    <row r="1" spans="1:3" ht="46.5" thickTop="1" thickBot="1" x14ac:dyDescent="0.65">
      <c r="A1" s="328" t="s">
        <v>229</v>
      </c>
      <c r="B1" s="329"/>
      <c r="C1" s="330"/>
    </row>
    <row r="2" spans="1:3" ht="15.75" thickBot="1" x14ac:dyDescent="0.3">
      <c r="A2" s="323" t="s">
        <v>74</v>
      </c>
      <c r="B2" s="324"/>
      <c r="C2" s="325"/>
    </row>
    <row r="3" spans="1:3" x14ac:dyDescent="0.25">
      <c r="A3" s="326" t="s">
        <v>162</v>
      </c>
      <c r="B3" s="327"/>
      <c r="C3" s="267"/>
    </row>
    <row r="4" spans="1:3" ht="15.75" thickBot="1" x14ac:dyDescent="0.3">
      <c r="A4" s="265" t="s">
        <v>230</v>
      </c>
      <c r="B4" s="107">
        <v>1024</v>
      </c>
      <c r="C4" s="112">
        <v>50</v>
      </c>
    </row>
    <row r="5" spans="1:3" ht="15.75" thickBot="1" x14ac:dyDescent="0.3">
      <c r="A5" s="323" t="s">
        <v>88</v>
      </c>
      <c r="B5" s="324"/>
      <c r="C5" s="325"/>
    </row>
    <row r="6" spans="1:3" ht="15" customHeight="1" x14ac:dyDescent="0.25">
      <c r="A6" s="317" t="s">
        <v>95</v>
      </c>
      <c r="B6" s="318"/>
      <c r="C6" s="266" t="s">
        <v>94</v>
      </c>
    </row>
    <row r="7" spans="1:3" x14ac:dyDescent="0.25">
      <c r="A7" s="264" t="s">
        <v>231</v>
      </c>
      <c r="B7" s="105">
        <f>10</f>
        <v>10</v>
      </c>
      <c r="C7" s="112">
        <f>4-(50/1024)</f>
        <v>3.951171875</v>
      </c>
    </row>
    <row r="8" spans="1:3" x14ac:dyDescent="0.25">
      <c r="A8" s="264" t="s">
        <v>232</v>
      </c>
      <c r="B8" s="105">
        <v>50</v>
      </c>
      <c r="C8" s="112">
        <f>17-(5*(50/1024))</f>
        <v>16.755859375</v>
      </c>
    </row>
    <row r="9" spans="1:3" x14ac:dyDescent="0.25">
      <c r="A9" s="264" t="s">
        <v>233</v>
      </c>
      <c r="B9" s="105">
        <v>100</v>
      </c>
      <c r="C9" s="112">
        <f>47-(50*(50/1024))</f>
        <v>44.55859375</v>
      </c>
    </row>
    <row r="10" spans="1:3" x14ac:dyDescent="0.25">
      <c r="A10" s="264" t="s">
        <v>234</v>
      </c>
      <c r="B10" s="105">
        <f>1024</f>
        <v>1024</v>
      </c>
      <c r="C10" s="112">
        <f>203-(1024*(50/1024))</f>
        <v>153</v>
      </c>
    </row>
    <row r="11" spans="1:3" ht="15.75" thickBot="1" x14ac:dyDescent="0.3">
      <c r="A11" s="118" t="s">
        <v>235</v>
      </c>
      <c r="B11" s="182" t="str">
        <f ca="1">OFFSET('Datos KeyCDN'!$B14,0,0)</f>
        <v>RESTO</v>
      </c>
      <c r="C11" s="251">
        <f>11500/(1000*1024)</f>
        <v>1.123046875E-2</v>
      </c>
    </row>
    <row r="12" spans="1:3" ht="15.75" thickTop="1" x14ac:dyDescent="0.25"/>
  </sheetData>
  <mergeCells count="5">
    <mergeCell ref="A1:C1"/>
    <mergeCell ref="A2:C2"/>
    <mergeCell ref="A3:B3"/>
    <mergeCell ref="A5:C5"/>
    <mergeCell ref="A6:B6"/>
  </mergeCells>
  <dataValidations count="1">
    <dataValidation type="list" allowBlank="1" showInputMessage="1" showErrorMessage="1" sqref="C4">
      <formula1>"350,325,300,275,250,50,45,40,35,30"</formula1>
    </dataValidation>
  </dataValidations>
  <pageMargins left="0.7" right="0.7" top="0.75" bottom="0.75" header="0.3" footer="0.3"/>
  <pageSetup paperSize="9" orientation="portrait" horizontalDpi="1440" verticalDpi="144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DBF29AE-C281-496C-BC56-6B5C649DD202}">
            <xm:f>(#REF!='Datos Amazon CloudFront'!$K$2)</xm:f>
            <x14:dxf>
              <fill>
                <patternFill>
                  <bgColor theme="0" tint="-0.24994659260841701"/>
                </patternFill>
              </fill>
            </x14:dxf>
          </x14:cfRule>
          <xm:sqref>C11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J15"/>
  <sheetViews>
    <sheetView workbookViewId="0">
      <selection activeCell="J2" sqref="J2"/>
    </sheetView>
  </sheetViews>
  <sheetFormatPr baseColWidth="10" defaultColWidth="11.42578125" defaultRowHeight="15" x14ac:dyDescent="0.25"/>
  <cols>
    <col min="1" max="1" width="9.5703125" bestFit="1" customWidth="1"/>
    <col min="2" max="2" width="11.140625" bestFit="1" customWidth="1"/>
    <col min="3" max="4" width="10.140625" bestFit="1" customWidth="1"/>
    <col min="5" max="5" width="10.42578125" bestFit="1" customWidth="1"/>
    <col min="8" max="8" width="9.5703125" bestFit="1" customWidth="1"/>
    <col min="9" max="9" width="11.140625" bestFit="1" customWidth="1"/>
    <col min="10" max="10" width="24.5703125" bestFit="1" customWidth="1"/>
  </cols>
  <sheetData>
    <row r="1" spans="1:10" ht="46.5" thickTop="1" thickBot="1" x14ac:dyDescent="0.65">
      <c r="A1" s="328" t="s">
        <v>44</v>
      </c>
      <c r="B1" s="329"/>
      <c r="C1" s="329"/>
      <c r="D1" s="329"/>
      <c r="E1" s="330"/>
      <c r="H1" s="328" t="s">
        <v>44</v>
      </c>
      <c r="I1" s="329"/>
      <c r="J1" s="330"/>
    </row>
    <row r="2" spans="1:10" ht="15.75" thickBot="1" x14ac:dyDescent="0.3">
      <c r="A2" s="323" t="s">
        <v>131</v>
      </c>
      <c r="B2" s="324"/>
      <c r="C2" s="101" t="s">
        <v>126</v>
      </c>
      <c r="D2" s="101" t="s">
        <v>127</v>
      </c>
      <c r="E2" s="110" t="s">
        <v>128</v>
      </c>
      <c r="H2" s="335" t="s">
        <v>131</v>
      </c>
      <c r="I2" s="336"/>
      <c r="J2" s="161" t="s">
        <v>126</v>
      </c>
    </row>
    <row r="3" spans="1:10" s="61" customFormat="1" ht="15.75" thickBot="1" x14ac:dyDescent="0.3">
      <c r="A3" s="323" t="s">
        <v>135</v>
      </c>
      <c r="B3" s="324"/>
      <c r="C3" s="324"/>
      <c r="D3" s="324"/>
      <c r="E3" s="325"/>
      <c r="H3" s="323" t="s">
        <v>135</v>
      </c>
      <c r="I3" s="324"/>
      <c r="J3" s="325"/>
    </row>
    <row r="4" spans="1:10" s="61" customFormat="1" ht="15" customHeight="1" x14ac:dyDescent="0.25">
      <c r="A4" s="317"/>
      <c r="B4" s="318"/>
      <c r="C4" s="339" t="s">
        <v>72</v>
      </c>
      <c r="D4" s="339"/>
      <c r="E4" s="340"/>
      <c r="H4" s="317"/>
      <c r="I4" s="318"/>
      <c r="J4" s="122" t="s">
        <v>72</v>
      </c>
    </row>
    <row r="5" spans="1:10" ht="15.75" thickBot="1" x14ac:dyDescent="0.3">
      <c r="A5" s="337" t="s">
        <v>136</v>
      </c>
      <c r="B5" s="338"/>
      <c r="C5" s="153">
        <v>100</v>
      </c>
      <c r="D5" s="153">
        <f>2*C5</f>
        <v>200</v>
      </c>
      <c r="E5" s="154">
        <f>16*C5</f>
        <v>1600</v>
      </c>
      <c r="H5" s="337" t="s">
        <v>136</v>
      </c>
      <c r="I5" s="338"/>
      <c r="J5" s="154">
        <f ca="1">OFFSET(C5,0,MATCH($J$2,$C$2:$E$2,0)-1)</f>
        <v>100</v>
      </c>
    </row>
    <row r="6" spans="1:10" ht="15.75" thickBot="1" x14ac:dyDescent="0.3">
      <c r="A6" s="323" t="s">
        <v>129</v>
      </c>
      <c r="B6" s="324"/>
      <c r="C6" s="324"/>
      <c r="D6" s="324"/>
      <c r="E6" s="325"/>
      <c r="H6" s="323" t="s">
        <v>129</v>
      </c>
      <c r="I6" s="324"/>
      <c r="J6" s="325"/>
    </row>
    <row r="7" spans="1:10" x14ac:dyDescent="0.25">
      <c r="A7" s="317" t="s">
        <v>130</v>
      </c>
      <c r="B7" s="318"/>
      <c r="C7" s="339"/>
      <c r="D7" s="339"/>
      <c r="E7" s="340"/>
      <c r="H7" s="317" t="s">
        <v>130</v>
      </c>
      <c r="I7" s="318"/>
      <c r="J7" s="122"/>
    </row>
    <row r="8" spans="1:10" ht="15.75" thickBot="1" x14ac:dyDescent="0.3">
      <c r="A8" s="111" t="s">
        <v>132</v>
      </c>
      <c r="B8" s="152">
        <v>3600</v>
      </c>
      <c r="C8" s="103">
        <v>0.05</v>
      </c>
      <c r="D8" s="103">
        <v>0.1</v>
      </c>
      <c r="E8" s="112">
        <v>0.8</v>
      </c>
      <c r="H8" s="111" t="s">
        <v>132</v>
      </c>
      <c r="I8" s="152">
        <v>3600</v>
      </c>
      <c r="J8" s="112">
        <f ca="1">OFFSET(C8,0,MATCH($J$2,$C$2:$E$2,0)-1)</f>
        <v>0.05</v>
      </c>
    </row>
    <row r="9" spans="1:10" s="61" customFormat="1" ht="15.75" thickBot="1" x14ac:dyDescent="0.3">
      <c r="A9" s="323" t="s">
        <v>137</v>
      </c>
      <c r="B9" s="324"/>
      <c r="C9" s="324"/>
      <c r="D9" s="324"/>
      <c r="E9" s="325"/>
      <c r="H9" s="323" t="s">
        <v>137</v>
      </c>
      <c r="I9" s="324"/>
      <c r="J9" s="325"/>
    </row>
    <row r="10" spans="1:10" s="61" customFormat="1" x14ac:dyDescent="0.25">
      <c r="A10" s="317"/>
      <c r="B10" s="318"/>
      <c r="C10" s="339"/>
      <c r="D10" s="339"/>
      <c r="E10" s="340"/>
      <c r="H10" s="317"/>
      <c r="I10" s="318"/>
      <c r="J10" s="122"/>
    </row>
    <row r="11" spans="1:10" s="61" customFormat="1" ht="15.75" thickBot="1" x14ac:dyDescent="0.3">
      <c r="A11" s="155" t="s">
        <v>132</v>
      </c>
      <c r="B11" s="156">
        <f>24*3600*30</f>
        <v>2592000</v>
      </c>
      <c r="C11" s="157">
        <f>C8*$B11/3600</f>
        <v>36</v>
      </c>
      <c r="D11" s="157">
        <f t="shared" ref="D11:E11" si="0">D8*$B11/3600</f>
        <v>72</v>
      </c>
      <c r="E11" s="158">
        <f t="shared" si="0"/>
        <v>576</v>
      </c>
      <c r="H11" s="155" t="s">
        <v>132</v>
      </c>
      <c r="I11" s="156">
        <f>24*3600*30</f>
        <v>2592000</v>
      </c>
      <c r="J11" s="158">
        <f ca="1">OFFSET(C11,0,MATCH($J$2,$C$2:$E$2,0)-1)</f>
        <v>36</v>
      </c>
    </row>
    <row r="12" spans="1:10" ht="16.5" thickTop="1" thickBot="1" x14ac:dyDescent="0.3">
      <c r="A12" s="323" t="s">
        <v>133</v>
      </c>
      <c r="B12" s="324"/>
      <c r="C12" s="324"/>
      <c r="D12" s="324"/>
      <c r="E12" s="325"/>
      <c r="H12" s="323" t="s">
        <v>133</v>
      </c>
      <c r="I12" s="324"/>
      <c r="J12" s="325"/>
    </row>
    <row r="13" spans="1:10" x14ac:dyDescent="0.25">
      <c r="A13" s="317" t="s">
        <v>134</v>
      </c>
      <c r="B13" s="318"/>
      <c r="C13" s="339"/>
      <c r="D13" s="339"/>
      <c r="E13" s="340"/>
      <c r="H13" s="317" t="s">
        <v>134</v>
      </c>
      <c r="I13" s="318"/>
      <c r="J13" s="122"/>
    </row>
    <row r="14" spans="1:10" ht="15.75" thickBot="1" x14ac:dyDescent="0.3">
      <c r="A14" s="155" t="s">
        <v>132</v>
      </c>
      <c r="B14" s="156">
        <f>-750*3600</f>
        <v>-2700000</v>
      </c>
      <c r="C14" s="157">
        <f>C8*$B14/(1*3600)</f>
        <v>-37.5</v>
      </c>
      <c r="D14" s="157">
        <f>D8*$B14/(2*3600)</f>
        <v>-37.5</v>
      </c>
      <c r="E14" s="158">
        <f>E8*$B14/(16*3600)</f>
        <v>-37.5</v>
      </c>
      <c r="H14" s="155" t="s">
        <v>132</v>
      </c>
      <c r="I14" s="156">
        <f>-750*3600</f>
        <v>-2700000</v>
      </c>
      <c r="J14" s="158">
        <f ca="1">OFFSET(C14,0,MATCH($J$2,$C$2:$E$2,0)-1)</f>
        <v>-37.5</v>
      </c>
    </row>
    <row r="15" spans="1:10" ht="15.75" thickTop="1" x14ac:dyDescent="0.25"/>
  </sheetData>
  <mergeCells count="26">
    <mergeCell ref="A1:E1"/>
    <mergeCell ref="A2:B2"/>
    <mergeCell ref="A6:E6"/>
    <mergeCell ref="A7:B7"/>
    <mergeCell ref="C7:E7"/>
    <mergeCell ref="A4:B4"/>
    <mergeCell ref="C4:E4"/>
    <mergeCell ref="A12:E12"/>
    <mergeCell ref="A13:B13"/>
    <mergeCell ref="C13:E13"/>
    <mergeCell ref="A3:E3"/>
    <mergeCell ref="A5:B5"/>
    <mergeCell ref="A9:E9"/>
    <mergeCell ref="A10:B10"/>
    <mergeCell ref="C10:E10"/>
    <mergeCell ref="H1:J1"/>
    <mergeCell ref="H2:I2"/>
    <mergeCell ref="H3:J3"/>
    <mergeCell ref="H4:I4"/>
    <mergeCell ref="H5:I5"/>
    <mergeCell ref="H12:J12"/>
    <mergeCell ref="H13:I13"/>
    <mergeCell ref="H6:J6"/>
    <mergeCell ref="H7:I7"/>
    <mergeCell ref="H9:J9"/>
    <mergeCell ref="H10:I10"/>
  </mergeCells>
  <dataValidations count="1">
    <dataValidation type="list" showInputMessage="1" showErrorMessage="1" sqref="J2">
      <formula1>$C$2:$E$2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24"/>
  <sheetViews>
    <sheetView zoomScale="70" zoomScaleNormal="70" workbookViewId="0">
      <selection activeCell="L18" sqref="L18"/>
    </sheetView>
  </sheetViews>
  <sheetFormatPr baseColWidth="10" defaultColWidth="11.42578125" defaultRowHeight="15" x14ac:dyDescent="0.25"/>
  <cols>
    <col min="1" max="1" width="20.7109375" style="98" customWidth="1"/>
    <col min="2" max="2" width="20.7109375" style="99" customWidth="1"/>
    <col min="3" max="4" width="12.5703125" style="99" bestFit="1" customWidth="1"/>
    <col min="5" max="5" width="14" style="99" bestFit="1" customWidth="1"/>
    <col min="6" max="6" width="14.42578125" style="99" bestFit="1" customWidth="1"/>
    <col min="7" max="7" width="15.28515625" style="99" bestFit="1" customWidth="1"/>
    <col min="8" max="8" width="15.7109375" style="99" bestFit="1" customWidth="1"/>
    <col min="9" max="9" width="11.42578125" style="98"/>
    <col min="10" max="10" width="7.28515625" style="98" bestFit="1" customWidth="1"/>
    <col min="11" max="11" width="12.5703125" style="98" bestFit="1" customWidth="1"/>
    <col min="12" max="12" width="26.7109375" style="98" bestFit="1" customWidth="1"/>
    <col min="13" max="13" width="15" style="98" bestFit="1" customWidth="1"/>
    <col min="14" max="14" width="14.42578125" style="98" bestFit="1" customWidth="1"/>
    <col min="15" max="16384" width="11.42578125" style="98"/>
  </cols>
  <sheetData>
    <row r="1" spans="1:14" ht="46.5" thickTop="1" thickBot="1" x14ac:dyDescent="0.65">
      <c r="A1" s="328" t="s">
        <v>46</v>
      </c>
      <c r="B1" s="349"/>
      <c r="C1" s="349"/>
      <c r="D1" s="349"/>
      <c r="E1" s="349"/>
      <c r="F1" s="349"/>
      <c r="G1" s="349"/>
      <c r="H1" s="350"/>
      <c r="J1" s="328" t="s">
        <v>46</v>
      </c>
      <c r="K1" s="349"/>
      <c r="L1" s="349"/>
      <c r="M1" s="349"/>
      <c r="N1" s="350"/>
    </row>
    <row r="2" spans="1:14" ht="15.75" thickBot="1" x14ac:dyDescent="0.3">
      <c r="A2" s="355" t="s">
        <v>158</v>
      </c>
      <c r="B2" s="356"/>
      <c r="C2" s="179">
        <v>0</v>
      </c>
      <c r="D2" s="179">
        <v>2</v>
      </c>
      <c r="E2" s="179">
        <v>4</v>
      </c>
      <c r="F2" s="179">
        <v>6</v>
      </c>
      <c r="G2" s="179">
        <v>7</v>
      </c>
      <c r="H2" s="180">
        <v>8</v>
      </c>
      <c r="J2" s="353" t="s">
        <v>164</v>
      </c>
      <c r="K2" s="354"/>
      <c r="L2" s="354"/>
      <c r="M2" s="351" t="s">
        <v>69</v>
      </c>
      <c r="N2" s="352"/>
    </row>
    <row r="3" spans="1:14" ht="15.75" customHeight="1" thickBot="1" x14ac:dyDescent="0.3">
      <c r="A3" s="323" t="s">
        <v>69</v>
      </c>
      <c r="B3" s="324"/>
      <c r="C3" s="324"/>
      <c r="D3" s="324"/>
      <c r="E3" s="324"/>
      <c r="F3" s="324"/>
      <c r="G3" s="324"/>
      <c r="H3" s="325"/>
      <c r="J3" s="185" t="s">
        <v>158</v>
      </c>
      <c r="K3" s="186" t="s">
        <v>161</v>
      </c>
      <c r="L3" s="186" t="s">
        <v>162</v>
      </c>
      <c r="M3" s="186" t="s">
        <v>163</v>
      </c>
      <c r="N3" s="196" t="s">
        <v>150</v>
      </c>
    </row>
    <row r="4" spans="1:14" ht="15" customHeight="1" x14ac:dyDescent="0.25">
      <c r="A4" s="347"/>
      <c r="B4" s="348"/>
      <c r="C4" s="341" t="s">
        <v>160</v>
      </c>
      <c r="D4" s="342"/>
      <c r="E4" s="342"/>
      <c r="F4" s="342"/>
      <c r="G4" s="342"/>
      <c r="H4" s="343"/>
      <c r="J4" s="187">
        <v>0</v>
      </c>
      <c r="K4" s="188">
        <f ca="1">OFFSET($C$5,0+IF($M$2=$A$3,0,IF($M$2=$A$10,7,14)),MATCH($J4,$C$2:$H$2,0)-1)</f>
        <v>1</v>
      </c>
      <c r="L4" s="188">
        <f ca="1">OFFSET($C$6,0+IF($M$2=$A$3,0,IF($M$2=$A$10,7,14)),MATCH($J4,$C$2:$H$2,0)-1)</f>
        <v>64</v>
      </c>
      <c r="M4" s="189">
        <f ca="1">OFFSET($C$7,0+IF($M$2=$A$3,0,IF($M$2=$A$10,7,14)),MATCH($J4,$C$2:$H$2,0)-1)</f>
        <v>120</v>
      </c>
      <c r="N4" s="197">
        <f ca="1">OFFSET($C$9,0+IF($M$2=$A$3,0,IF($M$2=$A$10,7,14)),MATCH($J4,$C$2:$H$2,0)-1)</f>
        <v>50</v>
      </c>
    </row>
    <row r="5" spans="1:14" x14ac:dyDescent="0.25">
      <c r="A5" s="345" t="s">
        <v>161</v>
      </c>
      <c r="B5" s="346"/>
      <c r="C5" s="183">
        <v>1</v>
      </c>
      <c r="D5" s="183">
        <v>3.5</v>
      </c>
      <c r="E5" s="183">
        <v>15</v>
      </c>
      <c r="F5" s="183">
        <v>60</v>
      </c>
      <c r="G5" s="183">
        <v>120</v>
      </c>
      <c r="H5" s="184"/>
      <c r="J5" s="190">
        <v>2</v>
      </c>
      <c r="K5" s="191">
        <f t="shared" ref="K5:K9" ca="1" si="0">OFFSET($C$5,0+IF($M$2=$A$3,0,IF($M$2=$A$10,7,14)),MATCH($J5,$C$2:$H$2,0)-1)</f>
        <v>3.5</v>
      </c>
      <c r="L5" s="191">
        <f t="shared" ref="L5:L9" ca="1" si="1">OFFSET($C$6,0+IF($M$2=$A$3,0,IF($M$2=$A$10,7,14)),MATCH($J5,$C$2:$H$2,0)-1)</f>
        <v>256</v>
      </c>
      <c r="M5" s="192">
        <f t="shared" ref="M5:M9" ca="1" si="2">OFFSET($C$7,0+IF($M$2=$A$3,0,IF($M$2=$A$10,7,14)),MATCH($J5,$C$2:$H$2,0)-1)</f>
        <v>400</v>
      </c>
      <c r="N5" s="198">
        <f t="shared" ref="N5:N9" ca="1" si="3">OFFSET($C$9,0+IF($M$2=$A$3,0,IF($M$2=$A$10,7,14)),MATCH($J5,$C$2:$H$2,0)-1)</f>
        <v>200</v>
      </c>
    </row>
    <row r="6" spans="1:14" x14ac:dyDescent="0.25">
      <c r="A6" s="345" t="s">
        <v>162</v>
      </c>
      <c r="B6" s="346"/>
      <c r="C6" s="183">
        <v>64</v>
      </c>
      <c r="D6" s="183">
        <v>256</v>
      </c>
      <c r="E6" s="183">
        <v>512</v>
      </c>
      <c r="F6" s="183">
        <v>1024</v>
      </c>
      <c r="G6" s="183">
        <v>1024</v>
      </c>
      <c r="H6" s="184"/>
      <c r="J6" s="190">
        <v>4</v>
      </c>
      <c r="K6" s="191">
        <f t="shared" ca="1" si="0"/>
        <v>15</v>
      </c>
      <c r="L6" s="191">
        <f t="shared" ca="1" si="1"/>
        <v>512</v>
      </c>
      <c r="M6" s="192">
        <f t="shared" ca="1" si="2"/>
        <v>500</v>
      </c>
      <c r="N6" s="198">
        <f t="shared" ca="1" si="3"/>
        <v>750</v>
      </c>
    </row>
    <row r="7" spans="1:14" ht="15.75" thickBot="1" x14ac:dyDescent="0.3">
      <c r="A7" s="345" t="s">
        <v>163</v>
      </c>
      <c r="B7" s="346"/>
      <c r="C7" s="178">
        <v>120</v>
      </c>
      <c r="D7" s="178">
        <v>400</v>
      </c>
      <c r="E7" s="178">
        <v>500</v>
      </c>
      <c r="F7" s="178">
        <v>500</v>
      </c>
      <c r="G7" s="178">
        <v>500</v>
      </c>
      <c r="H7" s="181"/>
      <c r="J7" s="190">
        <v>6</v>
      </c>
      <c r="K7" s="191">
        <f t="shared" ca="1" si="0"/>
        <v>60</v>
      </c>
      <c r="L7" s="191">
        <f t="shared" ca="1" si="1"/>
        <v>1024</v>
      </c>
      <c r="M7" s="192">
        <f t="shared" ca="1" si="2"/>
        <v>500</v>
      </c>
      <c r="N7" s="198">
        <f t="shared" ca="1" si="3"/>
        <v>2000</v>
      </c>
    </row>
    <row r="8" spans="1:14" ht="15" customHeight="1" x14ac:dyDescent="0.25">
      <c r="A8" s="317"/>
      <c r="B8" s="318"/>
      <c r="C8" s="344" t="s">
        <v>150</v>
      </c>
      <c r="D8" s="339"/>
      <c r="E8" s="339"/>
      <c r="F8" s="339"/>
      <c r="G8" s="339"/>
      <c r="H8" s="340"/>
      <c r="J8" s="190">
        <v>7</v>
      </c>
      <c r="K8" s="191">
        <f t="shared" ca="1" si="0"/>
        <v>120</v>
      </c>
      <c r="L8" s="191">
        <f t="shared" ca="1" si="1"/>
        <v>1024</v>
      </c>
      <c r="M8" s="192">
        <f t="shared" ca="1" si="2"/>
        <v>500</v>
      </c>
      <c r="N8" s="198">
        <f t="shared" ca="1" si="3"/>
        <v>3500</v>
      </c>
    </row>
    <row r="9" spans="1:14" ht="15.75" thickBot="1" x14ac:dyDescent="0.3">
      <c r="A9" s="115"/>
      <c r="B9" s="105"/>
      <c r="C9" s="103">
        <v>50</v>
      </c>
      <c r="D9" s="103">
        <v>200</v>
      </c>
      <c r="E9" s="103">
        <v>750</v>
      </c>
      <c r="F9" s="103">
        <v>2000</v>
      </c>
      <c r="G9" s="103">
        <v>3500</v>
      </c>
      <c r="H9" s="112"/>
      <c r="J9" s="193">
        <v>8</v>
      </c>
      <c r="K9" s="194">
        <f t="shared" ca="1" si="0"/>
        <v>0</v>
      </c>
      <c r="L9" s="194">
        <f t="shared" ca="1" si="1"/>
        <v>0</v>
      </c>
      <c r="M9" s="195">
        <f t="shared" ca="1" si="2"/>
        <v>0</v>
      </c>
      <c r="N9" s="199">
        <f t="shared" ca="1" si="3"/>
        <v>0</v>
      </c>
    </row>
    <row r="10" spans="1:14" ht="15.75" customHeight="1" thickTop="1" thickBot="1" x14ac:dyDescent="0.3">
      <c r="A10" s="323" t="s">
        <v>145</v>
      </c>
      <c r="B10" s="324"/>
      <c r="C10" s="324"/>
      <c r="D10" s="324"/>
      <c r="E10" s="324"/>
      <c r="F10" s="324"/>
      <c r="G10" s="324"/>
      <c r="H10" s="325"/>
    </row>
    <row r="11" spans="1:14" ht="15.75" customHeight="1" x14ac:dyDescent="0.25">
      <c r="A11" s="347"/>
      <c r="B11" s="348"/>
      <c r="C11" s="341" t="s">
        <v>160</v>
      </c>
      <c r="D11" s="342"/>
      <c r="E11" s="342"/>
      <c r="F11" s="342"/>
      <c r="G11" s="342"/>
      <c r="H11" s="343"/>
    </row>
    <row r="12" spans="1:14" x14ac:dyDescent="0.25">
      <c r="A12" s="345" t="s">
        <v>161</v>
      </c>
      <c r="B12" s="346"/>
      <c r="C12" s="183">
        <v>1</v>
      </c>
      <c r="D12" s="183">
        <v>3.5</v>
      </c>
      <c r="E12" s="183">
        <v>15</v>
      </c>
      <c r="F12" s="183">
        <v>60</v>
      </c>
      <c r="G12" s="183">
        <v>120</v>
      </c>
      <c r="H12" s="184"/>
    </row>
    <row r="13" spans="1:14" x14ac:dyDescent="0.25">
      <c r="A13" s="345" t="s">
        <v>162</v>
      </c>
      <c r="B13" s="346"/>
      <c r="C13" s="183">
        <v>64</v>
      </c>
      <c r="D13" s="183">
        <v>256</v>
      </c>
      <c r="E13" s="183">
        <v>512</v>
      </c>
      <c r="F13" s="183">
        <v>1024</v>
      </c>
      <c r="G13" s="183">
        <v>1024</v>
      </c>
      <c r="H13" s="184"/>
    </row>
    <row r="14" spans="1:14" ht="15.75" thickBot="1" x14ac:dyDescent="0.3">
      <c r="A14" s="345" t="s">
        <v>163</v>
      </c>
      <c r="B14" s="346"/>
      <c r="C14" s="178">
        <v>120</v>
      </c>
      <c r="D14" s="178">
        <v>400</v>
      </c>
      <c r="E14" s="178">
        <v>500</v>
      </c>
      <c r="F14" s="178">
        <v>500</v>
      </c>
      <c r="G14" s="178">
        <v>500</v>
      </c>
      <c r="H14" s="181"/>
    </row>
    <row r="15" spans="1:14" x14ac:dyDescent="0.25">
      <c r="A15" s="317"/>
      <c r="B15" s="318"/>
      <c r="C15" s="344" t="s">
        <v>150</v>
      </c>
      <c r="D15" s="339"/>
      <c r="E15" s="339"/>
      <c r="F15" s="339"/>
      <c r="G15" s="339"/>
      <c r="H15" s="340"/>
    </row>
    <row r="16" spans="1:14" ht="15.75" thickBot="1" x14ac:dyDescent="0.3">
      <c r="A16" s="115"/>
      <c r="B16" s="105"/>
      <c r="C16" s="103">
        <v>200</v>
      </c>
      <c r="D16" s="103">
        <v>350</v>
      </c>
      <c r="E16" s="103">
        <v>1200</v>
      </c>
      <c r="F16" s="103">
        <v>3500</v>
      </c>
      <c r="G16" s="103">
        <v>6000</v>
      </c>
      <c r="H16" s="112"/>
    </row>
    <row r="17" spans="1:8" ht="15.75" thickBot="1" x14ac:dyDescent="0.3">
      <c r="A17" s="323" t="s">
        <v>159</v>
      </c>
      <c r="B17" s="324"/>
      <c r="C17" s="324"/>
      <c r="D17" s="324"/>
      <c r="E17" s="324"/>
      <c r="F17" s="324"/>
      <c r="G17" s="324"/>
      <c r="H17" s="325"/>
    </row>
    <row r="18" spans="1:8" x14ac:dyDescent="0.25">
      <c r="A18" s="347"/>
      <c r="B18" s="348"/>
      <c r="C18" s="341" t="s">
        <v>160</v>
      </c>
      <c r="D18" s="342"/>
      <c r="E18" s="342"/>
      <c r="F18" s="342"/>
      <c r="G18" s="342"/>
      <c r="H18" s="343"/>
    </row>
    <row r="19" spans="1:8" x14ac:dyDescent="0.25">
      <c r="A19" s="345" t="s">
        <v>161</v>
      </c>
      <c r="B19" s="346"/>
      <c r="C19" s="183"/>
      <c r="D19" s="183"/>
      <c r="E19" s="183"/>
      <c r="F19" s="183"/>
      <c r="G19" s="183">
        <v>120</v>
      </c>
      <c r="H19" s="184">
        <v>240</v>
      </c>
    </row>
    <row r="20" spans="1:8" x14ac:dyDescent="0.25">
      <c r="A20" s="345" t="s">
        <v>162</v>
      </c>
      <c r="B20" s="346"/>
      <c r="C20" s="183"/>
      <c r="D20" s="183"/>
      <c r="E20" s="183"/>
      <c r="F20" s="183"/>
      <c r="G20" s="183">
        <v>1024</v>
      </c>
      <c r="H20" s="184">
        <v>1024</v>
      </c>
    </row>
    <row r="21" spans="1:8" ht="30" customHeight="1" thickBot="1" x14ac:dyDescent="0.3">
      <c r="A21" s="345" t="s">
        <v>163</v>
      </c>
      <c r="B21" s="346"/>
      <c r="C21" s="178"/>
      <c r="D21" s="178"/>
      <c r="E21" s="178"/>
      <c r="F21" s="178"/>
      <c r="G21" s="178">
        <v>500</v>
      </c>
      <c r="H21" s="181">
        <v>500</v>
      </c>
    </row>
    <row r="22" spans="1:8" x14ac:dyDescent="0.25">
      <c r="A22" s="317"/>
      <c r="B22" s="318"/>
      <c r="C22" s="344" t="s">
        <v>150</v>
      </c>
      <c r="D22" s="339"/>
      <c r="E22" s="339"/>
      <c r="F22" s="339"/>
      <c r="G22" s="339"/>
      <c r="H22" s="340"/>
    </row>
    <row r="23" spans="1:8" ht="15.75" thickBot="1" x14ac:dyDescent="0.3">
      <c r="A23" s="155"/>
      <c r="B23" s="182"/>
      <c r="C23" s="157"/>
      <c r="D23" s="157"/>
      <c r="E23" s="157"/>
      <c r="F23" s="157"/>
      <c r="G23" s="157">
        <v>15000</v>
      </c>
      <c r="H23" s="158">
        <v>30000</v>
      </c>
    </row>
    <row r="24" spans="1:8" ht="15.75" thickTop="1" x14ac:dyDescent="0.25"/>
  </sheetData>
  <mergeCells count="29">
    <mergeCell ref="J1:N1"/>
    <mergeCell ref="M2:N2"/>
    <mergeCell ref="J2:L2"/>
    <mergeCell ref="C8:H8"/>
    <mergeCell ref="A10:H10"/>
    <mergeCell ref="A5:B5"/>
    <mergeCell ref="A6:B6"/>
    <mergeCell ref="A7:B7"/>
    <mergeCell ref="A2:B2"/>
    <mergeCell ref="A4:B4"/>
    <mergeCell ref="A8:B8"/>
    <mergeCell ref="A1:H1"/>
    <mergeCell ref="A3:H3"/>
    <mergeCell ref="C4:H4"/>
    <mergeCell ref="C11:H11"/>
    <mergeCell ref="C15:H15"/>
    <mergeCell ref="A17:H17"/>
    <mergeCell ref="C18:H18"/>
    <mergeCell ref="A22:B22"/>
    <mergeCell ref="A12:B12"/>
    <mergeCell ref="A13:B13"/>
    <mergeCell ref="A14:B14"/>
    <mergeCell ref="A18:B18"/>
    <mergeCell ref="A19:B19"/>
    <mergeCell ref="A20:B20"/>
    <mergeCell ref="A21:B21"/>
    <mergeCell ref="A11:B11"/>
    <mergeCell ref="A15:B15"/>
    <mergeCell ref="C22:H22"/>
  </mergeCells>
  <dataValidations count="1">
    <dataValidation type="list" allowBlank="1" showInputMessage="1" showErrorMessage="1" sqref="M2:N2">
      <formula1>"Estándar,Premium,Enterprise"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Configuración de Imagenes</vt:lpstr>
      <vt:lpstr>Selección S3</vt:lpstr>
      <vt:lpstr>Selección CloudFront</vt:lpstr>
      <vt:lpstr>Selección MaxCDN</vt:lpstr>
      <vt:lpstr>Selección KeyCDN</vt:lpstr>
      <vt:lpstr>Datos CloudImage.io</vt:lpstr>
      <vt:lpstr>Datos Heroku</vt:lpstr>
      <vt:lpstr>Datos Postgres</vt:lpstr>
      <vt:lpstr>Datos Pusher</vt:lpstr>
      <vt:lpstr>Datos Amazon S3</vt:lpstr>
      <vt:lpstr>Datos Amazon CloudFront</vt:lpstr>
      <vt:lpstr>Datos MaxCDN</vt:lpstr>
      <vt:lpstr>Datos KeyCDN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Rodríguez González</dc:creator>
  <cp:lastModifiedBy>Guillermo Rocafort</cp:lastModifiedBy>
  <dcterms:created xsi:type="dcterms:W3CDTF">2015-01-13T09:58:23Z</dcterms:created>
  <dcterms:modified xsi:type="dcterms:W3CDTF">2016-02-23T17:47:01Z</dcterms:modified>
</cp:coreProperties>
</file>