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alvatti\Downloads\"/>
    </mc:Choice>
  </mc:AlternateContent>
  <xr:revisionPtr revIDLastSave="0" documentId="13_ncr:1_{F67907BA-E63C-4344-9BF2-0E981B047CA6}" xr6:coauthVersionLast="47" xr6:coauthVersionMax="47" xr10:uidLastSave="{00000000-0000-0000-0000-000000000000}"/>
  <bookViews>
    <workbookView xWindow="-28920" yWindow="-120" windowWidth="29040" windowHeight="15840" xr2:uid="{39C1879E-B9AF-40DD-BA07-BF5CA368F4A1}"/>
  </bookViews>
  <sheets>
    <sheet name="FCFF" sheetId="4" r:id="rId1"/>
    <sheet name="Valuation" sheetId="10" r:id="rId2"/>
    <sheet name="Receita" sheetId="11" r:id="rId3"/>
    <sheet name="Balance_Sheet" sheetId="6" r:id="rId4"/>
    <sheet name="DNCG" sheetId="7" r:id="rId5"/>
    <sheet name="Comparativo" sheetId="5" r:id="rId6"/>
    <sheet name="Income Stat" sheetId="8" r:id="rId7"/>
    <sheet name="WAC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1" l="1"/>
  <c r="C8" i="11" s="1"/>
  <c r="D5" i="11"/>
  <c r="D4" i="11"/>
  <c r="E4" i="11" s="1"/>
  <c r="F4" i="11" s="1"/>
  <c r="G4" i="11" s="1"/>
  <c r="H4" i="11" s="1"/>
  <c r="E3" i="11"/>
  <c r="D3" i="11"/>
  <c r="D8" i="11" s="1"/>
  <c r="B4" i="9"/>
  <c r="B5" i="9" s="1"/>
  <c r="B11" i="9" s="1"/>
  <c r="B3" i="10" s="1"/>
  <c r="B8" i="8"/>
  <c r="B10" i="8" s="1"/>
  <c r="I7" i="8"/>
  <c r="H7" i="8"/>
  <c r="G7" i="8"/>
  <c r="F7" i="8"/>
  <c r="E7" i="8"/>
  <c r="I6" i="8"/>
  <c r="H6" i="8"/>
  <c r="G6" i="8"/>
  <c r="F6" i="8"/>
  <c r="E6" i="8"/>
  <c r="D5" i="8"/>
  <c r="D8" i="8" s="1"/>
  <c r="D10" i="8" s="1"/>
  <c r="C5" i="8"/>
  <c r="C8" i="8" s="1"/>
  <c r="C10" i="8" s="1"/>
  <c r="B5" i="8"/>
  <c r="I4" i="8"/>
  <c r="I5" i="8" s="1"/>
  <c r="I8" i="8" s="1"/>
  <c r="H4" i="8"/>
  <c r="H5" i="8" s="1"/>
  <c r="H8" i="8" s="1"/>
  <c r="G4" i="8"/>
  <c r="G5" i="8" s="1"/>
  <c r="G8" i="8" s="1"/>
  <c r="F4" i="8"/>
  <c r="F5" i="8" s="1"/>
  <c r="F8" i="8" s="1"/>
  <c r="E4" i="8"/>
  <c r="E5" i="8" s="1"/>
  <c r="E8" i="8" s="1"/>
  <c r="C2" i="7"/>
  <c r="B2" i="7"/>
  <c r="C7" i="7"/>
  <c r="C6" i="7"/>
  <c r="B6" i="7"/>
  <c r="D4" i="7"/>
  <c r="D6" i="7" s="1"/>
  <c r="D7" i="7" s="1"/>
  <c r="E3" i="7"/>
  <c r="F3" i="7" s="1"/>
  <c r="D2" i="7"/>
  <c r="E2" i="7" s="1"/>
  <c r="F2" i="7" s="1"/>
  <c r="G2" i="7" s="1"/>
  <c r="H2" i="7" s="1"/>
  <c r="B2" i="6"/>
  <c r="B3" i="6"/>
  <c r="C3" i="6"/>
  <c r="C2" i="6" s="1"/>
  <c r="D3" i="6"/>
  <c r="D2" i="6" s="1"/>
  <c r="E3" i="6"/>
  <c r="F3" i="6"/>
  <c r="G3" i="6" s="1"/>
  <c r="H3" i="6" s="1"/>
  <c r="I3" i="6" s="1"/>
  <c r="F4" i="6"/>
  <c r="G4" i="6" s="1"/>
  <c r="H4" i="6" s="1"/>
  <c r="I4" i="6" s="1"/>
  <c r="F5" i="6"/>
  <c r="G5" i="6" s="1"/>
  <c r="H5" i="6" s="1"/>
  <c r="I5" i="6" s="1"/>
  <c r="F6" i="6"/>
  <c r="G6" i="6" s="1"/>
  <c r="H6" i="6" s="1"/>
  <c r="I6" i="6" s="1"/>
  <c r="F7" i="6"/>
  <c r="G7" i="6" s="1"/>
  <c r="H7" i="6" s="1"/>
  <c r="I7" i="6" s="1"/>
  <c r="B8" i="6"/>
  <c r="C8" i="6"/>
  <c r="D8" i="6"/>
  <c r="E8" i="6"/>
  <c r="F8" i="6"/>
  <c r="G8" i="6" s="1"/>
  <c r="H8" i="6" s="1"/>
  <c r="I8" i="6" s="1"/>
  <c r="F9" i="6"/>
  <c r="G9" i="6" s="1"/>
  <c r="H9" i="6" s="1"/>
  <c r="I9" i="6" s="1"/>
  <c r="F10" i="6"/>
  <c r="G10" i="6" s="1"/>
  <c r="H10" i="6" s="1"/>
  <c r="I10" i="6" s="1"/>
  <c r="F11" i="6"/>
  <c r="G11" i="6" s="1"/>
  <c r="H11" i="6" s="1"/>
  <c r="I11" i="6" s="1"/>
  <c r="B13" i="6"/>
  <c r="B12" i="6" s="1"/>
  <c r="C13" i="6"/>
  <c r="C12" i="6" s="1"/>
  <c r="D13" i="6"/>
  <c r="D12" i="6" s="1"/>
  <c r="E12" i="6" s="1"/>
  <c r="F12" i="6" s="1"/>
  <c r="G12" i="6" s="1"/>
  <c r="H12" i="6" s="1"/>
  <c r="I12" i="6" s="1"/>
  <c r="E13" i="6"/>
  <c r="F13" i="6"/>
  <c r="G13" i="6" s="1"/>
  <c r="H13" i="6" s="1"/>
  <c r="I13" i="6" s="1"/>
  <c r="F14" i="6"/>
  <c r="G14" i="6" s="1"/>
  <c r="H14" i="6" s="1"/>
  <c r="I14" i="6" s="1"/>
  <c r="F15" i="6"/>
  <c r="G15" i="6" s="1"/>
  <c r="H15" i="6" s="1"/>
  <c r="I15" i="6" s="1"/>
  <c r="F16" i="6"/>
  <c r="G16" i="6" s="1"/>
  <c r="H16" i="6" s="1"/>
  <c r="I16" i="6" s="1"/>
  <c r="B17" i="6"/>
  <c r="C17" i="6"/>
  <c r="D17" i="6"/>
  <c r="E17" i="6"/>
  <c r="F17" i="6"/>
  <c r="G17" i="6" s="1"/>
  <c r="H17" i="6" s="1"/>
  <c r="I17" i="6" s="1"/>
  <c r="F18" i="6"/>
  <c r="G18" i="6" s="1"/>
  <c r="H18" i="6" s="1"/>
  <c r="I18" i="6" s="1"/>
  <c r="F19" i="6"/>
  <c r="G19" i="6" s="1"/>
  <c r="H19" i="6" s="1"/>
  <c r="I19" i="6" s="1"/>
  <c r="F20" i="6"/>
  <c r="G20" i="6" s="1"/>
  <c r="H20" i="6" s="1"/>
  <c r="I20" i="6" s="1"/>
  <c r="E8" i="11" l="1"/>
  <c r="F3" i="11"/>
  <c r="F9" i="8"/>
  <c r="F10" i="8" s="1"/>
  <c r="G9" i="8"/>
  <c r="G10" i="8" s="1"/>
  <c r="H9" i="8"/>
  <c r="H10" i="8" s="1"/>
  <c r="E9" i="8"/>
  <c r="E10" i="8" s="1"/>
  <c r="I9" i="8"/>
  <c r="I10" i="8" s="1"/>
  <c r="G3" i="7"/>
  <c r="E4" i="7"/>
  <c r="F4" i="7" s="1"/>
  <c r="G4" i="7" s="1"/>
  <c r="H4" i="7" s="1"/>
  <c r="C21" i="6"/>
  <c r="D21" i="6"/>
  <c r="E21" i="6" s="1"/>
  <c r="F21" i="6" s="1"/>
  <c r="G21" i="6" s="1"/>
  <c r="H21" i="6" s="1"/>
  <c r="I21" i="6" s="1"/>
  <c r="E2" i="6"/>
  <c r="F2" i="6" s="1"/>
  <c r="G2" i="6" s="1"/>
  <c r="H2" i="6" s="1"/>
  <c r="I2" i="6" s="1"/>
  <c r="B21" i="6"/>
  <c r="G3" i="11" l="1"/>
  <c r="F8" i="11"/>
  <c r="H3" i="7"/>
  <c r="H6" i="7" s="1"/>
  <c r="H7" i="7" s="1"/>
  <c r="G6" i="7"/>
  <c r="E6" i="7"/>
  <c r="E7" i="7" s="1"/>
  <c r="F6" i="7"/>
  <c r="F7" i="7" s="1"/>
  <c r="G8" i="11" l="1"/>
  <c r="H3" i="11"/>
  <c r="H8" i="11" s="1"/>
  <c r="G7" i="7"/>
</calcChain>
</file>

<file path=xl/sharedStrings.xml><?xml version="1.0" encoding="utf-8"?>
<sst xmlns="http://schemas.openxmlformats.org/spreadsheetml/2006/main" count="106" uniqueCount="79">
  <si>
    <t>iPad</t>
  </si>
  <si>
    <t>Mac</t>
  </si>
  <si>
    <t>Serviços</t>
  </si>
  <si>
    <t>Outros Produtos</t>
  </si>
  <si>
    <t>2022E</t>
  </si>
  <si>
    <t>2023E</t>
  </si>
  <si>
    <t>2024E</t>
  </si>
  <si>
    <t>2025E</t>
  </si>
  <si>
    <t>2026E</t>
  </si>
  <si>
    <t>iPhone</t>
  </si>
  <si>
    <t>Receita</t>
  </si>
  <si>
    <t>WACC</t>
  </si>
  <si>
    <t>D/V</t>
  </si>
  <si>
    <t>E/V</t>
  </si>
  <si>
    <t>Custo da Dívida</t>
  </si>
  <si>
    <t>Taxa livre de risco</t>
  </si>
  <si>
    <t>Beta</t>
  </si>
  <si>
    <t>FCFF</t>
  </si>
  <si>
    <t>Net Capex</t>
  </si>
  <si>
    <t>Net Debt</t>
  </si>
  <si>
    <t>Lucro Bruto</t>
  </si>
  <si>
    <t>Lucro Líquido</t>
  </si>
  <si>
    <t>EBIT</t>
  </si>
  <si>
    <t>Valor Justo</t>
  </si>
  <si>
    <t>Ativo</t>
  </si>
  <si>
    <t>Ativo Circulante</t>
  </si>
  <si>
    <t>Caixa</t>
  </si>
  <si>
    <t>Ativo Não-circulante</t>
  </si>
  <si>
    <t>Outros ANC</t>
  </si>
  <si>
    <t>Passivo Circulante</t>
  </si>
  <si>
    <t>Passivo</t>
  </si>
  <si>
    <t>Passivo Não-Circulante</t>
  </si>
  <si>
    <t>Recebíveis</t>
  </si>
  <si>
    <t>Estoques</t>
  </si>
  <si>
    <t>Outros AC</t>
  </si>
  <si>
    <t>Imobilizado</t>
  </si>
  <si>
    <t>Investimentos de LP</t>
  </si>
  <si>
    <t>Fornecedores</t>
  </si>
  <si>
    <t>Financiamento de CP</t>
  </si>
  <si>
    <t>Outros PC</t>
  </si>
  <si>
    <t>Financiamentos de LP</t>
  </si>
  <si>
    <t>Provisões</t>
  </si>
  <si>
    <t>Outros PNC</t>
  </si>
  <si>
    <t>Patrimônio Líquido</t>
  </si>
  <si>
    <t>(-) CoG</t>
  </si>
  <si>
    <t>(-) R&amp;D</t>
  </si>
  <si>
    <t>(-) SG&amp;A</t>
  </si>
  <si>
    <t>(-)Impostos</t>
  </si>
  <si>
    <t>Valor</t>
  </si>
  <si>
    <t>Capital de Terceiros</t>
  </si>
  <si>
    <t>Tax Rate</t>
  </si>
  <si>
    <t>EBIT (1-T)</t>
  </si>
  <si>
    <t>Necessidade de Capital de Giro</t>
  </si>
  <si>
    <t>Contas a Receber</t>
  </si>
  <si>
    <t>ΔNCG</t>
  </si>
  <si>
    <t>FCFF(n)</t>
  </si>
  <si>
    <t>Perpetuidade</t>
  </si>
  <si>
    <t>Valor Terminal</t>
  </si>
  <si>
    <t>Microsoft</t>
  </si>
  <si>
    <t>Google</t>
  </si>
  <si>
    <t>Apple</t>
  </si>
  <si>
    <t>ROS</t>
  </si>
  <si>
    <t>ROA</t>
  </si>
  <si>
    <t>ROIC</t>
  </si>
  <si>
    <t>ROE</t>
  </si>
  <si>
    <t>Receita Total:</t>
  </si>
  <si>
    <t>(bi USD)</t>
  </si>
  <si>
    <t>ESTRUTURA DE CUSTOS</t>
  </si>
  <si>
    <t>SEGMENTAÇÃO DA RECEITA (bi USD)</t>
  </si>
  <si>
    <t>Capital Próprio</t>
  </si>
  <si>
    <t>Ativo Circulante Reduzido</t>
  </si>
  <si>
    <t>Valor Mercado</t>
  </si>
  <si>
    <t>Spread</t>
  </si>
  <si>
    <t>VT Presente</t>
  </si>
  <si>
    <t>Enterprive Value</t>
  </si>
  <si>
    <t>Equity Value</t>
  </si>
  <si>
    <t>Out. Shares</t>
  </si>
  <si>
    <t>Rm</t>
  </si>
  <si>
    <t>FCFF (t0)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</si>
</sst>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.0_-;\-* #,##0.0_-;_-* &quot;-&quot;?_-;_-@_-"/>
    <numFmt numFmtId="167" formatCode="_-[$$-409]* #,##0.00_ ;_-[$$-409]* \-#,##0.00\ ;_-[$$-409]* &quot;-&quot;??_ ;_-@_ "/>
    <numFmt numFmtId="168" formatCode="0.000000"/>
    <numFmt numFmtId="169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164" fontId="0" fillId="0" borderId="1" xfId="2" applyNumberFormat="1" applyFont="1" applyBorder="1"/>
    <xf numFmtId="164" fontId="0" fillId="2" borderId="1" xfId="2" applyNumberFormat="1" applyFont="1" applyFill="1" applyBorder="1"/>
    <xf numFmtId="0" fontId="2" fillId="0" borderId="1" xfId="0" applyFont="1" applyBorder="1" applyAlignment="1">
      <alignment horizontal="center"/>
    </xf>
    <xf numFmtId="165" fontId="0" fillId="2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165" fontId="0" fillId="0" borderId="1" xfId="1" applyNumberFormat="1" applyFont="1" applyBorder="1"/>
    <xf numFmtId="0" fontId="2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/>
    </xf>
    <xf numFmtId="167" fontId="0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 applyAlignment="1">
      <alignment horizontal="left"/>
    </xf>
    <xf numFmtId="10" fontId="2" fillId="0" borderId="1" xfId="2" applyNumberFormat="1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indent="2"/>
    </xf>
    <xf numFmtId="10" fontId="0" fillId="0" borderId="1" xfId="2" applyNumberFormat="1" applyFont="1" applyBorder="1"/>
    <xf numFmtId="10" fontId="2" fillId="0" borderId="1" xfId="0" applyNumberFormat="1" applyFont="1" applyBorder="1"/>
    <xf numFmtId="43" fontId="0" fillId="0" borderId="1" xfId="1" applyNumberFormat="1" applyFont="1" applyBorder="1"/>
    <xf numFmtId="0" fontId="2" fillId="2" borderId="1" xfId="0" applyFont="1" applyFill="1" applyBorder="1"/>
    <xf numFmtId="167" fontId="0" fillId="2" borderId="1" xfId="1" applyNumberFormat="1" applyFont="1" applyFill="1" applyBorder="1"/>
    <xf numFmtId="168" fontId="0" fillId="0" borderId="0" xfId="0" applyNumberFormat="1"/>
    <xf numFmtId="169" fontId="0" fillId="2" borderId="1" xfId="1" applyNumberFormat="1" applyFont="1" applyFill="1" applyBorder="1" applyAlignment="1">
      <alignment vertical="center"/>
    </xf>
    <xf numFmtId="2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4837-3A48-42C2-9819-CDA6484C29E3}">
  <dimension ref="A1:J24"/>
  <sheetViews>
    <sheetView showGridLines="0" tabSelected="1" workbookViewId="0">
      <selection activeCell="D11" sqref="D11"/>
    </sheetView>
  </sheetViews>
  <sheetFormatPr defaultRowHeight="15" x14ac:dyDescent="0.25"/>
  <cols>
    <col min="1" max="1" width="10.140625" bestFit="1" customWidth="1"/>
    <col min="3" max="3" width="10.5703125" bestFit="1" customWidth="1"/>
    <col min="8" max="8" width="14.140625" bestFit="1" customWidth="1"/>
    <col min="9" max="9" width="10.28515625" bestFit="1" customWidth="1"/>
    <col min="10" max="10" width="9.5703125" bestFit="1" customWidth="1"/>
  </cols>
  <sheetData>
    <row r="1" spans="1:10" x14ac:dyDescent="0.25">
      <c r="A1" s="12" t="s">
        <v>17</v>
      </c>
      <c r="B1" s="12">
        <v>2021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</row>
    <row r="2" spans="1:10" x14ac:dyDescent="0.25">
      <c r="A2" s="7" t="s">
        <v>22</v>
      </c>
      <c r="B2" s="20">
        <v>108.9</v>
      </c>
      <c r="C2" s="13">
        <v>109.43776799999998</v>
      </c>
      <c r="D2" s="13">
        <v>111.96623592000002</v>
      </c>
      <c r="E2" s="13">
        <v>114.64530541200003</v>
      </c>
      <c r="F2" s="13">
        <v>117.48178120932002</v>
      </c>
      <c r="G2" s="13">
        <v>120.48283004230444</v>
      </c>
      <c r="J2" s="3"/>
    </row>
    <row r="3" spans="1:10" x14ac:dyDescent="0.25">
      <c r="A3" s="7" t="s">
        <v>51</v>
      </c>
      <c r="B3" s="20">
        <v>92.804951090472912</v>
      </c>
      <c r="C3" s="13">
        <v>91.14979446763175</v>
      </c>
      <c r="D3" s="13">
        <v>93.428539329322518</v>
      </c>
      <c r="E3" s="13">
        <v>95.76425281255554</v>
      </c>
      <c r="F3" s="13">
        <v>98.158359132869464</v>
      </c>
      <c r="G3" s="13">
        <v>100.61231811119119</v>
      </c>
      <c r="J3" s="1"/>
    </row>
    <row r="4" spans="1:10" x14ac:dyDescent="0.25">
      <c r="A4" s="34" t="s">
        <v>54</v>
      </c>
      <c r="B4" s="20">
        <v>-34.331999999999994</v>
      </c>
      <c r="C4" s="13">
        <v>-2.7897718430742771</v>
      </c>
      <c r="D4" s="13">
        <v>-0.35314429607686293</v>
      </c>
      <c r="E4" s="13">
        <v>-0.36197290347878663</v>
      </c>
      <c r="F4" s="13">
        <v>-0.37102222606576163</v>
      </c>
      <c r="G4" s="13">
        <v>-0.38029778171738826</v>
      </c>
      <c r="J4" s="1"/>
    </row>
    <row r="5" spans="1:10" x14ac:dyDescent="0.25">
      <c r="A5" s="7" t="s">
        <v>18</v>
      </c>
      <c r="B5" s="20">
        <v>11.09</v>
      </c>
      <c r="C5" s="13">
        <v>11.367249999999999</v>
      </c>
      <c r="D5" s="13">
        <v>11.651431249999998</v>
      </c>
      <c r="E5" s="13">
        <v>11.942717031249996</v>
      </c>
      <c r="F5" s="13">
        <v>12.241284957031246</v>
      </c>
      <c r="G5" s="13">
        <v>12.547317080957026</v>
      </c>
    </row>
    <row r="6" spans="1:10" x14ac:dyDescent="0.25">
      <c r="A6" s="7" t="s">
        <v>17</v>
      </c>
      <c r="B6" s="20">
        <v>69.562951090472922</v>
      </c>
      <c r="C6" s="13">
        <v>99.727272624557472</v>
      </c>
      <c r="D6" s="13">
        <v>104.72682628324566</v>
      </c>
      <c r="E6" s="13">
        <v>107.34499694032675</v>
      </c>
      <c r="F6" s="13">
        <v>110.02862186383494</v>
      </c>
      <c r="G6" s="13">
        <v>112.77933741043083</v>
      </c>
    </row>
    <row r="7" spans="1:10" x14ac:dyDescent="0.25">
      <c r="A7" s="7" t="s">
        <v>78</v>
      </c>
      <c r="B7" s="20">
        <v>69.562951090472922</v>
      </c>
      <c r="C7" s="13">
        <v>93.484983254319019</v>
      </c>
      <c r="D7" s="13">
        <v>92.026682816716061</v>
      </c>
      <c r="E7" s="13">
        <v>88.423061140163568</v>
      </c>
      <c r="F7" s="13">
        <v>84.960551680092763</v>
      </c>
      <c r="G7" s="13">
        <v>81.633628701721278</v>
      </c>
    </row>
    <row r="12" spans="1:10" x14ac:dyDescent="0.25">
      <c r="I12" s="2"/>
    </row>
    <row r="19" spans="4:4" x14ac:dyDescent="0.25">
      <c r="D19" s="41"/>
    </row>
    <row r="20" spans="4:4" x14ac:dyDescent="0.25">
      <c r="D20" s="41"/>
    </row>
    <row r="21" spans="4:4" x14ac:dyDescent="0.25">
      <c r="D21" s="41"/>
    </row>
    <row r="22" spans="4:4" x14ac:dyDescent="0.25">
      <c r="D22" s="41"/>
    </row>
    <row r="23" spans="4:4" x14ac:dyDescent="0.25">
      <c r="D23" s="41"/>
    </row>
    <row r="24" spans="4:4" x14ac:dyDescent="0.25">
      <c r="D24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91CC-49E0-420F-A818-7DF95F0E80B9}">
  <dimension ref="A1:D13"/>
  <sheetViews>
    <sheetView workbookViewId="0">
      <selection activeCell="D9" sqref="D9"/>
    </sheetView>
  </sheetViews>
  <sheetFormatPr defaultRowHeight="15" x14ac:dyDescent="0.25"/>
  <cols>
    <col min="1" max="1" width="16" bestFit="1" customWidth="1"/>
    <col min="2" max="2" width="11.28515625" bestFit="1" customWidth="1"/>
    <col min="4" max="4" width="10.5703125" bestFit="1" customWidth="1"/>
  </cols>
  <sheetData>
    <row r="1" spans="1:4" x14ac:dyDescent="0.25">
      <c r="B1" t="s">
        <v>48</v>
      </c>
    </row>
    <row r="2" spans="1:4" x14ac:dyDescent="0.25">
      <c r="A2" s="7" t="s">
        <v>55</v>
      </c>
      <c r="B2" s="20">
        <v>440.53</v>
      </c>
    </row>
    <row r="3" spans="1:4" x14ac:dyDescent="0.25">
      <c r="A3" s="32" t="s">
        <v>11</v>
      </c>
      <c r="B3" s="36">
        <f>WACC!B11</f>
        <v>6.6773177391033625E-2</v>
      </c>
      <c r="D3" s="1"/>
    </row>
    <row r="4" spans="1:4" x14ac:dyDescent="0.25">
      <c r="A4" s="37" t="s">
        <v>56</v>
      </c>
      <c r="B4" s="36">
        <v>2.5000000000000001E-2</v>
      </c>
      <c r="D4" s="1"/>
    </row>
    <row r="5" spans="1:4" x14ac:dyDescent="0.25">
      <c r="A5" s="37" t="s">
        <v>57</v>
      </c>
      <c r="B5" s="28">
        <v>2313.1068998450633</v>
      </c>
    </row>
    <row r="6" spans="1:4" x14ac:dyDescent="0.25">
      <c r="A6" s="37" t="s">
        <v>73</v>
      </c>
      <c r="B6" s="28">
        <v>2313.1068998450633</v>
      </c>
    </row>
    <row r="7" spans="1:4" x14ac:dyDescent="0.25">
      <c r="A7" s="37" t="s">
        <v>74</v>
      </c>
      <c r="B7" s="28">
        <v>2639.9768943518802</v>
      </c>
    </row>
    <row r="8" spans="1:4" x14ac:dyDescent="0.25">
      <c r="A8" s="37" t="s">
        <v>19</v>
      </c>
      <c r="B8" s="28">
        <v>65.8</v>
      </c>
    </row>
    <row r="9" spans="1:4" x14ac:dyDescent="0.25">
      <c r="A9" s="37" t="s">
        <v>75</v>
      </c>
      <c r="B9" s="28">
        <v>2574.17689435188</v>
      </c>
    </row>
    <row r="10" spans="1:4" x14ac:dyDescent="0.25">
      <c r="A10" s="37" t="s">
        <v>76</v>
      </c>
      <c r="B10" s="38">
        <v>16.07</v>
      </c>
    </row>
    <row r="11" spans="1:4" x14ac:dyDescent="0.25">
      <c r="A11" s="39" t="s">
        <v>23</v>
      </c>
      <c r="B11" s="40">
        <v>160.18524544815682</v>
      </c>
    </row>
    <row r="12" spans="1:4" x14ac:dyDescent="0.25">
      <c r="A12" s="39" t="s">
        <v>71</v>
      </c>
      <c r="B12" s="40">
        <v>152.51</v>
      </c>
    </row>
    <row r="13" spans="1:4" x14ac:dyDescent="0.25">
      <c r="A13" s="39" t="s">
        <v>72</v>
      </c>
      <c r="B13" s="11">
        <v>5.0326178271305685E-2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808C-958D-4BB9-82E2-93EB46C72B77}">
  <dimension ref="A1:H8"/>
  <sheetViews>
    <sheetView workbookViewId="0">
      <selection activeCell="F18" sqref="F18"/>
    </sheetView>
  </sheetViews>
  <sheetFormatPr defaultRowHeight="15" x14ac:dyDescent="0.25"/>
  <cols>
    <col min="8" max="8" width="10" bestFit="1" customWidth="1"/>
  </cols>
  <sheetData>
    <row r="1" spans="1:8" x14ac:dyDescent="0.25">
      <c r="A1" s="45" t="s">
        <v>68</v>
      </c>
      <c r="B1" s="45"/>
      <c r="C1" s="45"/>
      <c r="D1" s="45"/>
      <c r="E1" s="45"/>
      <c r="F1" s="45"/>
      <c r="G1" s="45"/>
      <c r="H1" s="45"/>
    </row>
    <row r="2" spans="1:8" x14ac:dyDescent="0.25">
      <c r="A2" s="46"/>
      <c r="B2" s="47"/>
      <c r="C2" s="14">
        <v>2021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</row>
    <row r="3" spans="1:8" x14ac:dyDescent="0.25">
      <c r="A3" s="44" t="s">
        <v>9</v>
      </c>
      <c r="B3" s="44"/>
      <c r="C3" s="16">
        <v>196.2</v>
      </c>
      <c r="D3" s="17">
        <f>C3*(1.093)</f>
        <v>214.44659999999999</v>
      </c>
      <c r="E3" s="17">
        <f>D3*1.05</f>
        <v>225.16892999999999</v>
      </c>
      <c r="F3" s="17">
        <f>E3*1.05</f>
        <v>236.42737650000001</v>
      </c>
      <c r="G3" s="17">
        <f>F3*1.05</f>
        <v>248.24874532500002</v>
      </c>
      <c r="H3" s="42">
        <f>G3*1.05</f>
        <v>260.66118259125005</v>
      </c>
    </row>
    <row r="4" spans="1:8" x14ac:dyDescent="0.25">
      <c r="A4" s="44" t="s">
        <v>0</v>
      </c>
      <c r="B4" s="44"/>
      <c r="C4" s="16">
        <v>31.8</v>
      </c>
      <c r="D4" s="17">
        <f>C4*1.2</f>
        <v>38.159999999999997</v>
      </c>
      <c r="E4" s="17">
        <f>D4*0.97</f>
        <v>37.015199999999993</v>
      </c>
      <c r="F4" s="17">
        <f>E4*0.97</f>
        <v>35.904743999999994</v>
      </c>
      <c r="G4" s="17">
        <f>F4*0.97</f>
        <v>34.827601679999994</v>
      </c>
      <c r="H4" s="42">
        <f>G4*0.97</f>
        <v>33.782773629599994</v>
      </c>
    </row>
    <row r="5" spans="1:8" x14ac:dyDescent="0.25">
      <c r="A5" s="44" t="s">
        <v>1</v>
      </c>
      <c r="B5" s="44"/>
      <c r="C5" s="18">
        <v>35.1</v>
      </c>
      <c r="D5" s="17">
        <f>C5*1.122</f>
        <v>39.382200000000005</v>
      </c>
      <c r="E5" s="17">
        <v>39.382200000000005</v>
      </c>
      <c r="F5" s="17">
        <v>39.382200000000005</v>
      </c>
      <c r="G5" s="17">
        <v>39.382200000000005</v>
      </c>
      <c r="H5" s="42">
        <v>39.382200000000005</v>
      </c>
    </row>
    <row r="6" spans="1:8" x14ac:dyDescent="0.25">
      <c r="A6" s="44" t="s">
        <v>2</v>
      </c>
      <c r="B6" s="44"/>
      <c r="C6" s="18">
        <v>68.400000000000006</v>
      </c>
      <c r="D6" s="17">
        <v>84.063600000000008</v>
      </c>
      <c r="E6" s="17">
        <v>84.063600000000008</v>
      </c>
      <c r="F6" s="17">
        <v>84.063600000000008</v>
      </c>
      <c r="G6" s="17">
        <v>84.063600000000008</v>
      </c>
      <c r="H6" s="42">
        <v>84.063600000000008</v>
      </c>
    </row>
    <row r="7" spans="1:8" x14ac:dyDescent="0.25">
      <c r="A7" s="44" t="s">
        <v>3</v>
      </c>
      <c r="B7" s="44"/>
      <c r="C7" s="18">
        <f>365.8-SUM(C3:C6)</f>
        <v>34.300000000000011</v>
      </c>
      <c r="D7" s="17">
        <v>38.484600000000015</v>
      </c>
      <c r="E7" s="17">
        <v>38.484600000000015</v>
      </c>
      <c r="F7" s="17">
        <v>38.484600000000015</v>
      </c>
      <c r="G7" s="17">
        <v>38.484600000000015</v>
      </c>
      <c r="H7" s="42">
        <v>38.484600000000015</v>
      </c>
    </row>
    <row r="8" spans="1:8" x14ac:dyDescent="0.25">
      <c r="A8" s="44" t="s">
        <v>65</v>
      </c>
      <c r="B8" s="44"/>
      <c r="C8" s="19">
        <f t="shared" ref="C8:H8" si="0">SUM(C3:C7)</f>
        <v>365.8</v>
      </c>
      <c r="D8" s="19">
        <f t="shared" si="0"/>
        <v>414.53699999999998</v>
      </c>
      <c r="E8" s="19">
        <f t="shared" si="0"/>
        <v>424.11453</v>
      </c>
      <c r="F8" s="19">
        <f t="shared" si="0"/>
        <v>434.26252049999999</v>
      </c>
      <c r="G8" s="19">
        <f t="shared" si="0"/>
        <v>445.00674700500002</v>
      </c>
      <c r="H8" s="19">
        <f t="shared" si="0"/>
        <v>456.37435622085007</v>
      </c>
    </row>
  </sheetData>
  <mergeCells count="8">
    <mergeCell ref="A8:B8"/>
    <mergeCell ref="A1:H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ignoredErrors>
    <ignoredError sqref="C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AD8-CA22-4CCC-970E-869E3C710735}">
  <dimension ref="A1:I21"/>
  <sheetViews>
    <sheetView workbookViewId="0">
      <selection activeCell="B22" sqref="B22"/>
    </sheetView>
  </sheetViews>
  <sheetFormatPr defaultRowHeight="15" x14ac:dyDescent="0.25"/>
  <cols>
    <col min="1" max="1" width="23.140625" bestFit="1" customWidth="1"/>
  </cols>
  <sheetData>
    <row r="1" spans="1:9" x14ac:dyDescent="0.25">
      <c r="A1" s="5"/>
      <c r="B1" s="12">
        <v>2019</v>
      </c>
      <c r="C1" s="12">
        <v>2020</v>
      </c>
      <c r="D1" s="12">
        <v>2021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5">
      <c r="A2" s="7" t="s">
        <v>24</v>
      </c>
      <c r="B2" s="24">
        <f>B3+B8</f>
        <v>338.51900000000001</v>
      </c>
      <c r="C2" s="24">
        <f>C3+C8</f>
        <v>323.88800000000003</v>
      </c>
      <c r="D2" s="24">
        <f>D3+D8</f>
        <v>351.99599999999998</v>
      </c>
      <c r="E2" s="25">
        <f t="shared" ref="E2:I3" si="0">D2*1.025</f>
        <v>360.79589999999996</v>
      </c>
      <c r="F2" s="25">
        <f t="shared" si="0"/>
        <v>369.81579749999992</v>
      </c>
      <c r="G2" s="25">
        <f t="shared" si="0"/>
        <v>379.06119243749987</v>
      </c>
      <c r="H2" s="25">
        <f t="shared" si="0"/>
        <v>388.53772224843732</v>
      </c>
      <c r="I2" s="25">
        <f t="shared" si="0"/>
        <v>398.25116530464823</v>
      </c>
    </row>
    <row r="3" spans="1:9" x14ac:dyDescent="0.25">
      <c r="A3" s="9" t="s">
        <v>25</v>
      </c>
      <c r="B3" s="24">
        <f>SUM(B4:B7)</f>
        <v>162.822</v>
      </c>
      <c r="C3" s="24">
        <f>SUM(C4:C7)</f>
        <v>143.71300000000002</v>
      </c>
      <c r="D3" s="24">
        <f>SUM(D4:D7)</f>
        <v>135.82999999999998</v>
      </c>
      <c r="E3" s="25">
        <f t="shared" si="0"/>
        <v>139.22574999999998</v>
      </c>
      <c r="F3" s="25">
        <f t="shared" si="0"/>
        <v>142.70639374999996</v>
      </c>
      <c r="G3" s="25">
        <f t="shared" si="0"/>
        <v>146.27405359374995</v>
      </c>
      <c r="H3" s="25">
        <f t="shared" si="0"/>
        <v>149.93090493359369</v>
      </c>
      <c r="I3" s="25">
        <f t="shared" si="0"/>
        <v>153.67917755693352</v>
      </c>
    </row>
    <row r="4" spans="1:9" x14ac:dyDescent="0.25">
      <c r="A4" s="26" t="s">
        <v>26</v>
      </c>
      <c r="B4" s="20">
        <v>100.58</v>
      </c>
      <c r="C4" s="20">
        <v>90.978999999999999</v>
      </c>
      <c r="D4" s="20">
        <v>63.634</v>
      </c>
      <c r="E4" s="13">
        <v>66.201070245840356</v>
      </c>
      <c r="F4" s="13">
        <f t="shared" ref="F4:I21" si="1">E4*1.025</f>
        <v>67.856097001986356</v>
      </c>
      <c r="G4" s="13">
        <f t="shared" si="1"/>
        <v>69.552499427036011</v>
      </c>
      <c r="H4" s="13">
        <f t="shared" si="1"/>
        <v>71.291311912711905</v>
      </c>
      <c r="I4" s="13">
        <f t="shared" si="1"/>
        <v>73.07359471052969</v>
      </c>
    </row>
    <row r="5" spans="1:9" x14ac:dyDescent="0.25">
      <c r="A5" s="26" t="s">
        <v>32</v>
      </c>
      <c r="B5" s="20">
        <v>45.807000000000002</v>
      </c>
      <c r="C5" s="20">
        <v>37.445</v>
      </c>
      <c r="D5" s="20">
        <v>51.506</v>
      </c>
      <c r="E5" s="13">
        <v>53.380712872372378</v>
      </c>
      <c r="F5" s="13">
        <f t="shared" si="1"/>
        <v>54.715230694181685</v>
      </c>
      <c r="G5" s="13">
        <f t="shared" si="1"/>
        <v>56.08311146153622</v>
      </c>
      <c r="H5" s="13">
        <f t="shared" si="1"/>
        <v>57.485189248074619</v>
      </c>
      <c r="I5" s="13">
        <f t="shared" si="1"/>
        <v>58.922318979276476</v>
      </c>
    </row>
    <row r="6" spans="1:9" x14ac:dyDescent="0.25">
      <c r="A6" s="26" t="s">
        <v>33</v>
      </c>
      <c r="B6" s="20">
        <v>4.1059999999999999</v>
      </c>
      <c r="C6" s="20">
        <v>4.0609999999999999</v>
      </c>
      <c r="D6" s="20">
        <v>6.58</v>
      </c>
      <c r="E6" s="13">
        <v>7.9996308007187267</v>
      </c>
      <c r="F6" s="13">
        <f t="shared" si="1"/>
        <v>8.199621570736694</v>
      </c>
      <c r="G6" s="13">
        <f t="shared" si="1"/>
        <v>8.404612110005111</v>
      </c>
      <c r="H6" s="13">
        <f t="shared" si="1"/>
        <v>8.6147274127552382</v>
      </c>
      <c r="I6" s="13">
        <f t="shared" si="1"/>
        <v>8.8300955980741183</v>
      </c>
    </row>
    <row r="7" spans="1:9" x14ac:dyDescent="0.25">
      <c r="A7" s="26" t="s">
        <v>34</v>
      </c>
      <c r="B7" s="20">
        <v>12.329000000000001</v>
      </c>
      <c r="C7" s="20">
        <v>11.228</v>
      </c>
      <c r="D7" s="20">
        <v>14.11</v>
      </c>
      <c r="E7" s="13">
        <v>14.991402754469323</v>
      </c>
      <c r="F7" s="13">
        <f t="shared" si="1"/>
        <v>15.366187823331055</v>
      </c>
      <c r="G7" s="13">
        <f t="shared" si="1"/>
        <v>15.75034251891433</v>
      </c>
      <c r="H7" s="13">
        <f t="shared" si="1"/>
        <v>16.144101081887186</v>
      </c>
      <c r="I7" s="13">
        <f t="shared" si="1"/>
        <v>16.547703608934363</v>
      </c>
    </row>
    <row r="8" spans="1:9" x14ac:dyDescent="0.25">
      <c r="A8" s="9" t="s">
        <v>27</v>
      </c>
      <c r="B8" s="24">
        <f>SUM(B9:B11)</f>
        <v>175.697</v>
      </c>
      <c r="C8" s="24">
        <f>SUM(C9:C11)</f>
        <v>180.17499999999998</v>
      </c>
      <c r="D8" s="24">
        <f>SUM(D9:D11)</f>
        <v>216.166</v>
      </c>
      <c r="E8" s="25">
        <f>D8*1.025</f>
        <v>221.57014999999998</v>
      </c>
      <c r="F8" s="25">
        <f t="shared" si="1"/>
        <v>227.10940374999996</v>
      </c>
      <c r="G8" s="25">
        <f t="shared" si="1"/>
        <v>232.78713884374994</v>
      </c>
      <c r="H8" s="25">
        <f t="shared" si="1"/>
        <v>238.60681731484368</v>
      </c>
      <c r="I8" s="25">
        <f t="shared" si="1"/>
        <v>244.57198774771476</v>
      </c>
    </row>
    <row r="9" spans="1:9" x14ac:dyDescent="0.25">
      <c r="A9" s="26" t="s">
        <v>35</v>
      </c>
      <c r="B9" s="20">
        <v>37.378</v>
      </c>
      <c r="C9" s="20">
        <v>45.335999999999999</v>
      </c>
      <c r="D9" s="20">
        <v>49.527000000000001</v>
      </c>
      <c r="E9" s="13">
        <v>52.99880559295346</v>
      </c>
      <c r="F9" s="13">
        <f t="shared" si="1"/>
        <v>54.323775732777293</v>
      </c>
      <c r="G9" s="13">
        <f t="shared" si="1"/>
        <v>55.681870126096719</v>
      </c>
      <c r="H9" s="13">
        <f t="shared" si="1"/>
        <v>57.073916879249133</v>
      </c>
      <c r="I9" s="13">
        <f t="shared" si="1"/>
        <v>58.500764801230353</v>
      </c>
    </row>
    <row r="10" spans="1:9" x14ac:dyDescent="0.25">
      <c r="A10" s="26" t="s">
        <v>36</v>
      </c>
      <c r="B10" s="20">
        <v>106.69799999999999</v>
      </c>
      <c r="C10" s="20">
        <v>102.624</v>
      </c>
      <c r="D10" s="20">
        <v>127.877</v>
      </c>
      <c r="E10" s="13">
        <v>120.74102509317717</v>
      </c>
      <c r="F10" s="13">
        <f t="shared" si="1"/>
        <v>123.7595507205066</v>
      </c>
      <c r="G10" s="13">
        <f t="shared" si="1"/>
        <v>126.85353948851925</v>
      </c>
      <c r="H10" s="13">
        <f t="shared" si="1"/>
        <v>130.02487797573221</v>
      </c>
      <c r="I10" s="13">
        <f t="shared" si="1"/>
        <v>133.2754999251255</v>
      </c>
    </row>
    <row r="11" spans="1:9" x14ac:dyDescent="0.25">
      <c r="A11" s="26" t="s">
        <v>28</v>
      </c>
      <c r="B11" s="20">
        <v>31.620999999999999</v>
      </c>
      <c r="C11" s="20">
        <v>32.215000000000003</v>
      </c>
      <c r="D11" s="20">
        <v>38.762</v>
      </c>
      <c r="E11" s="13">
        <v>47.045144224755255</v>
      </c>
      <c r="F11" s="13">
        <f t="shared" si="1"/>
        <v>48.221272830374133</v>
      </c>
      <c r="G11" s="13">
        <f t="shared" si="1"/>
        <v>49.42680465113348</v>
      </c>
      <c r="H11" s="13">
        <f t="shared" si="1"/>
        <v>50.662474767411815</v>
      </c>
      <c r="I11" s="13">
        <f t="shared" si="1"/>
        <v>51.929036636597104</v>
      </c>
    </row>
    <row r="12" spans="1:9" x14ac:dyDescent="0.25">
      <c r="A12" s="7" t="s">
        <v>30</v>
      </c>
      <c r="B12" s="24">
        <f>B13+B17</f>
        <v>231.10899999999998</v>
      </c>
      <c r="C12" s="24">
        <f>C13+C17</f>
        <v>258.54899999999998</v>
      </c>
      <c r="D12" s="24">
        <f>D13+D17</f>
        <v>287.63599999999997</v>
      </c>
      <c r="E12" s="25">
        <f>D12*1.025</f>
        <v>294.82689999999997</v>
      </c>
      <c r="F12" s="25">
        <f t="shared" si="1"/>
        <v>302.19757249999992</v>
      </c>
      <c r="G12" s="25">
        <f t="shared" si="1"/>
        <v>309.7525118124999</v>
      </c>
      <c r="H12" s="25">
        <f t="shared" si="1"/>
        <v>317.49632460781237</v>
      </c>
      <c r="I12" s="25">
        <f t="shared" si="1"/>
        <v>325.43373272300767</v>
      </c>
    </row>
    <row r="13" spans="1:9" x14ac:dyDescent="0.25">
      <c r="A13" s="9" t="s">
        <v>29</v>
      </c>
      <c r="B13" s="24">
        <f>SUM(B14:B16)</f>
        <v>105.71799999999999</v>
      </c>
      <c r="C13" s="24">
        <f>SUM(C14:C16)</f>
        <v>105.392</v>
      </c>
      <c r="D13" s="24">
        <f>SUM(D14:D16)</f>
        <v>125.47999999999999</v>
      </c>
      <c r="E13" s="25">
        <f>D13*1.025</f>
        <v>128.61699999999999</v>
      </c>
      <c r="F13" s="25">
        <f t="shared" si="1"/>
        <v>131.83242499999997</v>
      </c>
      <c r="G13" s="25">
        <f t="shared" si="1"/>
        <v>135.12823562499997</v>
      </c>
      <c r="H13" s="25">
        <f t="shared" si="1"/>
        <v>138.50644151562497</v>
      </c>
      <c r="I13" s="25">
        <f t="shared" si="1"/>
        <v>141.96910255351557</v>
      </c>
    </row>
    <row r="14" spans="1:9" x14ac:dyDescent="0.25">
      <c r="A14" s="26" t="s">
        <v>38</v>
      </c>
      <c r="B14" s="20">
        <v>16.239999999999998</v>
      </c>
      <c r="C14" s="20">
        <v>15.228999999999999</v>
      </c>
      <c r="D14" s="20">
        <v>17.14</v>
      </c>
      <c r="E14" s="13">
        <v>16.25989884928137</v>
      </c>
      <c r="F14" s="13">
        <f t="shared" si="1"/>
        <v>16.666396320513403</v>
      </c>
      <c r="G14" s="13">
        <f t="shared" si="1"/>
        <v>17.083056228526235</v>
      </c>
      <c r="H14" s="13">
        <f t="shared" si="1"/>
        <v>17.51013263423939</v>
      </c>
      <c r="I14" s="13">
        <f t="shared" si="1"/>
        <v>17.947885950095372</v>
      </c>
    </row>
    <row r="15" spans="1:9" x14ac:dyDescent="0.25">
      <c r="A15" s="26" t="s">
        <v>37</v>
      </c>
      <c r="B15" s="20">
        <v>46.235999999999997</v>
      </c>
      <c r="C15" s="20">
        <v>42.295999999999999</v>
      </c>
      <c r="D15" s="20">
        <v>54.762999999999998</v>
      </c>
      <c r="E15" s="13">
        <v>55.435461771981942</v>
      </c>
      <c r="F15" s="13">
        <f t="shared" si="1"/>
        <v>56.821348316281487</v>
      </c>
      <c r="G15" s="13">
        <f t="shared" si="1"/>
        <v>58.24188202418852</v>
      </c>
      <c r="H15" s="13">
        <f t="shared" si="1"/>
        <v>59.69792907479323</v>
      </c>
      <c r="I15" s="13">
        <f t="shared" si="1"/>
        <v>61.190377301663055</v>
      </c>
    </row>
    <row r="16" spans="1:9" x14ac:dyDescent="0.25">
      <c r="A16" s="26" t="s">
        <v>39</v>
      </c>
      <c r="B16" s="20">
        <v>43.241999999999997</v>
      </c>
      <c r="C16" s="20">
        <v>47.866999999999997</v>
      </c>
      <c r="D16" s="20">
        <v>53.576999999999998</v>
      </c>
      <c r="E16" s="13">
        <v>58.954604985162703</v>
      </c>
      <c r="F16" s="13">
        <f t="shared" si="1"/>
        <v>60.428470109791768</v>
      </c>
      <c r="G16" s="13">
        <f t="shared" si="1"/>
        <v>61.939181862536557</v>
      </c>
      <c r="H16" s="13">
        <f t="shared" si="1"/>
        <v>63.487661409099964</v>
      </c>
      <c r="I16" s="13">
        <f t="shared" si="1"/>
        <v>65.074852944327461</v>
      </c>
    </row>
    <row r="17" spans="1:9" x14ac:dyDescent="0.25">
      <c r="A17" s="9" t="s">
        <v>31</v>
      </c>
      <c r="B17" s="24">
        <f>SUM(B18:B20)</f>
        <v>125.39100000000001</v>
      </c>
      <c r="C17" s="24">
        <f>SUM(C18:C20)</f>
        <v>153.15699999999998</v>
      </c>
      <c r="D17" s="24">
        <f>SUM(D18:D20)</f>
        <v>162.15599999999998</v>
      </c>
      <c r="E17" s="25">
        <f>D17*1.025</f>
        <v>166.20989999999998</v>
      </c>
      <c r="F17" s="25">
        <f t="shared" si="1"/>
        <v>170.36514749999995</v>
      </c>
      <c r="G17" s="25">
        <f t="shared" si="1"/>
        <v>174.62427618749993</v>
      </c>
      <c r="H17" s="25">
        <f t="shared" si="1"/>
        <v>178.98988309218743</v>
      </c>
      <c r="I17" s="25">
        <f t="shared" si="1"/>
        <v>183.4646301694921</v>
      </c>
    </row>
    <row r="18" spans="1:9" x14ac:dyDescent="0.25">
      <c r="A18" s="26" t="s">
        <v>40</v>
      </c>
      <c r="B18" s="20">
        <v>91.807000000000002</v>
      </c>
      <c r="C18" s="20">
        <v>107.04900000000001</v>
      </c>
      <c r="D18" s="20">
        <v>119.10599999999999</v>
      </c>
      <c r="E18" s="13">
        <v>129.35246045248462</v>
      </c>
      <c r="F18" s="13">
        <f t="shared" si="1"/>
        <v>132.58627196379672</v>
      </c>
      <c r="G18" s="13">
        <f t="shared" si="1"/>
        <v>135.90092876289162</v>
      </c>
      <c r="H18" s="13">
        <f t="shared" si="1"/>
        <v>139.29845198196389</v>
      </c>
      <c r="I18" s="13">
        <f t="shared" si="1"/>
        <v>142.78091328151297</v>
      </c>
    </row>
    <row r="19" spans="1:9" x14ac:dyDescent="0.25">
      <c r="A19" s="26" t="s">
        <v>41</v>
      </c>
      <c r="B19" s="20">
        <v>29.545000000000002</v>
      </c>
      <c r="C19" s="20">
        <v>28.17</v>
      </c>
      <c r="D19" s="20">
        <v>24.689</v>
      </c>
      <c r="E19" s="13">
        <v>22.298224958668452</v>
      </c>
      <c r="F19" s="13">
        <f t="shared" si="1"/>
        <v>22.855680582635163</v>
      </c>
      <c r="G19" s="13">
        <f t="shared" si="1"/>
        <v>23.42707259720104</v>
      </c>
      <c r="H19" s="13">
        <f t="shared" si="1"/>
        <v>24.012749412131065</v>
      </c>
      <c r="I19" s="13">
        <f t="shared" si="1"/>
        <v>24.61306814743434</v>
      </c>
    </row>
    <row r="20" spans="1:9" x14ac:dyDescent="0.25">
      <c r="A20" s="26" t="s">
        <v>42</v>
      </c>
      <c r="B20" s="20">
        <v>4.0389999999999997</v>
      </c>
      <c r="C20" s="20">
        <v>17.937999999999999</v>
      </c>
      <c r="D20" s="20">
        <v>18.361000000000001</v>
      </c>
      <c r="E20" s="13">
        <v>42.065528425546823</v>
      </c>
      <c r="F20" s="13">
        <f t="shared" si="1"/>
        <v>43.117166636185488</v>
      </c>
      <c r="G20" s="13">
        <f t="shared" si="1"/>
        <v>44.195095802090123</v>
      </c>
      <c r="H20" s="13">
        <f t="shared" si="1"/>
        <v>45.299973197142371</v>
      </c>
      <c r="I20" s="13">
        <f t="shared" si="1"/>
        <v>46.432472527070928</v>
      </c>
    </row>
    <row r="21" spans="1:9" x14ac:dyDescent="0.25">
      <c r="A21" s="7" t="s">
        <v>43</v>
      </c>
      <c r="B21" s="24">
        <f>B2-B12</f>
        <v>107.41000000000003</v>
      </c>
      <c r="C21" s="24">
        <f>C2-C12</f>
        <v>65.339000000000055</v>
      </c>
      <c r="D21" s="24">
        <f>D2-D12</f>
        <v>64.360000000000014</v>
      </c>
      <c r="E21" s="25">
        <f>D21*1.025</f>
        <v>65.969000000000008</v>
      </c>
      <c r="F21" s="25">
        <f t="shared" si="1"/>
        <v>67.61822500000001</v>
      </c>
      <c r="G21" s="25">
        <f t="shared" si="1"/>
        <v>69.308680625000008</v>
      </c>
      <c r="H21" s="25">
        <f t="shared" si="1"/>
        <v>71.041397640625007</v>
      </c>
      <c r="I21" s="25">
        <f t="shared" si="1"/>
        <v>72.817432581640631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01BD-005E-4778-96B3-4D045ED1F828}">
  <dimension ref="A1:H7"/>
  <sheetViews>
    <sheetView workbookViewId="0">
      <selection activeCell="A11" sqref="A11"/>
    </sheetView>
  </sheetViews>
  <sheetFormatPr defaultRowHeight="15" x14ac:dyDescent="0.25"/>
  <cols>
    <col min="1" max="1" width="29.140625" bestFit="1" customWidth="1"/>
  </cols>
  <sheetData>
    <row r="1" spans="1:8" x14ac:dyDescent="0.25">
      <c r="A1" s="5"/>
      <c r="B1" s="12">
        <v>2020</v>
      </c>
      <c r="C1" s="12">
        <v>2021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25">
      <c r="A2" s="9" t="s">
        <v>70</v>
      </c>
      <c r="B2" s="24">
        <f>SUM(B3:B4)</f>
        <v>107.12</v>
      </c>
      <c r="C2" s="24">
        <f>SUM(C3:C4)</f>
        <v>88.861999999999995</v>
      </c>
      <c r="D2" s="25">
        <f>C2*1.025</f>
        <v>91.083549999999988</v>
      </c>
      <c r="E2" s="25">
        <f>D2*1.025</f>
        <v>93.360638749999978</v>
      </c>
      <c r="F2" s="25">
        <f>E2*1.025</f>
        <v>95.694654718749973</v>
      </c>
      <c r="G2" s="25">
        <f>F2*1.025</f>
        <v>98.087021086718721</v>
      </c>
      <c r="H2" s="25">
        <f>G2*1.025</f>
        <v>100.53919661388667</v>
      </c>
    </row>
    <row r="3" spans="1:8" x14ac:dyDescent="0.25">
      <c r="A3" s="26" t="s">
        <v>26</v>
      </c>
      <c r="B3" s="20">
        <v>91</v>
      </c>
      <c r="C3" s="20">
        <v>63.634</v>
      </c>
      <c r="D3" s="13">
        <v>66.201070245840356</v>
      </c>
      <c r="E3" s="13">
        <f t="shared" ref="E3:H4" si="0">D3*1.025</f>
        <v>67.856097001986356</v>
      </c>
      <c r="F3" s="13">
        <f t="shared" si="0"/>
        <v>69.552499427036011</v>
      </c>
      <c r="G3" s="13">
        <f t="shared" si="0"/>
        <v>71.291311912711905</v>
      </c>
      <c r="H3" s="13">
        <f t="shared" si="0"/>
        <v>73.07359471052969</v>
      </c>
    </row>
    <row r="4" spans="1:8" x14ac:dyDescent="0.25">
      <c r="A4" s="26" t="s">
        <v>53</v>
      </c>
      <c r="B4" s="20">
        <v>16.12</v>
      </c>
      <c r="C4" s="20">
        <v>25.228000000000002</v>
      </c>
      <c r="D4" s="13">
        <f>C4*1.025</f>
        <v>25.858699999999999</v>
      </c>
      <c r="E4" s="13">
        <f t="shared" si="0"/>
        <v>26.505167499999995</v>
      </c>
      <c r="F4" s="13">
        <f t="shared" si="0"/>
        <v>27.167796687499994</v>
      </c>
      <c r="G4" s="13">
        <f t="shared" si="0"/>
        <v>27.846991604687492</v>
      </c>
      <c r="H4" s="13">
        <f t="shared" si="0"/>
        <v>28.543166394804675</v>
      </c>
    </row>
    <row r="5" spans="1:8" x14ac:dyDescent="0.25">
      <c r="A5" s="9" t="s">
        <v>29</v>
      </c>
      <c r="B5" s="24">
        <v>105.392</v>
      </c>
      <c r="C5" s="24">
        <v>125.47999999999999</v>
      </c>
      <c r="D5" s="25">
        <v>128.61699999999999</v>
      </c>
      <c r="E5" s="25">
        <v>131.83242499999997</v>
      </c>
      <c r="F5" s="25">
        <v>135.12823562499997</v>
      </c>
      <c r="G5" s="25">
        <v>138.50644151562497</v>
      </c>
      <c r="H5" s="25">
        <v>141.96910255351557</v>
      </c>
    </row>
    <row r="6" spans="1:8" x14ac:dyDescent="0.25">
      <c r="A6" s="7" t="s">
        <v>52</v>
      </c>
      <c r="B6" s="20">
        <f t="shared" ref="B6:H6" si="1">B3+B4-B5</f>
        <v>1.7280000000000086</v>
      </c>
      <c r="C6" s="20">
        <f t="shared" si="1"/>
        <v>-36.617999999999995</v>
      </c>
      <c r="D6" s="20">
        <f t="shared" si="1"/>
        <v>-36.557229754159636</v>
      </c>
      <c r="E6" s="20">
        <f t="shared" si="1"/>
        <v>-37.471160498013617</v>
      </c>
      <c r="F6" s="20">
        <f t="shared" si="1"/>
        <v>-38.407939510463962</v>
      </c>
      <c r="G6" s="20">
        <f t="shared" si="1"/>
        <v>-39.368137998225578</v>
      </c>
      <c r="H6" s="20">
        <f t="shared" si="1"/>
        <v>-40.352341448181207</v>
      </c>
    </row>
    <row r="7" spans="1:8" x14ac:dyDescent="0.25">
      <c r="A7" s="35" t="s">
        <v>54</v>
      </c>
      <c r="B7" s="20"/>
      <c r="C7" s="20">
        <f t="shared" ref="C7:H7" si="2">C6-B6</f>
        <v>-38.346000000000004</v>
      </c>
      <c r="D7" s="20">
        <f t="shared" si="2"/>
        <v>6.0770245840359394E-2</v>
      </c>
      <c r="E7" s="20">
        <f t="shared" si="2"/>
        <v>-0.91393074385398165</v>
      </c>
      <c r="F7" s="20">
        <f t="shared" si="2"/>
        <v>-0.93677901245034434</v>
      </c>
      <c r="G7" s="20">
        <f t="shared" si="2"/>
        <v>-0.96019848776161609</v>
      </c>
      <c r="H7" s="20">
        <f t="shared" si="2"/>
        <v>-0.98420344995562914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DCA4-01AA-45D7-A865-9AA30B918A6C}">
  <dimension ref="A1:F7"/>
  <sheetViews>
    <sheetView showGridLines="0" workbookViewId="0">
      <selection sqref="A1:F6"/>
    </sheetView>
  </sheetViews>
  <sheetFormatPr defaultRowHeight="15" x14ac:dyDescent="0.25"/>
  <cols>
    <col min="2" max="2" width="9.28515625" bestFit="1" customWidth="1"/>
    <col min="3" max="6" width="10.140625" bestFit="1" customWidth="1"/>
  </cols>
  <sheetData>
    <row r="1" spans="1:6" x14ac:dyDescent="0.25">
      <c r="A1" s="49"/>
      <c r="B1" s="48" t="s">
        <v>60</v>
      </c>
      <c r="C1" s="48"/>
      <c r="D1" s="48"/>
      <c r="E1" s="6" t="s">
        <v>59</v>
      </c>
      <c r="F1" s="6" t="s">
        <v>58</v>
      </c>
    </row>
    <row r="2" spans="1:6" x14ac:dyDescent="0.25">
      <c r="A2" s="50"/>
      <c r="B2" s="8">
        <v>2019</v>
      </c>
      <c r="C2" s="8">
        <v>2020</v>
      </c>
      <c r="D2" s="8">
        <v>2021</v>
      </c>
      <c r="E2" s="6">
        <v>2021</v>
      </c>
      <c r="F2" s="6">
        <v>2021</v>
      </c>
    </row>
    <row r="3" spans="1:6" x14ac:dyDescent="0.25">
      <c r="A3" s="9" t="s">
        <v>61</v>
      </c>
      <c r="B3" s="10">
        <v>0.246</v>
      </c>
      <c r="C3" s="10">
        <v>0.24099999999999999</v>
      </c>
      <c r="D3" s="10">
        <v>0.29799999999999999</v>
      </c>
      <c r="E3" s="11">
        <v>0.32100000000000001</v>
      </c>
      <c r="F3" s="11">
        <v>0.41599999999999998</v>
      </c>
    </row>
    <row r="4" spans="1:6" x14ac:dyDescent="0.25">
      <c r="A4" s="9" t="s">
        <v>62</v>
      </c>
      <c r="B4" s="10">
        <v>0.157</v>
      </c>
      <c r="C4" s="10">
        <v>0.17299999999999999</v>
      </c>
      <c r="D4" s="10">
        <v>0.28100000000000003</v>
      </c>
      <c r="E4" s="11">
        <v>0.224</v>
      </c>
      <c r="F4" s="11">
        <v>0.20799999999999999</v>
      </c>
    </row>
    <row r="5" spans="1:6" x14ac:dyDescent="0.25">
      <c r="A5" s="9" t="s">
        <v>63</v>
      </c>
      <c r="B5" s="10">
        <v>0.253</v>
      </c>
      <c r="C5" s="10">
        <v>0.28499999999999998</v>
      </c>
      <c r="D5" s="10">
        <v>0.46700000000000003</v>
      </c>
      <c r="E5" s="11">
        <v>0.255</v>
      </c>
      <c r="F5" s="11">
        <v>0.28599999999999998</v>
      </c>
    </row>
    <row r="6" spans="1:6" x14ac:dyDescent="0.25">
      <c r="A6" s="9" t="s">
        <v>64</v>
      </c>
      <c r="B6" s="10">
        <v>0.55900000000000005</v>
      </c>
      <c r="C6" s="10">
        <v>0.73699999999999999</v>
      </c>
      <c r="D6" s="10">
        <v>1.474</v>
      </c>
      <c r="E6" s="11">
        <v>0.32100000000000001</v>
      </c>
      <c r="F6" s="11">
        <v>0.47099999999999997</v>
      </c>
    </row>
    <row r="7" spans="1:6" x14ac:dyDescent="0.25">
      <c r="B7" s="4"/>
      <c r="C7" s="4"/>
      <c r="D7" s="4"/>
      <c r="E7" s="4"/>
      <c r="F7" s="4"/>
    </row>
  </sheetData>
  <mergeCells count="2">
    <mergeCell ref="B1:D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E248-B731-41E8-9A10-C946C0332478}">
  <dimension ref="A1:I10"/>
  <sheetViews>
    <sheetView workbookViewId="0">
      <selection activeCell="C14" sqref="C14"/>
    </sheetView>
  </sheetViews>
  <sheetFormatPr defaultRowHeight="15" x14ac:dyDescent="0.25"/>
  <cols>
    <col min="1" max="1" width="12.7109375" bestFit="1" customWidth="1"/>
  </cols>
  <sheetData>
    <row r="1" spans="1:9" x14ac:dyDescent="0.25">
      <c r="A1" s="51" t="s">
        <v>67</v>
      </c>
      <c r="B1" s="52"/>
      <c r="C1" s="52"/>
      <c r="D1" s="52"/>
      <c r="E1" s="52"/>
      <c r="F1" s="52"/>
      <c r="G1" s="52"/>
      <c r="H1" s="52"/>
      <c r="I1" s="53"/>
    </row>
    <row r="2" spans="1:9" x14ac:dyDescent="0.25">
      <c r="A2" s="14" t="s">
        <v>66</v>
      </c>
      <c r="B2" s="14">
        <v>2019</v>
      </c>
      <c r="C2" s="14">
        <v>2020</v>
      </c>
      <c r="D2" s="14">
        <v>2021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</row>
    <row r="3" spans="1:9" x14ac:dyDescent="0.25">
      <c r="A3" s="21" t="s">
        <v>10</v>
      </c>
      <c r="B3" s="22">
        <v>260.17</v>
      </c>
      <c r="C3" s="22">
        <v>270.51</v>
      </c>
      <c r="D3" s="22">
        <v>365.8</v>
      </c>
      <c r="E3" s="17">
        <v>414.53699999999998</v>
      </c>
      <c r="F3" s="17">
        <v>424.11453</v>
      </c>
      <c r="G3" s="17">
        <v>434.26252049999999</v>
      </c>
      <c r="H3" s="17">
        <v>445.00674700500002</v>
      </c>
      <c r="I3" s="17">
        <v>456.37435622085007</v>
      </c>
    </row>
    <row r="4" spans="1:9" x14ac:dyDescent="0.25">
      <c r="A4" s="23" t="s">
        <v>44</v>
      </c>
      <c r="B4" s="22">
        <v>161.78200000000001</v>
      </c>
      <c r="C4" s="22">
        <v>169.559</v>
      </c>
      <c r="D4" s="22">
        <v>213</v>
      </c>
      <c r="E4" s="17">
        <f>E3*0.607</f>
        <v>251.62395899999999</v>
      </c>
      <c r="F4" s="17">
        <f>F3*0.607</f>
        <v>257.43751971</v>
      </c>
      <c r="G4" s="17">
        <f>G3*0.607</f>
        <v>263.59734994349998</v>
      </c>
      <c r="H4" s="17">
        <f>H3*0.607</f>
        <v>270.11909543203501</v>
      </c>
      <c r="I4" s="17">
        <f>I3*0.607</f>
        <v>277.01923422605597</v>
      </c>
    </row>
    <row r="5" spans="1:9" x14ac:dyDescent="0.25">
      <c r="A5" s="21" t="s">
        <v>20</v>
      </c>
      <c r="B5" s="22">
        <f t="shared" ref="B5:I5" si="0">B3-B4</f>
        <v>98.388000000000005</v>
      </c>
      <c r="C5" s="22">
        <f t="shared" si="0"/>
        <v>100.95099999999999</v>
      </c>
      <c r="D5" s="22">
        <f t="shared" si="0"/>
        <v>152.80000000000001</v>
      </c>
      <c r="E5" s="17">
        <f t="shared" si="0"/>
        <v>162.91304099999999</v>
      </c>
      <c r="F5" s="17">
        <f t="shared" si="0"/>
        <v>166.67701029</v>
      </c>
      <c r="G5" s="17">
        <f t="shared" si="0"/>
        <v>170.66517055650002</v>
      </c>
      <c r="H5" s="17">
        <f t="shared" si="0"/>
        <v>174.88765157296501</v>
      </c>
      <c r="I5" s="17">
        <f t="shared" si="0"/>
        <v>179.3551219947941</v>
      </c>
    </row>
    <row r="6" spans="1:9" x14ac:dyDescent="0.25">
      <c r="A6" s="23" t="s">
        <v>45</v>
      </c>
      <c r="B6" s="22">
        <v>16.216999999999999</v>
      </c>
      <c r="C6" s="22">
        <v>18.751999999999999</v>
      </c>
      <c r="D6" s="22">
        <v>21.9</v>
      </c>
      <c r="E6" s="17">
        <f>E3*0.064</f>
        <v>26.530367999999999</v>
      </c>
      <c r="F6" s="17">
        <f>F3*0.064</f>
        <v>27.143329919999999</v>
      </c>
      <c r="G6" s="17">
        <f>G3*0.064</f>
        <v>27.792801312000002</v>
      </c>
      <c r="H6" s="17">
        <f>H3*0.064</f>
        <v>28.480431808320002</v>
      </c>
      <c r="I6" s="17">
        <f>I3*0.064</f>
        <v>29.207958798134406</v>
      </c>
    </row>
    <row r="7" spans="1:9" x14ac:dyDescent="0.25">
      <c r="A7" s="23" t="s">
        <v>46</v>
      </c>
      <c r="B7" s="22">
        <v>18.245000000000001</v>
      </c>
      <c r="C7" s="22">
        <v>19.916</v>
      </c>
      <c r="D7" s="22">
        <v>22</v>
      </c>
      <c r="E7" s="17">
        <f>E3*0.065</f>
        <v>26.944904999999999</v>
      </c>
      <c r="F7" s="17">
        <f>F3*0.065</f>
        <v>27.56744445</v>
      </c>
      <c r="G7" s="17">
        <f>G3*0.065</f>
        <v>28.227063832500001</v>
      </c>
      <c r="H7" s="17">
        <f>H3*0.065</f>
        <v>28.925438555325002</v>
      </c>
      <c r="I7" s="17">
        <f>I3*0.065</f>
        <v>29.664333154355255</v>
      </c>
    </row>
    <row r="8" spans="1:9" x14ac:dyDescent="0.25">
      <c r="A8" s="21" t="s">
        <v>22</v>
      </c>
      <c r="B8" s="22">
        <f t="shared" ref="B8:I8" si="1">B5-B6-B7</f>
        <v>63.926000000000002</v>
      </c>
      <c r="C8" s="22">
        <f t="shared" si="1"/>
        <v>62.283000000000001</v>
      </c>
      <c r="D8" s="22">
        <f t="shared" si="1"/>
        <v>108.9</v>
      </c>
      <c r="E8" s="17">
        <f t="shared" si="1"/>
        <v>109.43776799999998</v>
      </c>
      <c r="F8" s="17">
        <f t="shared" si="1"/>
        <v>111.96623592000002</v>
      </c>
      <c r="G8" s="17">
        <f t="shared" si="1"/>
        <v>114.64530541200003</v>
      </c>
      <c r="H8" s="17">
        <f t="shared" si="1"/>
        <v>117.48178120932002</v>
      </c>
      <c r="I8" s="17">
        <f t="shared" si="1"/>
        <v>120.48283004230444</v>
      </c>
    </row>
    <row r="9" spans="1:9" x14ac:dyDescent="0.25">
      <c r="A9" s="23" t="s">
        <v>47</v>
      </c>
      <c r="B9" s="22">
        <v>10.48</v>
      </c>
      <c r="C9" s="22">
        <v>9.68</v>
      </c>
      <c r="D9" s="22">
        <v>14.5</v>
      </c>
      <c r="E9" s="17">
        <f>E8*0.172</f>
        <v>18.823296095999993</v>
      </c>
      <c r="F9" s="17">
        <f>F8*0.172</f>
        <v>19.258192578240003</v>
      </c>
      <c r="G9" s="17">
        <f>G8*0.172</f>
        <v>19.718992530864003</v>
      </c>
      <c r="H9" s="17">
        <f>H8*0.172</f>
        <v>20.206866368003041</v>
      </c>
      <c r="I9" s="17">
        <f>I8*0.172</f>
        <v>20.723046767276362</v>
      </c>
    </row>
    <row r="10" spans="1:9" x14ac:dyDescent="0.25">
      <c r="A10" s="21" t="s">
        <v>21</v>
      </c>
      <c r="B10" s="22">
        <f t="shared" ref="B10:I10" si="2">B8-B9</f>
        <v>53.445999999999998</v>
      </c>
      <c r="C10" s="22">
        <f t="shared" si="2"/>
        <v>52.603000000000002</v>
      </c>
      <c r="D10" s="22">
        <f t="shared" si="2"/>
        <v>94.4</v>
      </c>
      <c r="E10" s="17">
        <f t="shared" si="2"/>
        <v>90.614471903999984</v>
      </c>
      <c r="F10" s="17">
        <f t="shared" si="2"/>
        <v>92.708043341760018</v>
      </c>
      <c r="G10" s="17">
        <f t="shared" si="2"/>
        <v>94.926312881136027</v>
      </c>
      <c r="H10" s="17">
        <f t="shared" si="2"/>
        <v>97.274914841316985</v>
      </c>
      <c r="I10" s="17">
        <f t="shared" si="2"/>
        <v>99.759783275028084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E22A-8D6E-4E19-8A99-1D997DA06541}">
  <dimension ref="A1:B11"/>
  <sheetViews>
    <sheetView workbookViewId="0">
      <selection activeCell="B11" sqref="B11"/>
    </sheetView>
  </sheetViews>
  <sheetFormatPr defaultRowHeight="15" x14ac:dyDescent="0.25"/>
  <cols>
    <col min="1" max="1" width="19.42578125" bestFit="1" customWidth="1"/>
    <col min="2" max="2" width="10.28515625" bestFit="1" customWidth="1"/>
  </cols>
  <sheetData>
    <row r="1" spans="1:2" x14ac:dyDescent="0.25">
      <c r="A1" s="12"/>
      <c r="B1" s="12" t="s">
        <v>48</v>
      </c>
    </row>
    <row r="2" spans="1:2" x14ac:dyDescent="0.25">
      <c r="A2" s="27" t="s">
        <v>49</v>
      </c>
      <c r="B2" s="28">
        <v>287.89999999999998</v>
      </c>
    </row>
    <row r="3" spans="1:2" x14ac:dyDescent="0.25">
      <c r="A3" s="27" t="s">
        <v>69</v>
      </c>
      <c r="B3" s="28">
        <v>2339</v>
      </c>
    </row>
    <row r="4" spans="1:2" x14ac:dyDescent="0.25">
      <c r="A4" s="29" t="s">
        <v>12</v>
      </c>
      <c r="B4" s="10">
        <f>B2/B3</f>
        <v>0.12308678922616502</v>
      </c>
    </row>
    <row r="5" spans="1:2" x14ac:dyDescent="0.25">
      <c r="A5" s="29" t="s">
        <v>13</v>
      </c>
      <c r="B5" s="10">
        <f>1-B4</f>
        <v>0.87691321077383499</v>
      </c>
    </row>
    <row r="6" spans="1:2" x14ac:dyDescent="0.25">
      <c r="A6" s="27" t="s">
        <v>50</v>
      </c>
      <c r="B6" s="30">
        <v>0.14802347317543627</v>
      </c>
    </row>
    <row r="7" spans="1:2" x14ac:dyDescent="0.25">
      <c r="A7" s="27" t="s">
        <v>14</v>
      </c>
      <c r="B7" s="31">
        <v>4.4999999999999998E-2</v>
      </c>
    </row>
    <row r="8" spans="1:2" x14ac:dyDescent="0.25">
      <c r="A8" s="27" t="s">
        <v>15</v>
      </c>
      <c r="B8" s="31">
        <v>1.54E-2</v>
      </c>
    </row>
    <row r="9" spans="1:2" x14ac:dyDescent="0.25">
      <c r="A9" s="27" t="s">
        <v>77</v>
      </c>
      <c r="B9" s="31">
        <v>5.5E-2</v>
      </c>
    </row>
    <row r="10" spans="1:2" x14ac:dyDescent="0.25">
      <c r="A10" s="27" t="s">
        <v>16</v>
      </c>
      <c r="B10" s="43">
        <v>1.3980886829431265</v>
      </c>
    </row>
    <row r="11" spans="1:2" x14ac:dyDescent="0.25">
      <c r="A11" s="32" t="s">
        <v>11</v>
      </c>
      <c r="B11" s="33">
        <f>(B5*(B8+(B9-B8)*B10))+(B4*B7)*(1-B6)</f>
        <v>6.6773177391033625E-2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FCFF</vt:lpstr>
      <vt:lpstr>Valuation</vt:lpstr>
      <vt:lpstr>Receita</vt:lpstr>
      <vt:lpstr>Balance_Sheet</vt:lpstr>
      <vt:lpstr>DNCG</vt:lpstr>
      <vt:lpstr>Comparativo</vt:lpstr>
      <vt:lpstr>Income Stat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Salvatti</dc:creator>
  <cp:lastModifiedBy>Diego Salvatti</cp:lastModifiedBy>
  <dcterms:created xsi:type="dcterms:W3CDTF">2022-08-07T19:34:59Z</dcterms:created>
  <dcterms:modified xsi:type="dcterms:W3CDTF">2022-08-22T00:53:08Z</dcterms:modified>
</cp:coreProperties>
</file>